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65" yWindow="-90" windowWidth="19320" windowHeight="7725"/>
  </bookViews>
  <sheets>
    <sheet name="REPORTE DE EMERGENCIAS" sheetId="1" r:id="rId1"/>
  </sheets>
  <definedNames>
    <definedName name="_xlnm._FilterDatabase" localSheetId="0" hidden="1">'REPORTE DE EMERGENCIAS'!$A$2:$EI$2398</definedName>
    <definedName name="_xlnm.Print_Area" localSheetId="0">'REPORTE DE EMERGENCIAS'!$A$2:$CT$2372</definedName>
    <definedName name="_xlnm.Print_Titles" localSheetId="0">'REPORTE DE EMERGENCIAS'!$1:$2</definedName>
  </definedNames>
  <calcPr calcId="125725" iterate="1" iterateCount="1000" calcOnSave="0"/>
</workbook>
</file>

<file path=xl/calcChain.xml><?xml version="1.0" encoding="utf-8"?>
<calcChain xmlns="http://schemas.openxmlformats.org/spreadsheetml/2006/main">
  <c r="J1461" i="1"/>
  <c r="J794"/>
  <c r="J2041"/>
  <c r="J2319"/>
  <c r="J996"/>
  <c r="J1224"/>
  <c r="J966"/>
  <c r="J962"/>
  <c r="J956"/>
  <c r="J1490"/>
  <c r="J1029"/>
  <c r="J1695"/>
  <c r="J1071"/>
  <c r="J987"/>
  <c r="J986"/>
  <c r="J1067"/>
  <c r="J985"/>
  <c r="J1070"/>
  <c r="J859"/>
  <c r="J1044"/>
  <c r="J1300"/>
  <c r="J1003"/>
  <c r="J1042"/>
  <c r="J1337"/>
  <c r="J1953"/>
  <c r="J1952"/>
  <c r="J1002"/>
  <c r="J1550"/>
  <c r="J1408"/>
  <c r="J1174"/>
  <c r="K1174"/>
  <c r="J1685"/>
  <c r="K1685"/>
  <c r="J2069"/>
  <c r="K2069"/>
  <c r="J1435"/>
  <c r="K1435"/>
  <c r="J1381"/>
  <c r="J1839"/>
  <c r="K1839"/>
  <c r="J1838"/>
  <c r="K1838"/>
  <c r="J1684"/>
  <c r="J1935"/>
  <c r="K1935"/>
  <c r="J1810"/>
  <c r="J1722"/>
  <c r="J1434"/>
  <c r="J1737"/>
  <c r="K1737"/>
  <c r="J1173"/>
  <c r="J1205"/>
  <c r="K1205"/>
  <c r="J1871"/>
  <c r="J1488"/>
  <c r="CJ754"/>
  <c r="M754" s="1"/>
  <c r="P754"/>
  <c r="O754"/>
  <c r="N754"/>
  <c r="EC1700"/>
  <c r="J2210"/>
  <c r="J1939"/>
  <c r="J409"/>
  <c r="J432"/>
  <c r="J1744"/>
  <c r="CJ2411"/>
  <c r="M2411" s="1"/>
  <c r="P2411"/>
  <c r="O2411"/>
  <c r="N2411"/>
  <c r="CJ2410"/>
  <c r="M2410" s="1"/>
  <c r="P2410"/>
  <c r="O2410"/>
  <c r="N2410"/>
  <c r="CJ2409"/>
  <c r="M2409" s="1"/>
  <c r="P2409"/>
  <c r="O2409"/>
  <c r="N2409"/>
  <c r="CJ2408"/>
  <c r="M2408" s="1"/>
  <c r="P2408"/>
  <c r="O2408"/>
  <c r="N2408"/>
  <c r="CJ2407"/>
  <c r="M2407"/>
  <c r="P2407"/>
  <c r="O2407"/>
  <c r="N2407"/>
  <c r="CJ2406"/>
  <c r="M2406" s="1"/>
  <c r="P2406"/>
  <c r="O2406"/>
  <c r="N2406"/>
  <c r="CJ2405"/>
  <c r="M2405" s="1"/>
  <c r="P2405"/>
  <c r="O2405"/>
  <c r="N2405"/>
  <c r="CJ2404"/>
  <c r="M2404" s="1"/>
  <c r="P2404"/>
  <c r="O2404"/>
  <c r="N2404"/>
  <c r="CJ2403"/>
  <c r="M2403" s="1"/>
  <c r="P2403"/>
  <c r="O2403"/>
  <c r="N2403"/>
  <c r="CJ2402"/>
  <c r="M2402" s="1"/>
  <c r="P2402"/>
  <c r="O2402"/>
  <c r="S2402" s="1"/>
  <c r="N2402"/>
  <c r="CJ2401"/>
  <c r="M2401" s="1"/>
  <c r="P2401"/>
  <c r="O2401"/>
  <c r="N2401"/>
  <c r="CJ2400"/>
  <c r="M2400" s="1"/>
  <c r="P2400"/>
  <c r="O2400"/>
  <c r="N2400"/>
  <c r="CJ2399"/>
  <c r="M2399"/>
  <c r="P2399"/>
  <c r="O2399"/>
  <c r="N2399"/>
  <c r="CJ2206"/>
  <c r="M2206" s="1"/>
  <c r="P2206"/>
  <c r="O2206"/>
  <c r="N2206"/>
  <c r="CJ2057"/>
  <c r="M2057" s="1"/>
  <c r="P2057"/>
  <c r="O2057"/>
  <c r="N2057"/>
  <c r="CJ2056"/>
  <c r="M2056" s="1"/>
  <c r="P2056"/>
  <c r="O2056"/>
  <c r="N2056"/>
  <c r="CJ2048"/>
  <c r="M2048" s="1"/>
  <c r="P2048"/>
  <c r="O2048"/>
  <c r="N2048"/>
  <c r="CJ2032"/>
  <c r="M2032" s="1"/>
  <c r="P2032"/>
  <c r="O2032"/>
  <c r="N2032"/>
  <c r="CJ1990"/>
  <c r="M1990" s="1"/>
  <c r="P1990"/>
  <c r="O1990"/>
  <c r="N1990"/>
  <c r="CJ1949"/>
  <c r="M1949" s="1"/>
  <c r="P1949"/>
  <c r="O1949"/>
  <c r="N1949"/>
  <c r="CJ1928"/>
  <c r="M1928"/>
  <c r="P1928"/>
  <c r="O1928"/>
  <c r="N1928"/>
  <c r="CJ1910"/>
  <c r="M1910" s="1"/>
  <c r="P1910"/>
  <c r="O1910"/>
  <c r="N1910"/>
  <c r="CJ1894"/>
  <c r="M1894" s="1"/>
  <c r="S1894" s="1"/>
  <c r="P1894"/>
  <c r="O1894"/>
  <c r="N1894"/>
  <c r="CJ1883"/>
  <c r="M1883" s="1"/>
  <c r="P1883"/>
  <c r="O1883"/>
  <c r="N1883"/>
  <c r="CJ1868"/>
  <c r="M1868" s="1"/>
  <c r="P1868"/>
  <c r="O1868"/>
  <c r="N1868"/>
  <c r="CJ1867"/>
  <c r="M1867" s="1"/>
  <c r="P1867"/>
  <c r="O1867"/>
  <c r="N1867"/>
  <c r="CJ1866"/>
  <c r="M1866" s="1"/>
  <c r="P1866"/>
  <c r="O1866"/>
  <c r="N1866"/>
  <c r="CJ1779"/>
  <c r="M1779" s="1"/>
  <c r="P1779"/>
  <c r="O1779"/>
  <c r="N1779"/>
  <c r="CJ1778"/>
  <c r="M1778" s="1"/>
  <c r="P1778"/>
  <c r="O1778"/>
  <c r="N1778"/>
  <c r="CJ1777"/>
  <c r="M1777" s="1"/>
  <c r="P1777"/>
  <c r="O1777"/>
  <c r="N1777"/>
  <c r="CJ1776"/>
  <c r="M1776" s="1"/>
  <c r="P1776"/>
  <c r="O1776"/>
  <c r="N1776"/>
  <c r="CJ1775"/>
  <c r="M1775" s="1"/>
  <c r="P1775"/>
  <c r="O1775"/>
  <c r="N1775"/>
  <c r="CJ1774"/>
  <c r="M1774" s="1"/>
  <c r="P1774"/>
  <c r="O1774"/>
  <c r="N1774"/>
  <c r="CJ1734"/>
  <c r="M1734" s="1"/>
  <c r="P1734"/>
  <c r="O1734"/>
  <c r="N1734"/>
  <c r="CJ1733"/>
  <c r="M1733" s="1"/>
  <c r="P1733"/>
  <c r="O1733"/>
  <c r="N1733"/>
  <c r="CJ1719"/>
  <c r="M1719" s="1"/>
  <c r="P1719"/>
  <c r="O1719"/>
  <c r="N1719"/>
  <c r="CJ1718"/>
  <c r="M1718"/>
  <c r="P1718"/>
  <c r="O1718"/>
  <c r="N1718"/>
  <c r="CJ1690"/>
  <c r="M1690" s="1"/>
  <c r="P1690"/>
  <c r="O1690"/>
  <c r="N1690"/>
  <c r="CJ1607"/>
  <c r="M1607" s="1"/>
  <c r="P1607"/>
  <c r="O1607"/>
  <c r="N1607"/>
  <c r="CJ1387"/>
  <c r="M1387" s="1"/>
  <c r="P1387"/>
  <c r="O1387"/>
  <c r="N1387"/>
  <c r="CJ1386"/>
  <c r="M1386" s="1"/>
  <c r="P1386"/>
  <c r="O1386"/>
  <c r="N1386"/>
  <c r="CJ1385"/>
  <c r="M1385" s="1"/>
  <c r="P1385"/>
  <c r="O1385"/>
  <c r="N1385"/>
  <c r="CJ1384"/>
  <c r="M1384" s="1"/>
  <c r="P1384"/>
  <c r="O1384"/>
  <c r="N1384"/>
  <c r="CJ1373"/>
  <c r="M1373" s="1"/>
  <c r="P1373"/>
  <c r="O1373"/>
  <c r="N1373"/>
  <c r="CJ1262"/>
  <c r="M1262"/>
  <c r="P1262"/>
  <c r="O1262"/>
  <c r="N1262"/>
  <c r="CJ836"/>
  <c r="M836" s="1"/>
  <c r="P836"/>
  <c r="O836"/>
  <c r="N836"/>
  <c r="CJ775"/>
  <c r="M775" s="1"/>
  <c r="P775"/>
  <c r="O775"/>
  <c r="N775"/>
  <c r="CJ608"/>
  <c r="M608" s="1"/>
  <c r="P608"/>
  <c r="O608"/>
  <c r="N608"/>
  <c r="CJ584"/>
  <c r="M584" s="1"/>
  <c r="P584"/>
  <c r="O584"/>
  <c r="N584"/>
  <c r="CJ583"/>
  <c r="M583" s="1"/>
  <c r="P583"/>
  <c r="O583"/>
  <c r="N583"/>
  <c r="CJ572"/>
  <c r="M572" s="1"/>
  <c r="P572"/>
  <c r="O572"/>
  <c r="N572"/>
  <c r="CJ556"/>
  <c r="M556" s="1"/>
  <c r="P556"/>
  <c r="O556"/>
  <c r="N556"/>
  <c r="CJ502"/>
  <c r="M502"/>
  <c r="P502"/>
  <c r="O502"/>
  <c r="N502"/>
  <c r="CJ495"/>
  <c r="M495" s="1"/>
  <c r="S495" s="1"/>
  <c r="P495"/>
  <c r="O495"/>
  <c r="N495"/>
  <c r="CJ469"/>
  <c r="M469" s="1"/>
  <c r="S469" s="1"/>
  <c r="P469"/>
  <c r="O469"/>
  <c r="N469"/>
  <c r="J1031"/>
  <c r="J507"/>
  <c r="K507"/>
  <c r="J1342"/>
  <c r="J1751"/>
  <c r="K1751"/>
  <c r="J1465"/>
  <c r="J1463"/>
  <c r="J1891"/>
  <c r="K1891"/>
  <c r="J1647"/>
  <c r="J1297"/>
  <c r="K1297"/>
  <c r="J1664"/>
  <c r="J1646"/>
  <c r="J1549"/>
  <c r="J2299"/>
  <c r="K2299"/>
  <c r="J1078"/>
  <c r="J1547"/>
  <c r="J2090"/>
  <c r="J1663"/>
  <c r="K1663"/>
  <c r="J1295"/>
  <c r="J1638"/>
  <c r="J1832"/>
  <c r="K1832"/>
  <c r="J1850"/>
  <c r="J518"/>
  <c r="J1248"/>
  <c r="K1197"/>
  <c r="J1197"/>
  <c r="J1307"/>
  <c r="K1307"/>
  <c r="J1811"/>
  <c r="J471"/>
  <c r="K471"/>
  <c r="J658"/>
  <c r="J576"/>
  <c r="J375"/>
  <c r="J567"/>
  <c r="K567"/>
  <c r="J1146"/>
  <c r="J1196"/>
  <c r="CJ2423"/>
  <c r="M2423" s="1"/>
  <c r="P2423"/>
  <c r="O2423"/>
  <c r="N2423"/>
  <c r="CJ2422"/>
  <c r="M2422" s="1"/>
  <c r="P2422"/>
  <c r="O2422"/>
  <c r="N2422"/>
  <c r="CJ2421"/>
  <c r="M2421" s="1"/>
  <c r="P2421"/>
  <c r="O2421"/>
  <c r="N2421"/>
  <c r="CJ2420"/>
  <c r="M2420" s="1"/>
  <c r="P2420"/>
  <c r="O2420"/>
  <c r="N2420"/>
  <c r="CJ2419"/>
  <c r="M2419" s="1"/>
  <c r="P2419"/>
  <c r="O2419"/>
  <c r="N2419"/>
  <c r="CJ2418"/>
  <c r="M2418" s="1"/>
  <c r="P2418"/>
  <c r="O2418"/>
  <c r="N2418"/>
  <c r="CJ2417"/>
  <c r="M2417" s="1"/>
  <c r="P2417"/>
  <c r="O2417"/>
  <c r="N2417"/>
  <c r="CJ2416"/>
  <c r="M2416" s="1"/>
  <c r="P2416"/>
  <c r="O2416"/>
  <c r="N2416"/>
  <c r="CJ2415"/>
  <c r="M2415" s="1"/>
  <c r="P2415"/>
  <c r="O2415"/>
  <c r="N2415"/>
  <c r="CJ2414"/>
  <c r="M2414" s="1"/>
  <c r="P2414"/>
  <c r="O2414"/>
  <c r="N2414"/>
  <c r="CJ2413"/>
  <c r="M2413" s="1"/>
  <c r="P2413"/>
  <c r="O2413"/>
  <c r="N2413"/>
  <c r="CJ2412"/>
  <c r="M2412" s="1"/>
  <c r="P2412"/>
  <c r="O2412"/>
  <c r="N2412"/>
  <c r="CJ425"/>
  <c r="M425" s="1"/>
  <c r="P425"/>
  <c r="O425"/>
  <c r="N425"/>
  <c r="CJ400"/>
  <c r="M400" s="1"/>
  <c r="P400"/>
  <c r="O400"/>
  <c r="N400"/>
  <c r="CJ357"/>
  <c r="M357" s="1"/>
  <c r="P357"/>
  <c r="O357"/>
  <c r="N357"/>
  <c r="CJ2218"/>
  <c r="M2218" s="1"/>
  <c r="P2218"/>
  <c r="O2218"/>
  <c r="N2218"/>
  <c r="CJ1036"/>
  <c r="M1036" s="1"/>
  <c r="P1036"/>
  <c r="O1036"/>
  <c r="N1036"/>
  <c r="CJ480"/>
  <c r="M480" s="1"/>
  <c r="P480"/>
  <c r="O480"/>
  <c r="N480"/>
  <c r="CJ2309"/>
  <c r="M2309" s="1"/>
  <c r="P2309"/>
  <c r="O2309"/>
  <c r="N2309"/>
  <c r="CJ2346"/>
  <c r="M2346" s="1"/>
  <c r="P2346"/>
  <c r="O2346"/>
  <c r="S2346" s="1"/>
  <c r="N2346"/>
  <c r="CJ1880"/>
  <c r="M1880" s="1"/>
  <c r="P1880"/>
  <c r="O1880"/>
  <c r="S1880" s="1"/>
  <c r="N1880"/>
  <c r="CJ1760"/>
  <c r="M1760"/>
  <c r="P1760"/>
  <c r="O1760"/>
  <c r="N1760"/>
  <c r="CJ1503"/>
  <c r="M1503" s="1"/>
  <c r="P1503"/>
  <c r="O1503"/>
  <c r="N1503"/>
  <c r="CJ998"/>
  <c r="M998" s="1"/>
  <c r="P998"/>
  <c r="S998" s="1"/>
  <c r="O998"/>
  <c r="N998"/>
  <c r="CJ1732"/>
  <c r="M1732" s="1"/>
  <c r="P1732"/>
  <c r="O1732"/>
  <c r="N1732"/>
  <c r="CJ544"/>
  <c r="M544" s="1"/>
  <c r="P544"/>
  <c r="O544"/>
  <c r="N544"/>
  <c r="CJ537"/>
  <c r="M537" s="1"/>
  <c r="P537"/>
  <c r="O537"/>
  <c r="N537"/>
  <c r="CJ531"/>
  <c r="M531" s="1"/>
  <c r="P531"/>
  <c r="O531"/>
  <c r="N531"/>
  <c r="CJ2283"/>
  <c r="M2283" s="1"/>
  <c r="P2283"/>
  <c r="O2283"/>
  <c r="N2283"/>
  <c r="J1634"/>
  <c r="J1829"/>
  <c r="J741"/>
  <c r="J1544"/>
  <c r="K1544"/>
  <c r="J1967"/>
  <c r="J1415"/>
  <c r="J710"/>
  <c r="K710"/>
  <c r="J2007"/>
  <c r="K2007"/>
  <c r="J1625"/>
  <c r="J2017"/>
  <c r="K2017"/>
  <c r="J1487"/>
  <c r="K1487"/>
  <c r="J2016"/>
  <c r="J2015"/>
  <c r="J2097"/>
  <c r="K2097"/>
  <c r="J2014"/>
  <c r="J1902"/>
  <c r="J2096"/>
  <c r="J2013"/>
  <c r="J2012"/>
  <c r="J2011"/>
  <c r="J2010"/>
  <c r="J1514"/>
  <c r="K1514"/>
  <c r="J385"/>
  <c r="K385"/>
  <c r="J1672"/>
  <c r="K1672"/>
  <c r="J563"/>
  <c r="K563"/>
  <c r="J1535"/>
  <c r="K1535"/>
  <c r="J2006"/>
  <c r="K2006"/>
  <c r="J2095"/>
  <c r="J1374"/>
  <c r="J1740"/>
  <c r="K1740"/>
  <c r="J1524"/>
  <c r="K1524"/>
  <c r="J2005"/>
  <c r="J2004"/>
  <c r="J416"/>
  <c r="K416"/>
  <c r="J2003"/>
  <c r="K2003"/>
  <c r="J2002"/>
  <c r="J1624"/>
  <c r="J1914"/>
  <c r="J757"/>
  <c r="K757"/>
  <c r="J2001"/>
  <c r="K2001"/>
  <c r="J2000"/>
  <c r="K2000"/>
  <c r="J1058"/>
  <c r="K1486"/>
  <c r="J1486"/>
  <c r="J1436"/>
  <c r="J2311"/>
  <c r="K2311"/>
  <c r="J1999"/>
  <c r="K1999"/>
  <c r="J1998"/>
  <c r="K1998"/>
  <c r="J1411"/>
  <c r="J2065"/>
  <c r="J1416"/>
  <c r="K1416"/>
  <c r="J1830"/>
  <c r="K1830"/>
  <c r="J1112"/>
  <c r="J978"/>
  <c r="J1422"/>
  <c r="K1422"/>
  <c r="J1198"/>
  <c r="J1167"/>
  <c r="J1440"/>
  <c r="J1941"/>
  <c r="K1941"/>
  <c r="J766"/>
  <c r="J854"/>
  <c r="J1175"/>
  <c r="K1175"/>
  <c r="J1026"/>
  <c r="J2215"/>
  <c r="J1155"/>
  <c r="J739"/>
  <c r="J1110"/>
  <c r="K1110"/>
  <c r="J973"/>
  <c r="J1885"/>
  <c r="K1885"/>
  <c r="J1886"/>
  <c r="K1886"/>
  <c r="J970"/>
  <c r="K970"/>
  <c r="J699"/>
  <c r="K699"/>
  <c r="J1129"/>
  <c r="K1129"/>
  <c r="J2217"/>
  <c r="K2217"/>
  <c r="J1453"/>
  <c r="J1954"/>
  <c r="J1905"/>
  <c r="K1905"/>
  <c r="K1300"/>
  <c r="J777"/>
  <c r="J1735"/>
  <c r="J1276"/>
  <c r="J888"/>
  <c r="K1735"/>
  <c r="J999"/>
  <c r="K999"/>
  <c r="J1004"/>
  <c r="K1004"/>
  <c r="J1354"/>
  <c r="J1099"/>
  <c r="K1354"/>
  <c r="J1339"/>
  <c r="J801"/>
  <c r="J751"/>
  <c r="K1339"/>
  <c r="K1953"/>
  <c r="J1984"/>
  <c r="K1984"/>
  <c r="J1946"/>
  <c r="J1966"/>
  <c r="J1631"/>
  <c r="K1631"/>
  <c r="J1945"/>
  <c r="J592"/>
  <c r="K592"/>
  <c r="J1922"/>
  <c r="K1922"/>
  <c r="J1081"/>
  <c r="K1081"/>
  <c r="J977"/>
  <c r="K977"/>
  <c r="J1169"/>
  <c r="K1169"/>
  <c r="J1089"/>
  <c r="K1089"/>
  <c r="J1713"/>
  <c r="K1713"/>
  <c r="J1577"/>
  <c r="J1980"/>
  <c r="J1962"/>
  <c r="J603"/>
  <c r="K603"/>
  <c r="K736"/>
  <c r="J2294"/>
  <c r="J1130"/>
  <c r="J2189"/>
  <c r="K1258"/>
  <c r="J1245"/>
  <c r="K1245"/>
  <c r="EC3893"/>
  <c r="EC3892"/>
  <c r="EC3891"/>
  <c r="EC3890"/>
  <c r="EC3889"/>
  <c r="EC3888"/>
  <c r="EC3887"/>
  <c r="EC3886"/>
  <c r="EC3885"/>
  <c r="EC3884"/>
  <c r="EC3883"/>
  <c r="EC3882"/>
  <c r="EC3881"/>
  <c r="EC3880"/>
  <c r="EC3879"/>
  <c r="EC3878"/>
  <c r="EC3877"/>
  <c r="EC3876"/>
  <c r="EC3875"/>
  <c r="EC3874"/>
  <c r="EC3873"/>
  <c r="EC3872"/>
  <c r="EC3871"/>
  <c r="EC3870"/>
  <c r="EC3869"/>
  <c r="EC3868"/>
  <c r="EC3867"/>
  <c r="EC3866"/>
  <c r="EC3865"/>
  <c r="EC3864"/>
  <c r="EC3863"/>
  <c r="EC3862"/>
  <c r="EC3861"/>
  <c r="EC3860"/>
  <c r="EC3859"/>
  <c r="EC3858"/>
  <c r="EC3857"/>
  <c r="EC3856"/>
  <c r="EC3855"/>
  <c r="EC3854"/>
  <c r="EC3853"/>
  <c r="EC3852"/>
  <c r="EC3851"/>
  <c r="EC3850"/>
  <c r="EC3849"/>
  <c r="EC3848"/>
  <c r="EC3847"/>
  <c r="EC3846"/>
  <c r="EC3845"/>
  <c r="EC3844"/>
  <c r="EC3843"/>
  <c r="EC3842"/>
  <c r="EC3841"/>
  <c r="EC3840"/>
  <c r="EC3839"/>
  <c r="EC3838"/>
  <c r="EC3837"/>
  <c r="EC3836"/>
  <c r="EC3835"/>
  <c r="EC3834"/>
  <c r="EC3833"/>
  <c r="EC3832"/>
  <c r="EC3831"/>
  <c r="EC3830"/>
  <c r="EC3829"/>
  <c r="EC3828"/>
  <c r="EC3827"/>
  <c r="EC3826"/>
  <c r="EC3825"/>
  <c r="EC3824"/>
  <c r="EC3823"/>
  <c r="EC3822"/>
  <c r="EC3821"/>
  <c r="EC3820"/>
  <c r="EC3819"/>
  <c r="EC3818"/>
  <c r="EC3817"/>
  <c r="EC3816"/>
  <c r="EC3815"/>
  <c r="EC3814"/>
  <c r="EC3813"/>
  <c r="EC3812"/>
  <c r="EC3811"/>
  <c r="EC3810"/>
  <c r="EC3809"/>
  <c r="EC3808"/>
  <c r="EC3807"/>
  <c r="EC3806"/>
  <c r="EC3805"/>
  <c r="EC3804"/>
  <c r="EC3803"/>
  <c r="EC3802"/>
  <c r="EC3801"/>
  <c r="EC3800"/>
  <c r="EC3799"/>
  <c r="EC3798"/>
  <c r="EC3797"/>
  <c r="EC3796"/>
  <c r="EC3795"/>
  <c r="EC3794"/>
  <c r="EC3793"/>
  <c r="EC3792"/>
  <c r="EC3791"/>
  <c r="EC3790"/>
  <c r="EC3789"/>
  <c r="EC3788"/>
  <c r="EC3787"/>
  <c r="EC3786"/>
  <c r="EC3785"/>
  <c r="EC3784"/>
  <c r="EC3783"/>
  <c r="EC3782"/>
  <c r="EC3781"/>
  <c r="EC3780"/>
  <c r="EC3779"/>
  <c r="EC3778"/>
  <c r="EC3777"/>
  <c r="EC3776"/>
  <c r="EC3775"/>
  <c r="EC3774"/>
  <c r="EC3773"/>
  <c r="EC3772"/>
  <c r="EC3771"/>
  <c r="EC3770"/>
  <c r="EC3769"/>
  <c r="EC3768"/>
  <c r="EC3767"/>
  <c r="EC3766"/>
  <c r="EC3765"/>
  <c r="EC3764"/>
  <c r="EC3763"/>
  <c r="EC3762"/>
  <c r="EC3761"/>
  <c r="EC3760"/>
  <c r="EC3759"/>
  <c r="EC3758"/>
  <c r="EC3757"/>
  <c r="EC3756"/>
  <c r="EC3755"/>
  <c r="EC3754"/>
  <c r="EC3753"/>
  <c r="EC3752"/>
  <c r="EC3751"/>
  <c r="EC3750"/>
  <c r="EC3749"/>
  <c r="EC3748"/>
  <c r="EC3747"/>
  <c r="EC3746"/>
  <c r="EC3745"/>
  <c r="EC3744"/>
  <c r="EC3743"/>
  <c r="EC3742"/>
  <c r="EC3741"/>
  <c r="EC3740"/>
  <c r="EC3739"/>
  <c r="EC3738"/>
  <c r="EC3737"/>
  <c r="EC3736"/>
  <c r="EC3735"/>
  <c r="EC3734"/>
  <c r="EC3733"/>
  <c r="EC3732"/>
  <c r="EC3731"/>
  <c r="EC3730"/>
  <c r="EC3729"/>
  <c r="EC3728"/>
  <c r="EC3727"/>
  <c r="EC3726"/>
  <c r="EC3725"/>
  <c r="EC3724"/>
  <c r="EC3723"/>
  <c r="EC3722"/>
  <c r="EC3721"/>
  <c r="EC3720"/>
  <c r="EC3719"/>
  <c r="EC3718"/>
  <c r="EC3717"/>
  <c r="EC3716"/>
  <c r="EC3715"/>
  <c r="EC3714"/>
  <c r="EC3713"/>
  <c r="EC3712"/>
  <c r="EC3711"/>
  <c r="EC3710"/>
  <c r="EC3709"/>
  <c r="EC3708"/>
  <c r="EC3707"/>
  <c r="EC3706"/>
  <c r="EC3705"/>
  <c r="EC3704"/>
  <c r="EC3703"/>
  <c r="EC3702"/>
  <c r="EC3701"/>
  <c r="EC3700"/>
  <c r="EC3699"/>
  <c r="EC3698"/>
  <c r="EC3697"/>
  <c r="EC3696"/>
  <c r="EC3695"/>
  <c r="EC3694"/>
  <c r="EC3693"/>
  <c r="EC3692"/>
  <c r="EC3691"/>
  <c r="EC3690"/>
  <c r="EC3689"/>
  <c r="EC3688"/>
  <c r="EC3687"/>
  <c r="EC3686"/>
  <c r="EC3685"/>
  <c r="EC3684"/>
  <c r="EC3683"/>
  <c r="EC3682"/>
  <c r="EC3681"/>
  <c r="EC3680"/>
  <c r="EC3679"/>
  <c r="EC3678"/>
  <c r="EC3677"/>
  <c r="EC3676"/>
  <c r="EC3675"/>
  <c r="EC3674"/>
  <c r="EC3673"/>
  <c r="EC3672"/>
  <c r="EC3671"/>
  <c r="EC3670"/>
  <c r="EC3669"/>
  <c r="EC3668"/>
  <c r="EC3667"/>
  <c r="EC3666"/>
  <c r="EC3665"/>
  <c r="EC3664"/>
  <c r="EC3663"/>
  <c r="EC3662"/>
  <c r="EC3661"/>
  <c r="EC3660"/>
  <c r="EC3659"/>
  <c r="EC3658"/>
  <c r="EC3657"/>
  <c r="EC3656"/>
  <c r="EC3655"/>
  <c r="EC3654"/>
  <c r="EC3653"/>
  <c r="EC3652"/>
  <c r="EC3651"/>
  <c r="EC3650"/>
  <c r="EC3649"/>
  <c r="EC3648"/>
  <c r="EC3647"/>
  <c r="EC3646"/>
  <c r="EC3645"/>
  <c r="EC3644"/>
  <c r="EC3643"/>
  <c r="EC3642"/>
  <c r="EC3641"/>
  <c r="EC3640"/>
  <c r="EC3639"/>
  <c r="EC3638"/>
  <c r="EC3637"/>
  <c r="EC3636"/>
  <c r="EC3635"/>
  <c r="EC3634"/>
  <c r="EC3633"/>
  <c r="EC3632"/>
  <c r="EC3631"/>
  <c r="EC3630"/>
  <c r="EC3629"/>
  <c r="EC3628"/>
  <c r="EC3627"/>
  <c r="EC3626"/>
  <c r="EC3625"/>
  <c r="EC3624"/>
  <c r="EC3623"/>
  <c r="EC3622"/>
  <c r="EC3621"/>
  <c r="EC3620"/>
  <c r="EC3619"/>
  <c r="EC3618"/>
  <c r="EC3617"/>
  <c r="EC3616"/>
  <c r="EC3615"/>
  <c r="EC3614"/>
  <c r="EC3613"/>
  <c r="EC3612"/>
  <c r="EC3611"/>
  <c r="EC3610"/>
  <c r="EC3609"/>
  <c r="EC3608"/>
  <c r="EC3607"/>
  <c r="EC3606"/>
  <c r="EC3605"/>
  <c r="EC3604"/>
  <c r="EC3603"/>
  <c r="EC3602"/>
  <c r="EC3601"/>
  <c r="EC3600"/>
  <c r="EC3599"/>
  <c r="EC3598"/>
  <c r="EC3597"/>
  <c r="EC3596"/>
  <c r="EC3595"/>
  <c r="EC3594"/>
  <c r="EC3593"/>
  <c r="EC3592"/>
  <c r="EC3591"/>
  <c r="EC3590"/>
  <c r="EC3589"/>
  <c r="EC3588"/>
  <c r="EC3587"/>
  <c r="EC3586"/>
  <c r="EC3585"/>
  <c r="EC3584"/>
  <c r="EC3583"/>
  <c r="EC3582"/>
  <c r="EC3581"/>
  <c r="EC3580"/>
  <c r="EC3579"/>
  <c r="EC3578"/>
  <c r="EC3577"/>
  <c r="EC3576"/>
  <c r="EC3575"/>
  <c r="EC3574"/>
  <c r="EC3573"/>
  <c r="EC3572"/>
  <c r="EC3571"/>
  <c r="EC3570"/>
  <c r="EC3569"/>
  <c r="EC3568"/>
  <c r="EC3567"/>
  <c r="EC3566"/>
  <c r="EC3565"/>
  <c r="EC3564"/>
  <c r="EC3563"/>
  <c r="EC3562"/>
  <c r="EC3561"/>
  <c r="EC3560"/>
  <c r="EC3559"/>
  <c r="EC3558"/>
  <c r="EC3557"/>
  <c r="EC3556"/>
  <c r="EC3555"/>
  <c r="EC3554"/>
  <c r="EC3553"/>
  <c r="EC3552"/>
  <c r="EC3551"/>
  <c r="EC3550"/>
  <c r="EC3549"/>
  <c r="EC3548"/>
  <c r="EC3547"/>
  <c r="EC3546"/>
  <c r="EC3545"/>
  <c r="EC3544"/>
  <c r="EC3543"/>
  <c r="EC3542"/>
  <c r="EC3541"/>
  <c r="EC3540"/>
  <c r="EC3539"/>
  <c r="EC3538"/>
  <c r="EC3537"/>
  <c r="EC3536"/>
  <c r="EC3535"/>
  <c r="EC3534"/>
  <c r="EC3533"/>
  <c r="EC3532"/>
  <c r="EC3531"/>
  <c r="EC3530"/>
  <c r="EC3529"/>
  <c r="EC3528"/>
  <c r="EC3527"/>
  <c r="EC3526"/>
  <c r="EC3525"/>
  <c r="EC3524"/>
  <c r="EC3523"/>
  <c r="EC3522"/>
  <c r="EC3521"/>
  <c r="EC3520"/>
  <c r="EC3519"/>
  <c r="EC3518"/>
  <c r="EC3517"/>
  <c r="EC3516"/>
  <c r="EC3515"/>
  <c r="EC3514"/>
  <c r="EC3513"/>
  <c r="EC3512"/>
  <c r="EC3511"/>
  <c r="EC3510"/>
  <c r="EC3509"/>
  <c r="EC3508"/>
  <c r="EC3507"/>
  <c r="EC3506"/>
  <c r="EC3505"/>
  <c r="EC3504"/>
  <c r="EC3503"/>
  <c r="EC3502"/>
  <c r="EC3501"/>
  <c r="EC3500"/>
  <c r="EC3499"/>
  <c r="EC3498"/>
  <c r="EC3497"/>
  <c r="EC3496"/>
  <c r="EC3495"/>
  <c r="EC3494"/>
  <c r="EC3493"/>
  <c r="EC3492"/>
  <c r="EC3491"/>
  <c r="EC3490"/>
  <c r="EC3489"/>
  <c r="EC3488"/>
  <c r="EC3487"/>
  <c r="EC3486"/>
  <c r="EC3485"/>
  <c r="EC3484"/>
  <c r="EC3483"/>
  <c r="EC3482"/>
  <c r="EC3481"/>
  <c r="EC3480"/>
  <c r="EC3479"/>
  <c r="EC3478"/>
  <c r="EC3477"/>
  <c r="EC3476"/>
  <c r="EC3475"/>
  <c r="EC3474"/>
  <c r="EC3473"/>
  <c r="EC3472"/>
  <c r="EC3471"/>
  <c r="EC3470"/>
  <c r="EC3469"/>
  <c r="EC3468"/>
  <c r="EC3467"/>
  <c r="EC3466"/>
  <c r="EC3465"/>
  <c r="EC3464"/>
  <c r="EC3463"/>
  <c r="EC3462"/>
  <c r="EC3461"/>
  <c r="EC3460"/>
  <c r="EC3459"/>
  <c r="EC3458"/>
  <c r="EC3457"/>
  <c r="EC3456"/>
  <c r="EC3455"/>
  <c r="EC3454"/>
  <c r="EC3453"/>
  <c r="EC3452"/>
  <c r="EC3451"/>
  <c r="EC3450"/>
  <c r="EC3449"/>
  <c r="EC3448"/>
  <c r="EC3447"/>
  <c r="EC3446"/>
  <c r="EC3445"/>
  <c r="EC3444"/>
  <c r="EC3443"/>
  <c r="EC3442"/>
  <c r="EC3441"/>
  <c r="EC3440"/>
  <c r="EC3439"/>
  <c r="EC3438"/>
  <c r="EC3437"/>
  <c r="EC3436"/>
  <c r="EC3435"/>
  <c r="EC3434"/>
  <c r="EC3433"/>
  <c r="EC3432"/>
  <c r="EC3431"/>
  <c r="EC3430"/>
  <c r="EC3429"/>
  <c r="EC3428"/>
  <c r="EC3427"/>
  <c r="EC3426"/>
  <c r="EC3425"/>
  <c r="EC3424"/>
  <c r="EC3423"/>
  <c r="EC3422"/>
  <c r="EC3421"/>
  <c r="EC3420"/>
  <c r="EC3419"/>
  <c r="EC3418"/>
  <c r="EC3417"/>
  <c r="EC3416"/>
  <c r="EC3415"/>
  <c r="EC3414"/>
  <c r="EC3413"/>
  <c r="EC3412"/>
  <c r="EC3411"/>
  <c r="EC3410"/>
  <c r="EC3409"/>
  <c r="EC3408"/>
  <c r="EC3407"/>
  <c r="EC3406"/>
  <c r="EC3405"/>
  <c r="EC3404"/>
  <c r="EC3403"/>
  <c r="EC3402"/>
  <c r="EC3401"/>
  <c r="EC3400"/>
  <c r="EC3399"/>
  <c r="EC3398"/>
  <c r="EC3397"/>
  <c r="EC3396"/>
  <c r="EC3395"/>
  <c r="EC3394"/>
  <c r="EC3393"/>
  <c r="EC3392"/>
  <c r="EC3391"/>
  <c r="EC3390"/>
  <c r="EC3389"/>
  <c r="EC3388"/>
  <c r="EC3387"/>
  <c r="EC3386"/>
  <c r="EC3385"/>
  <c r="EC3384"/>
  <c r="EC3383"/>
  <c r="EC3382"/>
  <c r="EC3381"/>
  <c r="EC3380"/>
  <c r="EC3379"/>
  <c r="EC3378"/>
  <c r="EC3377"/>
  <c r="EC3376"/>
  <c r="EC3375"/>
  <c r="EC3374"/>
  <c r="EC3373"/>
  <c r="EC3372"/>
  <c r="EC3371"/>
  <c r="EC3370"/>
  <c r="EC3369"/>
  <c r="EC3368"/>
  <c r="EC3367"/>
  <c r="EC3366"/>
  <c r="EC3365"/>
  <c r="EC3364"/>
  <c r="EC3363"/>
  <c r="EC3362"/>
  <c r="EC3361"/>
  <c r="EC3360"/>
  <c r="EC3359"/>
  <c r="EC3358"/>
  <c r="EC3357"/>
  <c r="EC3356"/>
  <c r="EC3355"/>
  <c r="EC3354"/>
  <c r="EC3353"/>
  <c r="EC3352"/>
  <c r="EC3351"/>
  <c r="EC3350"/>
  <c r="EC3349"/>
  <c r="EC3348"/>
  <c r="EC3347"/>
  <c r="EC3346"/>
  <c r="EC3345"/>
  <c r="EC3344"/>
  <c r="EC3343"/>
  <c r="EC3342"/>
  <c r="EC3341"/>
  <c r="EC3340"/>
  <c r="EC3339"/>
  <c r="EC3338"/>
  <c r="EC3337"/>
  <c r="EC3336"/>
  <c r="EC3335"/>
  <c r="EC3334"/>
  <c r="EC3333"/>
  <c r="EC3332"/>
  <c r="EC3331"/>
  <c r="EC3330"/>
  <c r="EC3329"/>
  <c r="EC3328"/>
  <c r="EC3327"/>
  <c r="EC3326"/>
  <c r="EC3325"/>
  <c r="EC3324"/>
  <c r="EC3323"/>
  <c r="EC3322"/>
  <c r="EC3321"/>
  <c r="EC3320"/>
  <c r="EC3319"/>
  <c r="EC3318"/>
  <c r="EC3317"/>
  <c r="EC3316"/>
  <c r="EC3315"/>
  <c r="EC3314"/>
  <c r="EC3313"/>
  <c r="EC3312"/>
  <c r="EC3311"/>
  <c r="EC3310"/>
  <c r="EC3309"/>
  <c r="EC3308"/>
  <c r="EC3307"/>
  <c r="EC3306"/>
  <c r="EC3305"/>
  <c r="EC3304"/>
  <c r="EC3303"/>
  <c r="EC3302"/>
  <c r="EC3301"/>
  <c r="EC3300"/>
  <c r="EC3299"/>
  <c r="EC3298"/>
  <c r="EC3297"/>
  <c r="EC3296"/>
  <c r="EC3295"/>
  <c r="EC3294"/>
  <c r="EC3293"/>
  <c r="EC3292"/>
  <c r="EC3291"/>
  <c r="EC3290"/>
  <c r="EC3289"/>
  <c r="EC3288"/>
  <c r="EC3287"/>
  <c r="EC3286"/>
  <c r="EC3285"/>
  <c r="EC3284"/>
  <c r="EC3283"/>
  <c r="EC3282"/>
  <c r="EC3281"/>
  <c r="EC3280"/>
  <c r="EC3279"/>
  <c r="EC3278"/>
  <c r="EC3277"/>
  <c r="EC3276"/>
  <c r="EC3275"/>
  <c r="EC3274"/>
  <c r="EC3273"/>
  <c r="EC3272"/>
  <c r="EC3271"/>
  <c r="EC3270"/>
  <c r="EC3269"/>
  <c r="EC3268"/>
  <c r="EC3267"/>
  <c r="EC3266"/>
  <c r="EC3265"/>
  <c r="EC3264"/>
  <c r="EC3263"/>
  <c r="EC3262"/>
  <c r="EC3261"/>
  <c r="EC3260"/>
  <c r="EC3259"/>
  <c r="EC3258"/>
  <c r="EC3257"/>
  <c r="EC3256"/>
  <c r="EC3255"/>
  <c r="EC3254"/>
  <c r="EC3253"/>
  <c r="EC3252"/>
  <c r="EC3251"/>
  <c r="EC3250"/>
  <c r="EC3249"/>
  <c r="EC3248"/>
  <c r="EC3247"/>
  <c r="EC3246"/>
  <c r="EC3245"/>
  <c r="EC3244"/>
  <c r="EC3243"/>
  <c r="EC3242"/>
  <c r="EC3241"/>
  <c r="EC3240"/>
  <c r="EC3239"/>
  <c r="EC3238"/>
  <c r="EC3237"/>
  <c r="EC3236"/>
  <c r="EC3235"/>
  <c r="EC3234"/>
  <c r="EC3233"/>
  <c r="EC3232"/>
  <c r="EC3231"/>
  <c r="EC3230"/>
  <c r="EC3229"/>
  <c r="EC3228"/>
  <c r="EC3227"/>
  <c r="EC3226"/>
  <c r="EC3225"/>
  <c r="EC3224"/>
  <c r="EC3223"/>
  <c r="EC3222"/>
  <c r="EC3221"/>
  <c r="EC3220"/>
  <c r="EC3219"/>
  <c r="EC3218"/>
  <c r="EC3217"/>
  <c r="EC3216"/>
  <c r="EC3215"/>
  <c r="EC3214"/>
  <c r="EC3213"/>
  <c r="EC3212"/>
  <c r="EC3211"/>
  <c r="EC3210"/>
  <c r="EC3209"/>
  <c r="EC3208"/>
  <c r="EC3207"/>
  <c r="EC3206"/>
  <c r="EC3205"/>
  <c r="EC3204"/>
  <c r="EC3203"/>
  <c r="EC3202"/>
  <c r="EC3201"/>
  <c r="EC3200"/>
  <c r="EC3199"/>
  <c r="EC3198"/>
  <c r="EC3197"/>
  <c r="EC3196"/>
  <c r="EC3195"/>
  <c r="EC3194"/>
  <c r="EC3193"/>
  <c r="EC3192"/>
  <c r="EC3191"/>
  <c r="EC3190"/>
  <c r="EC3189"/>
  <c r="EC3188"/>
  <c r="EC3187"/>
  <c r="EC3186"/>
  <c r="EC3185"/>
  <c r="EC3184"/>
  <c r="EC3183"/>
  <c r="EC3182"/>
  <c r="EC3181"/>
  <c r="EC3180"/>
  <c r="EC3179"/>
  <c r="EC3178"/>
  <c r="EC3177"/>
  <c r="EC3176"/>
  <c r="EC3175"/>
  <c r="EC3174"/>
  <c r="EC3173"/>
  <c r="EC3172"/>
  <c r="EC3171"/>
  <c r="EC3170"/>
  <c r="EC3169"/>
  <c r="EC3168"/>
  <c r="EC3167"/>
  <c r="EC3166"/>
  <c r="EC3165"/>
  <c r="EC3164"/>
  <c r="EC3163"/>
  <c r="EC3162"/>
  <c r="EC3161"/>
  <c r="EC3160"/>
  <c r="EC3159"/>
  <c r="EC3158"/>
  <c r="EC3157"/>
  <c r="EC3156"/>
  <c r="EC3155"/>
  <c r="EC3154"/>
  <c r="EC3153"/>
  <c r="EC3152"/>
  <c r="EC3151"/>
  <c r="EC3150"/>
  <c r="EC3149"/>
  <c r="EC3148"/>
  <c r="EC3147"/>
  <c r="EC3146"/>
  <c r="EC3145"/>
  <c r="EC3144"/>
  <c r="EC3143"/>
  <c r="EC3142"/>
  <c r="EC3141"/>
  <c r="EC3140"/>
  <c r="EC3139"/>
  <c r="EC3138"/>
  <c r="EC3137"/>
  <c r="EC3136"/>
  <c r="EC3135"/>
  <c r="EC3134"/>
  <c r="EC3133"/>
  <c r="EC3132"/>
  <c r="EC3131"/>
  <c r="EC3130"/>
  <c r="EC3129"/>
  <c r="EC3128"/>
  <c r="EC3127"/>
  <c r="EC3126"/>
  <c r="EC3125"/>
  <c r="EC3124"/>
  <c r="EC3123"/>
  <c r="EC3122"/>
  <c r="EC3121"/>
  <c r="EC3120"/>
  <c r="EC3119"/>
  <c r="EC3118"/>
  <c r="EC3117"/>
  <c r="EC3116"/>
  <c r="EC3115"/>
  <c r="EC3114"/>
  <c r="EC3113"/>
  <c r="EC3112"/>
  <c r="EC3111"/>
  <c r="EC3110"/>
  <c r="EC3109"/>
  <c r="EC3108"/>
  <c r="EC3107"/>
  <c r="EC3106"/>
  <c r="EC3105"/>
  <c r="EC3104"/>
  <c r="EC3103"/>
  <c r="EC3102"/>
  <c r="EC3101"/>
  <c r="EC3100"/>
  <c r="EC3099"/>
  <c r="EC3098"/>
  <c r="EC3097"/>
  <c r="EC3096"/>
  <c r="EC3095"/>
  <c r="EC3094"/>
  <c r="EC3093"/>
  <c r="EC3092"/>
  <c r="EC3091"/>
  <c r="EC3090"/>
  <c r="EC3089"/>
  <c r="EC3088"/>
  <c r="EC3087"/>
  <c r="EC3086"/>
  <c r="EC3085"/>
  <c r="EC3084"/>
  <c r="EC3083"/>
  <c r="EC3082"/>
  <c r="EC3081"/>
  <c r="EC3080"/>
  <c r="EC3079"/>
  <c r="EC3078"/>
  <c r="EC3077"/>
  <c r="EC3076"/>
  <c r="EC3075"/>
  <c r="EC3074"/>
  <c r="EC3073"/>
  <c r="EC3072"/>
  <c r="EC3071"/>
  <c r="EC3070"/>
  <c r="EC3069"/>
  <c r="EC3068"/>
  <c r="EC3067"/>
  <c r="EC3066"/>
  <c r="EC3065"/>
  <c r="EC3064"/>
  <c r="EC3063"/>
  <c r="EC3062"/>
  <c r="EC3061"/>
  <c r="EC3060"/>
  <c r="EC3059"/>
  <c r="EC3058"/>
  <c r="EC3057"/>
  <c r="EC3056"/>
  <c r="EC3055"/>
  <c r="EC3054"/>
  <c r="EC3053"/>
  <c r="EC3052"/>
  <c r="EC3051"/>
  <c r="EC3050"/>
  <c r="EC3049"/>
  <c r="EC3048"/>
  <c r="EC3047"/>
  <c r="EC3046"/>
  <c r="EC3045"/>
  <c r="EC3044"/>
  <c r="EC3043"/>
  <c r="EC3042"/>
  <c r="EC3041"/>
  <c r="EC3040"/>
  <c r="EC3039"/>
  <c r="EC3038"/>
  <c r="EC3037"/>
  <c r="EC3036"/>
  <c r="EC3035"/>
  <c r="EC3034"/>
  <c r="EC3033"/>
  <c r="EC3032"/>
  <c r="EC3031"/>
  <c r="EC3030"/>
  <c r="EC3029"/>
  <c r="EC3028"/>
  <c r="EC3027"/>
  <c r="EC3026"/>
  <c r="EC3025"/>
  <c r="EC3024"/>
  <c r="EC3023"/>
  <c r="EC3022"/>
  <c r="EC3021"/>
  <c r="EC3020"/>
  <c r="EC3019"/>
  <c r="EC3018"/>
  <c r="EC3017"/>
  <c r="EC3016"/>
  <c r="EC3015"/>
  <c r="EC3014"/>
  <c r="EC3013"/>
  <c r="EC3012"/>
  <c r="EC3011"/>
  <c r="EC3010"/>
  <c r="EC3009"/>
  <c r="EC3008"/>
  <c r="EC3007"/>
  <c r="EC3006"/>
  <c r="EC3005"/>
  <c r="EC3004"/>
  <c r="EC3003"/>
  <c r="EC3002"/>
  <c r="EC3001"/>
  <c r="EC3000"/>
  <c r="EC2999"/>
  <c r="EC2998"/>
  <c r="EC2997"/>
  <c r="EC2996"/>
  <c r="EC2995"/>
  <c r="EC2994"/>
  <c r="EC2993"/>
  <c r="EC2992"/>
  <c r="EC2991"/>
  <c r="EC2990"/>
  <c r="EC2989"/>
  <c r="EC2988"/>
  <c r="EC2987"/>
  <c r="EC2986"/>
  <c r="EC2985"/>
  <c r="EC2984"/>
  <c r="EC2983"/>
  <c r="EC2982"/>
  <c r="EC2981"/>
  <c r="EC2980"/>
  <c r="EC2979"/>
  <c r="EC2978"/>
  <c r="EC2977"/>
  <c r="EC2976"/>
  <c r="EC2975"/>
  <c r="EC2974"/>
  <c r="EC2973"/>
  <c r="EC2972"/>
  <c r="EC2971"/>
  <c r="EC2970"/>
  <c r="EC2969"/>
  <c r="EC2968"/>
  <c r="EC2967"/>
  <c r="EC2966"/>
  <c r="EC2965"/>
  <c r="EC2964"/>
  <c r="EC2963"/>
  <c r="EC2962"/>
  <c r="EC2961"/>
  <c r="EC2960"/>
  <c r="EC2959"/>
  <c r="EC2958"/>
  <c r="EC2957"/>
  <c r="EC2956"/>
  <c r="EC2955"/>
  <c r="EC2954"/>
  <c r="EC2953"/>
  <c r="EC2952"/>
  <c r="EC2951"/>
  <c r="EC2950"/>
  <c r="EC2949"/>
  <c r="EC2948"/>
  <c r="EC2947"/>
  <c r="EC2946"/>
  <c r="EC2945"/>
  <c r="EC2944"/>
  <c r="EC2943"/>
  <c r="EC2942"/>
  <c r="EC2941"/>
  <c r="EC2940"/>
  <c r="EC2939"/>
  <c r="EC2938"/>
  <c r="EC2937"/>
  <c r="EC2936"/>
  <c r="EC2935"/>
  <c r="EC2934"/>
  <c r="EC2933"/>
  <c r="EC2932"/>
  <c r="EC2931"/>
  <c r="EC2930"/>
  <c r="EC2929"/>
  <c r="EC2928"/>
  <c r="EC2927"/>
  <c r="EC2926"/>
  <c r="EC2925"/>
  <c r="EC2924"/>
  <c r="EC2923"/>
  <c r="EC2922"/>
  <c r="EC2921"/>
  <c r="EC2920"/>
  <c r="EC2919"/>
  <c r="EC2918"/>
  <c r="EC2917"/>
  <c r="EC2916"/>
  <c r="EC2915"/>
  <c r="EC2914"/>
  <c r="EC2913"/>
  <c r="EC2912"/>
  <c r="EC2911"/>
  <c r="EC2910"/>
  <c r="EC2909"/>
  <c r="EC2908"/>
  <c r="EC2907"/>
  <c r="EC2906"/>
  <c r="EC2905"/>
  <c r="EC2904"/>
  <c r="EC2903"/>
  <c r="EC2902"/>
  <c r="EC2901"/>
  <c r="EC2900"/>
  <c r="EC2899"/>
  <c r="EC2898"/>
  <c r="EC2897"/>
  <c r="EC2896"/>
  <c r="EC2895"/>
  <c r="EC2894"/>
  <c r="EC2893"/>
  <c r="EC2892"/>
  <c r="EC2891"/>
  <c r="EC2890"/>
  <c r="EC2889"/>
  <c r="EC2888"/>
  <c r="EC2887"/>
  <c r="EC2886"/>
  <c r="EC2885"/>
  <c r="EC2884"/>
  <c r="EC2883"/>
  <c r="EC2882"/>
  <c r="EC2881"/>
  <c r="EC2880"/>
  <c r="EC2879"/>
  <c r="EC2878"/>
  <c r="EC2877"/>
  <c r="EC2876"/>
  <c r="EC2875"/>
  <c r="EC2874"/>
  <c r="EC2873"/>
  <c r="EC2872"/>
  <c r="EC2871"/>
  <c r="EC2870"/>
  <c r="EC2869"/>
  <c r="EC2868"/>
  <c r="EC2867"/>
  <c r="EC2866"/>
  <c r="EC2865"/>
  <c r="EC2864"/>
  <c r="EC2863"/>
  <c r="EC2862"/>
  <c r="EC2861"/>
  <c r="EC2860"/>
  <c r="EC2859"/>
  <c r="EC2858"/>
  <c r="EC2857"/>
  <c r="EC2856"/>
  <c r="EC2855"/>
  <c r="EC2854"/>
  <c r="EC2853"/>
  <c r="EC2852"/>
  <c r="EC2851"/>
  <c r="EC2850"/>
  <c r="EC2849"/>
  <c r="EC2848"/>
  <c r="EC2847"/>
  <c r="EC2846"/>
  <c r="EC2845"/>
  <c r="EC2844"/>
  <c r="EC2843"/>
  <c r="EC2842"/>
  <c r="EC2841"/>
  <c r="EC2840"/>
  <c r="EC2839"/>
  <c r="EC2838"/>
  <c r="EC2837"/>
  <c r="EC2836"/>
  <c r="EC2835"/>
  <c r="EC2834"/>
  <c r="EC2833"/>
  <c r="EC2832"/>
  <c r="EC2831"/>
  <c r="EC2830"/>
  <c r="EC2829"/>
  <c r="EC2828"/>
  <c r="EC2827"/>
  <c r="EC2826"/>
  <c r="EC2825"/>
  <c r="EC2824"/>
  <c r="EC2823"/>
  <c r="EC2822"/>
  <c r="EC2821"/>
  <c r="EC2820"/>
  <c r="EC2819"/>
  <c r="EC2818"/>
  <c r="EC2817"/>
  <c r="EC2816"/>
  <c r="EC2815"/>
  <c r="EC2814"/>
  <c r="EC2813"/>
  <c r="EC2812"/>
  <c r="EC2811"/>
  <c r="EC2810"/>
  <c r="EC2809"/>
  <c r="EC2808"/>
  <c r="EC2807"/>
  <c r="EC2806"/>
  <c r="EC2805"/>
  <c r="EC2804"/>
  <c r="EC2803"/>
  <c r="EC2802"/>
  <c r="EC2801"/>
  <c r="EC2800"/>
  <c r="EC2799"/>
  <c r="EC2798"/>
  <c r="EC2797"/>
  <c r="EC2796"/>
  <c r="EC2795"/>
  <c r="EC2794"/>
  <c r="EC2793"/>
  <c r="EC2792"/>
  <c r="EC2791"/>
  <c r="EC2790"/>
  <c r="EC2789"/>
  <c r="EC2788"/>
  <c r="EC2787"/>
  <c r="EC2786"/>
  <c r="EC2785"/>
  <c r="EC2784"/>
  <c r="EC2783"/>
  <c r="EC2782"/>
  <c r="EC2781"/>
  <c r="EC2780"/>
  <c r="EC2779"/>
  <c r="EC2778"/>
  <c r="EC2777"/>
  <c r="EC2776"/>
  <c r="EC2775"/>
  <c r="EC2774"/>
  <c r="EC2773"/>
  <c r="EC2772"/>
  <c r="EC2771"/>
  <c r="EC2770"/>
  <c r="EC2769"/>
  <c r="EC2768"/>
  <c r="EC2767"/>
  <c r="EC2766"/>
  <c r="EC2765"/>
  <c r="EC2764"/>
  <c r="EC2763"/>
  <c r="EC2762"/>
  <c r="EC2761"/>
  <c r="EC2760"/>
  <c r="EC2759"/>
  <c r="EC2758"/>
  <c r="EC2757"/>
  <c r="EC2756"/>
  <c r="EC2755"/>
  <c r="EC2754"/>
  <c r="EC2753"/>
  <c r="EC2752"/>
  <c r="EC2751"/>
  <c r="EC2750"/>
  <c r="EC2749"/>
  <c r="EC2748"/>
  <c r="EC2747"/>
  <c r="EC2746"/>
  <c r="EC2745"/>
  <c r="EC2744"/>
  <c r="EC2743"/>
  <c r="EC2742"/>
  <c r="EC2741"/>
  <c r="EC2740"/>
  <c r="EC2739"/>
  <c r="EC2738"/>
  <c r="EC2737"/>
  <c r="EC2736"/>
  <c r="EC2735"/>
  <c r="EC2734"/>
  <c r="EC2733"/>
  <c r="EC2732"/>
  <c r="EC2731"/>
  <c r="EC2730"/>
  <c r="EC2729"/>
  <c r="EC2728"/>
  <c r="EC2727"/>
  <c r="EC2726"/>
  <c r="EC2725"/>
  <c r="EC2724"/>
  <c r="EC2723"/>
  <c r="EC2722"/>
  <c r="EC2721"/>
  <c r="EC2720"/>
  <c r="EC2719"/>
  <c r="EC2718"/>
  <c r="EC2717"/>
  <c r="EC2716"/>
  <c r="EC2715"/>
  <c r="EC2714"/>
  <c r="EC2713"/>
  <c r="EC2712"/>
  <c r="EC2711"/>
  <c r="EC2710"/>
  <c r="EC2709"/>
  <c r="EC2708"/>
  <c r="EC2707"/>
  <c r="EC2706"/>
  <c r="EC2705"/>
  <c r="EC2704"/>
  <c r="EC2703"/>
  <c r="EC2702"/>
  <c r="EC2701"/>
  <c r="EC2700"/>
  <c r="EC2699"/>
  <c r="EC2698"/>
  <c r="EC2697"/>
  <c r="EC2696"/>
  <c r="EC2695"/>
  <c r="EC2694"/>
  <c r="EC2693"/>
  <c r="EC2692"/>
  <c r="EC2691"/>
  <c r="EC2690"/>
  <c r="EC2689"/>
  <c r="EC2688"/>
  <c r="EC2687"/>
  <c r="EC2686"/>
  <c r="EC2685"/>
  <c r="EC2684"/>
  <c r="EC2683"/>
  <c r="EC2682"/>
  <c r="EC2681"/>
  <c r="EC2680"/>
  <c r="EC2679"/>
  <c r="EC2678"/>
  <c r="EC2677"/>
  <c r="EC2676"/>
  <c r="EC2675"/>
  <c r="EC2674"/>
  <c r="EC2673"/>
  <c r="EC2672"/>
  <c r="EC2671"/>
  <c r="EC2670"/>
  <c r="EC2669"/>
  <c r="EC2668"/>
  <c r="EC2667"/>
  <c r="EC2666"/>
  <c r="EC2665"/>
  <c r="EC2664"/>
  <c r="EC2663"/>
  <c r="EC2662"/>
  <c r="EC2661"/>
  <c r="EC2660"/>
  <c r="EC2659"/>
  <c r="EC2658"/>
  <c r="EC2657"/>
  <c r="EC2656"/>
  <c r="EC2655"/>
  <c r="EC2654"/>
  <c r="EC2653"/>
  <c r="EC2652"/>
  <c r="EC2651"/>
  <c r="EC2650"/>
  <c r="EC2649"/>
  <c r="EC2648"/>
  <c r="EC2647"/>
  <c r="EC2646"/>
  <c r="EC2645"/>
  <c r="EC2644"/>
  <c r="EC2643"/>
  <c r="EC2642"/>
  <c r="EC2641"/>
  <c r="EC2640"/>
  <c r="EC2639"/>
  <c r="EC2638"/>
  <c r="EC2637"/>
  <c r="EC2636"/>
  <c r="EC2635"/>
  <c r="EC2634"/>
  <c r="EC2633"/>
  <c r="EC2632"/>
  <c r="EC2631"/>
  <c r="EC2630"/>
  <c r="EC2629"/>
  <c r="EC2628"/>
  <c r="EC2627"/>
  <c r="EC2626"/>
  <c r="EC2625"/>
  <c r="EC2624"/>
  <c r="EC2623"/>
  <c r="EC2622"/>
  <c r="EC2621"/>
  <c r="EC2620"/>
  <c r="EC2619"/>
  <c r="EC2618"/>
  <c r="EC2617"/>
  <c r="EC2616"/>
  <c r="EC2615"/>
  <c r="EC2614"/>
  <c r="EC2613"/>
  <c r="EC2612"/>
  <c r="EC2611"/>
  <c r="EC2610"/>
  <c r="EC2609"/>
  <c r="EC2608"/>
  <c r="EC2607"/>
  <c r="EC2606"/>
  <c r="EC2605"/>
  <c r="EC2604"/>
  <c r="EC2603"/>
  <c r="EC2602"/>
  <c r="EC2601"/>
  <c r="EC2600"/>
  <c r="EC2599"/>
  <c r="EC2598"/>
  <c r="EC2597"/>
  <c r="EC2596"/>
  <c r="EC2595"/>
  <c r="EC2594"/>
  <c r="EC2593"/>
  <c r="EC2592"/>
  <c r="EC2591"/>
  <c r="EC2590"/>
  <c r="EC2589"/>
  <c r="EC2588"/>
  <c r="EC2587"/>
  <c r="EC2586"/>
  <c r="EC2585"/>
  <c r="EC2584"/>
  <c r="EC2583"/>
  <c r="EC2582"/>
  <c r="EC2581"/>
  <c r="EC2580"/>
  <c r="EC2579"/>
  <c r="EC2578"/>
  <c r="EC2577"/>
  <c r="EC2576"/>
  <c r="EC2575"/>
  <c r="EC2574"/>
  <c r="EC2573"/>
  <c r="EC2572"/>
  <c r="EC2571"/>
  <c r="EC2570"/>
  <c r="EC2569"/>
  <c r="EC2568"/>
  <c r="EC2567"/>
  <c r="EC2566"/>
  <c r="EC2565"/>
  <c r="EC2564"/>
  <c r="EC2563"/>
  <c r="EC2562"/>
  <c r="EC2561"/>
  <c r="EC2560"/>
  <c r="EC2559"/>
  <c r="EC2558"/>
  <c r="EC2557"/>
  <c r="EC2556"/>
  <c r="EC2555"/>
  <c r="EC2554"/>
  <c r="EC2553"/>
  <c r="EC2552"/>
  <c r="EC2551"/>
  <c r="EC2550"/>
  <c r="EC2549"/>
  <c r="EC2548"/>
  <c r="EC2547"/>
  <c r="EC2546"/>
  <c r="EC2545"/>
  <c r="EC2544"/>
  <c r="EC2543"/>
  <c r="EC2542"/>
  <c r="EC2541"/>
  <c r="EC2540"/>
  <c r="EC2539"/>
  <c r="EC2538"/>
  <c r="EC2537"/>
  <c r="EC2536"/>
  <c r="EC2535"/>
  <c r="EC2534"/>
  <c r="EC2533"/>
  <c r="EC2532"/>
  <c r="EC2531"/>
  <c r="EC2530"/>
  <c r="EC2529"/>
  <c r="EC2528"/>
  <c r="EC2527"/>
  <c r="EC2526"/>
  <c r="EC2525"/>
  <c r="EC2524"/>
  <c r="EC2523"/>
  <c r="EC2522"/>
  <c r="EC2521"/>
  <c r="EC2520"/>
  <c r="EC2519"/>
  <c r="EC2518"/>
  <c r="EC2517"/>
  <c r="EC2516"/>
  <c r="EC2515"/>
  <c r="EC2514"/>
  <c r="EC2513"/>
  <c r="EC2512"/>
  <c r="EC2511"/>
  <c r="EC2510"/>
  <c r="EC2509"/>
  <c r="EC2508"/>
  <c r="EC2507"/>
  <c r="EC2506"/>
  <c r="EC2505"/>
  <c r="EC2504"/>
  <c r="EC2503"/>
  <c r="EC2502"/>
  <c r="EC2501"/>
  <c r="EC2500"/>
  <c r="EC2499"/>
  <c r="EC2498"/>
  <c r="EC2497"/>
  <c r="EC2496"/>
  <c r="EC2495"/>
  <c r="EC2494"/>
  <c r="EC2493"/>
  <c r="EC2492"/>
  <c r="EC2491"/>
  <c r="EC2490"/>
  <c r="EC2489"/>
  <c r="EC2488"/>
  <c r="EC2487"/>
  <c r="EC2486"/>
  <c r="EC2485"/>
  <c r="EC2484"/>
  <c r="EC2483"/>
  <c r="EC2482"/>
  <c r="EC2481"/>
  <c r="EC2480"/>
  <c r="EC2479"/>
  <c r="EC2478"/>
  <c r="EC2477"/>
  <c r="EC2476"/>
  <c r="EC2475"/>
  <c r="EC2474"/>
  <c r="EC2473"/>
  <c r="EC2472"/>
  <c r="EC2471"/>
  <c r="EC2470"/>
  <c r="EC2469"/>
  <c r="EC2468"/>
  <c r="EC2467"/>
  <c r="EC2466"/>
  <c r="EC2465"/>
  <c r="EC2464"/>
  <c r="EC2463"/>
  <c r="EC2462"/>
  <c r="EC2461"/>
  <c r="EC2460"/>
  <c r="EC2459"/>
  <c r="EC2458"/>
  <c r="EC2457"/>
  <c r="EC2456"/>
  <c r="EC2455"/>
  <c r="EC2454"/>
  <c r="EC2453"/>
  <c r="EC2452"/>
  <c r="EC2451"/>
  <c r="EC2450"/>
  <c r="EC2449"/>
  <c r="EC2448"/>
  <c r="EC2447"/>
  <c r="EC2446"/>
  <c r="EC2445"/>
  <c r="EC2444"/>
  <c r="EC2443"/>
  <c r="EC2442"/>
  <c r="EC2441"/>
  <c r="EC2440"/>
  <c r="EC2439"/>
  <c r="EC2438"/>
  <c r="EC2437"/>
  <c r="EC2436"/>
  <c r="EC2435"/>
  <c r="EC2434"/>
  <c r="EC2433"/>
  <c r="EC2432"/>
  <c r="EC2431"/>
  <c r="EC2430"/>
  <c r="EC2429"/>
  <c r="EC2428"/>
  <c r="EC2427"/>
  <c r="EC2426"/>
  <c r="EC2425"/>
  <c r="EC2424"/>
  <c r="EC2398"/>
  <c r="EC2397"/>
  <c r="EC2396"/>
  <c r="EC2395"/>
  <c r="EC2394"/>
  <c r="EC2393"/>
  <c r="EC2392"/>
  <c r="EC2391"/>
  <c r="EC2390"/>
  <c r="EC2389"/>
  <c r="EC2388"/>
  <c r="EC2387"/>
  <c r="EC2386"/>
  <c r="EC2385"/>
  <c r="EC2384"/>
  <c r="EC2383"/>
  <c r="EC2382"/>
  <c r="EC2381"/>
  <c r="EC2380"/>
  <c r="EC2379"/>
  <c r="EC2378"/>
  <c r="EC2377"/>
  <c r="EC2376"/>
  <c r="EC2375"/>
  <c r="EC2374"/>
  <c r="EC2373"/>
  <c r="EC2372"/>
  <c r="EC2371"/>
  <c r="EC2370"/>
  <c r="EC2369"/>
  <c r="EC2368"/>
  <c r="EC2367"/>
  <c r="EC2366"/>
  <c r="EC2365"/>
  <c r="EC2364"/>
  <c r="EC2363"/>
  <c r="EC2362"/>
  <c r="EC2361"/>
  <c r="EC2360"/>
  <c r="EC2359"/>
  <c r="EC2358"/>
  <c r="EC2357"/>
  <c r="EC2356"/>
  <c r="EC2355"/>
  <c r="EC2354"/>
  <c r="EC2353"/>
  <c r="EC2352"/>
  <c r="EC2351"/>
  <c r="EC2350"/>
  <c r="EC2349"/>
  <c r="EC2348"/>
  <c r="EC2347"/>
  <c r="EC2346"/>
  <c r="EC2345"/>
  <c r="EC2344"/>
  <c r="EC2343"/>
  <c r="EC2342"/>
  <c r="EC2341"/>
  <c r="EC2340"/>
  <c r="EC2339"/>
  <c r="EC2338"/>
  <c r="EC2337"/>
  <c r="EC2336"/>
  <c r="EC2335"/>
  <c r="EC2334"/>
  <c r="EC2333"/>
  <c r="EC2332"/>
  <c r="EC2331"/>
  <c r="EC2330"/>
  <c r="EC2329"/>
  <c r="EC2328"/>
  <c r="EC2327"/>
  <c r="EC2326"/>
  <c r="EC2325"/>
  <c r="EC2324"/>
  <c r="EC2323"/>
  <c r="EC2322"/>
  <c r="EC2321"/>
  <c r="EC2320"/>
  <c r="EC2319"/>
  <c r="EC2318"/>
  <c r="EC2317"/>
  <c r="EC2316"/>
  <c r="EC2315"/>
  <c r="EC2314"/>
  <c r="EC2313"/>
  <c r="EC2312"/>
  <c r="EC2311"/>
  <c r="EC2310"/>
  <c r="EC2309"/>
  <c r="EC2308"/>
  <c r="EC2307"/>
  <c r="EC2306"/>
  <c r="EC2305"/>
  <c r="EC2304"/>
  <c r="EC2303"/>
  <c r="EC2302"/>
  <c r="EC2301"/>
  <c r="EC2300"/>
  <c r="EC2299"/>
  <c r="EC2298"/>
  <c r="EC2297"/>
  <c r="EC2296"/>
  <c r="EC2295"/>
  <c r="EC2294"/>
  <c r="EC2293"/>
  <c r="EC2292"/>
  <c r="EC2291"/>
  <c r="EC2290"/>
  <c r="EC2289"/>
  <c r="EC2288"/>
  <c r="EC2287"/>
  <c r="EC2286"/>
  <c r="EC2285"/>
  <c r="EC2284"/>
  <c r="EC2283"/>
  <c r="EC2282"/>
  <c r="EC2281"/>
  <c r="EC2280"/>
  <c r="EC2279"/>
  <c r="EC2278"/>
  <c r="EC2277"/>
  <c r="EC2276"/>
  <c r="EC2275"/>
  <c r="EC2274"/>
  <c r="EC2273"/>
  <c r="EC2272"/>
  <c r="EC2271"/>
  <c r="EC2270"/>
  <c r="EC2269"/>
  <c r="EC2268"/>
  <c r="EC2267"/>
  <c r="EC2266"/>
  <c r="EC2265"/>
  <c r="EC2264"/>
  <c r="EC2263"/>
  <c r="EC2262"/>
  <c r="EC2261"/>
  <c r="EC2260"/>
  <c r="EC2259"/>
  <c r="EC2258"/>
  <c r="EC2257"/>
  <c r="EC2256"/>
  <c r="EC2255"/>
  <c r="EC2254"/>
  <c r="EC2253"/>
  <c r="EC2252"/>
  <c r="EC2251"/>
  <c r="EC2250"/>
  <c r="EC2249"/>
  <c r="EC2248"/>
  <c r="EC2247"/>
  <c r="EC2246"/>
  <c r="EC2245"/>
  <c r="EC2244"/>
  <c r="EC2243"/>
  <c r="EC2242"/>
  <c r="EC2241"/>
  <c r="EC2240"/>
  <c r="EC2239"/>
  <c r="EC2238"/>
  <c r="EC2237"/>
  <c r="EC2236"/>
  <c r="EC2235"/>
  <c r="EC2234"/>
  <c r="EC2233"/>
  <c r="EC2232"/>
  <c r="EC2231"/>
  <c r="EC2230"/>
  <c r="EC2229"/>
  <c r="EC2228"/>
  <c r="EC2227"/>
  <c r="EC2226"/>
  <c r="EC2225"/>
  <c r="EC2224"/>
  <c r="EC2223"/>
  <c r="EC2222"/>
  <c r="EC2221"/>
  <c r="EC2220"/>
  <c r="EC2219"/>
  <c r="EC2218"/>
  <c r="EC2217"/>
  <c r="EC2216"/>
  <c r="EC2215"/>
  <c r="EC2214"/>
  <c r="EC2213"/>
  <c r="EC2212"/>
  <c r="EC2211"/>
  <c r="EC2210"/>
  <c r="EC2209"/>
  <c r="EC2208"/>
  <c r="EC2207"/>
  <c r="EC2206"/>
  <c r="EC2205"/>
  <c r="EC2204"/>
  <c r="EC2203"/>
  <c r="EC2202"/>
  <c r="EC2201"/>
  <c r="EC2200"/>
  <c r="EC2199"/>
  <c r="EC2198"/>
  <c r="EC2197"/>
  <c r="EC2196"/>
  <c r="EC2195"/>
  <c r="EC2194"/>
  <c r="EC2193"/>
  <c r="EC2192"/>
  <c r="EC2191"/>
  <c r="EC2190"/>
  <c r="EC2189"/>
  <c r="EC2188"/>
  <c r="EC2187"/>
  <c r="EC2186"/>
  <c r="EC2185"/>
  <c r="EC2184"/>
  <c r="EC2183"/>
  <c r="EC2182"/>
  <c r="EC2181"/>
  <c r="EC2180"/>
  <c r="EC2179"/>
  <c r="EC2178"/>
  <c r="EC2177"/>
  <c r="EC2176"/>
  <c r="EC2175"/>
  <c r="EC2174"/>
  <c r="EC2173"/>
  <c r="EC2172"/>
  <c r="EC2171"/>
  <c r="EC2170"/>
  <c r="EC2169"/>
  <c r="EC2168"/>
  <c r="EC2167"/>
  <c r="EC2166"/>
  <c r="EC2165"/>
  <c r="EC2164"/>
  <c r="EC2163"/>
  <c r="EC2162"/>
  <c r="EC2161"/>
  <c r="EC2160"/>
  <c r="EC2159"/>
  <c r="EC2158"/>
  <c r="EC2157"/>
  <c r="EC2156"/>
  <c r="EC2155"/>
  <c r="EC2154"/>
  <c r="EC2153"/>
  <c r="EC2152"/>
  <c r="EC2151"/>
  <c r="EC2150"/>
  <c r="EC2149"/>
  <c r="EC2148"/>
  <c r="EC2147"/>
  <c r="EC2146"/>
  <c r="EC2145"/>
  <c r="EC2144"/>
  <c r="EC2143"/>
  <c r="EC2142"/>
  <c r="EC2141"/>
  <c r="EC2140"/>
  <c r="EC2139"/>
  <c r="EC2138"/>
  <c r="EC2137"/>
  <c r="EC2136"/>
  <c r="EC2135"/>
  <c r="EC2134"/>
  <c r="EC2133"/>
  <c r="EC2132"/>
  <c r="EC2131"/>
  <c r="EC2130"/>
  <c r="EC2129"/>
  <c r="EC2128"/>
  <c r="EC2127"/>
  <c r="EC2126"/>
  <c r="EC2125"/>
  <c r="EC2124"/>
  <c r="EC2123"/>
  <c r="EC2122"/>
  <c r="EC2121"/>
  <c r="EC2120"/>
  <c r="EC2119"/>
  <c r="EC2118"/>
  <c r="EC2117"/>
  <c r="EC2116"/>
  <c r="EC2115"/>
  <c r="EC2114"/>
  <c r="EC2113"/>
  <c r="EC2112"/>
  <c r="EC2111"/>
  <c r="EC2110"/>
  <c r="EC2109"/>
  <c r="EC2108"/>
  <c r="EC2107"/>
  <c r="EC2106"/>
  <c r="EC2105"/>
  <c r="EC2104"/>
  <c r="EC2103"/>
  <c r="EC2102"/>
  <c r="EC2101"/>
  <c r="EC2100"/>
  <c r="EC2099"/>
  <c r="EC2098"/>
  <c r="EC2097"/>
  <c r="EC2096"/>
  <c r="EC2095"/>
  <c r="EC2094"/>
  <c r="EC2093"/>
  <c r="EC2092"/>
  <c r="EC2091"/>
  <c r="EC2090"/>
  <c r="EC2089"/>
  <c r="EC2088"/>
  <c r="EC2087"/>
  <c r="EC2086"/>
  <c r="EC2085"/>
  <c r="EC2084"/>
  <c r="EC2083"/>
  <c r="EC2082"/>
  <c r="EC2081"/>
  <c r="EC2080"/>
  <c r="EC2079"/>
  <c r="EC2078"/>
  <c r="EC2077"/>
  <c r="EC2076"/>
  <c r="EC2075"/>
  <c r="EC2074"/>
  <c r="EC2073"/>
  <c r="EC2072"/>
  <c r="EC2071"/>
  <c r="EC2070"/>
  <c r="EC2069"/>
  <c r="EC2068"/>
  <c r="EC2067"/>
  <c r="EC2066"/>
  <c r="EC2065"/>
  <c r="EC2064"/>
  <c r="EC2063"/>
  <c r="EC2062"/>
  <c r="EC2061"/>
  <c r="EC2060"/>
  <c r="EC2059"/>
  <c r="EC2058"/>
  <c r="EC2057"/>
  <c r="EC2056"/>
  <c r="EC2055"/>
  <c r="EC2054"/>
  <c r="EC2053"/>
  <c r="EC2052"/>
  <c r="EC2051"/>
  <c r="EC2050"/>
  <c r="EC2049"/>
  <c r="EC2048"/>
  <c r="EC2047"/>
  <c r="EC2046"/>
  <c r="EC2045"/>
  <c r="EC2044"/>
  <c r="EC2043"/>
  <c r="EC2042"/>
  <c r="EC2041"/>
  <c r="EC2040"/>
  <c r="EC2039"/>
  <c r="EC2038"/>
  <c r="EC2037"/>
  <c r="EC2036"/>
  <c r="EC2035"/>
  <c r="EC2034"/>
  <c r="EC2033"/>
  <c r="EC2032"/>
  <c r="EC2031"/>
  <c r="EC2030"/>
  <c r="EC2029"/>
  <c r="EC2028"/>
  <c r="EC2027"/>
  <c r="EC2026"/>
  <c r="EC2025"/>
  <c r="EC2024"/>
  <c r="EC2023"/>
  <c r="EC2022"/>
  <c r="EC2021"/>
  <c r="EC2020"/>
  <c r="EC2019"/>
  <c r="EC2018"/>
  <c r="EC2017"/>
  <c r="EC2016"/>
  <c r="EC2015"/>
  <c r="EC2014"/>
  <c r="EC2013"/>
  <c r="EC2012"/>
  <c r="EC2011"/>
  <c r="EC2010"/>
  <c r="EC2009"/>
  <c r="EC2008"/>
  <c r="EC2007"/>
  <c r="EC2006"/>
  <c r="EC2005"/>
  <c r="EC2004"/>
  <c r="EC2003"/>
  <c r="EC2002"/>
  <c r="EC2001"/>
  <c r="EC2000"/>
  <c r="EC1999"/>
  <c r="EC1998"/>
  <c r="EC1997"/>
  <c r="EC1996"/>
  <c r="EC1995"/>
  <c r="EC1994"/>
  <c r="EC1993"/>
  <c r="EC1992"/>
  <c r="EC1991"/>
  <c r="EC1990"/>
  <c r="EC1989"/>
  <c r="EC1988"/>
  <c r="EC1987"/>
  <c r="EC1986"/>
  <c r="EC1985"/>
  <c r="EC1984"/>
  <c r="EC1983"/>
  <c r="EC1982"/>
  <c r="EC1981"/>
  <c r="EC1980"/>
  <c r="EC1979"/>
  <c r="EC1978"/>
  <c r="EC1977"/>
  <c r="EC1976"/>
  <c r="EC1975"/>
  <c r="EC1974"/>
  <c r="EC1973"/>
  <c r="EC1972"/>
  <c r="EC1971"/>
  <c r="EC1970"/>
  <c r="EC1969"/>
  <c r="EC1968"/>
  <c r="EC1967"/>
  <c r="EC1966"/>
  <c r="EC1965"/>
  <c r="EC1964"/>
  <c r="EC1963"/>
  <c r="EC1962"/>
  <c r="EC1961"/>
  <c r="EC1960"/>
  <c r="EC1959"/>
  <c r="EC1958"/>
  <c r="EC1957"/>
  <c r="EC1956"/>
  <c r="EC1955"/>
  <c r="EC1954"/>
  <c r="EC1953"/>
  <c r="EC1952"/>
  <c r="EC1951"/>
  <c r="EC1950"/>
  <c r="EC1949"/>
  <c r="EC1948"/>
  <c r="EC1947"/>
  <c r="EC1946"/>
  <c r="EC1945"/>
  <c r="EC1944"/>
  <c r="EC1943"/>
  <c r="EC1942"/>
  <c r="EC1941"/>
  <c r="EC1940"/>
  <c r="EC1939"/>
  <c r="EC1938"/>
  <c r="EC1937"/>
  <c r="EC1936"/>
  <c r="EC1935"/>
  <c r="EC1934"/>
  <c r="EC1933"/>
  <c r="EC1932"/>
  <c r="EC1931"/>
  <c r="EC1930"/>
  <c r="EC1929"/>
  <c r="EC1928"/>
  <c r="EC1927"/>
  <c r="EC1926"/>
  <c r="EC1925"/>
  <c r="EC1924"/>
  <c r="EC1923"/>
  <c r="EC1922"/>
  <c r="EC1921"/>
  <c r="EC1920"/>
  <c r="EC1919"/>
  <c r="EC1918"/>
  <c r="EC1917"/>
  <c r="EC1916"/>
  <c r="EC1915"/>
  <c r="EC1914"/>
  <c r="EC1913"/>
  <c r="EC1912"/>
  <c r="EC1911"/>
  <c r="EC1910"/>
  <c r="EC1909"/>
  <c r="EC1908"/>
  <c r="EC1907"/>
  <c r="EC1906"/>
  <c r="EC1905"/>
  <c r="EC1904"/>
  <c r="EC1903"/>
  <c r="EC1902"/>
  <c r="EC1901"/>
  <c r="EC1900"/>
  <c r="EC1899"/>
  <c r="EC1898"/>
  <c r="EC1897"/>
  <c r="EC1896"/>
  <c r="EC1895"/>
  <c r="EC1894"/>
  <c r="EC1893"/>
  <c r="EC1892"/>
  <c r="EC1891"/>
  <c r="EC1890"/>
  <c r="EC1889"/>
  <c r="EC1888"/>
  <c r="EC1887"/>
  <c r="EC1886"/>
  <c r="EC1885"/>
  <c r="EC1884"/>
  <c r="EC1883"/>
  <c r="EC1882"/>
  <c r="EC1881"/>
  <c r="EC1880"/>
  <c r="EC1879"/>
  <c r="EC1878"/>
  <c r="EC1877"/>
  <c r="EC1876"/>
  <c r="EC1875"/>
  <c r="EC1874"/>
  <c r="EC1873"/>
  <c r="EC1872"/>
  <c r="EC1871"/>
  <c r="EC1870"/>
  <c r="EC1869"/>
  <c r="EC1868"/>
  <c r="EC1867"/>
  <c r="EC1866"/>
  <c r="EC1865"/>
  <c r="EC1864"/>
  <c r="EC1863"/>
  <c r="EC1862"/>
  <c r="EC1861"/>
  <c r="EC1860"/>
  <c r="EC1859"/>
  <c r="EC1858"/>
  <c r="EC1857"/>
  <c r="EC1856"/>
  <c r="EC1855"/>
  <c r="EC1854"/>
  <c r="EC1853"/>
  <c r="EC1852"/>
  <c r="EC1851"/>
  <c r="EC1850"/>
  <c r="EC1849"/>
  <c r="EC1848"/>
  <c r="EC1847"/>
  <c r="EC1846"/>
  <c r="EC1845"/>
  <c r="EC1844"/>
  <c r="EC1843"/>
  <c r="EC1842"/>
  <c r="EC1841"/>
  <c r="EC1840"/>
  <c r="EC1839"/>
  <c r="EC1838"/>
  <c r="EC1837"/>
  <c r="EC1836"/>
  <c r="EC1835"/>
  <c r="EC1834"/>
  <c r="EC1833"/>
  <c r="EC1832"/>
  <c r="EC1831"/>
  <c r="EC1830"/>
  <c r="EC1829"/>
  <c r="EC1828"/>
  <c r="EC1827"/>
  <c r="EC1826"/>
  <c r="EC1825"/>
  <c r="EC1824"/>
  <c r="EC1823"/>
  <c r="EC1822"/>
  <c r="EC1821"/>
  <c r="EC1820"/>
  <c r="EC1819"/>
  <c r="EC1818"/>
  <c r="EC1817"/>
  <c r="EC1816"/>
  <c r="EC1815"/>
  <c r="EC1814"/>
  <c r="EC1813"/>
  <c r="EC1812"/>
  <c r="EC1811"/>
  <c r="EC1810"/>
  <c r="EC1809"/>
  <c r="EC1808"/>
  <c r="EC1807"/>
  <c r="EC1806"/>
  <c r="EC1805"/>
  <c r="EC1804"/>
  <c r="EC1803"/>
  <c r="EC1802"/>
  <c r="EC1801"/>
  <c r="EC1800"/>
  <c r="EC1799"/>
  <c r="EC1798"/>
  <c r="EC1797"/>
  <c r="EC1796"/>
  <c r="EC1795"/>
  <c r="EC1794"/>
  <c r="EC1793"/>
  <c r="EC1792"/>
  <c r="EC1791"/>
  <c r="EC1790"/>
  <c r="EC1789"/>
  <c r="EC1788"/>
  <c r="EC1787"/>
  <c r="EC1786"/>
  <c r="EC1785"/>
  <c r="EC1784"/>
  <c r="EC1783"/>
  <c r="EC1782"/>
  <c r="EC1781"/>
  <c r="EC1780"/>
  <c r="EC1779"/>
  <c r="EC1778"/>
  <c r="EC1777"/>
  <c r="EC1776"/>
  <c r="EC1775"/>
  <c r="EC1774"/>
  <c r="EC1773"/>
  <c r="EC1772"/>
  <c r="EC1771"/>
  <c r="EC1770"/>
  <c r="EC1769"/>
  <c r="EC1768"/>
  <c r="EC1767"/>
  <c r="EC1766"/>
  <c r="EC1765"/>
  <c r="EC1764"/>
  <c r="EC1763"/>
  <c r="EC1762"/>
  <c r="EC1761"/>
  <c r="EC1760"/>
  <c r="EC1759"/>
  <c r="EC1758"/>
  <c r="EC1757"/>
  <c r="EC1756"/>
  <c r="EC1755"/>
  <c r="EC1754"/>
  <c r="EC1753"/>
  <c r="EC1752"/>
  <c r="EC1751"/>
  <c r="EC1750"/>
  <c r="EC1749"/>
  <c r="EC1748"/>
  <c r="EC1747"/>
  <c r="EC1746"/>
  <c r="EC1745"/>
  <c r="EC1744"/>
  <c r="EC1743"/>
  <c r="EC1742"/>
  <c r="EC1741"/>
  <c r="EC1740"/>
  <c r="EC1739"/>
  <c r="EC1738"/>
  <c r="EC1737"/>
  <c r="EC1736"/>
  <c r="EC1735"/>
  <c r="EC1734"/>
  <c r="EC1733"/>
  <c r="EC1732"/>
  <c r="EC1731"/>
  <c r="EC1730"/>
  <c r="EC1729"/>
  <c r="EC1728"/>
  <c r="EC1727"/>
  <c r="EC1726"/>
  <c r="EC1725"/>
  <c r="EC1724"/>
  <c r="EC1723"/>
  <c r="EC1722"/>
  <c r="EC1721"/>
  <c r="EC1720"/>
  <c r="EC1719"/>
  <c r="EC1718"/>
  <c r="EC1717"/>
  <c r="EC1716"/>
  <c r="EC1715"/>
  <c r="EC1714"/>
  <c r="EC1713"/>
  <c r="EC1712"/>
  <c r="EC1711"/>
  <c r="EC1710"/>
  <c r="EC1709"/>
  <c r="EC1708"/>
  <c r="EC1707"/>
  <c r="EC1706"/>
  <c r="EC1705"/>
  <c r="EC1704"/>
  <c r="EC1703"/>
  <c r="EC1702"/>
  <c r="EC1701"/>
  <c r="EC1699"/>
  <c r="EC1698"/>
  <c r="EC1697"/>
  <c r="EC1696"/>
  <c r="EC1695"/>
  <c r="EC1694"/>
  <c r="EC1693"/>
  <c r="EC1692"/>
  <c r="EC1691"/>
  <c r="EC1690"/>
  <c r="EC1689"/>
  <c r="EC1688"/>
  <c r="EC1687"/>
  <c r="EC1686"/>
  <c r="EC1685"/>
  <c r="EC1684"/>
  <c r="EC1683"/>
  <c r="EC1682"/>
  <c r="EC1681"/>
  <c r="EC1680"/>
  <c r="EC1679"/>
  <c r="EC1678"/>
  <c r="EC1677"/>
  <c r="EC1676"/>
  <c r="EC1675"/>
  <c r="EC1674"/>
  <c r="EC1673"/>
  <c r="EC1672"/>
  <c r="EC1671"/>
  <c r="EC1670"/>
  <c r="EC1669"/>
  <c r="EC1668"/>
  <c r="EC1667"/>
  <c r="EC1666"/>
  <c r="EC1665"/>
  <c r="EC1664"/>
  <c r="EC1663"/>
  <c r="EC1662"/>
  <c r="EC1661"/>
  <c r="EC1660"/>
  <c r="EC1659"/>
  <c r="EC1658"/>
  <c r="EC1657"/>
  <c r="EC1656"/>
  <c r="EC1655"/>
  <c r="EC1654"/>
  <c r="EC1653"/>
  <c r="EC1652"/>
  <c r="EC1651"/>
  <c r="EC1650"/>
  <c r="EC1649"/>
  <c r="EC1648"/>
  <c r="EC1647"/>
  <c r="EC1646"/>
  <c r="EC1645"/>
  <c r="EC1644"/>
  <c r="EC1643"/>
  <c r="EC1642"/>
  <c r="EC1641"/>
  <c r="EC1640"/>
  <c r="EC1639"/>
  <c r="EC1638"/>
  <c r="EC1637"/>
  <c r="EC1636"/>
  <c r="EC1635"/>
  <c r="EC1634"/>
  <c r="EC1633"/>
  <c r="EC1632"/>
  <c r="EC1631"/>
  <c r="EC1630"/>
  <c r="EC1629"/>
  <c r="EC1628"/>
  <c r="EC1627"/>
  <c r="EC1626"/>
  <c r="EC1625"/>
  <c r="EC1624"/>
  <c r="EC1623"/>
  <c r="EC1622"/>
  <c r="EC1621"/>
  <c r="EC1620"/>
  <c r="EC1619"/>
  <c r="EC1618"/>
  <c r="EC1617"/>
  <c r="EC1616"/>
  <c r="EC1615"/>
  <c r="EC1614"/>
  <c r="EC1613"/>
  <c r="EC1612"/>
  <c r="EC1611"/>
  <c r="EC1610"/>
  <c r="EC1609"/>
  <c r="EC1608"/>
  <c r="EC1607"/>
  <c r="EC1606"/>
  <c r="EC1605"/>
  <c r="EC1604"/>
  <c r="EC1603"/>
  <c r="EC1602"/>
  <c r="EC1601"/>
  <c r="EC1600"/>
  <c r="EC1599"/>
  <c r="EC1598"/>
  <c r="EC1597"/>
  <c r="EC1596"/>
  <c r="EC1595"/>
  <c r="EC1594"/>
  <c r="EC1593"/>
  <c r="EC1592"/>
  <c r="EC1591"/>
  <c r="EC1590"/>
  <c r="EC1589"/>
  <c r="EC1588"/>
  <c r="EC1587"/>
  <c r="EC1586"/>
  <c r="EC1585"/>
  <c r="EC1584"/>
  <c r="EC1583"/>
  <c r="EC1582"/>
  <c r="EC1581"/>
  <c r="EC1580"/>
  <c r="EC1579"/>
  <c r="EC1578"/>
  <c r="EC1577"/>
  <c r="EC1576"/>
  <c r="EC1575"/>
  <c r="EC1574"/>
  <c r="EC1573"/>
  <c r="EC1572"/>
  <c r="EC1571"/>
  <c r="EC1570"/>
  <c r="EC1569"/>
  <c r="EC1568"/>
  <c r="EC1567"/>
  <c r="EC1566"/>
  <c r="EC1565"/>
  <c r="EC1564"/>
  <c r="EC1563"/>
  <c r="EC1562"/>
  <c r="EC1561"/>
  <c r="EC1560"/>
  <c r="EC1559"/>
  <c r="EC1558"/>
  <c r="EC1557"/>
  <c r="EC1556"/>
  <c r="EC1555"/>
  <c r="EC1554"/>
  <c r="EC1553"/>
  <c r="EC1552"/>
  <c r="EC1551"/>
  <c r="EC1550"/>
  <c r="EC1549"/>
  <c r="EC1548"/>
  <c r="EC1547"/>
  <c r="EC1546"/>
  <c r="EC1545"/>
  <c r="EC1544"/>
  <c r="EC1543"/>
  <c r="EC1542"/>
  <c r="EC1541"/>
  <c r="EC1540"/>
  <c r="EC1539"/>
  <c r="EC1538"/>
  <c r="EC1537"/>
  <c r="EC1536"/>
  <c r="EC1535"/>
  <c r="EC1534"/>
  <c r="EC1533"/>
  <c r="EC1532"/>
  <c r="EC1531"/>
  <c r="EC1530"/>
  <c r="EC1529"/>
  <c r="EC1528"/>
  <c r="EC1527"/>
  <c r="EC1526"/>
  <c r="EC1525"/>
  <c r="EC1524"/>
  <c r="EC1523"/>
  <c r="EC1522"/>
  <c r="EC1521"/>
  <c r="EC1520"/>
  <c r="EC1519"/>
  <c r="EC1518"/>
  <c r="EC1517"/>
  <c r="EC1516"/>
  <c r="EC1515"/>
  <c r="EC1514"/>
  <c r="EC1513"/>
  <c r="EC1512"/>
  <c r="EC1511"/>
  <c r="EC1510"/>
  <c r="EC1509"/>
  <c r="EC1508"/>
  <c r="EC1507"/>
  <c r="EC1506"/>
  <c r="EC1505"/>
  <c r="EC1504"/>
  <c r="EC1503"/>
  <c r="EC1502"/>
  <c r="EC1501"/>
  <c r="EC1500"/>
  <c r="EC1499"/>
  <c r="EC1498"/>
  <c r="EC1497"/>
  <c r="EC1496"/>
  <c r="EC1495"/>
  <c r="EC1494"/>
  <c r="EC1493"/>
  <c r="EC1492"/>
  <c r="EC1491"/>
  <c r="EC1490"/>
  <c r="EC1489"/>
  <c r="EC1488"/>
  <c r="EC1487"/>
  <c r="EC1486"/>
  <c r="EC1485"/>
  <c r="EC1484"/>
  <c r="EC1483"/>
  <c r="EC1482"/>
  <c r="EC1481"/>
  <c r="EC1480"/>
  <c r="EC1479"/>
  <c r="EC1478"/>
  <c r="EC1477"/>
  <c r="EC1476"/>
  <c r="EC1475"/>
  <c r="EC1474"/>
  <c r="EC1473"/>
  <c r="EC1472"/>
  <c r="EC1471"/>
  <c r="EC1470"/>
  <c r="EC1469"/>
  <c r="EC1468"/>
  <c r="EC1467"/>
  <c r="EC1466"/>
  <c r="EC1465"/>
  <c r="EC1464"/>
  <c r="EC1463"/>
  <c r="EC1462"/>
  <c r="EC1461"/>
  <c r="EC1460"/>
  <c r="EC1459"/>
  <c r="EC1458"/>
  <c r="EC1457"/>
  <c r="EC1456"/>
  <c r="EC1455"/>
  <c r="EC1454"/>
  <c r="EC1453"/>
  <c r="EC1452"/>
  <c r="EC1451"/>
  <c r="EC1450"/>
  <c r="EC1449"/>
  <c r="EC1448"/>
  <c r="EC1447"/>
  <c r="EC1446"/>
  <c r="EC1445"/>
  <c r="EC1444"/>
  <c r="EC1443"/>
  <c r="EC1442"/>
  <c r="EC1441"/>
  <c r="EC1440"/>
  <c r="EC1439"/>
  <c r="EC1438"/>
  <c r="EC1437"/>
  <c r="EC1436"/>
  <c r="EC1435"/>
  <c r="EC1434"/>
  <c r="EC1433"/>
  <c r="EC1432"/>
  <c r="EC1431"/>
  <c r="EC1430"/>
  <c r="EC1429"/>
  <c r="EC1428"/>
  <c r="EC1427"/>
  <c r="EC1426"/>
  <c r="EC1425"/>
  <c r="EC1424"/>
  <c r="EC1423"/>
  <c r="EC1422"/>
  <c r="EC1421"/>
  <c r="EC1420"/>
  <c r="EC1419"/>
  <c r="EC1418"/>
  <c r="EC1417"/>
  <c r="EC1416"/>
  <c r="EC1415"/>
  <c r="EC1414"/>
  <c r="EC1413"/>
  <c r="EC1412"/>
  <c r="EC1411"/>
  <c r="EC1410"/>
  <c r="EC1409"/>
  <c r="EC1408"/>
  <c r="EC1407"/>
  <c r="EC1406"/>
  <c r="EC1405"/>
  <c r="EC1404"/>
  <c r="EC1403"/>
  <c r="EC1402"/>
  <c r="EC1401"/>
  <c r="EC1400"/>
  <c r="EC1399"/>
  <c r="EC1398"/>
  <c r="EC1397"/>
  <c r="EC1396"/>
  <c r="EC1395"/>
  <c r="EC1394"/>
  <c r="EC1393"/>
  <c r="EC1392"/>
  <c r="EC1391"/>
  <c r="EC1390"/>
  <c r="EC1389"/>
  <c r="EC1388"/>
  <c r="EC1387"/>
  <c r="EC1386"/>
  <c r="EC1385"/>
  <c r="EC1384"/>
  <c r="EC1383"/>
  <c r="EC1382"/>
  <c r="EC1381"/>
  <c r="EC1380"/>
  <c r="EC1379"/>
  <c r="EC1378"/>
  <c r="EC1377"/>
  <c r="EC1376"/>
  <c r="EC1375"/>
  <c r="EC1374"/>
  <c r="EC1373"/>
  <c r="EC1372"/>
  <c r="EC1371"/>
  <c r="EC1370"/>
  <c r="EC1369"/>
  <c r="EC1368"/>
  <c r="EC1367"/>
  <c r="EC1366"/>
  <c r="EC1365"/>
  <c r="EC1364"/>
  <c r="EC1363"/>
  <c r="EC1362"/>
  <c r="EC1361"/>
  <c r="EC1360"/>
  <c r="EC1359"/>
  <c r="EC1358"/>
  <c r="EC1357"/>
  <c r="EC1356"/>
  <c r="EC1355"/>
  <c r="EC1354"/>
  <c r="EC1353"/>
  <c r="EC1352"/>
  <c r="EC1351"/>
  <c r="EC1350"/>
  <c r="EC1349"/>
  <c r="EC1348"/>
  <c r="EC1347"/>
  <c r="EC1346"/>
  <c r="EC1345"/>
  <c r="EC1344"/>
  <c r="EC1343"/>
  <c r="EC1342"/>
  <c r="EC1341"/>
  <c r="EC1340"/>
  <c r="EC1339"/>
  <c r="EC1338"/>
  <c r="EC1337"/>
  <c r="EC1336"/>
  <c r="EC1335"/>
  <c r="EC1334"/>
  <c r="EC1333"/>
  <c r="EC1332"/>
  <c r="EC1331"/>
  <c r="EC1330"/>
  <c r="EC1329"/>
  <c r="EC1328"/>
  <c r="EC1327"/>
  <c r="EC1326"/>
  <c r="EC1325"/>
  <c r="EC1324"/>
  <c r="EC1323"/>
  <c r="EC1322"/>
  <c r="EC1321"/>
  <c r="EC1320"/>
  <c r="EC1319"/>
  <c r="EC1318"/>
  <c r="EC1317"/>
  <c r="EC1316"/>
  <c r="EC1315"/>
  <c r="EC1314"/>
  <c r="EC1313"/>
  <c r="EC1312"/>
  <c r="EC1311"/>
  <c r="EC1310"/>
  <c r="EC1309"/>
  <c r="EC1308"/>
  <c r="EC1307"/>
  <c r="EC1306"/>
  <c r="EC1305"/>
  <c r="EC1304"/>
  <c r="EC1303"/>
  <c r="EC1302"/>
  <c r="EC1301"/>
  <c r="EC1300"/>
  <c r="EC1299"/>
  <c r="EC1298"/>
  <c r="EC1297"/>
  <c r="EC1296"/>
  <c r="EC1295"/>
  <c r="EC1294"/>
  <c r="EC1293"/>
  <c r="EC1292"/>
  <c r="EC1291"/>
  <c r="EC1290"/>
  <c r="EC1289"/>
  <c r="EC1288"/>
  <c r="EC1287"/>
  <c r="EC1286"/>
  <c r="EC1285"/>
  <c r="EC1284"/>
  <c r="EC1283"/>
  <c r="EC1282"/>
  <c r="EC1281"/>
  <c r="EC1280"/>
  <c r="EC1279"/>
  <c r="EC1278"/>
  <c r="EC1277"/>
  <c r="EC1276"/>
  <c r="EC1275"/>
  <c r="EC1274"/>
  <c r="EC1273"/>
  <c r="EC1272"/>
  <c r="EC1271"/>
  <c r="EC1270"/>
  <c r="EC1269"/>
  <c r="EC1268"/>
  <c r="EC1267"/>
  <c r="EC1266"/>
  <c r="EC1265"/>
  <c r="EC1264"/>
  <c r="EC1263"/>
  <c r="EC1262"/>
  <c r="EC1261"/>
  <c r="EC1260"/>
  <c r="EC1259"/>
  <c r="EC1258"/>
  <c r="EC1257"/>
  <c r="EC1256"/>
  <c r="EC1255"/>
  <c r="EC1254"/>
  <c r="EC1253"/>
  <c r="EC1252"/>
  <c r="EC1251"/>
  <c r="EC1250"/>
  <c r="EC1249"/>
  <c r="EC1248"/>
  <c r="EC1247"/>
  <c r="EC1246"/>
  <c r="EC1245"/>
  <c r="EC1244"/>
  <c r="EC1243"/>
  <c r="EC1242"/>
  <c r="EC1241"/>
  <c r="EC1240"/>
  <c r="EC1239"/>
  <c r="EC1238"/>
  <c r="EC1237"/>
  <c r="EC1236"/>
  <c r="EC1235"/>
  <c r="EC1234"/>
  <c r="EC1233"/>
  <c r="EC1232"/>
  <c r="EC1231"/>
  <c r="EC1230"/>
  <c r="EC1229"/>
  <c r="EC1228"/>
  <c r="EC1227"/>
  <c r="EC1226"/>
  <c r="EC1225"/>
  <c r="EC1224"/>
  <c r="EC1223"/>
  <c r="EC1222"/>
  <c r="EC1221"/>
  <c r="EC1220"/>
  <c r="EC1219"/>
  <c r="EC1218"/>
  <c r="EC1217"/>
  <c r="EC1216"/>
  <c r="EC1215"/>
  <c r="EC1214"/>
  <c r="EC1213"/>
  <c r="EC1212"/>
  <c r="EC1211"/>
  <c r="EC1210"/>
  <c r="EC1209"/>
  <c r="EC1208"/>
  <c r="EC1207"/>
  <c r="EC1206"/>
  <c r="EC1205"/>
  <c r="EC1204"/>
  <c r="EC1203"/>
  <c r="EC1202"/>
  <c r="EC1201"/>
  <c r="EC1200"/>
  <c r="EC1199"/>
  <c r="EC1198"/>
  <c r="EC1197"/>
  <c r="EC1196"/>
  <c r="EC1195"/>
  <c r="EC1194"/>
  <c r="EC1193"/>
  <c r="EC1192"/>
  <c r="EC1191"/>
  <c r="EC1190"/>
  <c r="EC1189"/>
  <c r="EC1188"/>
  <c r="EC1187"/>
  <c r="EC1186"/>
  <c r="EC1185"/>
  <c r="EC1184"/>
  <c r="EC1183"/>
  <c r="EC1182"/>
  <c r="EC1181"/>
  <c r="EC1180"/>
  <c r="EC1179"/>
  <c r="EC1178"/>
  <c r="EC1177"/>
  <c r="EC1176"/>
  <c r="EC1175"/>
  <c r="EC1174"/>
  <c r="EC1173"/>
  <c r="EC1172"/>
  <c r="EC1171"/>
  <c r="EC1170"/>
  <c r="EC1169"/>
  <c r="EC1168"/>
  <c r="EC1167"/>
  <c r="EC1166"/>
  <c r="EC1165"/>
  <c r="EC1164"/>
  <c r="EC1163"/>
  <c r="EC1162"/>
  <c r="EC1161"/>
  <c r="EC1160"/>
  <c r="EC1159"/>
  <c r="EC1158"/>
  <c r="EC1157"/>
  <c r="EC1156"/>
  <c r="EC1155"/>
  <c r="EC1154"/>
  <c r="EC1153"/>
  <c r="EC1152"/>
  <c r="EC1151"/>
  <c r="EI1150"/>
  <c r="EC1150"/>
  <c r="EI1149"/>
  <c r="EC1149"/>
  <c r="EI1148"/>
  <c r="EC1148"/>
  <c r="EI1147"/>
  <c r="EC1147"/>
  <c r="EI1146"/>
  <c r="EC1146"/>
  <c r="EI1145"/>
  <c r="EC1145"/>
  <c r="EI1144"/>
  <c r="EC1144"/>
  <c r="EI1143"/>
  <c r="EC1143"/>
  <c r="EI1142"/>
  <c r="EC1142"/>
  <c r="EI1141"/>
  <c r="EC1141"/>
  <c r="EI1140"/>
  <c r="EC1140"/>
  <c r="EI1139"/>
  <c r="EC1139"/>
  <c r="EI1138"/>
  <c r="EC1138"/>
  <c r="EI1137"/>
  <c r="EC1137"/>
  <c r="EI1136"/>
  <c r="EC1136"/>
  <c r="EI1135"/>
  <c r="EC1135"/>
  <c r="EI1134"/>
  <c r="EC1134"/>
  <c r="EI1133"/>
  <c r="EC1133"/>
  <c r="EI1132"/>
  <c r="EC1132"/>
  <c r="EI1131"/>
  <c r="EC1131"/>
  <c r="EI1130"/>
  <c r="EC1130"/>
  <c r="EI1129"/>
  <c r="EC1129"/>
  <c r="EI1128"/>
  <c r="EC1128"/>
  <c r="EI1127"/>
  <c r="EC1127"/>
  <c r="EI1126"/>
  <c r="EC1126"/>
  <c r="EI1125"/>
  <c r="EC1125"/>
  <c r="EI1124"/>
  <c r="EC1124"/>
  <c r="EI1123"/>
  <c r="EC1123"/>
  <c r="EI1122"/>
  <c r="EC1122"/>
  <c r="EI1121"/>
  <c r="EC1121"/>
  <c r="EI1120"/>
  <c r="EC1120"/>
  <c r="EI1119"/>
  <c r="EC1119"/>
  <c r="EI1118"/>
  <c r="EC1118"/>
  <c r="EC1117"/>
  <c r="EI1116"/>
  <c r="EC1116"/>
  <c r="EI1115"/>
  <c r="EC1115"/>
  <c r="EI1114"/>
  <c r="EC1114"/>
  <c r="EI1113"/>
  <c r="EC1113"/>
  <c r="EI1112"/>
  <c r="EC1112"/>
  <c r="EI1111"/>
  <c r="EC1111"/>
  <c r="EI1110"/>
  <c r="EC1110"/>
  <c r="EI1109"/>
  <c r="EC1109"/>
  <c r="EI1108"/>
  <c r="EC1108"/>
  <c r="EI1107"/>
  <c r="EC1107"/>
  <c r="EI1106"/>
  <c r="EC1106"/>
  <c r="EI1105"/>
  <c r="EC1105"/>
  <c r="EI1104"/>
  <c r="EC1104"/>
  <c r="EI1103"/>
  <c r="EC1103"/>
  <c r="EI1102"/>
  <c r="EC1102"/>
  <c r="EI1101"/>
  <c r="EC1101"/>
  <c r="EI1100"/>
  <c r="EC1100"/>
  <c r="EI1099"/>
  <c r="EC1099"/>
  <c r="EI1098"/>
  <c r="EC1098"/>
  <c r="EI1097"/>
  <c r="EC1097"/>
  <c r="EI1096"/>
  <c r="EC1096"/>
  <c r="EI1095"/>
  <c r="EC1095"/>
  <c r="EI1094"/>
  <c r="EC1094"/>
  <c r="EI1093"/>
  <c r="EC1093"/>
  <c r="EI1092"/>
  <c r="EC1092"/>
  <c r="EI1091"/>
  <c r="EC1091"/>
  <c r="EI1090"/>
  <c r="EC1090"/>
  <c r="EI1089"/>
  <c r="EC1089"/>
  <c r="EI1088"/>
  <c r="EC1088"/>
  <c r="EI1087"/>
  <c r="EC1087"/>
  <c r="EI1086"/>
  <c r="EC1086"/>
  <c r="EI1085"/>
  <c r="EC1085"/>
  <c r="EI1084"/>
  <c r="EC1084"/>
  <c r="EI1083"/>
  <c r="EC1083"/>
  <c r="EI1082"/>
  <c r="EC1082"/>
  <c r="EI1081"/>
  <c r="EC1081"/>
  <c r="EI1080"/>
  <c r="EC1080"/>
  <c r="EI1079"/>
  <c r="EC1079"/>
  <c r="EI1078"/>
  <c r="EC1078"/>
  <c r="EI1077"/>
  <c r="EC1077"/>
  <c r="EI1076"/>
  <c r="EC1076"/>
  <c r="EI1075"/>
  <c r="EC1075"/>
  <c r="EI1074"/>
  <c r="EC1074"/>
  <c r="EI1073"/>
  <c r="EC1073"/>
  <c r="EI1072"/>
  <c r="EC1072"/>
  <c r="EI1071"/>
  <c r="EC1071"/>
  <c r="EI1070"/>
  <c r="EC1070"/>
  <c r="EI1069"/>
  <c r="EC1069"/>
  <c r="EI1068"/>
  <c r="EC1068"/>
  <c r="EI1067"/>
  <c r="EC1067"/>
  <c r="EI1066"/>
  <c r="EC1066"/>
  <c r="EI1065"/>
  <c r="EC1065"/>
  <c r="EI1064"/>
  <c r="EC1064"/>
  <c r="EI1063"/>
  <c r="EC1063"/>
  <c r="EI1062"/>
  <c r="EC1062"/>
  <c r="EI1061"/>
  <c r="EC1061"/>
  <c r="EI1060"/>
  <c r="EC1060"/>
  <c r="EI1059"/>
  <c r="EC1059"/>
  <c r="EI1058"/>
  <c r="EC1058"/>
  <c r="EI1057"/>
  <c r="EC1057"/>
  <c r="EI1056"/>
  <c r="EC1056"/>
  <c r="EI1055"/>
  <c r="EC1055"/>
  <c r="EI1054"/>
  <c r="EC1054"/>
  <c r="EI1053"/>
  <c r="EC1053"/>
  <c r="EI1052"/>
  <c r="EC1052"/>
  <c r="EI1051"/>
  <c r="EC1051"/>
  <c r="EI1050"/>
  <c r="EC1050"/>
  <c r="EI1049"/>
  <c r="EC1049"/>
  <c r="EI1048"/>
  <c r="EC1048"/>
  <c r="EI1047"/>
  <c r="EC1047"/>
  <c r="EI1046"/>
  <c r="EC1046"/>
  <c r="EI1045"/>
  <c r="EC1045"/>
  <c r="EI1044"/>
  <c r="EC1044"/>
  <c r="EI1043"/>
  <c r="EC1043"/>
  <c r="EI1042"/>
  <c r="EC1042"/>
  <c r="EI1041"/>
  <c r="EC1041"/>
  <c r="EI1040"/>
  <c r="EC1040"/>
  <c r="EI1039"/>
  <c r="EC1039"/>
  <c r="EI1038"/>
  <c r="EC1038"/>
  <c r="EI1037"/>
  <c r="EC1037"/>
  <c r="EI1036"/>
  <c r="EC1036"/>
  <c r="EI1035"/>
  <c r="EC1035"/>
  <c r="EI1034"/>
  <c r="EC1034"/>
  <c r="EI1033"/>
  <c r="EC1033"/>
  <c r="EI1032"/>
  <c r="EC1032"/>
  <c r="EI1031"/>
  <c r="EC1031"/>
  <c r="EI1030"/>
  <c r="EC1030"/>
  <c r="EI1029"/>
  <c r="EC1029"/>
  <c r="EI1028"/>
  <c r="EC1028"/>
  <c r="EI1027"/>
  <c r="EC1027"/>
  <c r="EI1026"/>
  <c r="EC1026"/>
  <c r="EI1025"/>
  <c r="EC1025"/>
  <c r="EI1024"/>
  <c r="EC1024"/>
  <c r="EI1023"/>
  <c r="EC1023"/>
  <c r="EI1022"/>
  <c r="EC1022"/>
  <c r="EI1021"/>
  <c r="EC1021"/>
  <c r="EI1020"/>
  <c r="EC1020"/>
  <c r="EI1019"/>
  <c r="EC1019"/>
  <c r="EI1018"/>
  <c r="EC1018"/>
  <c r="EI1017"/>
  <c r="EC1017"/>
  <c r="EI1016"/>
  <c r="EC1016"/>
  <c r="EI1015"/>
  <c r="EC1015"/>
  <c r="EI1014"/>
  <c r="EC1014"/>
  <c r="EI1013"/>
  <c r="EC1013"/>
  <c r="EI1012"/>
  <c r="EC1012"/>
  <c r="EI1011"/>
  <c r="EC1011"/>
  <c r="EI1010"/>
  <c r="EC1010"/>
  <c r="EI1009"/>
  <c r="EC1009"/>
  <c r="EI1008"/>
  <c r="EC1008"/>
  <c r="EI1007"/>
  <c r="EC1007"/>
  <c r="EI1006"/>
  <c r="EC1006"/>
  <c r="EI1005"/>
  <c r="EC1005"/>
  <c r="EI1004"/>
  <c r="EC1004"/>
  <c r="EI1003"/>
  <c r="EC1003"/>
  <c r="EI1002"/>
  <c r="EC1002"/>
  <c r="EI1001"/>
  <c r="EC1001"/>
  <c r="EI1000"/>
  <c r="EC1000"/>
  <c r="EI999"/>
  <c r="EC999"/>
  <c r="EI998"/>
  <c r="EC998"/>
  <c r="EI997"/>
  <c r="EC997"/>
  <c r="EI996"/>
  <c r="EC996"/>
  <c r="EI995"/>
  <c r="EC995"/>
  <c r="EI994"/>
  <c r="EC994"/>
  <c r="EI993"/>
  <c r="EC993"/>
  <c r="EI992"/>
  <c r="EC992"/>
  <c r="EI991"/>
  <c r="EC991"/>
  <c r="EI990"/>
  <c r="EC990"/>
  <c r="EI989"/>
  <c r="EC989"/>
  <c r="EI988"/>
  <c r="EC988"/>
  <c r="EI987"/>
  <c r="EC987"/>
  <c r="EI986"/>
  <c r="EC986"/>
  <c r="EI985"/>
  <c r="EC985"/>
  <c r="EI984"/>
  <c r="EC984"/>
  <c r="EI983"/>
  <c r="EC983"/>
  <c r="EI982"/>
  <c r="EC982"/>
  <c r="EI981"/>
  <c r="EC981"/>
  <c r="EI980"/>
  <c r="EC980"/>
  <c r="EI979"/>
  <c r="EC979"/>
  <c r="EI978"/>
  <c r="EC978"/>
  <c r="EI977"/>
  <c r="EC977"/>
  <c r="EI976"/>
  <c r="EC976"/>
  <c r="EI975"/>
  <c r="EC975"/>
  <c r="EI974"/>
  <c r="EC974"/>
  <c r="EI973"/>
  <c r="EC973"/>
  <c r="EI972"/>
  <c r="EC972"/>
  <c r="EI971"/>
  <c r="EC971"/>
  <c r="EI970"/>
  <c r="EC970"/>
  <c r="EI969"/>
  <c r="EC969"/>
  <c r="EI968"/>
  <c r="EC968"/>
  <c r="EI967"/>
  <c r="EC967"/>
  <c r="EI966"/>
  <c r="EC966"/>
  <c r="EI965"/>
  <c r="EC965"/>
  <c r="EI964"/>
  <c r="EC964"/>
  <c r="EI963"/>
  <c r="EC963"/>
  <c r="EI962"/>
  <c r="EC962"/>
  <c r="EI961"/>
  <c r="EC961"/>
  <c r="EI960"/>
  <c r="EC960"/>
  <c r="EI959"/>
  <c r="EC959"/>
  <c r="EI958"/>
  <c r="EC958"/>
  <c r="EI957"/>
  <c r="EC957"/>
  <c r="EI956"/>
  <c r="EC956"/>
  <c r="EI955"/>
  <c r="EC955"/>
  <c r="EI954"/>
  <c r="EC954"/>
  <c r="EI953"/>
  <c r="EC953"/>
  <c r="EI952"/>
  <c r="EC952"/>
  <c r="EI951"/>
  <c r="EC951"/>
  <c r="EI950"/>
  <c r="EC950"/>
  <c r="EI949"/>
  <c r="EC949"/>
  <c r="EI948"/>
  <c r="EC948"/>
  <c r="EI947"/>
  <c r="EC947"/>
  <c r="EI946"/>
  <c r="EC946"/>
  <c r="EI945"/>
  <c r="EC945"/>
  <c r="EI944"/>
  <c r="EC944"/>
  <c r="EI943"/>
  <c r="EC943"/>
  <c r="EI942"/>
  <c r="EC942"/>
  <c r="EI941"/>
  <c r="EC941"/>
  <c r="EI940"/>
  <c r="EC940"/>
  <c r="EI939"/>
  <c r="EC939"/>
  <c r="EI938"/>
  <c r="EC938"/>
  <c r="EI937"/>
  <c r="EC937"/>
  <c r="EI936"/>
  <c r="EC936"/>
  <c r="EI935"/>
  <c r="EC935"/>
  <c r="EI934"/>
  <c r="EC934"/>
  <c r="EI933"/>
  <c r="EC933"/>
  <c r="EI932"/>
  <c r="EC932"/>
  <c r="EI931"/>
  <c r="EC931"/>
  <c r="EI930"/>
  <c r="EC930"/>
  <c r="EI929"/>
  <c r="EC929"/>
  <c r="EI928"/>
  <c r="EC928"/>
  <c r="EI927"/>
  <c r="EC927"/>
  <c r="EI926"/>
  <c r="EC926"/>
  <c r="EI925"/>
  <c r="EC925"/>
  <c r="EI924"/>
  <c r="EC924"/>
  <c r="EI923"/>
  <c r="EC923"/>
  <c r="EI922"/>
  <c r="EC922"/>
  <c r="EI921"/>
  <c r="EC921"/>
  <c r="EI920"/>
  <c r="EC920"/>
  <c r="EI919"/>
  <c r="EC919"/>
  <c r="EI918"/>
  <c r="EC918"/>
  <c r="EI917"/>
  <c r="EC917"/>
  <c r="EI916"/>
  <c r="EC916"/>
  <c r="EI915"/>
  <c r="EC915"/>
  <c r="EI914"/>
  <c r="EC914"/>
  <c r="EI913"/>
  <c r="EC913"/>
  <c r="EI912"/>
  <c r="EC912"/>
  <c r="EI911"/>
  <c r="EC911"/>
  <c r="EI910"/>
  <c r="EC910"/>
  <c r="EI909"/>
  <c r="EC909"/>
  <c r="EI908"/>
  <c r="EC908"/>
  <c r="EI907"/>
  <c r="EC907"/>
  <c r="EI906"/>
  <c r="EC906"/>
  <c r="EI905"/>
  <c r="EC905"/>
  <c r="EI904"/>
  <c r="EC904"/>
  <c r="EI903"/>
  <c r="EC903"/>
  <c r="EI902"/>
  <c r="EC902"/>
  <c r="EI901"/>
  <c r="EC901"/>
  <c r="EI900"/>
  <c r="EC900"/>
  <c r="EI899"/>
  <c r="EC899"/>
  <c r="EI898"/>
  <c r="EC898"/>
  <c r="EI897"/>
  <c r="EC897"/>
  <c r="EI896"/>
  <c r="EC896"/>
  <c r="EI895"/>
  <c r="EC895"/>
  <c r="EI894"/>
  <c r="EC894"/>
  <c r="EI893"/>
  <c r="EC893"/>
  <c r="EI892"/>
  <c r="EC892"/>
  <c r="EI891"/>
  <c r="EC891"/>
  <c r="EI890"/>
  <c r="EC890"/>
  <c r="EI889"/>
  <c r="EC889"/>
  <c r="EI888"/>
  <c r="EC888"/>
  <c r="EI887"/>
  <c r="EC887"/>
  <c r="EI886"/>
  <c r="EC886"/>
  <c r="EI885"/>
  <c r="EC885"/>
  <c r="EI884"/>
  <c r="EC884"/>
  <c r="EI883"/>
  <c r="EC883"/>
  <c r="EI882"/>
  <c r="EC882"/>
  <c r="EI881"/>
  <c r="EC881"/>
  <c r="EI880"/>
  <c r="EC880"/>
  <c r="EI879"/>
  <c r="EC879"/>
  <c r="EI878"/>
  <c r="EC878"/>
  <c r="EI877"/>
  <c r="EC877"/>
  <c r="EI876"/>
  <c r="EC876"/>
  <c r="EI875"/>
  <c r="EC875"/>
  <c r="EI874"/>
  <c r="EC874"/>
  <c r="EI873"/>
  <c r="EC873"/>
  <c r="EI872"/>
  <c r="EC872"/>
  <c r="EI871"/>
  <c r="EC871"/>
  <c r="EI870"/>
  <c r="EC870"/>
  <c r="EI869"/>
  <c r="EC869"/>
  <c r="EI868"/>
  <c r="EC868"/>
  <c r="EI867"/>
  <c r="EC867"/>
  <c r="EI866"/>
  <c r="EC866"/>
  <c r="EI865"/>
  <c r="EC865"/>
  <c r="EI864"/>
  <c r="EC864"/>
  <c r="EI863"/>
  <c r="EC863"/>
  <c r="EI862"/>
  <c r="EC862"/>
  <c r="EI861"/>
  <c r="EC861"/>
  <c r="EI860"/>
  <c r="EC860"/>
  <c r="EI859"/>
  <c r="EC859"/>
  <c r="EI858"/>
  <c r="EC858"/>
  <c r="EI857"/>
  <c r="EC857"/>
  <c r="EI856"/>
  <c r="EC856"/>
  <c r="EI855"/>
  <c r="EC855"/>
  <c r="EI854"/>
  <c r="EC854"/>
  <c r="EI853"/>
  <c r="EC853"/>
  <c r="EI852"/>
  <c r="EC852"/>
  <c r="EI851"/>
  <c r="EC851"/>
  <c r="EI850"/>
  <c r="EC850"/>
  <c r="EI849"/>
  <c r="EC849"/>
  <c r="EI848"/>
  <c r="EC848"/>
  <c r="EI847"/>
  <c r="EC847"/>
  <c r="EI846"/>
  <c r="EC846"/>
  <c r="EI845"/>
  <c r="EC845"/>
  <c r="EI844"/>
  <c r="EC844"/>
  <c r="EI843"/>
  <c r="EC843"/>
  <c r="EI842"/>
  <c r="EC842"/>
  <c r="EI841"/>
  <c r="EC841"/>
  <c r="EI840"/>
  <c r="EC840"/>
  <c r="EI839"/>
  <c r="EC839"/>
  <c r="EI838"/>
  <c r="EC838"/>
  <c r="EI837"/>
  <c r="EC837"/>
  <c r="EI836"/>
  <c r="EC836"/>
  <c r="EI835"/>
  <c r="EC835"/>
  <c r="EI834"/>
  <c r="EC834"/>
  <c r="EI833"/>
  <c r="EC833"/>
  <c r="EI832"/>
  <c r="EC832"/>
  <c r="EI831"/>
  <c r="EC831"/>
  <c r="EI830"/>
  <c r="EC830"/>
  <c r="EI829"/>
  <c r="EC829"/>
  <c r="EI828"/>
  <c r="EC828"/>
  <c r="EI827"/>
  <c r="EC827"/>
  <c r="EI826"/>
  <c r="EC826"/>
  <c r="EI825"/>
  <c r="EC825"/>
  <c r="EI824"/>
  <c r="EC824"/>
  <c r="EI823"/>
  <c r="EC823"/>
  <c r="EI822"/>
  <c r="EC822"/>
  <c r="EI821"/>
  <c r="EC821"/>
  <c r="EI820"/>
  <c r="EC820"/>
  <c r="EI819"/>
  <c r="EC819"/>
  <c r="EI818"/>
  <c r="EC818"/>
  <c r="EI817"/>
  <c r="EC817"/>
  <c r="EI816"/>
  <c r="EC816"/>
  <c r="EI815"/>
  <c r="EC815"/>
  <c r="EI814"/>
  <c r="EC814"/>
  <c r="EI813"/>
  <c r="EC813"/>
  <c r="EI812"/>
  <c r="EC812"/>
  <c r="EI811"/>
  <c r="EC811"/>
  <c r="EI810"/>
  <c r="EC810"/>
  <c r="EI809"/>
  <c r="EC809"/>
  <c r="EI808"/>
  <c r="EC808"/>
  <c r="EI807"/>
  <c r="EC807"/>
  <c r="EI806"/>
  <c r="EC806"/>
  <c r="EI805"/>
  <c r="EC805"/>
  <c r="EI804"/>
  <c r="EC804"/>
  <c r="EI803"/>
  <c r="EC803"/>
  <c r="EI802"/>
  <c r="EC802"/>
  <c r="EI801"/>
  <c r="EC801"/>
  <c r="EI800"/>
  <c r="EC800"/>
  <c r="EI799"/>
  <c r="EC799"/>
  <c r="EI798"/>
  <c r="EC798"/>
  <c r="EI797"/>
  <c r="EC797"/>
  <c r="EI796"/>
  <c r="EC796"/>
  <c r="EI795"/>
  <c r="EC795"/>
  <c r="EI794"/>
  <c r="EC794"/>
  <c r="EI793"/>
  <c r="EC793"/>
  <c r="EI792"/>
  <c r="EC792"/>
  <c r="EI791"/>
  <c r="EC791"/>
  <c r="EI790"/>
  <c r="EC790"/>
  <c r="EI789"/>
  <c r="EC789"/>
  <c r="EI788"/>
  <c r="EC788"/>
  <c r="EI787"/>
  <c r="EC787"/>
  <c r="EI786"/>
  <c r="EC786"/>
  <c r="EI785"/>
  <c r="EC785"/>
  <c r="EI784"/>
  <c r="EC784"/>
  <c r="EI783"/>
  <c r="EC783"/>
  <c r="EI782"/>
  <c r="EC782"/>
  <c r="EI781"/>
  <c r="EC781"/>
  <c r="EI780"/>
  <c r="EC780"/>
  <c r="EI779"/>
  <c r="EC779"/>
  <c r="EI778"/>
  <c r="EC778"/>
  <c r="EI777"/>
  <c r="EC777"/>
  <c r="EI776"/>
  <c r="EC776"/>
  <c r="EI775"/>
  <c r="EC775"/>
  <c r="EI774"/>
  <c r="EC774"/>
  <c r="EI773"/>
  <c r="EC773"/>
  <c r="EI772"/>
  <c r="EC772"/>
  <c r="EI771"/>
  <c r="EC771"/>
  <c r="EI770"/>
  <c r="EC770"/>
  <c r="EI769"/>
  <c r="EC769"/>
  <c r="EI768"/>
  <c r="EC768"/>
  <c r="EI767"/>
  <c r="EC767"/>
  <c r="EI766"/>
  <c r="EC766"/>
  <c r="EI765"/>
  <c r="EC765"/>
  <c r="EI764"/>
  <c r="EC764"/>
  <c r="EI763"/>
  <c r="EC763"/>
  <c r="EI762"/>
  <c r="EC762"/>
  <c r="EI761"/>
  <c r="EC761"/>
  <c r="EI760"/>
  <c r="EC760"/>
  <c r="EI759"/>
  <c r="EC759"/>
  <c r="EI758"/>
  <c r="EC758"/>
  <c r="EI757"/>
  <c r="EC757"/>
  <c r="EI756"/>
  <c r="EC756"/>
  <c r="EI755"/>
  <c r="EC755"/>
  <c r="EI754"/>
  <c r="EC754"/>
  <c r="EI753"/>
  <c r="EC753"/>
  <c r="EI752"/>
  <c r="EC752"/>
  <c r="EI751"/>
  <c r="EC751"/>
  <c r="EI750"/>
  <c r="EC750"/>
  <c r="EI749"/>
  <c r="EC749"/>
  <c r="EI748"/>
  <c r="EC748"/>
  <c r="EI747"/>
  <c r="EC747"/>
  <c r="EI746"/>
  <c r="EC746"/>
  <c r="EI745"/>
  <c r="EC745"/>
  <c r="EI744"/>
  <c r="EC744"/>
  <c r="EI743"/>
  <c r="EC743"/>
  <c r="EI742"/>
  <c r="EC742"/>
  <c r="EI741"/>
  <c r="EC741"/>
  <c r="EI740"/>
  <c r="EC740"/>
  <c r="EI739"/>
  <c r="EC739"/>
  <c r="EI738"/>
  <c r="EC738"/>
  <c r="EI737"/>
  <c r="EC737"/>
  <c r="EI736"/>
  <c r="EC736"/>
  <c r="EI735"/>
  <c r="EC735"/>
  <c r="EI734"/>
  <c r="EC734"/>
  <c r="EI733"/>
  <c r="EC733"/>
  <c r="EI732"/>
  <c r="EC732"/>
  <c r="EI731"/>
  <c r="EC731"/>
  <c r="EI730"/>
  <c r="EC730"/>
  <c r="EI729"/>
  <c r="EC729"/>
  <c r="EI728"/>
  <c r="EC728"/>
  <c r="EI727"/>
  <c r="EC727"/>
  <c r="EI726"/>
  <c r="EC726"/>
  <c r="EI725"/>
  <c r="EC725"/>
  <c r="EI724"/>
  <c r="EC724"/>
  <c r="EI723"/>
  <c r="EC723"/>
  <c r="EI722"/>
  <c r="EC722"/>
  <c r="EI721"/>
  <c r="EC721"/>
  <c r="EI720"/>
  <c r="EC720"/>
  <c r="EI719"/>
  <c r="EC719"/>
  <c r="EI718"/>
  <c r="EC718"/>
  <c r="EI717"/>
  <c r="EC717"/>
  <c r="EI716"/>
  <c r="EC716"/>
  <c r="EI715"/>
  <c r="EC715"/>
  <c r="EI714"/>
  <c r="EC714"/>
  <c r="EI713"/>
  <c r="EC713"/>
  <c r="EI712"/>
  <c r="EC712"/>
  <c r="EI711"/>
  <c r="EC711"/>
  <c r="EI710"/>
  <c r="EC710"/>
  <c r="EI709"/>
  <c r="EC709"/>
  <c r="EI708"/>
  <c r="EC708"/>
  <c r="EI707"/>
  <c r="EC707"/>
  <c r="EI706"/>
  <c r="EC706"/>
  <c r="EI705"/>
  <c r="EC705"/>
  <c r="EI704"/>
  <c r="EC704"/>
  <c r="EI703"/>
  <c r="EC703"/>
  <c r="EI702"/>
  <c r="EC702"/>
  <c r="EI701"/>
  <c r="EC701"/>
  <c r="EI700"/>
  <c r="EC700"/>
  <c r="EI699"/>
  <c r="EC699"/>
  <c r="EI698"/>
  <c r="EC698"/>
  <c r="EI697"/>
  <c r="EC697"/>
  <c r="EI696"/>
  <c r="EC696"/>
  <c r="EI695"/>
  <c r="EC695"/>
  <c r="EI694"/>
  <c r="EC694"/>
  <c r="EI693"/>
  <c r="EC693"/>
  <c r="EI692"/>
  <c r="EC692"/>
  <c r="EI691"/>
  <c r="EC691"/>
  <c r="EI690"/>
  <c r="EC690"/>
  <c r="EI689"/>
  <c r="EC689"/>
  <c r="EI688"/>
  <c r="EC688"/>
  <c r="EI687"/>
  <c r="EC687"/>
  <c r="EI686"/>
  <c r="EC686"/>
  <c r="EI685"/>
  <c r="EC685"/>
  <c r="EI684"/>
  <c r="EC684"/>
  <c r="EI683"/>
  <c r="EC683"/>
  <c r="EI682"/>
  <c r="EC682"/>
  <c r="EI681"/>
  <c r="EC681"/>
  <c r="EI680"/>
  <c r="EC680"/>
  <c r="EI679"/>
  <c r="EC679"/>
  <c r="EI678"/>
  <c r="EC678"/>
  <c r="EI677"/>
  <c r="EC677"/>
  <c r="EI676"/>
  <c r="EC676"/>
  <c r="EI675"/>
  <c r="EC675"/>
  <c r="EI674"/>
  <c r="EC674"/>
  <c r="EI673"/>
  <c r="EC673"/>
  <c r="EI672"/>
  <c r="EC672"/>
  <c r="EI671"/>
  <c r="EC671"/>
  <c r="EI670"/>
  <c r="EC670"/>
  <c r="EI669"/>
  <c r="EC669"/>
  <c r="EI668"/>
  <c r="EC668"/>
  <c r="EI667"/>
  <c r="EC667"/>
  <c r="EI666"/>
  <c r="EC666"/>
  <c r="EI665"/>
  <c r="EC665"/>
  <c r="EI664"/>
  <c r="EC664"/>
  <c r="EI663"/>
  <c r="EC663"/>
  <c r="EI662"/>
  <c r="EC662"/>
  <c r="EI661"/>
  <c r="EC661"/>
  <c r="EI660"/>
  <c r="EC660"/>
  <c r="EI659"/>
  <c r="EC659"/>
  <c r="EI658"/>
  <c r="EC658"/>
  <c r="EI657"/>
  <c r="EC657"/>
  <c r="EI656"/>
  <c r="EC656"/>
  <c r="EI655"/>
  <c r="EC655"/>
  <c r="EI654"/>
  <c r="EC654"/>
  <c r="EI653"/>
  <c r="EC653"/>
  <c r="EI652"/>
  <c r="EC652"/>
  <c r="EI651"/>
  <c r="EC651"/>
  <c r="EI650"/>
  <c r="EC650"/>
  <c r="EI649"/>
  <c r="EC649"/>
  <c r="EI648"/>
  <c r="EC648"/>
  <c r="EI647"/>
  <c r="EC647"/>
  <c r="EI646"/>
  <c r="EC646"/>
  <c r="EI645"/>
  <c r="EC645"/>
  <c r="EI644"/>
  <c r="EC644"/>
  <c r="EI643"/>
  <c r="EC643"/>
  <c r="EI642"/>
  <c r="EC642"/>
  <c r="EI641"/>
  <c r="EC641"/>
  <c r="EI640"/>
  <c r="EC640"/>
  <c r="EI639"/>
  <c r="EC639"/>
  <c r="EI638"/>
  <c r="EC638"/>
  <c r="EI637"/>
  <c r="EC637"/>
  <c r="EI636"/>
  <c r="EC636"/>
  <c r="EI635"/>
  <c r="EC635"/>
  <c r="EI634"/>
  <c r="EC634"/>
  <c r="EI633"/>
  <c r="EC633"/>
  <c r="EI632"/>
  <c r="EC632"/>
  <c r="EI631"/>
  <c r="EC631"/>
  <c r="EI630"/>
  <c r="EC630"/>
  <c r="EI629"/>
  <c r="EC629"/>
  <c r="EI628"/>
  <c r="EC628"/>
  <c r="EI627"/>
  <c r="EC627"/>
  <c r="EI626"/>
  <c r="EC626"/>
  <c r="EI625"/>
  <c r="EC625"/>
  <c r="EI624"/>
  <c r="EC624"/>
  <c r="EI623"/>
  <c r="EC623"/>
  <c r="EI622"/>
  <c r="EC622"/>
  <c r="EI621"/>
  <c r="EC621"/>
  <c r="EI620"/>
  <c r="EC620"/>
  <c r="EI619"/>
  <c r="EC619"/>
  <c r="EI618"/>
  <c r="EC618"/>
  <c r="EI617"/>
  <c r="EC617"/>
  <c r="EI616"/>
  <c r="EC616"/>
  <c r="EI615"/>
  <c r="EC615"/>
  <c r="EI614"/>
  <c r="EC614"/>
  <c r="EI613"/>
  <c r="EC613"/>
  <c r="EI612"/>
  <c r="EC612"/>
  <c r="EI611"/>
  <c r="EC611"/>
  <c r="EI610"/>
  <c r="EC610"/>
  <c r="EI609"/>
  <c r="EC609"/>
  <c r="EI608"/>
  <c r="EC608"/>
  <c r="EI607"/>
  <c r="EC607"/>
  <c r="EI606"/>
  <c r="EC606"/>
  <c r="EI605"/>
  <c r="EC605"/>
  <c r="EI604"/>
  <c r="EC604"/>
  <c r="EI603"/>
  <c r="EC603"/>
  <c r="EI602"/>
  <c r="EC602"/>
  <c r="EI601"/>
  <c r="EC601"/>
  <c r="EI600"/>
  <c r="EC600"/>
  <c r="EI599"/>
  <c r="EC599"/>
  <c r="EI598"/>
  <c r="EC598"/>
  <c r="EI597"/>
  <c r="EC597"/>
  <c r="EI596"/>
  <c r="EC596"/>
  <c r="EI595"/>
  <c r="EC595"/>
  <c r="EI594"/>
  <c r="EC594"/>
  <c r="EI593"/>
  <c r="EC593"/>
  <c r="EI592"/>
  <c r="EC592"/>
  <c r="EI591"/>
  <c r="EC591"/>
  <c r="EI590"/>
  <c r="EC590"/>
  <c r="EI589"/>
  <c r="EC589"/>
  <c r="EI588"/>
  <c r="EC588"/>
  <c r="EI587"/>
  <c r="EC587"/>
  <c r="EI586"/>
  <c r="EC586"/>
  <c r="EI585"/>
  <c r="EC585"/>
  <c r="EI584"/>
  <c r="EC584"/>
  <c r="EI583"/>
  <c r="EC583"/>
  <c r="EI582"/>
  <c r="EC582"/>
  <c r="EI581"/>
  <c r="EC581"/>
  <c r="EI580"/>
  <c r="EC580"/>
  <c r="EI579"/>
  <c r="EC579"/>
  <c r="EI578"/>
  <c r="EC578"/>
  <c r="EI577"/>
  <c r="EC577"/>
  <c r="EI576"/>
  <c r="EC576"/>
  <c r="EI575"/>
  <c r="EC575"/>
  <c r="EI574"/>
  <c r="EC574"/>
  <c r="EI573"/>
  <c r="EC573"/>
  <c r="EI572"/>
  <c r="EC572"/>
  <c r="EI571"/>
  <c r="EC571"/>
  <c r="EI570"/>
  <c r="EC570"/>
  <c r="EI569"/>
  <c r="EC569"/>
  <c r="EI568"/>
  <c r="EC568"/>
  <c r="EI567"/>
  <c r="EC567"/>
  <c r="EI566"/>
  <c r="EC566"/>
  <c r="EI565"/>
  <c r="EC565"/>
  <c r="EI564"/>
  <c r="EC564"/>
  <c r="EI563"/>
  <c r="EC563"/>
  <c r="EI562"/>
  <c r="EC562"/>
  <c r="EI561"/>
  <c r="EC561"/>
  <c r="EI560"/>
  <c r="EC560"/>
  <c r="EI559"/>
  <c r="EC559"/>
  <c r="EI558"/>
  <c r="EC558"/>
  <c r="EI557"/>
  <c r="EC557"/>
  <c r="EI556"/>
  <c r="EC556"/>
  <c r="EI555"/>
  <c r="EC555"/>
  <c r="EI554"/>
  <c r="EC554"/>
  <c r="EI553"/>
  <c r="EC553"/>
  <c r="EI552"/>
  <c r="EC552"/>
  <c r="EI551"/>
  <c r="EC551"/>
  <c r="EI550"/>
  <c r="EC550"/>
  <c r="EI549"/>
  <c r="EC549"/>
  <c r="EI548"/>
  <c r="EC548"/>
  <c r="EI547"/>
  <c r="EC547"/>
  <c r="EI546"/>
  <c r="EC546"/>
  <c r="EI545"/>
  <c r="EC545"/>
  <c r="EI544"/>
  <c r="EC544"/>
  <c r="EI543"/>
  <c r="EC543"/>
  <c r="EI542"/>
  <c r="EC542"/>
  <c r="EI541"/>
  <c r="EC541"/>
  <c r="EI540"/>
  <c r="EC540"/>
  <c r="EI539"/>
  <c r="EC539"/>
  <c r="EI538"/>
  <c r="EC538"/>
  <c r="EI537"/>
  <c r="EC537"/>
  <c r="EI536"/>
  <c r="EC536"/>
  <c r="EI535"/>
  <c r="EC535"/>
  <c r="EI534"/>
  <c r="EC534"/>
  <c r="EI533"/>
  <c r="EC533"/>
  <c r="EI532"/>
  <c r="EC532"/>
  <c r="EI531"/>
  <c r="EC531"/>
  <c r="EI530"/>
  <c r="EC530"/>
  <c r="EI529"/>
  <c r="EC529"/>
  <c r="EI528"/>
  <c r="EC528"/>
  <c r="EI527"/>
  <c r="EC527"/>
  <c r="EI526"/>
  <c r="EC526"/>
  <c r="EI525"/>
  <c r="EC525"/>
  <c r="EI524"/>
  <c r="EC524"/>
  <c r="EI523"/>
  <c r="EC523"/>
  <c r="EI522"/>
  <c r="EC522"/>
  <c r="EI521"/>
  <c r="EC521"/>
  <c r="EI520"/>
  <c r="EC520"/>
  <c r="EI519"/>
  <c r="EC519"/>
  <c r="EI518"/>
  <c r="EC518"/>
  <c r="EI517"/>
  <c r="EC517"/>
  <c r="EI516"/>
  <c r="EC516"/>
  <c r="EI515"/>
  <c r="EC515"/>
  <c r="EI514"/>
  <c r="EC514"/>
  <c r="EI513"/>
  <c r="EC513"/>
  <c r="EI512"/>
  <c r="EC512"/>
  <c r="EI511"/>
  <c r="EC511"/>
  <c r="EI510"/>
  <c r="EC510"/>
  <c r="EI509"/>
  <c r="EC509"/>
  <c r="EI508"/>
  <c r="EC508"/>
  <c r="EI507"/>
  <c r="EC507"/>
  <c r="EI506"/>
  <c r="EC506"/>
  <c r="EI505"/>
  <c r="EC505"/>
  <c r="EI504"/>
  <c r="EC504"/>
  <c r="EI503"/>
  <c r="EC503"/>
  <c r="EI502"/>
  <c r="EC502"/>
  <c r="EI501"/>
  <c r="EC501"/>
  <c r="EI500"/>
  <c r="EC500"/>
  <c r="EI499"/>
  <c r="EC499"/>
  <c r="EI498"/>
  <c r="EC498"/>
  <c r="EI497"/>
  <c r="EC497"/>
  <c r="EI496"/>
  <c r="EC496"/>
  <c r="EI495"/>
  <c r="EC495"/>
  <c r="EI494"/>
  <c r="EC494"/>
  <c r="EI493"/>
  <c r="EC493"/>
  <c r="EI492"/>
  <c r="EC492"/>
  <c r="EI491"/>
  <c r="EC491"/>
  <c r="EI490"/>
  <c r="EC490"/>
  <c r="EI489"/>
  <c r="EC489"/>
  <c r="EI488"/>
  <c r="EC488"/>
  <c r="EI487"/>
  <c r="EC487"/>
  <c r="EI486"/>
  <c r="EC486"/>
  <c r="EI485"/>
  <c r="EC485"/>
  <c r="EI484"/>
  <c r="EC484"/>
  <c r="EI483"/>
  <c r="EC483"/>
  <c r="EI482"/>
  <c r="EC482"/>
  <c r="EI481"/>
  <c r="EC481"/>
  <c r="EI480"/>
  <c r="EC480"/>
  <c r="EI479"/>
  <c r="EC479"/>
  <c r="EI478"/>
  <c r="EC478"/>
  <c r="EI477"/>
  <c r="EC477"/>
  <c r="EI476"/>
  <c r="EC476"/>
  <c r="EI475"/>
  <c r="EC475"/>
  <c r="EI474"/>
  <c r="EC474"/>
  <c r="EI473"/>
  <c r="EC473"/>
  <c r="EI472"/>
  <c r="EC472"/>
  <c r="EI471"/>
  <c r="EC471"/>
  <c r="EI470"/>
  <c r="EC470"/>
  <c r="EI469"/>
  <c r="EC469"/>
  <c r="EI468"/>
  <c r="EC468"/>
  <c r="EI467"/>
  <c r="EC467"/>
  <c r="EI466"/>
  <c r="EC466"/>
  <c r="EI465"/>
  <c r="EC465"/>
  <c r="EI464"/>
  <c r="EC464"/>
  <c r="EI463"/>
  <c r="EC463"/>
  <c r="EI462"/>
  <c r="EC462"/>
  <c r="EI461"/>
  <c r="EC461"/>
  <c r="EI460"/>
  <c r="EC460"/>
  <c r="EI459"/>
  <c r="EC459"/>
  <c r="EI458"/>
  <c r="EC458"/>
  <c r="EI457"/>
  <c r="EC457"/>
  <c r="EI456"/>
  <c r="EC456"/>
  <c r="EI455"/>
  <c r="EC455"/>
  <c r="EI454"/>
  <c r="EC454"/>
  <c r="EI453"/>
  <c r="EC453"/>
  <c r="EI452"/>
  <c r="EC452"/>
  <c r="EI451"/>
  <c r="EC451"/>
  <c r="EI450"/>
  <c r="EC450"/>
  <c r="EI449"/>
  <c r="EC449"/>
  <c r="EI448"/>
  <c r="EC448"/>
  <c r="EI447"/>
  <c r="EC447"/>
  <c r="EI446"/>
  <c r="EC446"/>
  <c r="EI445"/>
  <c r="EC445"/>
  <c r="EI444"/>
  <c r="EC444"/>
  <c r="EI443"/>
  <c r="EC443"/>
  <c r="EI442"/>
  <c r="EC442"/>
  <c r="EI441"/>
  <c r="EC441"/>
  <c r="EI440"/>
  <c r="EC440"/>
  <c r="EI439"/>
  <c r="EC439"/>
  <c r="EI438"/>
  <c r="EC438"/>
  <c r="EI437"/>
  <c r="EC437"/>
  <c r="EI436"/>
  <c r="EC436"/>
  <c r="EI435"/>
  <c r="EC435"/>
  <c r="EI434"/>
  <c r="EC434"/>
  <c r="EI433"/>
  <c r="EC433"/>
  <c r="EI432"/>
  <c r="EC432"/>
  <c r="EI431"/>
  <c r="EC431"/>
  <c r="EI430"/>
  <c r="EC430"/>
  <c r="EI429"/>
  <c r="EC429"/>
  <c r="EI428"/>
  <c r="EC428"/>
  <c r="EI427"/>
  <c r="EC427"/>
  <c r="EI426"/>
  <c r="EC426"/>
  <c r="EI425"/>
  <c r="EC425"/>
  <c r="EI424"/>
  <c r="EC424"/>
  <c r="EI423"/>
  <c r="EC423"/>
  <c r="EI422"/>
  <c r="EC422"/>
  <c r="EI421"/>
  <c r="EC421"/>
  <c r="EI420"/>
  <c r="EC420"/>
  <c r="EI419"/>
  <c r="EC419"/>
  <c r="EI418"/>
  <c r="EC418"/>
  <c r="EI417"/>
  <c r="EC417"/>
  <c r="EI416"/>
  <c r="EC416"/>
  <c r="EI415"/>
  <c r="EC415"/>
  <c r="EI414"/>
  <c r="EC414"/>
  <c r="EI413"/>
  <c r="EC413"/>
  <c r="EI412"/>
  <c r="EC412"/>
  <c r="EI411"/>
  <c r="EC411"/>
  <c r="EI410"/>
  <c r="EC410"/>
  <c r="EI409"/>
  <c r="EC409"/>
  <c r="EI408"/>
  <c r="EC408"/>
  <c r="EI407"/>
  <c r="EC407"/>
  <c r="EI406"/>
  <c r="EC406"/>
  <c r="EI405"/>
  <c r="EC405"/>
  <c r="EI404"/>
  <c r="EC404"/>
  <c r="EI403"/>
  <c r="EC403"/>
  <c r="EI402"/>
  <c r="EC402"/>
  <c r="EI401"/>
  <c r="EC401"/>
  <c r="EI400"/>
  <c r="EC400"/>
  <c r="EI399"/>
  <c r="EC399"/>
  <c r="EI398"/>
  <c r="EC398"/>
  <c r="EI397"/>
  <c r="EC397"/>
  <c r="EI396"/>
  <c r="EC396"/>
  <c r="EI395"/>
  <c r="EC395"/>
  <c r="EI394"/>
  <c r="EC394"/>
  <c r="EI393"/>
  <c r="EC393"/>
  <c r="EI392"/>
  <c r="EC392"/>
  <c r="EI391"/>
  <c r="EC391"/>
  <c r="EI390"/>
  <c r="EC390"/>
  <c r="EI389"/>
  <c r="EC389"/>
  <c r="EI388"/>
  <c r="EC388"/>
  <c r="EI387"/>
  <c r="EC387"/>
  <c r="EI386"/>
  <c r="EC386"/>
  <c r="EI385"/>
  <c r="EC385"/>
  <c r="EI384"/>
  <c r="EC384"/>
  <c r="EI383"/>
  <c r="EC383"/>
  <c r="EI382"/>
  <c r="EC382"/>
  <c r="EI381"/>
  <c r="EC381"/>
  <c r="EI380"/>
  <c r="EC380"/>
  <c r="EI379"/>
  <c r="EC379"/>
  <c r="EI378"/>
  <c r="EC378"/>
  <c r="EI377"/>
  <c r="EC377"/>
  <c r="EI376"/>
  <c r="EC376"/>
  <c r="EI375"/>
  <c r="EC375"/>
  <c r="EI374"/>
  <c r="EC374"/>
  <c r="EI373"/>
  <c r="EC373"/>
  <c r="EI372"/>
  <c r="EC372"/>
  <c r="EI371"/>
  <c r="EC371"/>
  <c r="EI370"/>
  <c r="EC370"/>
  <c r="EI369"/>
  <c r="EC369"/>
  <c r="EI368"/>
  <c r="EC368"/>
  <c r="EI367"/>
  <c r="EC367"/>
  <c r="EI366"/>
  <c r="EC366"/>
  <c r="EI365"/>
  <c r="EC365"/>
  <c r="EI364"/>
  <c r="EC364"/>
  <c r="EI363"/>
  <c r="EC363"/>
  <c r="EI362"/>
  <c r="EC362"/>
  <c r="EI361"/>
  <c r="EC361"/>
  <c r="EI360"/>
  <c r="EC360"/>
  <c r="EI359"/>
  <c r="EC359"/>
  <c r="EI358"/>
  <c r="EC358"/>
  <c r="EI357"/>
  <c r="EC357"/>
  <c r="EI356"/>
  <c r="EC356"/>
  <c r="EI355"/>
  <c r="EC355"/>
  <c r="EI354"/>
  <c r="EC354"/>
  <c r="EI353"/>
  <c r="EC353"/>
  <c r="EI352"/>
  <c r="EC352"/>
  <c r="EI351"/>
  <c r="EC351"/>
  <c r="EI350"/>
  <c r="EC350"/>
  <c r="EI349"/>
  <c r="EC349"/>
  <c r="EI348"/>
  <c r="EC348"/>
  <c r="EI347"/>
  <c r="EC347"/>
  <c r="EI346"/>
  <c r="EC346"/>
  <c r="EI345"/>
  <c r="EC345"/>
  <c r="EI344"/>
  <c r="EC344"/>
  <c r="EI343"/>
  <c r="EC343"/>
  <c r="EI342"/>
  <c r="EC342"/>
  <c r="EI341"/>
  <c r="EC341"/>
  <c r="EI340"/>
  <c r="EC340"/>
  <c r="EI339"/>
  <c r="EC339"/>
  <c r="EI338"/>
  <c r="EC338"/>
  <c r="EI337"/>
  <c r="EC337"/>
  <c r="EI336"/>
  <c r="EC336"/>
  <c r="EI335"/>
  <c r="EC335"/>
  <c r="EI334"/>
  <c r="EC334"/>
  <c r="EI333"/>
  <c r="EC333"/>
  <c r="EI332"/>
  <c r="EC332"/>
  <c r="EI331"/>
  <c r="EC331"/>
  <c r="EI330"/>
  <c r="EC330"/>
  <c r="EI329"/>
  <c r="EC329"/>
  <c r="EI328"/>
  <c r="EC328"/>
  <c r="EI327"/>
  <c r="EC327"/>
  <c r="EI326"/>
  <c r="EC326"/>
  <c r="EI325"/>
  <c r="EC325"/>
  <c r="EI324"/>
  <c r="EC324"/>
  <c r="EI323"/>
  <c r="EC323"/>
  <c r="EI322"/>
  <c r="EC322"/>
  <c r="EI321"/>
  <c r="EC321"/>
  <c r="EI320"/>
  <c r="EC320"/>
  <c r="EI319"/>
  <c r="EC319"/>
  <c r="EI318"/>
  <c r="EC318"/>
  <c r="EI317"/>
  <c r="EC317"/>
  <c r="EI316"/>
  <c r="EC316"/>
  <c r="EI315"/>
  <c r="EC315"/>
  <c r="EI314"/>
  <c r="EC314"/>
  <c r="EI313"/>
  <c r="EC313"/>
  <c r="EI312"/>
  <c r="EC312"/>
  <c r="EI311"/>
  <c r="EC311"/>
  <c r="EI310"/>
  <c r="EC310"/>
  <c r="EI309"/>
  <c r="EC309"/>
  <c r="EI308"/>
  <c r="EC308"/>
  <c r="EI307"/>
  <c r="EC307"/>
  <c r="EI306"/>
  <c r="EC306"/>
  <c r="EI305"/>
  <c r="EC305"/>
  <c r="EI304"/>
  <c r="EC304"/>
  <c r="EI303"/>
  <c r="EC303"/>
  <c r="EI302"/>
  <c r="EC302"/>
  <c r="EI301"/>
  <c r="EC301"/>
  <c r="EI300"/>
  <c r="EC300"/>
  <c r="EI299"/>
  <c r="EC299"/>
  <c r="EI298"/>
  <c r="EC298"/>
  <c r="EI297"/>
  <c r="EC297"/>
  <c r="EI296"/>
  <c r="EC296"/>
  <c r="EI295"/>
  <c r="EC295"/>
  <c r="EI294"/>
  <c r="EC294"/>
  <c r="EI293"/>
  <c r="EC293"/>
  <c r="EI292"/>
  <c r="EC292"/>
  <c r="EI291"/>
  <c r="EC291"/>
  <c r="EI290"/>
  <c r="EC290"/>
  <c r="EI289"/>
  <c r="EC289"/>
  <c r="EI288"/>
  <c r="EC288"/>
  <c r="EI287"/>
  <c r="EC287"/>
  <c r="EI286"/>
  <c r="EC286"/>
  <c r="EI285"/>
  <c r="EC285"/>
  <c r="EI284"/>
  <c r="EC284"/>
  <c r="EI283"/>
  <c r="EC283"/>
  <c r="EI282"/>
  <c r="EC282"/>
  <c r="EI281"/>
  <c r="EC281"/>
  <c r="EI280"/>
  <c r="EC280"/>
  <c r="EI279"/>
  <c r="EC279"/>
  <c r="EI278"/>
  <c r="EC278"/>
  <c r="EI277"/>
  <c r="EC277"/>
  <c r="EI276"/>
  <c r="EC276"/>
  <c r="EI275"/>
  <c r="EC275"/>
  <c r="EI274"/>
  <c r="EC274"/>
  <c r="EI273"/>
  <c r="EC273"/>
  <c r="EI272"/>
  <c r="EC272"/>
  <c r="EI271"/>
  <c r="EC271"/>
  <c r="EI270"/>
  <c r="EC270"/>
  <c r="EI269"/>
  <c r="EC269"/>
  <c r="EI268"/>
  <c r="EC268"/>
  <c r="EI267"/>
  <c r="EC267"/>
  <c r="EI266"/>
  <c r="EC266"/>
  <c r="EI265"/>
  <c r="EC265"/>
  <c r="EI264"/>
  <c r="EC264"/>
  <c r="EI263"/>
  <c r="EC263"/>
  <c r="EI262"/>
  <c r="EC262"/>
  <c r="EI261"/>
  <c r="EC261"/>
  <c r="EI260"/>
  <c r="EC260"/>
  <c r="EI259"/>
  <c r="EC259"/>
  <c r="EI258"/>
  <c r="EC258"/>
  <c r="EI257"/>
  <c r="EC257"/>
  <c r="EI256"/>
  <c r="EC256"/>
  <c r="EI255"/>
  <c r="EC255"/>
  <c r="EI254"/>
  <c r="EC254"/>
  <c r="EI253"/>
  <c r="EC253"/>
  <c r="EI252"/>
  <c r="EC252"/>
  <c r="EI251"/>
  <c r="EC251"/>
  <c r="EI250"/>
  <c r="EC250"/>
  <c r="EI249"/>
  <c r="EC249"/>
  <c r="EI248"/>
  <c r="EC248"/>
  <c r="EI247"/>
  <c r="EC247"/>
  <c r="EI246"/>
  <c r="EC246"/>
  <c r="EI245"/>
  <c r="EC245"/>
  <c r="EI244"/>
  <c r="EC244"/>
  <c r="EI243"/>
  <c r="EC243"/>
  <c r="EI242"/>
  <c r="EC242"/>
  <c r="EI241"/>
  <c r="EC241"/>
  <c r="EI240"/>
  <c r="EC240"/>
  <c r="EI239"/>
  <c r="EC239"/>
  <c r="EI238"/>
  <c r="EC238"/>
  <c r="EI237"/>
  <c r="EC237"/>
  <c r="EI236"/>
  <c r="EC236"/>
  <c r="EI235"/>
  <c r="EC235"/>
  <c r="EI234"/>
  <c r="EC234"/>
  <c r="EI233"/>
  <c r="EC233"/>
  <c r="EI232"/>
  <c r="EC232"/>
  <c r="EI231"/>
  <c r="EC231"/>
  <c r="EI230"/>
  <c r="EC230"/>
  <c r="EI229"/>
  <c r="EC229"/>
  <c r="EI228"/>
  <c r="EC228"/>
  <c r="EI227"/>
  <c r="EC227"/>
  <c r="EI226"/>
  <c r="EC226"/>
  <c r="EI225"/>
  <c r="EC225"/>
  <c r="EI224"/>
  <c r="EC224"/>
  <c r="EI223"/>
  <c r="EC223"/>
  <c r="EI222"/>
  <c r="EC222"/>
  <c r="EI221"/>
  <c r="EC221"/>
  <c r="EI220"/>
  <c r="EC220"/>
  <c r="EI219"/>
  <c r="EC219"/>
  <c r="EI218"/>
  <c r="EC218"/>
  <c r="EI217"/>
  <c r="EC217"/>
  <c r="EI216"/>
  <c r="EC216"/>
  <c r="EI215"/>
  <c r="EC215"/>
  <c r="EI214"/>
  <c r="EC214"/>
  <c r="EI213"/>
  <c r="EC213"/>
  <c r="EI212"/>
  <c r="EC212"/>
  <c r="EI211"/>
  <c r="EC211"/>
  <c r="EI210"/>
  <c r="EC210"/>
  <c r="EI209"/>
  <c r="EC209"/>
  <c r="EI208"/>
  <c r="EC208"/>
  <c r="EI207"/>
  <c r="EC207"/>
  <c r="EI206"/>
  <c r="EC206"/>
  <c r="EI205"/>
  <c r="EC205"/>
  <c r="EI204"/>
  <c r="EC204"/>
  <c r="EI203"/>
  <c r="EC203"/>
  <c r="EI202"/>
  <c r="EC202"/>
  <c r="EI201"/>
  <c r="EC201"/>
  <c r="EI200"/>
  <c r="EC200"/>
  <c r="EI199"/>
  <c r="EC199"/>
  <c r="EI198"/>
  <c r="EC198"/>
  <c r="EI197"/>
  <c r="EC197"/>
  <c r="EI196"/>
  <c r="EC196"/>
  <c r="EI195"/>
  <c r="EC195"/>
  <c r="EI194"/>
  <c r="EC194"/>
  <c r="EI193"/>
  <c r="EC193"/>
  <c r="EI192"/>
  <c r="EC192"/>
  <c r="EI191"/>
  <c r="EC191"/>
  <c r="EI190"/>
  <c r="EC190"/>
  <c r="EI189"/>
  <c r="EC189"/>
  <c r="EI188"/>
  <c r="EC188"/>
  <c r="EI187"/>
  <c r="EC187"/>
  <c r="EI186"/>
  <c r="EC186"/>
  <c r="EI185"/>
  <c r="EC185"/>
  <c r="EI184"/>
  <c r="EC184"/>
  <c r="EI183"/>
  <c r="EC183"/>
  <c r="EI182"/>
  <c r="EC182"/>
  <c r="EI181"/>
  <c r="EC181"/>
  <c r="EI180"/>
  <c r="EC180"/>
  <c r="EI179"/>
  <c r="EC179"/>
  <c r="EI178"/>
  <c r="EC178"/>
  <c r="EI177"/>
  <c r="EC177"/>
  <c r="EI176"/>
  <c r="EC176"/>
  <c r="EI175"/>
  <c r="EC175"/>
  <c r="EI174"/>
  <c r="EC174"/>
  <c r="EI173"/>
  <c r="EC173"/>
  <c r="EI172"/>
  <c r="EC172"/>
  <c r="EI171"/>
  <c r="EC171"/>
  <c r="EI170"/>
  <c r="EC170"/>
  <c r="EI169"/>
  <c r="EC169"/>
  <c r="EI168"/>
  <c r="EC168"/>
  <c r="EI167"/>
  <c r="EC167"/>
  <c r="EI166"/>
  <c r="EC166"/>
  <c r="EI165"/>
  <c r="EC165"/>
  <c r="EI164"/>
  <c r="EC164"/>
  <c r="EI163"/>
  <c r="EC163"/>
  <c r="EI162"/>
  <c r="EC162"/>
  <c r="EI161"/>
  <c r="EC161"/>
  <c r="EI160"/>
  <c r="EC160"/>
  <c r="EI159"/>
  <c r="EC159"/>
  <c r="EI158"/>
  <c r="EC158"/>
  <c r="EI157"/>
  <c r="EC157"/>
  <c r="EI156"/>
  <c r="EC156"/>
  <c r="EI155"/>
  <c r="EC155"/>
  <c r="EI154"/>
  <c r="EC154"/>
  <c r="EI153"/>
  <c r="EC153"/>
  <c r="EI152"/>
  <c r="EC152"/>
  <c r="EI151"/>
  <c r="EC151"/>
  <c r="EI150"/>
  <c r="EC150"/>
  <c r="EI149"/>
  <c r="EC149"/>
  <c r="EI148"/>
  <c r="EC148"/>
  <c r="EI147"/>
  <c r="EC147"/>
  <c r="EI146"/>
  <c r="EC146"/>
  <c r="EI145"/>
  <c r="EC145"/>
  <c r="EI144"/>
  <c r="EC144"/>
  <c r="EI143"/>
  <c r="EC143"/>
  <c r="EI142"/>
  <c r="EC142"/>
  <c r="EI141"/>
  <c r="EC141"/>
  <c r="EI140"/>
  <c r="EC140"/>
  <c r="EI139"/>
  <c r="EC139"/>
  <c r="EI138"/>
  <c r="EC138"/>
  <c r="EI137"/>
  <c r="EC137"/>
  <c r="EI136"/>
  <c r="EC136"/>
  <c r="EI135"/>
  <c r="EC135"/>
  <c r="EI134"/>
  <c r="EC134"/>
  <c r="EI133"/>
  <c r="EC133"/>
  <c r="EI132"/>
  <c r="EC132"/>
  <c r="EI131"/>
  <c r="EC131"/>
  <c r="EI130"/>
  <c r="EC130"/>
  <c r="EI129"/>
  <c r="EC129"/>
  <c r="EI128"/>
  <c r="EC128"/>
  <c r="EI127"/>
  <c r="EC127"/>
  <c r="EI126"/>
  <c r="EC126"/>
  <c r="EI125"/>
  <c r="EC125"/>
  <c r="EI124"/>
  <c r="EC124"/>
  <c r="EI123"/>
  <c r="EC123"/>
  <c r="EI122"/>
  <c r="EC122"/>
  <c r="EI121"/>
  <c r="EC121"/>
  <c r="EI120"/>
  <c r="EC120"/>
  <c r="EI119"/>
  <c r="EC119"/>
  <c r="EI118"/>
  <c r="EC118"/>
  <c r="EI117"/>
  <c r="EC117"/>
  <c r="EI116"/>
  <c r="EC116"/>
  <c r="EI115"/>
  <c r="EC115"/>
  <c r="EI114"/>
  <c r="EC114"/>
  <c r="EI113"/>
  <c r="EC113"/>
  <c r="EI112"/>
  <c r="EC112"/>
  <c r="EI111"/>
  <c r="EC111"/>
  <c r="EI110"/>
  <c r="EC110"/>
  <c r="EI109"/>
  <c r="EC109"/>
  <c r="EI108"/>
  <c r="EC108"/>
  <c r="EI107"/>
  <c r="EC107"/>
  <c r="EI106"/>
  <c r="EC106"/>
  <c r="EI105"/>
  <c r="EC105"/>
  <c r="EI104"/>
  <c r="EC104"/>
  <c r="EI103"/>
  <c r="EC103"/>
  <c r="EI102"/>
  <c r="EC102"/>
  <c r="EI101"/>
  <c r="EC101"/>
  <c r="EI100"/>
  <c r="EC100"/>
  <c r="EI99"/>
  <c r="EC99"/>
  <c r="EI98"/>
  <c r="EC98"/>
  <c r="EI97"/>
  <c r="EC97"/>
  <c r="EI96"/>
  <c r="EC96"/>
  <c r="EI95"/>
  <c r="EC95"/>
  <c r="EI94"/>
  <c r="EC94"/>
  <c r="EI93"/>
  <c r="EC93"/>
  <c r="EI92"/>
  <c r="EC92"/>
  <c r="EI91"/>
  <c r="EC91"/>
  <c r="EI90"/>
  <c r="EC90"/>
  <c r="EI89"/>
  <c r="EC89"/>
  <c r="EI88"/>
  <c r="EC88"/>
  <c r="EI87"/>
  <c r="EC87"/>
  <c r="EI86"/>
  <c r="EC86"/>
  <c r="EI85"/>
  <c r="EC85"/>
  <c r="EI84"/>
  <c r="EC84"/>
  <c r="EI83"/>
  <c r="EC83"/>
  <c r="EI82"/>
  <c r="EC82"/>
  <c r="EI81"/>
  <c r="EC81"/>
  <c r="EI80"/>
  <c r="EC80"/>
  <c r="EI79"/>
  <c r="EC79"/>
  <c r="EI78"/>
  <c r="EC78"/>
  <c r="EI77"/>
  <c r="EC77"/>
  <c r="EI76"/>
  <c r="EC76"/>
  <c r="EI75"/>
  <c r="EC75"/>
  <c r="EI74"/>
  <c r="EC74"/>
  <c r="EI73"/>
  <c r="EC73"/>
  <c r="EI72"/>
  <c r="EC72"/>
  <c r="EI71"/>
  <c r="EC71"/>
  <c r="EI70"/>
  <c r="EC70"/>
  <c r="EI69"/>
  <c r="EC69"/>
  <c r="EI68"/>
  <c r="EC68"/>
  <c r="EI67"/>
  <c r="EC67"/>
  <c r="EI66"/>
  <c r="EC66"/>
  <c r="EI65"/>
  <c r="EC65"/>
  <c r="EI64"/>
  <c r="EC64"/>
  <c r="EI63"/>
  <c r="EC63"/>
  <c r="EI62"/>
  <c r="EC62"/>
  <c r="EI61"/>
  <c r="EC61"/>
  <c r="EI60"/>
  <c r="EC60"/>
  <c r="EI59"/>
  <c r="EC59"/>
  <c r="EI58"/>
  <c r="EC58"/>
  <c r="EI57"/>
  <c r="EC57"/>
  <c r="EI56"/>
  <c r="EC56"/>
  <c r="EI55"/>
  <c r="EC55"/>
  <c r="EI54"/>
  <c r="EC54"/>
  <c r="EI53"/>
  <c r="EC53"/>
  <c r="EI52"/>
  <c r="EC52"/>
  <c r="EI51"/>
  <c r="EC51"/>
  <c r="EI50"/>
  <c r="EC50"/>
  <c r="EI49"/>
  <c r="EC49"/>
  <c r="EI48"/>
  <c r="EC48"/>
  <c r="EI47"/>
  <c r="EC47"/>
  <c r="EI46"/>
  <c r="EC46"/>
  <c r="EI45"/>
  <c r="EC45"/>
  <c r="EI44"/>
  <c r="EC44"/>
  <c r="EI43"/>
  <c r="EC43"/>
  <c r="EI42"/>
  <c r="EC42"/>
  <c r="EI41"/>
  <c r="EC41"/>
  <c r="EI40"/>
  <c r="EC40"/>
  <c r="EI39"/>
  <c r="EC39"/>
  <c r="EI38"/>
  <c r="EC38"/>
  <c r="EI37"/>
  <c r="EC37"/>
  <c r="EC36"/>
  <c r="EI35"/>
  <c r="EC35"/>
  <c r="EI34"/>
  <c r="EC34"/>
  <c r="EI33"/>
  <c r="EC33"/>
  <c r="EI32"/>
  <c r="EC32"/>
  <c r="EI31"/>
  <c r="EC31"/>
  <c r="EI30"/>
  <c r="EC30"/>
  <c r="EI29"/>
  <c r="EC29"/>
  <c r="EI28"/>
  <c r="EC28"/>
  <c r="EI27"/>
  <c r="EC27"/>
  <c r="EI26"/>
  <c r="EC26"/>
  <c r="EI25"/>
  <c r="EC25"/>
  <c r="EI24"/>
  <c r="EC24"/>
  <c r="EI23"/>
  <c r="EC23"/>
  <c r="EI22"/>
  <c r="EC22"/>
  <c r="EI21"/>
  <c r="EC21"/>
  <c r="EI20"/>
  <c r="EC20"/>
  <c r="EI19"/>
  <c r="EC19"/>
  <c r="EI18"/>
  <c r="EC18"/>
  <c r="EI17"/>
  <c r="EC17"/>
  <c r="EI16"/>
  <c r="EC16"/>
  <c r="EI15"/>
  <c r="EC15"/>
  <c r="EI14"/>
  <c r="EC14"/>
  <c r="EI13"/>
  <c r="EC13"/>
  <c r="EI12"/>
  <c r="EC12"/>
  <c r="EI11"/>
  <c r="EC11"/>
  <c r="EI10"/>
  <c r="EC10"/>
  <c r="EI9"/>
  <c r="EC9"/>
  <c r="EI8"/>
  <c r="EC8"/>
  <c r="EI7"/>
  <c r="EC7"/>
  <c r="EI6"/>
  <c r="EC6"/>
  <c r="EI5"/>
  <c r="EC5"/>
  <c r="EI4"/>
  <c r="EC4"/>
  <c r="EI3"/>
  <c r="EC3"/>
  <c r="J2117"/>
  <c r="K2117"/>
  <c r="J950"/>
  <c r="J980"/>
  <c r="J1670"/>
  <c r="K1670"/>
  <c r="K897"/>
  <c r="J680"/>
  <c r="J1543"/>
  <c r="J2051"/>
  <c r="K2051"/>
  <c r="J2389"/>
  <c r="K2389"/>
  <c r="J1542"/>
  <c r="K1542"/>
  <c r="J2052"/>
  <c r="K2052"/>
  <c r="J641"/>
  <c r="K1860"/>
  <c r="J1860"/>
  <c r="K1599"/>
  <c r="J1599"/>
  <c r="J1977"/>
  <c r="K1977"/>
  <c r="K2386"/>
  <c r="J2386"/>
  <c r="K1673"/>
  <c r="J1368"/>
  <c r="J877"/>
  <c r="K877"/>
  <c r="J1526"/>
  <c r="J2192"/>
  <c r="J949"/>
  <c r="J948"/>
  <c r="J587"/>
  <c r="J947"/>
  <c r="J2191"/>
  <c r="J889"/>
  <c r="J1438"/>
  <c r="K1438"/>
  <c r="J2355"/>
  <c r="J1375"/>
  <c r="J1673"/>
  <c r="J2018"/>
  <c r="K2018"/>
  <c r="J1698"/>
  <c r="J1724"/>
  <c r="K1724"/>
  <c r="J942"/>
  <c r="K942"/>
  <c r="J1590"/>
  <c r="K1590"/>
  <c r="J1437"/>
  <c r="K1437"/>
  <c r="J2186"/>
  <c r="J2187"/>
  <c r="J1671"/>
  <c r="J1045"/>
  <c r="K1045"/>
  <c r="J1047"/>
  <c r="J1739"/>
  <c r="J535"/>
  <c r="J1227"/>
  <c r="K1227"/>
  <c r="J761"/>
  <c r="J1131"/>
  <c r="K788"/>
  <c r="J788"/>
  <c r="J601"/>
  <c r="J360"/>
  <c r="J1039"/>
  <c r="K1039"/>
  <c r="J1200"/>
  <c r="J736"/>
  <c r="J1766"/>
  <c r="K1766"/>
  <c r="J1644"/>
  <c r="K1644"/>
  <c r="J1546"/>
  <c r="K1546"/>
  <c r="J1988"/>
  <c r="K1988"/>
  <c r="J2280"/>
  <c r="J2092"/>
  <c r="K2092"/>
  <c r="J1916"/>
  <c r="K1916"/>
  <c r="CJ2215"/>
  <c r="M2215" s="1"/>
  <c r="P2215"/>
  <c r="O2215"/>
  <c r="N2215"/>
  <c r="CJ2274"/>
  <c r="M2274" s="1"/>
  <c r="P2274"/>
  <c r="O2274"/>
  <c r="N2274"/>
  <c r="CJ2294"/>
  <c r="M2294" s="1"/>
  <c r="P2294"/>
  <c r="O2294"/>
  <c r="N2294"/>
  <c r="CJ2293"/>
  <c r="M2293" s="1"/>
  <c r="P2293"/>
  <c r="O2293"/>
  <c r="N2293"/>
  <c r="CJ2292"/>
  <c r="M2292" s="1"/>
  <c r="P2292"/>
  <c r="O2292"/>
  <c r="N2292"/>
  <c r="CJ2221"/>
  <c r="M2221" s="1"/>
  <c r="P2221"/>
  <c r="O2221"/>
  <c r="N2221"/>
  <c r="CJ2189"/>
  <c r="M2189" s="1"/>
  <c r="P2189"/>
  <c r="O2189"/>
  <c r="N2189"/>
  <c r="CJ2213"/>
  <c r="M2213" s="1"/>
  <c r="P2213"/>
  <c r="O2213"/>
  <c r="N2213"/>
  <c r="CJ2208"/>
  <c r="M2208" s="1"/>
  <c r="S2208" s="1"/>
  <c r="P2208"/>
  <c r="O2208"/>
  <c r="N2208"/>
  <c r="CJ2207"/>
  <c r="M2207" s="1"/>
  <c r="P2207"/>
  <c r="O2207"/>
  <c r="N2207"/>
  <c r="CJ2204"/>
  <c r="M2204" s="1"/>
  <c r="P2204"/>
  <c r="O2204"/>
  <c r="N2204"/>
  <c r="CJ2200"/>
  <c r="M2200" s="1"/>
  <c r="S2200" s="1"/>
  <c r="P2200"/>
  <c r="O2200"/>
  <c r="N2200"/>
  <c r="CJ2198"/>
  <c r="M2198" s="1"/>
  <c r="S2198" s="1"/>
  <c r="P2198"/>
  <c r="O2198"/>
  <c r="N2198"/>
  <c r="CJ2203"/>
  <c r="M2203" s="1"/>
  <c r="S2203" s="1"/>
  <c r="P2203"/>
  <c r="O2203"/>
  <c r="N2203"/>
  <c r="CJ2197"/>
  <c r="M2197" s="1"/>
  <c r="P2197"/>
  <c r="O2197"/>
  <c r="N2197"/>
  <c r="CJ2211"/>
  <c r="M2211" s="1"/>
  <c r="P2211"/>
  <c r="O2211"/>
  <c r="N2211"/>
  <c r="CJ2205"/>
  <c r="M2205" s="1"/>
  <c r="P2205"/>
  <c r="O2205"/>
  <c r="N2205"/>
  <c r="CJ2202"/>
  <c r="M2202" s="1"/>
  <c r="P2202"/>
  <c r="O2202"/>
  <c r="N2202"/>
  <c r="S2202" s="1"/>
  <c r="CJ2195"/>
  <c r="M2195" s="1"/>
  <c r="P2195"/>
  <c r="O2195"/>
  <c r="N2195"/>
  <c r="S2195" s="1"/>
  <c r="CJ2209"/>
  <c r="M2209" s="1"/>
  <c r="P2209"/>
  <c r="O2209"/>
  <c r="N2209"/>
  <c r="S2209" s="1"/>
  <c r="CJ2185"/>
  <c r="M2185" s="1"/>
  <c r="P2185"/>
  <c r="O2185"/>
  <c r="N2185"/>
  <c r="S2185" s="1"/>
  <c r="CJ2186"/>
  <c r="M2186" s="1"/>
  <c r="P2186"/>
  <c r="O2186"/>
  <c r="N2186"/>
  <c r="CJ2190"/>
  <c r="M2190" s="1"/>
  <c r="P2190"/>
  <c r="O2190"/>
  <c r="N2190"/>
  <c r="S2190" s="1"/>
  <c r="CJ2188"/>
  <c r="M2188" s="1"/>
  <c r="P2188"/>
  <c r="O2188"/>
  <c r="N2188"/>
  <c r="S2188" s="1"/>
  <c r="CJ2187"/>
  <c r="M2187" s="1"/>
  <c r="P2187"/>
  <c r="O2187"/>
  <c r="N2187"/>
  <c r="S2187" s="1"/>
  <c r="CJ2301"/>
  <c r="M2301" s="1"/>
  <c r="P2301"/>
  <c r="O2301"/>
  <c r="N2301"/>
  <c r="S2301" s="1"/>
  <c r="CJ2300"/>
  <c r="M2300" s="1"/>
  <c r="P2300"/>
  <c r="O2300"/>
  <c r="N2300"/>
  <c r="CJ2299"/>
  <c r="M2299" s="1"/>
  <c r="P2299"/>
  <c r="O2299"/>
  <c r="N2299"/>
  <c r="S2299" s="1"/>
  <c r="CJ744"/>
  <c r="M744" s="1"/>
  <c r="P744"/>
  <c r="O744"/>
  <c r="N744"/>
  <c r="S744" s="1"/>
  <c r="CJ2298"/>
  <c r="M2298" s="1"/>
  <c r="P2298"/>
  <c r="O2298"/>
  <c r="N2298"/>
  <c r="S2298" s="1"/>
  <c r="CJ2297"/>
  <c r="M2297" s="1"/>
  <c r="P2297"/>
  <c r="O2297"/>
  <c r="N2297"/>
  <c r="S2297" s="1"/>
  <c r="CJ2296"/>
  <c r="M2296" s="1"/>
  <c r="P2296"/>
  <c r="O2296"/>
  <c r="N2296"/>
  <c r="CJ1884"/>
  <c r="M1884" s="1"/>
  <c r="P1884"/>
  <c r="O1884"/>
  <c r="N1884"/>
  <c r="CJ2272"/>
  <c r="M2272" s="1"/>
  <c r="P2272"/>
  <c r="O2272"/>
  <c r="N2272"/>
  <c r="S2272" s="1"/>
  <c r="CJ2273"/>
  <c r="M2273" s="1"/>
  <c r="P2273"/>
  <c r="O2273"/>
  <c r="N2273"/>
  <c r="CJ2270"/>
  <c r="M2270" s="1"/>
  <c r="P2270"/>
  <c r="O2270"/>
  <c r="N2270"/>
  <c r="CJ2269"/>
  <c r="M2269" s="1"/>
  <c r="P2269"/>
  <c r="O2269"/>
  <c r="N2269"/>
  <c r="S2269" s="1"/>
  <c r="CJ2268"/>
  <c r="M2268" s="1"/>
  <c r="P2268"/>
  <c r="O2268"/>
  <c r="N2268"/>
  <c r="CJ2267"/>
  <c r="M2267" s="1"/>
  <c r="P2267"/>
  <c r="O2267"/>
  <c r="N2267"/>
  <c r="CJ2266"/>
  <c r="M2266" s="1"/>
  <c r="P2266"/>
  <c r="O2266"/>
  <c r="N2266"/>
  <c r="CJ2264"/>
  <c r="M2264" s="1"/>
  <c r="P2264"/>
  <c r="O2264"/>
  <c r="N2264"/>
  <c r="CJ2263"/>
  <c r="M2263" s="1"/>
  <c r="P2263"/>
  <c r="O2263"/>
  <c r="N2263"/>
  <c r="CJ2262"/>
  <c r="M2262" s="1"/>
  <c r="P2262"/>
  <c r="O2262"/>
  <c r="N2262"/>
  <c r="CJ2261"/>
  <c r="M2261" s="1"/>
  <c r="P2261"/>
  <c r="O2261"/>
  <c r="N2261"/>
  <c r="CJ2260"/>
  <c r="M2260" s="1"/>
  <c r="P2260"/>
  <c r="O2260"/>
  <c r="N2260"/>
  <c r="CJ2259"/>
  <c r="M2259" s="1"/>
  <c r="P2259"/>
  <c r="O2259"/>
  <c r="N2259"/>
  <c r="K1863"/>
  <c r="J1863"/>
  <c r="K1473"/>
  <c r="J1473"/>
  <c r="K2064"/>
  <c r="J2064"/>
  <c r="J2369"/>
  <c r="K2369"/>
  <c r="J1712"/>
  <c r="J1757"/>
  <c r="K1757"/>
  <c r="J2343"/>
  <c r="K2343"/>
  <c r="J2317"/>
  <c r="K2317"/>
  <c r="J2348"/>
  <c r="K2348"/>
  <c r="J1767"/>
  <c r="J2106"/>
  <c r="K2106"/>
  <c r="J1773"/>
  <c r="K1773"/>
  <c r="J1854"/>
  <c r="J1971"/>
  <c r="J1275"/>
  <c r="K1275"/>
  <c r="J857"/>
  <c r="J1772"/>
  <c r="K1772"/>
  <c r="J1566"/>
  <c r="K1566"/>
  <c r="J1893"/>
  <c r="J501"/>
  <c r="J2047"/>
  <c r="J1383"/>
  <c r="J1510"/>
  <c r="K1510"/>
  <c r="J1521"/>
  <c r="J1114"/>
  <c r="K1114"/>
  <c r="J1882"/>
  <c r="J2310"/>
  <c r="J1948"/>
  <c r="J1667"/>
  <c r="J1509"/>
  <c r="J1820"/>
  <c r="J2322"/>
  <c r="K2322"/>
  <c r="J2046"/>
  <c r="K2046"/>
  <c r="J1881"/>
  <c r="J1970"/>
  <c r="J2044"/>
  <c r="K2044"/>
  <c r="J2324"/>
  <c r="K2324"/>
  <c r="J1819"/>
  <c r="K1819"/>
  <c r="J2029"/>
  <c r="K2029"/>
  <c r="J1649"/>
  <c r="K1649"/>
  <c r="J2130"/>
  <c r="J1853"/>
  <c r="K1853"/>
  <c r="J1852"/>
  <c r="J2028"/>
  <c r="J1851"/>
  <c r="J2335"/>
  <c r="K2335"/>
  <c r="J1382"/>
  <c r="J1389"/>
  <c r="J2276"/>
  <c r="J2275"/>
  <c r="K2275"/>
  <c r="J2277"/>
  <c r="J2278"/>
  <c r="J1747"/>
  <c r="K1747"/>
  <c r="J1796"/>
  <c r="J555"/>
  <c r="K1796"/>
  <c r="J2050"/>
  <c r="J2020"/>
  <c r="J1470"/>
  <c r="J1858"/>
  <c r="K1858"/>
  <c r="J616"/>
  <c r="K616"/>
  <c r="J1528"/>
  <c r="K1528"/>
  <c r="J1654"/>
  <c r="K1654"/>
  <c r="J2035"/>
  <c r="K1234"/>
  <c r="K2035"/>
  <c r="J2085"/>
  <c r="K2085"/>
  <c r="J1330"/>
  <c r="J2114"/>
  <c r="K2114"/>
  <c r="J1674"/>
  <c r="K1674"/>
  <c r="J2194"/>
  <c r="K2194"/>
  <c r="J852"/>
  <c r="J675"/>
  <c r="K852"/>
  <c r="J1030"/>
  <c r="K1030"/>
  <c r="J866"/>
  <c r="J2302"/>
  <c r="K2302"/>
  <c r="J1035"/>
  <c r="K1035"/>
  <c r="J919"/>
  <c r="J2071"/>
  <c r="K919"/>
  <c r="J2368"/>
  <c r="K2368"/>
  <c r="J2333"/>
  <c r="J1972"/>
  <c r="J1623"/>
  <c r="J827"/>
  <c r="J1621"/>
  <c r="J826"/>
  <c r="J860"/>
  <c r="K860"/>
  <c r="J1837"/>
  <c r="J1619"/>
  <c r="J1116"/>
  <c r="J803"/>
  <c r="J802"/>
  <c r="J1932"/>
  <c r="J1574"/>
  <c r="J1573"/>
  <c r="J1083"/>
  <c r="J991"/>
  <c r="K991"/>
  <c r="J2380"/>
  <c r="J636"/>
  <c r="J2379"/>
  <c r="J1286"/>
  <c r="K1286"/>
  <c r="J1589"/>
  <c r="K1589"/>
  <c r="J1997"/>
  <c r="J1357"/>
  <c r="J1721"/>
  <c r="J1956"/>
  <c r="J1973"/>
  <c r="J428"/>
  <c r="J1618"/>
  <c r="J1572"/>
  <c r="J1720"/>
  <c r="J2033"/>
  <c r="K2033"/>
  <c r="J1996"/>
  <c r="J1302"/>
  <c r="J1855"/>
  <c r="J1616"/>
  <c r="J1615"/>
  <c r="J822"/>
  <c r="J821"/>
  <c r="J1614"/>
  <c r="J1613"/>
  <c r="J1612"/>
  <c r="J1610"/>
  <c r="J564"/>
  <c r="J1277"/>
  <c r="K1277"/>
  <c r="N3"/>
  <c r="O3"/>
  <c r="P3"/>
  <c r="CJ3"/>
  <c r="M3" s="1"/>
  <c r="N4"/>
  <c r="O4"/>
  <c r="P4"/>
  <c r="CJ4"/>
  <c r="M4" s="1"/>
  <c r="N5"/>
  <c r="O5"/>
  <c r="P5"/>
  <c r="CJ5"/>
  <c r="M5" s="1"/>
  <c r="N6"/>
  <c r="O6"/>
  <c r="P6"/>
  <c r="CJ6"/>
  <c r="M6" s="1"/>
  <c r="N7"/>
  <c r="O7"/>
  <c r="P7"/>
  <c r="CJ7"/>
  <c r="M7" s="1"/>
  <c r="J8"/>
  <c r="K8"/>
  <c r="N8"/>
  <c r="O8"/>
  <c r="P8"/>
  <c r="CJ8"/>
  <c r="M8" s="1"/>
  <c r="N9"/>
  <c r="O9"/>
  <c r="CJ9"/>
  <c r="M9" s="1"/>
  <c r="CL9"/>
  <c r="P9" s="1"/>
  <c r="N10"/>
  <c r="P10"/>
  <c r="CJ10"/>
  <c r="M10" s="1"/>
  <c r="CQ10"/>
  <c r="CR10"/>
  <c r="N11"/>
  <c r="O11"/>
  <c r="P11"/>
  <c r="Q11"/>
  <c r="CJ11"/>
  <c r="M11" s="1"/>
  <c r="N12"/>
  <c r="O12"/>
  <c r="P12"/>
  <c r="CJ12"/>
  <c r="M12" s="1"/>
  <c r="N13"/>
  <c r="O13"/>
  <c r="P13"/>
  <c r="Q13"/>
  <c r="CJ13"/>
  <c r="M13" s="1"/>
  <c r="J14"/>
  <c r="O14"/>
  <c r="P14"/>
  <c r="CJ14"/>
  <c r="M14" s="1"/>
  <c r="CN14"/>
  <c r="N14" s="1"/>
  <c r="N15"/>
  <c r="O15"/>
  <c r="P15"/>
  <c r="CJ15"/>
  <c r="M15" s="1"/>
  <c r="N16"/>
  <c r="O16"/>
  <c r="P16"/>
  <c r="CJ16"/>
  <c r="M16" s="1"/>
  <c r="S16" s="1"/>
  <c r="J17"/>
  <c r="O17"/>
  <c r="P17"/>
  <c r="CJ17"/>
  <c r="M17" s="1"/>
  <c r="CN17"/>
  <c r="N17" s="1"/>
  <c r="N18"/>
  <c r="O18"/>
  <c r="P18"/>
  <c r="S18" s="1"/>
  <c r="CJ18"/>
  <c r="M18" s="1"/>
  <c r="N19"/>
  <c r="O19"/>
  <c r="P19"/>
  <c r="S19" s="1"/>
  <c r="Q19"/>
  <c r="CJ19"/>
  <c r="M19" s="1"/>
  <c r="N20"/>
  <c r="O20"/>
  <c r="P20"/>
  <c r="CJ20"/>
  <c r="M20" s="1"/>
  <c r="N21"/>
  <c r="O21"/>
  <c r="P21"/>
  <c r="Q21"/>
  <c r="CJ21"/>
  <c r="M21"/>
  <c r="S21" s="1"/>
  <c r="N22"/>
  <c r="O22"/>
  <c r="P22"/>
  <c r="Q22"/>
  <c r="S22" s="1"/>
  <c r="CJ22"/>
  <c r="M22" s="1"/>
  <c r="O23"/>
  <c r="P23"/>
  <c r="CJ23"/>
  <c r="M23" s="1"/>
  <c r="CN23"/>
  <c r="N23" s="1"/>
  <c r="N24"/>
  <c r="O24"/>
  <c r="P24"/>
  <c r="S24" s="1"/>
  <c r="CJ24"/>
  <c r="M24" s="1"/>
  <c r="N25"/>
  <c r="O25"/>
  <c r="P25"/>
  <c r="S25" s="1"/>
  <c r="CJ25"/>
  <c r="M25" s="1"/>
  <c r="N26"/>
  <c r="O26"/>
  <c r="P26"/>
  <c r="S26" s="1"/>
  <c r="CJ26"/>
  <c r="M26" s="1"/>
  <c r="N27"/>
  <c r="O27"/>
  <c r="P27"/>
  <c r="CJ27"/>
  <c r="M27" s="1"/>
  <c r="N28"/>
  <c r="O28"/>
  <c r="P28"/>
  <c r="S28" s="1"/>
  <c r="CJ28"/>
  <c r="M28" s="1"/>
  <c r="N29"/>
  <c r="O29"/>
  <c r="P29"/>
  <c r="CJ29"/>
  <c r="M29" s="1"/>
  <c r="N30"/>
  <c r="O30"/>
  <c r="P30"/>
  <c r="S30" s="1"/>
  <c r="CJ30"/>
  <c r="M30" s="1"/>
  <c r="N31"/>
  <c r="O31"/>
  <c r="P31"/>
  <c r="CJ31"/>
  <c r="M31" s="1"/>
  <c r="N32"/>
  <c r="O32"/>
  <c r="P32"/>
  <c r="Q32"/>
  <c r="CJ32"/>
  <c r="M32" s="1"/>
  <c r="J33"/>
  <c r="N33"/>
  <c r="O33"/>
  <c r="CE33"/>
  <c r="CG33"/>
  <c r="CL33"/>
  <c r="P33" s="1"/>
  <c r="N34"/>
  <c r="O34"/>
  <c r="P34"/>
  <c r="BO34"/>
  <c r="CJ34" s="1"/>
  <c r="M34" s="1"/>
  <c r="S34" s="1"/>
  <c r="N35"/>
  <c r="O35"/>
  <c r="P35"/>
  <c r="Q35"/>
  <c r="S35" s="1"/>
  <c r="CJ35"/>
  <c r="M35" s="1"/>
  <c r="J36"/>
  <c r="N36"/>
  <c r="P36"/>
  <c r="Q36"/>
  <c r="CJ36"/>
  <c r="M36" s="1"/>
  <c r="CP36"/>
  <c r="CR36"/>
  <c r="O36" s="1"/>
  <c r="N37"/>
  <c r="O37"/>
  <c r="P37"/>
  <c r="CJ37"/>
  <c r="M37" s="1"/>
  <c r="S37" s="1"/>
  <c r="N38"/>
  <c r="O38"/>
  <c r="P38"/>
  <c r="CJ38"/>
  <c r="M38" s="1"/>
  <c r="S38" s="1"/>
  <c r="K39"/>
  <c r="N39"/>
  <c r="O39"/>
  <c r="P39"/>
  <c r="CJ39"/>
  <c r="M39" s="1"/>
  <c r="N40"/>
  <c r="O40"/>
  <c r="P40"/>
  <c r="S40" s="1"/>
  <c r="CJ40"/>
  <c r="M40" s="1"/>
  <c r="J41"/>
  <c r="O41"/>
  <c r="P41"/>
  <c r="CE41"/>
  <c r="CJ41" s="1"/>
  <c r="M41" s="1"/>
  <c r="CM41"/>
  <c r="CN41"/>
  <c r="N41" s="1"/>
  <c r="N42"/>
  <c r="O42"/>
  <c r="P42"/>
  <c r="CJ42"/>
  <c r="M42" s="1"/>
  <c r="N43"/>
  <c r="O43"/>
  <c r="P43"/>
  <c r="CJ43"/>
  <c r="M43" s="1"/>
  <c r="N44"/>
  <c r="O44"/>
  <c r="P44"/>
  <c r="CJ44"/>
  <c r="M44" s="1"/>
  <c r="N45"/>
  <c r="O45"/>
  <c r="P45"/>
  <c r="CJ45"/>
  <c r="M45" s="1"/>
  <c r="N46"/>
  <c r="O46"/>
  <c r="P46"/>
  <c r="CJ46"/>
  <c r="M46" s="1"/>
  <c r="J47"/>
  <c r="P47"/>
  <c r="AK47"/>
  <c r="AO47"/>
  <c r="CE47"/>
  <c r="CN47"/>
  <c r="N47" s="1"/>
  <c r="CR47"/>
  <c r="O47" s="1"/>
  <c r="N48"/>
  <c r="P48"/>
  <c r="CJ48"/>
  <c r="M48" s="1"/>
  <c r="CP48"/>
  <c r="CR48"/>
  <c r="N49"/>
  <c r="P49"/>
  <c r="CJ49"/>
  <c r="M49" s="1"/>
  <c r="CP49"/>
  <c r="CR49"/>
  <c r="N50"/>
  <c r="O50"/>
  <c r="P50"/>
  <c r="CJ50"/>
  <c r="M50" s="1"/>
  <c r="N51"/>
  <c r="O51"/>
  <c r="P51"/>
  <c r="CJ51"/>
  <c r="M51" s="1"/>
  <c r="N52"/>
  <c r="O52"/>
  <c r="P52"/>
  <c r="Q52"/>
  <c r="CJ52"/>
  <c r="M52" s="1"/>
  <c r="N53"/>
  <c r="O53"/>
  <c r="P53"/>
  <c r="CJ53"/>
  <c r="M53" s="1"/>
  <c r="N54"/>
  <c r="O54"/>
  <c r="P54"/>
  <c r="CJ54"/>
  <c r="M54" s="1"/>
  <c r="N55"/>
  <c r="O55"/>
  <c r="P55"/>
  <c r="Q55"/>
  <c r="CJ55"/>
  <c r="M55" s="1"/>
  <c r="N56"/>
  <c r="O56"/>
  <c r="P56"/>
  <c r="CJ56"/>
  <c r="M56" s="1"/>
  <c r="N57"/>
  <c r="O57"/>
  <c r="P57"/>
  <c r="CJ57"/>
  <c r="M57" s="1"/>
  <c r="N58"/>
  <c r="O58"/>
  <c r="P58"/>
  <c r="CJ58"/>
  <c r="M58" s="1"/>
  <c r="N59"/>
  <c r="O59"/>
  <c r="P59"/>
  <c r="CJ59"/>
  <c r="M59" s="1"/>
  <c r="N60"/>
  <c r="O60"/>
  <c r="S60" s="1"/>
  <c r="P60"/>
  <c r="CJ60"/>
  <c r="M60" s="1"/>
  <c r="N61"/>
  <c r="O61"/>
  <c r="S61" s="1"/>
  <c r="P61"/>
  <c r="CJ61"/>
  <c r="M61" s="1"/>
  <c r="J62"/>
  <c r="K62"/>
  <c r="N62"/>
  <c r="P62"/>
  <c r="CJ62"/>
  <c r="M62" s="1"/>
  <c r="CR62"/>
  <c r="O62" s="1"/>
  <c r="N63"/>
  <c r="O63"/>
  <c r="P63"/>
  <c r="Q63"/>
  <c r="CJ63"/>
  <c r="M63" s="1"/>
  <c r="N64"/>
  <c r="O64"/>
  <c r="P64"/>
  <c r="BY64"/>
  <c r="CE64"/>
  <c r="N65"/>
  <c r="O65"/>
  <c r="S65" s="1"/>
  <c r="P65"/>
  <c r="CE65"/>
  <c r="CJ65" s="1"/>
  <c r="M65" s="1"/>
  <c r="N66"/>
  <c r="O66"/>
  <c r="P66"/>
  <c r="CJ66"/>
  <c r="M66" s="1"/>
  <c r="N67"/>
  <c r="O67"/>
  <c r="S67" s="1"/>
  <c r="P67"/>
  <c r="CJ67"/>
  <c r="M67" s="1"/>
  <c r="N70"/>
  <c r="O70"/>
  <c r="S70" s="1"/>
  <c r="P70"/>
  <c r="CJ70"/>
  <c r="M70" s="1"/>
  <c r="N68"/>
  <c r="O68"/>
  <c r="P68"/>
  <c r="CJ68"/>
  <c r="M68" s="1"/>
  <c r="N69"/>
  <c r="O69"/>
  <c r="S69" s="1"/>
  <c r="P69"/>
  <c r="CJ69"/>
  <c r="M69" s="1"/>
  <c r="N71"/>
  <c r="O71"/>
  <c r="P71"/>
  <c r="CJ71"/>
  <c r="M71" s="1"/>
  <c r="N72"/>
  <c r="S72" s="1"/>
  <c r="O72"/>
  <c r="P72"/>
  <c r="CJ72"/>
  <c r="M72" s="1"/>
  <c r="N73"/>
  <c r="S73" s="1"/>
  <c r="O73"/>
  <c r="P73"/>
  <c r="CJ73"/>
  <c r="M73" s="1"/>
  <c r="N74"/>
  <c r="O74"/>
  <c r="P74"/>
  <c r="CJ74"/>
  <c r="M74" s="1"/>
  <c r="N75"/>
  <c r="O75"/>
  <c r="P75"/>
  <c r="CJ75"/>
  <c r="M75" s="1"/>
  <c r="N76"/>
  <c r="S76" s="1"/>
  <c r="O76"/>
  <c r="P76"/>
  <c r="CJ76"/>
  <c r="M76" s="1"/>
  <c r="N77"/>
  <c r="S77" s="1"/>
  <c r="O77"/>
  <c r="P77"/>
  <c r="CJ77"/>
  <c r="M77" s="1"/>
  <c r="N78"/>
  <c r="S78" s="1"/>
  <c r="O78"/>
  <c r="P78"/>
  <c r="CJ78"/>
  <c r="M78" s="1"/>
  <c r="N79"/>
  <c r="O79"/>
  <c r="P79"/>
  <c r="CJ79"/>
  <c r="M79"/>
  <c r="S79" s="1"/>
  <c r="N80"/>
  <c r="O80"/>
  <c r="P80"/>
  <c r="CJ80"/>
  <c r="M80" s="1"/>
  <c r="S80" s="1"/>
  <c r="N81"/>
  <c r="O81"/>
  <c r="P81"/>
  <c r="CJ81"/>
  <c r="M81" s="1"/>
  <c r="S81" s="1"/>
  <c r="N82"/>
  <c r="O82"/>
  <c r="P82"/>
  <c r="CJ82"/>
  <c r="M82" s="1"/>
  <c r="N83"/>
  <c r="O83"/>
  <c r="P83"/>
  <c r="CJ83"/>
  <c r="M83" s="1"/>
  <c r="S83" s="1"/>
  <c r="N84"/>
  <c r="O84"/>
  <c r="P84"/>
  <c r="CJ84"/>
  <c r="M84" s="1"/>
  <c r="S84" s="1"/>
  <c r="N85"/>
  <c r="O85"/>
  <c r="P85"/>
  <c r="CJ85"/>
  <c r="M85" s="1"/>
  <c r="S85" s="1"/>
  <c r="N86"/>
  <c r="O86"/>
  <c r="P86"/>
  <c r="CJ86"/>
  <c r="M86" s="1"/>
  <c r="N87"/>
  <c r="O87"/>
  <c r="P87"/>
  <c r="CJ87"/>
  <c r="M87" s="1"/>
  <c r="N88"/>
  <c r="O88"/>
  <c r="P88"/>
  <c r="Q88"/>
  <c r="CJ88"/>
  <c r="M88" s="1"/>
  <c r="N89"/>
  <c r="O89"/>
  <c r="P89"/>
  <c r="CJ89"/>
  <c r="M89" s="1"/>
  <c r="N90"/>
  <c r="O90"/>
  <c r="P90"/>
  <c r="CJ90"/>
  <c r="M90" s="1"/>
  <c r="N91"/>
  <c r="O91"/>
  <c r="P91"/>
  <c r="CJ91"/>
  <c r="M91" s="1"/>
  <c r="N92"/>
  <c r="O92"/>
  <c r="P92"/>
  <c r="CJ92"/>
  <c r="M92" s="1"/>
  <c r="N93"/>
  <c r="O93"/>
  <c r="P93"/>
  <c r="CJ93"/>
  <c r="M93" s="1"/>
  <c r="N94"/>
  <c r="O94"/>
  <c r="P94"/>
  <c r="CJ94"/>
  <c r="M94" s="1"/>
  <c r="N95"/>
  <c r="O95"/>
  <c r="P95"/>
  <c r="CJ95"/>
  <c r="M95" s="1"/>
  <c r="N96"/>
  <c r="O96"/>
  <c r="P96"/>
  <c r="CJ96"/>
  <c r="M96" s="1"/>
  <c r="J97"/>
  <c r="N97"/>
  <c r="O97"/>
  <c r="P97"/>
  <c r="CJ97"/>
  <c r="M97" s="1"/>
  <c r="N98"/>
  <c r="O98"/>
  <c r="P98"/>
  <c r="CJ98"/>
  <c r="M98" s="1"/>
  <c r="N99"/>
  <c r="O99"/>
  <c r="P99"/>
  <c r="CJ99"/>
  <c r="M99"/>
  <c r="J100"/>
  <c r="N100"/>
  <c r="O100"/>
  <c r="P100"/>
  <c r="CJ100"/>
  <c r="M100" s="1"/>
  <c r="N101"/>
  <c r="O101"/>
  <c r="P101"/>
  <c r="CJ101"/>
  <c r="M101" s="1"/>
  <c r="N102"/>
  <c r="O102"/>
  <c r="P102"/>
  <c r="CJ102"/>
  <c r="M102" s="1"/>
  <c r="N103"/>
  <c r="O103"/>
  <c r="P103"/>
  <c r="CJ103"/>
  <c r="M103" s="1"/>
  <c r="J104"/>
  <c r="N104"/>
  <c r="O104"/>
  <c r="P104"/>
  <c r="CJ104"/>
  <c r="M104" s="1"/>
  <c r="N105"/>
  <c r="O105"/>
  <c r="P105"/>
  <c r="CJ105"/>
  <c r="M105" s="1"/>
  <c r="N106"/>
  <c r="O106"/>
  <c r="P106"/>
  <c r="CJ106"/>
  <c r="M106" s="1"/>
  <c r="N107"/>
  <c r="O107"/>
  <c r="P107"/>
  <c r="CJ107"/>
  <c r="M107" s="1"/>
  <c r="N108"/>
  <c r="O108"/>
  <c r="P108"/>
  <c r="CJ108"/>
  <c r="M108" s="1"/>
  <c r="N109"/>
  <c r="O109"/>
  <c r="P109"/>
  <c r="CJ109"/>
  <c r="M109" s="1"/>
  <c r="N110"/>
  <c r="O110"/>
  <c r="P110"/>
  <c r="CJ110"/>
  <c r="M110" s="1"/>
  <c r="K111"/>
  <c r="N111"/>
  <c r="O111"/>
  <c r="P111"/>
  <c r="CJ111"/>
  <c r="M111" s="1"/>
  <c r="J112"/>
  <c r="N112"/>
  <c r="O112"/>
  <c r="P112"/>
  <c r="CJ112"/>
  <c r="M112" s="1"/>
  <c r="S112" s="1"/>
  <c r="N113"/>
  <c r="O113"/>
  <c r="P113"/>
  <c r="CJ113"/>
  <c r="M113" s="1"/>
  <c r="J114"/>
  <c r="N114"/>
  <c r="O114"/>
  <c r="P114"/>
  <c r="CJ114"/>
  <c r="M114" s="1"/>
  <c r="N115"/>
  <c r="O115"/>
  <c r="P115"/>
  <c r="CJ115"/>
  <c r="M115" s="1"/>
  <c r="N116"/>
  <c r="O116"/>
  <c r="P116"/>
  <c r="CJ116"/>
  <c r="M116" s="1"/>
  <c r="J117"/>
  <c r="N117"/>
  <c r="O117"/>
  <c r="P117"/>
  <c r="CJ117"/>
  <c r="M117"/>
  <c r="N118"/>
  <c r="O118"/>
  <c r="P118"/>
  <c r="CJ118"/>
  <c r="M118" s="1"/>
  <c r="N119"/>
  <c r="O119"/>
  <c r="P119"/>
  <c r="CJ119"/>
  <c r="M119" s="1"/>
  <c r="N120"/>
  <c r="O120"/>
  <c r="P120"/>
  <c r="CJ120"/>
  <c r="M120" s="1"/>
  <c r="N121"/>
  <c r="O121"/>
  <c r="P121"/>
  <c r="CJ121"/>
  <c r="M121" s="1"/>
  <c r="N122"/>
  <c r="O122"/>
  <c r="P122"/>
  <c r="CJ122"/>
  <c r="M122" s="1"/>
  <c r="N123"/>
  <c r="O123"/>
  <c r="P123"/>
  <c r="CJ123"/>
  <c r="M123" s="1"/>
  <c r="N124"/>
  <c r="O124"/>
  <c r="P124"/>
  <c r="CJ124"/>
  <c r="M124" s="1"/>
  <c r="N125"/>
  <c r="O125"/>
  <c r="P125"/>
  <c r="CJ125"/>
  <c r="M125" s="1"/>
  <c r="N126"/>
  <c r="O126"/>
  <c r="P126"/>
  <c r="CJ126"/>
  <c r="M126" s="1"/>
  <c r="N127"/>
  <c r="O127"/>
  <c r="P127"/>
  <c r="CJ127"/>
  <c r="M127" s="1"/>
  <c r="N128"/>
  <c r="O128"/>
  <c r="P128"/>
  <c r="CJ128"/>
  <c r="M128" s="1"/>
  <c r="N129"/>
  <c r="O129"/>
  <c r="P129"/>
  <c r="CJ129"/>
  <c r="M129" s="1"/>
  <c r="N130"/>
  <c r="O130"/>
  <c r="P130"/>
  <c r="CJ130"/>
  <c r="M130" s="1"/>
  <c r="N131"/>
  <c r="O131"/>
  <c r="P131"/>
  <c r="CJ131"/>
  <c r="M131" s="1"/>
  <c r="N132"/>
  <c r="O132"/>
  <c r="P132"/>
  <c r="CJ132"/>
  <c r="M132" s="1"/>
  <c r="S132" s="1"/>
  <c r="N133"/>
  <c r="O133"/>
  <c r="P133"/>
  <c r="CJ133"/>
  <c r="M133" s="1"/>
  <c r="N134"/>
  <c r="O134"/>
  <c r="P134"/>
  <c r="CJ134"/>
  <c r="M134" s="1"/>
  <c r="N135"/>
  <c r="O135"/>
  <c r="P135"/>
  <c r="CJ135"/>
  <c r="M135" s="1"/>
  <c r="N136"/>
  <c r="O136"/>
  <c r="P136"/>
  <c r="CJ136"/>
  <c r="M136" s="1"/>
  <c r="N137"/>
  <c r="O137"/>
  <c r="P137"/>
  <c r="CJ137"/>
  <c r="M137" s="1"/>
  <c r="N138"/>
  <c r="O138"/>
  <c r="P138"/>
  <c r="CJ138"/>
  <c r="M138" s="1"/>
  <c r="S138" s="1"/>
  <c r="N139"/>
  <c r="O139"/>
  <c r="P139"/>
  <c r="CJ139"/>
  <c r="M139" s="1"/>
  <c r="N140"/>
  <c r="O140"/>
  <c r="P140"/>
  <c r="CJ140"/>
  <c r="M140" s="1"/>
  <c r="N141"/>
  <c r="O141"/>
  <c r="P141"/>
  <c r="CJ141"/>
  <c r="M141" s="1"/>
  <c r="N142"/>
  <c r="O142"/>
  <c r="P142"/>
  <c r="CJ142"/>
  <c r="M142" s="1"/>
  <c r="N143"/>
  <c r="O143"/>
  <c r="P143"/>
  <c r="CJ143"/>
  <c r="M143" s="1"/>
  <c r="N144"/>
  <c r="O144"/>
  <c r="P144"/>
  <c r="CJ144"/>
  <c r="M144" s="1"/>
  <c r="S144" s="1"/>
  <c r="N145"/>
  <c r="O145"/>
  <c r="P145"/>
  <c r="CJ145"/>
  <c r="M145" s="1"/>
  <c r="S145" s="1"/>
  <c r="N146"/>
  <c r="O146"/>
  <c r="P146"/>
  <c r="CJ146"/>
  <c r="M146" s="1"/>
  <c r="N147"/>
  <c r="O147"/>
  <c r="P147"/>
  <c r="CJ147"/>
  <c r="M147" s="1"/>
  <c r="N148"/>
  <c r="O148"/>
  <c r="P148"/>
  <c r="CJ148"/>
  <c r="M148" s="1"/>
  <c r="N149"/>
  <c r="O149"/>
  <c r="P149"/>
  <c r="CJ149"/>
  <c r="M149" s="1"/>
  <c r="N153"/>
  <c r="O153"/>
  <c r="P153"/>
  <c r="S153" s="1"/>
  <c r="CJ153"/>
  <c r="M153" s="1"/>
  <c r="N154"/>
  <c r="O154"/>
  <c r="P154"/>
  <c r="CJ154"/>
  <c r="M154" s="1"/>
  <c r="N150"/>
  <c r="O150"/>
  <c r="P150"/>
  <c r="S150" s="1"/>
  <c r="CJ150"/>
  <c r="M150" s="1"/>
  <c r="N151"/>
  <c r="O151"/>
  <c r="P151"/>
  <c r="CJ151"/>
  <c r="M151" s="1"/>
  <c r="N152"/>
  <c r="O152"/>
  <c r="P152"/>
  <c r="CJ152"/>
  <c r="M152" s="1"/>
  <c r="N155"/>
  <c r="O155"/>
  <c r="P155"/>
  <c r="S155" s="1"/>
  <c r="CJ155"/>
  <c r="M155" s="1"/>
  <c r="N156"/>
  <c r="O156"/>
  <c r="P156"/>
  <c r="CJ156"/>
  <c r="M156" s="1"/>
  <c r="N157"/>
  <c r="O157"/>
  <c r="P157"/>
  <c r="CJ157"/>
  <c r="M157" s="1"/>
  <c r="N158"/>
  <c r="O158"/>
  <c r="P158"/>
  <c r="CJ158"/>
  <c r="M158" s="1"/>
  <c r="N159"/>
  <c r="O159"/>
  <c r="P159"/>
  <c r="CJ159"/>
  <c r="M159" s="1"/>
  <c r="S159" s="1"/>
  <c r="N160"/>
  <c r="O160"/>
  <c r="P160"/>
  <c r="CJ160"/>
  <c r="M160" s="1"/>
  <c r="N161"/>
  <c r="O161"/>
  <c r="P161"/>
  <c r="CJ161"/>
  <c r="M161" s="1"/>
  <c r="N162"/>
  <c r="O162"/>
  <c r="P162"/>
  <c r="CJ162"/>
  <c r="M162" s="1"/>
  <c r="N163"/>
  <c r="O163"/>
  <c r="P163"/>
  <c r="CJ163"/>
  <c r="M163" s="1"/>
  <c r="N164"/>
  <c r="O164"/>
  <c r="P164"/>
  <c r="CJ164"/>
  <c r="M164" s="1"/>
  <c r="N165"/>
  <c r="O165"/>
  <c r="P165"/>
  <c r="R165"/>
  <c r="CJ165"/>
  <c r="M165" s="1"/>
  <c r="N166"/>
  <c r="O166"/>
  <c r="P166"/>
  <c r="CJ166"/>
  <c r="M166" s="1"/>
  <c r="N167"/>
  <c r="O167"/>
  <c r="P167"/>
  <c r="CJ167"/>
  <c r="M167" s="1"/>
  <c r="N168"/>
  <c r="O168"/>
  <c r="P168"/>
  <c r="CJ168"/>
  <c r="M168" s="1"/>
  <c r="N169"/>
  <c r="O169"/>
  <c r="P169"/>
  <c r="CJ169"/>
  <c r="M169" s="1"/>
  <c r="N170"/>
  <c r="O170"/>
  <c r="P170"/>
  <c r="CJ170"/>
  <c r="M170" s="1"/>
  <c r="N171"/>
  <c r="O171"/>
  <c r="P171"/>
  <c r="CJ171"/>
  <c r="M171" s="1"/>
  <c r="N172"/>
  <c r="O172"/>
  <c r="P172"/>
  <c r="CJ172"/>
  <c r="M172" s="1"/>
  <c r="N173"/>
  <c r="O173"/>
  <c r="P173"/>
  <c r="CJ173"/>
  <c r="M173" s="1"/>
  <c r="N174"/>
  <c r="O174"/>
  <c r="P174"/>
  <c r="CJ174"/>
  <c r="M174" s="1"/>
  <c r="N175"/>
  <c r="O175"/>
  <c r="P175"/>
  <c r="CJ175"/>
  <c r="M175" s="1"/>
  <c r="N176"/>
  <c r="O176"/>
  <c r="P176"/>
  <c r="Q176"/>
  <c r="CJ176"/>
  <c r="M176" s="1"/>
  <c r="N177"/>
  <c r="O177"/>
  <c r="P177"/>
  <c r="Q177"/>
  <c r="CJ177"/>
  <c r="M177" s="1"/>
  <c r="N178"/>
  <c r="O178"/>
  <c r="P178"/>
  <c r="CJ178"/>
  <c r="M178" s="1"/>
  <c r="J179"/>
  <c r="N179"/>
  <c r="P179"/>
  <c r="CJ179"/>
  <c r="M179" s="1"/>
  <c r="CP179"/>
  <c r="CQ179"/>
  <c r="CR179"/>
  <c r="O179" s="1"/>
  <c r="N180"/>
  <c r="O180"/>
  <c r="P180"/>
  <c r="CJ180"/>
  <c r="M180" s="1"/>
  <c r="J181"/>
  <c r="N181"/>
  <c r="P181"/>
  <c r="CJ181"/>
  <c r="M181" s="1"/>
  <c r="CR181"/>
  <c r="O181" s="1"/>
  <c r="N182"/>
  <c r="O182"/>
  <c r="P182"/>
  <c r="CJ182"/>
  <c r="M182" s="1"/>
  <c r="N183"/>
  <c r="O183"/>
  <c r="P183"/>
  <c r="Q183"/>
  <c r="CJ183"/>
  <c r="M183" s="1"/>
  <c r="N184"/>
  <c r="O184"/>
  <c r="P184"/>
  <c r="CJ184"/>
  <c r="M184" s="1"/>
  <c r="N185"/>
  <c r="O185"/>
  <c r="P185"/>
  <c r="CJ185"/>
  <c r="M185" s="1"/>
  <c r="N186"/>
  <c r="O186"/>
  <c r="P186"/>
  <c r="CJ186"/>
  <c r="M186" s="1"/>
  <c r="N187"/>
  <c r="O187"/>
  <c r="P187"/>
  <c r="CJ187"/>
  <c r="M187" s="1"/>
  <c r="N188"/>
  <c r="O188"/>
  <c r="P188"/>
  <c r="CJ188"/>
  <c r="M188" s="1"/>
  <c r="N189"/>
  <c r="O189"/>
  <c r="P189"/>
  <c r="Q189"/>
  <c r="CJ189"/>
  <c r="M189" s="1"/>
  <c r="N190"/>
  <c r="O190"/>
  <c r="P190"/>
  <c r="CJ190"/>
  <c r="M190" s="1"/>
  <c r="N191"/>
  <c r="O191"/>
  <c r="P191"/>
  <c r="CJ191"/>
  <c r="M191" s="1"/>
  <c r="J192"/>
  <c r="N192"/>
  <c r="O192"/>
  <c r="P192"/>
  <c r="CJ192"/>
  <c r="M192" s="1"/>
  <c r="J194"/>
  <c r="K194"/>
  <c r="N194"/>
  <c r="O194"/>
  <c r="P194"/>
  <c r="CJ194"/>
  <c r="M194" s="1"/>
  <c r="J193"/>
  <c r="N193"/>
  <c r="O193"/>
  <c r="P193"/>
  <c r="CJ193"/>
  <c r="M193" s="1"/>
  <c r="N195"/>
  <c r="O195"/>
  <c r="P195"/>
  <c r="CJ195"/>
  <c r="M195" s="1"/>
  <c r="N196"/>
  <c r="O196"/>
  <c r="P196"/>
  <c r="Q196"/>
  <c r="CJ196"/>
  <c r="M196" s="1"/>
  <c r="N197"/>
  <c r="O197"/>
  <c r="P197"/>
  <c r="CJ197"/>
  <c r="M197" s="1"/>
  <c r="O198"/>
  <c r="P198"/>
  <c r="CJ198"/>
  <c r="M198" s="1"/>
  <c r="CN198"/>
  <c r="N198" s="1"/>
  <c r="N199"/>
  <c r="O199"/>
  <c r="P199"/>
  <c r="CJ199"/>
  <c r="M199" s="1"/>
  <c r="N200"/>
  <c r="O200"/>
  <c r="P200"/>
  <c r="CJ200"/>
  <c r="M200" s="1"/>
  <c r="N201"/>
  <c r="O201"/>
  <c r="P201"/>
  <c r="CJ201"/>
  <c r="M201" s="1"/>
  <c r="N202"/>
  <c r="O202"/>
  <c r="P202"/>
  <c r="CJ202"/>
  <c r="M202" s="1"/>
  <c r="J203"/>
  <c r="N203"/>
  <c r="P203"/>
  <c r="CJ203"/>
  <c r="M203" s="1"/>
  <c r="CP203"/>
  <c r="CQ203"/>
  <c r="CR203"/>
  <c r="N204"/>
  <c r="O204"/>
  <c r="P204"/>
  <c r="CJ204"/>
  <c r="M204" s="1"/>
  <c r="J205"/>
  <c r="N205"/>
  <c r="O205"/>
  <c r="P205"/>
  <c r="CJ205"/>
  <c r="M205" s="1"/>
  <c r="J206"/>
  <c r="N206"/>
  <c r="O206"/>
  <c r="P206"/>
  <c r="Q206"/>
  <c r="CJ206"/>
  <c r="M206" s="1"/>
  <c r="J207"/>
  <c r="K207"/>
  <c r="P207"/>
  <c r="AO207"/>
  <c r="CJ207" s="1"/>
  <c r="M207" s="1"/>
  <c r="CN207"/>
  <c r="N207" s="1"/>
  <c r="CR207"/>
  <c r="O207" s="1"/>
  <c r="N208"/>
  <c r="O208"/>
  <c r="P208"/>
  <c r="Q208"/>
  <c r="CJ208"/>
  <c r="M208" s="1"/>
  <c r="N209"/>
  <c r="O209"/>
  <c r="P209"/>
  <c r="CJ209"/>
  <c r="M209" s="1"/>
  <c r="N210"/>
  <c r="O210"/>
  <c r="P210"/>
  <c r="CJ210"/>
  <c r="M210" s="1"/>
  <c r="N211"/>
  <c r="O211"/>
  <c r="P211"/>
  <c r="CJ211"/>
  <c r="M211" s="1"/>
  <c r="J212"/>
  <c r="N212"/>
  <c r="O212"/>
  <c r="P212"/>
  <c r="CJ212"/>
  <c r="M212" s="1"/>
  <c r="N213"/>
  <c r="O213"/>
  <c r="P213"/>
  <c r="CJ213"/>
  <c r="M213" s="1"/>
  <c r="N214"/>
  <c r="O214"/>
  <c r="P214"/>
  <c r="R214"/>
  <c r="CJ214"/>
  <c r="M214" s="1"/>
  <c r="N215"/>
  <c r="O215"/>
  <c r="P215"/>
  <c r="CJ215"/>
  <c r="M215" s="1"/>
  <c r="J216"/>
  <c r="P216"/>
  <c r="CE216"/>
  <c r="CG216"/>
  <c r="CN216"/>
  <c r="N216" s="1"/>
  <c r="CR216"/>
  <c r="O216" s="1"/>
  <c r="J217"/>
  <c r="P217"/>
  <c r="CE217"/>
  <c r="CG217"/>
  <c r="CJ217" s="1"/>
  <c r="M217" s="1"/>
  <c r="CN217"/>
  <c r="N217" s="1"/>
  <c r="CR217"/>
  <c r="O217" s="1"/>
  <c r="J218"/>
  <c r="P218"/>
  <c r="CE218"/>
  <c r="CG218"/>
  <c r="CN218"/>
  <c r="N218" s="1"/>
  <c r="CR218"/>
  <c r="O218" s="1"/>
  <c r="N219"/>
  <c r="O219"/>
  <c r="P219"/>
  <c r="CJ219"/>
  <c r="M219" s="1"/>
  <c r="N220"/>
  <c r="O220"/>
  <c r="P220"/>
  <c r="CJ220"/>
  <c r="M220" s="1"/>
  <c r="N221"/>
  <c r="O221"/>
  <c r="P221"/>
  <c r="CJ221"/>
  <c r="M221" s="1"/>
  <c r="N222"/>
  <c r="O222"/>
  <c r="P222"/>
  <c r="CJ222"/>
  <c r="M222" s="1"/>
  <c r="O223"/>
  <c r="P223"/>
  <c r="AO223"/>
  <c r="CE223"/>
  <c r="CN223"/>
  <c r="N223" s="1"/>
  <c r="N224"/>
  <c r="P224"/>
  <c r="CJ224"/>
  <c r="M224" s="1"/>
  <c r="CR224"/>
  <c r="O224" s="1"/>
  <c r="J225"/>
  <c r="N225"/>
  <c r="P225"/>
  <c r="CJ225"/>
  <c r="M225" s="1"/>
  <c r="CR225"/>
  <c r="O225" s="1"/>
  <c r="N226"/>
  <c r="O226"/>
  <c r="P226"/>
  <c r="CJ226"/>
  <c r="M226" s="1"/>
  <c r="N227"/>
  <c r="O227"/>
  <c r="P227"/>
  <c r="CJ227"/>
  <c r="M227" s="1"/>
  <c r="N228"/>
  <c r="O228"/>
  <c r="P228"/>
  <c r="CJ228"/>
  <c r="M228" s="1"/>
  <c r="J229"/>
  <c r="N229"/>
  <c r="O229"/>
  <c r="S229" s="1"/>
  <c r="P229"/>
  <c r="CJ229"/>
  <c r="M229" s="1"/>
  <c r="J230"/>
  <c r="N230"/>
  <c r="O230"/>
  <c r="P230"/>
  <c r="CJ230"/>
  <c r="M230" s="1"/>
  <c r="J231"/>
  <c r="N231"/>
  <c r="O231"/>
  <c r="P231"/>
  <c r="CJ231"/>
  <c r="M231" s="1"/>
  <c r="J232"/>
  <c r="P232"/>
  <c r="CE232"/>
  <c r="CG232"/>
  <c r="CN232"/>
  <c r="N232" s="1"/>
  <c r="CR232"/>
  <c r="O232" s="1"/>
  <c r="N233"/>
  <c r="O233"/>
  <c r="P233"/>
  <c r="CJ233"/>
  <c r="M233"/>
  <c r="N234"/>
  <c r="O234"/>
  <c r="P234"/>
  <c r="CJ234"/>
  <c r="M234" s="1"/>
  <c r="N235"/>
  <c r="O235"/>
  <c r="P235"/>
  <c r="CJ235"/>
  <c r="M235" s="1"/>
  <c r="N236"/>
  <c r="O236"/>
  <c r="P236"/>
  <c r="CJ236"/>
  <c r="M236" s="1"/>
  <c r="N237"/>
  <c r="O237"/>
  <c r="P237"/>
  <c r="S237" s="1"/>
  <c r="CJ237"/>
  <c r="M237" s="1"/>
  <c r="N238"/>
  <c r="O238"/>
  <c r="P238"/>
  <c r="S238" s="1"/>
  <c r="CJ238"/>
  <c r="M238" s="1"/>
  <c r="N239"/>
  <c r="O239"/>
  <c r="P239"/>
  <c r="CJ239"/>
  <c r="M239" s="1"/>
  <c r="N240"/>
  <c r="O240"/>
  <c r="P240"/>
  <c r="S240" s="1"/>
  <c r="CJ240"/>
  <c r="M240" s="1"/>
  <c r="J241"/>
  <c r="O241"/>
  <c r="P241"/>
  <c r="S241" s="1"/>
  <c r="CE241"/>
  <c r="CJ241" s="1"/>
  <c r="M241" s="1"/>
  <c r="CN241"/>
  <c r="N241" s="1"/>
  <c r="J242"/>
  <c r="O242"/>
  <c r="P242"/>
  <c r="CE242"/>
  <c r="CJ242" s="1"/>
  <c r="M242" s="1"/>
  <c r="CN242"/>
  <c r="N242" s="1"/>
  <c r="J243"/>
  <c r="O243"/>
  <c r="P243"/>
  <c r="CE243"/>
  <c r="CJ243" s="1"/>
  <c r="M243" s="1"/>
  <c r="CN243"/>
  <c r="N243" s="1"/>
  <c r="S243" s="1"/>
  <c r="P244"/>
  <c r="CJ244"/>
  <c r="M244" s="1"/>
  <c r="CN244"/>
  <c r="N244" s="1"/>
  <c r="CP244"/>
  <c r="CQ244"/>
  <c r="CR244"/>
  <c r="N342"/>
  <c r="O342"/>
  <c r="S342" s="1"/>
  <c r="P342"/>
  <c r="CJ342"/>
  <c r="M342" s="1"/>
  <c r="J245"/>
  <c r="K245"/>
  <c r="N245"/>
  <c r="O245"/>
  <c r="P245"/>
  <c r="CJ245"/>
  <c r="M245" s="1"/>
  <c r="S245" s="1"/>
  <c r="N246"/>
  <c r="P246"/>
  <c r="CJ246"/>
  <c r="M246" s="1"/>
  <c r="CP246"/>
  <c r="CR246"/>
  <c r="N247"/>
  <c r="O247"/>
  <c r="P247"/>
  <c r="CJ247"/>
  <c r="M247" s="1"/>
  <c r="P248"/>
  <c r="CE248"/>
  <c r="CG248"/>
  <c r="CN248"/>
  <c r="N248" s="1"/>
  <c r="CR248"/>
  <c r="O248" s="1"/>
  <c r="J249"/>
  <c r="P249"/>
  <c r="CE249"/>
  <c r="CG249"/>
  <c r="CN249"/>
  <c r="N249" s="1"/>
  <c r="CR249"/>
  <c r="O249" s="1"/>
  <c r="J250"/>
  <c r="P250"/>
  <c r="CE250"/>
  <c r="CG250"/>
  <c r="CN250"/>
  <c r="N250" s="1"/>
  <c r="CR250"/>
  <c r="O250" s="1"/>
  <c r="J251"/>
  <c r="P251"/>
  <c r="CE251"/>
  <c r="CG251"/>
  <c r="CN251"/>
  <c r="N251" s="1"/>
  <c r="CR251"/>
  <c r="O251" s="1"/>
  <c r="N252"/>
  <c r="P252"/>
  <c r="CJ252"/>
  <c r="M252" s="1"/>
  <c r="CP252"/>
  <c r="O252" s="1"/>
  <c r="S252" s="1"/>
  <c r="CR252"/>
  <c r="J253"/>
  <c r="N253"/>
  <c r="O253"/>
  <c r="S253" s="1"/>
  <c r="P253"/>
  <c r="CJ253"/>
  <c r="M253" s="1"/>
  <c r="N254"/>
  <c r="O254"/>
  <c r="S254" s="1"/>
  <c r="P254"/>
  <c r="CJ254"/>
  <c r="M254" s="1"/>
  <c r="J255"/>
  <c r="P255"/>
  <c r="Q255"/>
  <c r="CE255"/>
  <c r="CG255"/>
  <c r="CN255"/>
  <c r="N255" s="1"/>
  <c r="CR255"/>
  <c r="O255" s="1"/>
  <c r="O256"/>
  <c r="P256"/>
  <c r="CJ256"/>
  <c r="M256" s="1"/>
  <c r="CN256"/>
  <c r="N256" s="1"/>
  <c r="N257"/>
  <c r="O257"/>
  <c r="P257"/>
  <c r="CJ257"/>
  <c r="M257" s="1"/>
  <c r="N258"/>
  <c r="O258"/>
  <c r="P258"/>
  <c r="Q258"/>
  <c r="CJ258"/>
  <c r="M258" s="1"/>
  <c r="N259"/>
  <c r="O259"/>
  <c r="P259"/>
  <c r="CJ259"/>
  <c r="M259" s="1"/>
  <c r="N260"/>
  <c r="O260"/>
  <c r="S260" s="1"/>
  <c r="P260"/>
  <c r="CJ260"/>
  <c r="M260" s="1"/>
  <c r="N261"/>
  <c r="O261"/>
  <c r="CJ261"/>
  <c r="M261" s="1"/>
  <c r="CL261"/>
  <c r="P261" s="1"/>
  <c r="J262"/>
  <c r="O262"/>
  <c r="P262"/>
  <c r="CJ262"/>
  <c r="M262" s="1"/>
  <c r="CN262"/>
  <c r="N262" s="1"/>
  <c r="N263"/>
  <c r="S263" s="1"/>
  <c r="O263"/>
  <c r="P263"/>
  <c r="CJ263"/>
  <c r="M263" s="1"/>
  <c r="J264"/>
  <c r="O264"/>
  <c r="P264"/>
  <c r="Q264"/>
  <c r="AK264"/>
  <c r="CJ264" s="1"/>
  <c r="M264" s="1"/>
  <c r="S264" s="1"/>
  <c r="AQ264"/>
  <c r="CE264"/>
  <c r="CG264"/>
  <c r="CN264"/>
  <c r="N264" s="1"/>
  <c r="J265"/>
  <c r="O265"/>
  <c r="P265"/>
  <c r="Q265"/>
  <c r="CE265"/>
  <c r="CJ265" s="1"/>
  <c r="M265" s="1"/>
  <c r="CG265"/>
  <c r="CN265"/>
  <c r="N265" s="1"/>
  <c r="N266"/>
  <c r="S266" s="1"/>
  <c r="O266"/>
  <c r="P266"/>
  <c r="CJ266"/>
  <c r="M266" s="1"/>
  <c r="N267"/>
  <c r="O267"/>
  <c r="P267"/>
  <c r="CJ267"/>
  <c r="M267"/>
  <c r="S267" s="1"/>
  <c r="J268"/>
  <c r="N268"/>
  <c r="O268"/>
  <c r="P268"/>
  <c r="S268" s="1"/>
  <c r="Q268"/>
  <c r="CJ268"/>
  <c r="M268" s="1"/>
  <c r="N269"/>
  <c r="O269"/>
  <c r="S269" s="1"/>
  <c r="P269"/>
  <c r="CJ269"/>
  <c r="M269" s="1"/>
  <c r="N270"/>
  <c r="O270"/>
  <c r="S270" s="1"/>
  <c r="P270"/>
  <c r="CJ270"/>
  <c r="M270" s="1"/>
  <c r="N271"/>
  <c r="O271"/>
  <c r="P271"/>
  <c r="CJ271"/>
  <c r="M271" s="1"/>
  <c r="N272"/>
  <c r="O272"/>
  <c r="S272" s="1"/>
  <c r="P272"/>
  <c r="CJ272"/>
  <c r="M272" s="1"/>
  <c r="N273"/>
  <c r="O273"/>
  <c r="P273"/>
  <c r="CJ273"/>
  <c r="M273" s="1"/>
  <c r="N274"/>
  <c r="O274"/>
  <c r="P274"/>
  <c r="CJ274"/>
  <c r="M274" s="1"/>
  <c r="J275"/>
  <c r="N275"/>
  <c r="S275" s="1"/>
  <c r="O275"/>
  <c r="P275"/>
  <c r="CJ275"/>
  <c r="M275" s="1"/>
  <c r="N276"/>
  <c r="S276" s="1"/>
  <c r="O276"/>
  <c r="P276"/>
  <c r="CJ276"/>
  <c r="M276" s="1"/>
  <c r="J277"/>
  <c r="P277"/>
  <c r="AO277"/>
  <c r="BY277"/>
  <c r="CE277"/>
  <c r="CJ277" s="1"/>
  <c r="M277" s="1"/>
  <c r="S277" s="1"/>
  <c r="CG277"/>
  <c r="CN277"/>
  <c r="N277" s="1"/>
  <c r="CQ277"/>
  <c r="CR277"/>
  <c r="O277" s="1"/>
  <c r="N278"/>
  <c r="O278"/>
  <c r="P278"/>
  <c r="CJ278"/>
  <c r="M278" s="1"/>
  <c r="N279"/>
  <c r="P279"/>
  <c r="CJ279"/>
  <c r="M279" s="1"/>
  <c r="CQ279"/>
  <c r="CR279"/>
  <c r="O279" s="1"/>
  <c r="S279" s="1"/>
  <c r="N280"/>
  <c r="O280"/>
  <c r="P280"/>
  <c r="CJ280"/>
  <c r="M280" s="1"/>
  <c r="N281"/>
  <c r="O281"/>
  <c r="P281"/>
  <c r="CJ281"/>
  <c r="M281" s="1"/>
  <c r="N282"/>
  <c r="O282"/>
  <c r="S282" s="1"/>
  <c r="P282"/>
  <c r="CJ282"/>
  <c r="M282" s="1"/>
  <c r="J283"/>
  <c r="N283"/>
  <c r="P283"/>
  <c r="AQ283"/>
  <c r="BY283"/>
  <c r="CP283"/>
  <c r="CQ283"/>
  <c r="CR283"/>
  <c r="N284"/>
  <c r="O284"/>
  <c r="S284" s="1"/>
  <c r="P284"/>
  <c r="CJ284"/>
  <c r="M284" s="1"/>
  <c r="J285"/>
  <c r="N285"/>
  <c r="O285"/>
  <c r="P285"/>
  <c r="Q285"/>
  <c r="CJ285"/>
  <c r="M285" s="1"/>
  <c r="S285" s="1"/>
  <c r="J286"/>
  <c r="N286"/>
  <c r="P286"/>
  <c r="CJ286"/>
  <c r="M286" s="1"/>
  <c r="S286" s="1"/>
  <c r="CR286"/>
  <c r="O286" s="1"/>
  <c r="N287"/>
  <c r="O287"/>
  <c r="P287"/>
  <c r="CJ287"/>
  <c r="M287" s="1"/>
  <c r="N288"/>
  <c r="O288"/>
  <c r="P288"/>
  <c r="S288" s="1"/>
  <c r="CJ288"/>
  <c r="M288" s="1"/>
  <c r="O289"/>
  <c r="P289"/>
  <c r="CJ289"/>
  <c r="M289" s="1"/>
  <c r="S289" s="1"/>
  <c r="CN289"/>
  <c r="N289" s="1"/>
  <c r="J290"/>
  <c r="N290"/>
  <c r="P290"/>
  <c r="CJ290"/>
  <c r="M290" s="1"/>
  <c r="CR290"/>
  <c r="O290" s="1"/>
  <c r="O291"/>
  <c r="P291"/>
  <c r="CJ291"/>
  <c r="M291" s="1"/>
  <c r="CN291"/>
  <c r="N291" s="1"/>
  <c r="N292"/>
  <c r="O292"/>
  <c r="S292" s="1"/>
  <c r="P292"/>
  <c r="CJ292"/>
  <c r="M292" s="1"/>
  <c r="J293"/>
  <c r="K293"/>
  <c r="N293"/>
  <c r="O293"/>
  <c r="P293"/>
  <c r="CJ293"/>
  <c r="M293" s="1"/>
  <c r="S293" s="1"/>
  <c r="J294"/>
  <c r="P294"/>
  <c r="CE294"/>
  <c r="CG294"/>
  <c r="CI294"/>
  <c r="CI2426" s="1"/>
  <c r="CN294"/>
  <c r="N294" s="1"/>
  <c r="CR294"/>
  <c r="O294" s="1"/>
  <c r="N295"/>
  <c r="O295"/>
  <c r="P295"/>
  <c r="CJ295"/>
  <c r="M295" s="1"/>
  <c r="S295" s="1"/>
  <c r="N296"/>
  <c r="O296"/>
  <c r="P296"/>
  <c r="CJ296"/>
  <c r="M296" s="1"/>
  <c r="N297"/>
  <c r="P297"/>
  <c r="CJ297"/>
  <c r="M297" s="1"/>
  <c r="CR297"/>
  <c r="O297" s="1"/>
  <c r="O298"/>
  <c r="P298"/>
  <c r="CJ298"/>
  <c r="M298" s="1"/>
  <c r="CN298"/>
  <c r="N298" s="1"/>
  <c r="S298" s="1"/>
  <c r="J299"/>
  <c r="O299"/>
  <c r="P299"/>
  <c r="CE299"/>
  <c r="CG299"/>
  <c r="CN299"/>
  <c r="N299" s="1"/>
  <c r="J300"/>
  <c r="O300"/>
  <c r="P300"/>
  <c r="CE300"/>
  <c r="CG300"/>
  <c r="CN300"/>
  <c r="N300" s="1"/>
  <c r="N301"/>
  <c r="P301"/>
  <c r="AO301"/>
  <c r="BY301"/>
  <c r="CQ301"/>
  <c r="CR301"/>
  <c r="O301" s="1"/>
  <c r="J302"/>
  <c r="N302"/>
  <c r="S302" s="1"/>
  <c r="P302"/>
  <c r="CJ302"/>
  <c r="M302" s="1"/>
  <c r="CQ302"/>
  <c r="CR302"/>
  <c r="O302" s="1"/>
  <c r="J303"/>
  <c r="N303"/>
  <c r="P303"/>
  <c r="CJ303"/>
  <c r="M303" s="1"/>
  <c r="CR303"/>
  <c r="O303" s="1"/>
  <c r="J304"/>
  <c r="N304"/>
  <c r="P304"/>
  <c r="CJ304"/>
  <c r="M304" s="1"/>
  <c r="CR304"/>
  <c r="O304" s="1"/>
  <c r="J305"/>
  <c r="N305"/>
  <c r="P305"/>
  <c r="CJ305"/>
  <c r="M305" s="1"/>
  <c r="CQ305"/>
  <c r="CR305"/>
  <c r="O305" s="1"/>
  <c r="N307"/>
  <c r="O307"/>
  <c r="P307"/>
  <c r="CJ307"/>
  <c r="M307" s="1"/>
  <c r="S307" s="1"/>
  <c r="N308"/>
  <c r="P308"/>
  <c r="AQ308"/>
  <c r="BY308"/>
  <c r="CR308"/>
  <c r="O308" s="1"/>
  <c r="N309"/>
  <c r="O309"/>
  <c r="P309"/>
  <c r="CJ309"/>
  <c r="M309" s="1"/>
  <c r="P310"/>
  <c r="AO310"/>
  <c r="BY310"/>
  <c r="CJ310" s="1"/>
  <c r="M310" s="1"/>
  <c r="CN310"/>
  <c r="N310" s="1"/>
  <c r="CR310"/>
  <c r="O310" s="1"/>
  <c r="J311"/>
  <c r="N311"/>
  <c r="P311"/>
  <c r="AO311"/>
  <c r="BY311"/>
  <c r="CQ311"/>
  <c r="CR311"/>
  <c r="O311" s="1"/>
  <c r="N312"/>
  <c r="P312"/>
  <c r="AO312"/>
  <c r="CJ312" s="1"/>
  <c r="M312" s="1"/>
  <c r="S312" s="1"/>
  <c r="BY312"/>
  <c r="CQ312"/>
  <c r="CR312"/>
  <c r="O312" s="1"/>
  <c r="N314"/>
  <c r="S314" s="1"/>
  <c r="O314"/>
  <c r="P314"/>
  <c r="CJ314"/>
  <c r="M314" s="1"/>
  <c r="N315"/>
  <c r="S315" s="1"/>
  <c r="O315"/>
  <c r="P315"/>
  <c r="CJ315"/>
  <c r="M315" s="1"/>
  <c r="N316"/>
  <c r="O316"/>
  <c r="P316"/>
  <c r="CJ316"/>
  <c r="M316" s="1"/>
  <c r="N324"/>
  <c r="S324" s="1"/>
  <c r="O324"/>
  <c r="P324"/>
  <c r="CJ324"/>
  <c r="M324" s="1"/>
  <c r="N328"/>
  <c r="S328" s="1"/>
  <c r="O328"/>
  <c r="P328"/>
  <c r="CJ328"/>
  <c r="M328" s="1"/>
  <c r="N329"/>
  <c r="S329" s="1"/>
  <c r="P329"/>
  <c r="CJ329"/>
  <c r="M329" s="1"/>
  <c r="CR329"/>
  <c r="O329" s="1"/>
  <c r="K330"/>
  <c r="P330"/>
  <c r="AQ330"/>
  <c r="BY330"/>
  <c r="CE330"/>
  <c r="CG330"/>
  <c r="CN330"/>
  <c r="N330" s="1"/>
  <c r="CR330"/>
  <c r="O330" s="1"/>
  <c r="N334"/>
  <c r="O334"/>
  <c r="P334"/>
  <c r="CJ334"/>
  <c r="M334"/>
  <c r="N336"/>
  <c r="O336"/>
  <c r="P336"/>
  <c r="CJ336"/>
  <c r="M336" s="1"/>
  <c r="S336" s="1"/>
  <c r="J337"/>
  <c r="N337"/>
  <c r="P337"/>
  <c r="CJ337"/>
  <c r="M337" s="1"/>
  <c r="CR337"/>
  <c r="O337" s="1"/>
  <c r="N338"/>
  <c r="O338"/>
  <c r="P338"/>
  <c r="S338" s="1"/>
  <c r="Q338"/>
  <c r="CJ338"/>
  <c r="M338" s="1"/>
  <c r="N339"/>
  <c r="O339"/>
  <c r="P339"/>
  <c r="CJ339"/>
  <c r="M339" s="1"/>
  <c r="N340"/>
  <c r="O340"/>
  <c r="S340" s="1"/>
  <c r="P340"/>
  <c r="CJ340"/>
  <c r="M340" s="1"/>
  <c r="J341"/>
  <c r="N341"/>
  <c r="S341" s="1"/>
  <c r="P341"/>
  <c r="CJ341"/>
  <c r="M341" s="1"/>
  <c r="CR341"/>
  <c r="O341" s="1"/>
  <c r="N344"/>
  <c r="O344"/>
  <c r="P344"/>
  <c r="CJ344"/>
  <c r="M344" s="1"/>
  <c r="N345"/>
  <c r="O345"/>
  <c r="P345"/>
  <c r="CJ345"/>
  <c r="M345" s="1"/>
  <c r="N346"/>
  <c r="O346"/>
  <c r="P346"/>
  <c r="CJ346"/>
  <c r="M346" s="1"/>
  <c r="J317"/>
  <c r="O317"/>
  <c r="P317"/>
  <c r="AQ317"/>
  <c r="BY317"/>
  <c r="CE317"/>
  <c r="CG317"/>
  <c r="CN317"/>
  <c r="N317" s="1"/>
  <c r="N321"/>
  <c r="O321"/>
  <c r="P321"/>
  <c r="CJ321"/>
  <c r="M321"/>
  <c r="S321" s="1"/>
  <c r="N322"/>
  <c r="O322"/>
  <c r="P322"/>
  <c r="CJ322"/>
  <c r="M322" s="1"/>
  <c r="S322" s="1"/>
  <c r="N323"/>
  <c r="O323"/>
  <c r="P323"/>
  <c r="CJ323"/>
  <c r="M323" s="1"/>
  <c r="S323" s="1"/>
  <c r="J306"/>
  <c r="N306"/>
  <c r="O306"/>
  <c r="P306"/>
  <c r="S306" s="1"/>
  <c r="CJ306"/>
  <c r="M306" s="1"/>
  <c r="J327"/>
  <c r="N327"/>
  <c r="O327"/>
  <c r="S327" s="1"/>
  <c r="P327"/>
  <c r="CJ327"/>
  <c r="M327" s="1"/>
  <c r="N347"/>
  <c r="O347"/>
  <c r="P347"/>
  <c r="CJ347"/>
  <c r="M347"/>
  <c r="J348"/>
  <c r="N348"/>
  <c r="O348"/>
  <c r="P348"/>
  <c r="CJ348"/>
  <c r="M348" s="1"/>
  <c r="S348" s="1"/>
  <c r="N349"/>
  <c r="O349"/>
  <c r="P349"/>
  <c r="CJ349"/>
  <c r="M349" s="1"/>
  <c r="N333"/>
  <c r="O333"/>
  <c r="P333"/>
  <c r="CJ333"/>
  <c r="M333" s="1"/>
  <c r="S333" s="1"/>
  <c r="N350"/>
  <c r="O350"/>
  <c r="P350"/>
  <c r="CJ350"/>
  <c r="M350" s="1"/>
  <c r="S350" s="1"/>
  <c r="N351"/>
  <c r="O351"/>
  <c r="P351"/>
  <c r="CJ351"/>
  <c r="M351" s="1"/>
  <c r="S351" s="1"/>
  <c r="N352"/>
  <c r="O352"/>
  <c r="P352"/>
  <c r="CJ352"/>
  <c r="M352" s="1"/>
  <c r="S352" s="1"/>
  <c r="N353"/>
  <c r="O353"/>
  <c r="P353"/>
  <c r="CJ353"/>
  <c r="M353" s="1"/>
  <c r="S353" s="1"/>
  <c r="O354"/>
  <c r="P354"/>
  <c r="AO354"/>
  <c r="AQ354"/>
  <c r="CJ354" s="1"/>
  <c r="M354" s="1"/>
  <c r="S354" s="1"/>
  <c r="BY354"/>
  <c r="CE354"/>
  <c r="CG354"/>
  <c r="CN354"/>
  <c r="N354" s="1"/>
  <c r="N355"/>
  <c r="O355"/>
  <c r="P355"/>
  <c r="CJ355"/>
  <c r="M355" s="1"/>
  <c r="N356"/>
  <c r="O356"/>
  <c r="P356"/>
  <c r="CJ356"/>
  <c r="M356" s="1"/>
  <c r="J313"/>
  <c r="O313"/>
  <c r="P313"/>
  <c r="Q313"/>
  <c r="CE313"/>
  <c r="CJ313" s="1"/>
  <c r="M313" s="1"/>
  <c r="CN313"/>
  <c r="N313" s="1"/>
  <c r="N358"/>
  <c r="O358"/>
  <c r="P358"/>
  <c r="CJ358"/>
  <c r="M358" s="1"/>
  <c r="N359"/>
  <c r="O359"/>
  <c r="P359"/>
  <c r="CJ359"/>
  <c r="M359" s="1"/>
  <c r="O360"/>
  <c r="P360"/>
  <c r="AO360"/>
  <c r="BY360"/>
  <c r="CE360"/>
  <c r="CG360"/>
  <c r="CN360"/>
  <c r="N360" s="1"/>
  <c r="O361"/>
  <c r="P361"/>
  <c r="AO361"/>
  <c r="BY361"/>
  <c r="CE361"/>
  <c r="CG361"/>
  <c r="CN361"/>
  <c r="N361" s="1"/>
  <c r="J326"/>
  <c r="N326"/>
  <c r="O326"/>
  <c r="P326"/>
  <c r="CJ326"/>
  <c r="M326" s="1"/>
  <c r="N362"/>
  <c r="O362"/>
  <c r="P362"/>
  <c r="CJ362"/>
  <c r="M362" s="1"/>
  <c r="P363"/>
  <c r="AQ363"/>
  <c r="BY363"/>
  <c r="CE363"/>
  <c r="CG363"/>
  <c r="CN363"/>
  <c r="N363" s="1"/>
  <c r="CQ363"/>
  <c r="CR363"/>
  <c r="O363" s="1"/>
  <c r="N364"/>
  <c r="O364"/>
  <c r="P364"/>
  <c r="CJ364"/>
  <c r="M364" s="1"/>
  <c r="N365"/>
  <c r="O365"/>
  <c r="P365"/>
  <c r="CJ365"/>
  <c r="M365" s="1"/>
  <c r="N366"/>
  <c r="O366"/>
  <c r="P366"/>
  <c r="CJ366"/>
  <c r="M366" s="1"/>
  <c r="N367"/>
  <c r="O367"/>
  <c r="P367"/>
  <c r="CJ367"/>
  <c r="M367" s="1"/>
  <c r="N368"/>
  <c r="O368"/>
  <c r="P368"/>
  <c r="CJ368"/>
  <c r="M368" s="1"/>
  <c r="O369"/>
  <c r="P369"/>
  <c r="AQ369"/>
  <c r="CJ369" s="1"/>
  <c r="M369" s="1"/>
  <c r="CC369"/>
  <c r="CN369"/>
  <c r="N369" s="1"/>
  <c r="N370"/>
  <c r="O370"/>
  <c r="P370"/>
  <c r="CJ370"/>
  <c r="M370" s="1"/>
  <c r="N371"/>
  <c r="O371"/>
  <c r="P371"/>
  <c r="CJ371"/>
  <c r="M371"/>
  <c r="P372"/>
  <c r="AQ372"/>
  <c r="BY372"/>
  <c r="CE372"/>
  <c r="CG372"/>
  <c r="CN372"/>
  <c r="N372" s="1"/>
  <c r="CR372"/>
  <c r="O372"/>
  <c r="N373"/>
  <c r="O373"/>
  <c r="P373"/>
  <c r="CJ373"/>
  <c r="M373" s="1"/>
  <c r="S373" s="1"/>
  <c r="N374"/>
  <c r="O374"/>
  <c r="P374"/>
  <c r="CJ374"/>
  <c r="M374" s="1"/>
  <c r="N375"/>
  <c r="O375"/>
  <c r="P375"/>
  <c r="CJ375"/>
  <c r="M375" s="1"/>
  <c r="N376"/>
  <c r="O376"/>
  <c r="P376"/>
  <c r="CJ376"/>
  <c r="M376" s="1"/>
  <c r="J377"/>
  <c r="N377"/>
  <c r="O377"/>
  <c r="P377"/>
  <c r="CJ377"/>
  <c r="M377" s="1"/>
  <c r="N378"/>
  <c r="O378"/>
  <c r="P378"/>
  <c r="CJ378"/>
  <c r="M378" s="1"/>
  <c r="N379"/>
  <c r="O379"/>
  <c r="P379"/>
  <c r="CJ379"/>
  <c r="M379" s="1"/>
  <c r="N380"/>
  <c r="O380"/>
  <c r="P380"/>
  <c r="CJ380"/>
  <c r="M380" s="1"/>
  <c r="N381"/>
  <c r="O381"/>
  <c r="P381"/>
  <c r="CJ381"/>
  <c r="M381" s="1"/>
  <c r="N382"/>
  <c r="O382"/>
  <c r="P382"/>
  <c r="CJ382"/>
  <c r="M382" s="1"/>
  <c r="O383"/>
  <c r="P383"/>
  <c r="CJ383"/>
  <c r="M383" s="1"/>
  <c r="CN383"/>
  <c r="N383" s="1"/>
  <c r="N384"/>
  <c r="O384"/>
  <c r="P384"/>
  <c r="CJ384"/>
  <c r="M384" s="1"/>
  <c r="N332"/>
  <c r="O332"/>
  <c r="P332"/>
  <c r="CJ332"/>
  <c r="M332" s="1"/>
  <c r="N385"/>
  <c r="O385"/>
  <c r="P385"/>
  <c r="CJ385"/>
  <c r="M385" s="1"/>
  <c r="J386"/>
  <c r="O386"/>
  <c r="P386"/>
  <c r="AO386"/>
  <c r="BY386"/>
  <c r="CN386"/>
  <c r="N386" s="1"/>
  <c r="N343"/>
  <c r="O343"/>
  <c r="P343"/>
  <c r="CJ343"/>
  <c r="M343" s="1"/>
  <c r="N387"/>
  <c r="O387"/>
  <c r="P387"/>
  <c r="CJ387"/>
  <c r="M387" s="1"/>
  <c r="J388"/>
  <c r="N388"/>
  <c r="O388"/>
  <c r="S388" s="1"/>
  <c r="P388"/>
  <c r="CJ388"/>
  <c r="M388" s="1"/>
  <c r="N389"/>
  <c r="O389"/>
  <c r="S389" s="1"/>
  <c r="P389"/>
  <c r="CJ389"/>
  <c r="M389"/>
  <c r="N390"/>
  <c r="O390"/>
  <c r="P390"/>
  <c r="CJ390"/>
  <c r="M390"/>
  <c r="S390" s="1"/>
  <c r="N391"/>
  <c r="O391"/>
  <c r="P391"/>
  <c r="CJ391"/>
  <c r="M391" s="1"/>
  <c r="S391" s="1"/>
  <c r="N392"/>
  <c r="O392"/>
  <c r="P392"/>
  <c r="CJ392"/>
  <c r="M392" s="1"/>
  <c r="S392" s="1"/>
  <c r="J393"/>
  <c r="K393"/>
  <c r="N393"/>
  <c r="O393"/>
  <c r="S393" s="1"/>
  <c r="P393"/>
  <c r="CJ393"/>
  <c r="M393" s="1"/>
  <c r="N394"/>
  <c r="O394"/>
  <c r="S394" s="1"/>
  <c r="P394"/>
  <c r="CJ394"/>
  <c r="M394"/>
  <c r="N395"/>
  <c r="S395" s="1"/>
  <c r="O395"/>
  <c r="P395"/>
  <c r="CJ395"/>
  <c r="M395" s="1"/>
  <c r="N396"/>
  <c r="S396" s="1"/>
  <c r="O396"/>
  <c r="P396"/>
  <c r="CJ396"/>
  <c r="M396" s="1"/>
  <c r="J397"/>
  <c r="O397"/>
  <c r="P397"/>
  <c r="AO397"/>
  <c r="CE397"/>
  <c r="CJ397" s="1"/>
  <c r="M397" s="1"/>
  <c r="S397" s="1"/>
  <c r="CG397"/>
  <c r="CN397"/>
  <c r="N397" s="1"/>
  <c r="N398"/>
  <c r="O398"/>
  <c r="S398" s="1"/>
  <c r="P398"/>
  <c r="CJ398"/>
  <c r="M398" s="1"/>
  <c r="N399"/>
  <c r="O399"/>
  <c r="S399" s="1"/>
  <c r="P399"/>
  <c r="CJ399"/>
  <c r="M399"/>
  <c r="J401"/>
  <c r="N401"/>
  <c r="O401"/>
  <c r="P401"/>
  <c r="CJ401"/>
  <c r="M401" s="1"/>
  <c r="S401" s="1"/>
  <c r="N402"/>
  <c r="O402"/>
  <c r="P402"/>
  <c r="CJ402"/>
  <c r="M402" s="1"/>
  <c r="S402" s="1"/>
  <c r="N403"/>
  <c r="O403"/>
  <c r="P403"/>
  <c r="Q403"/>
  <c r="CJ403"/>
  <c r="M403" s="1"/>
  <c r="N319"/>
  <c r="O319"/>
  <c r="P319"/>
  <c r="S319" s="1"/>
  <c r="CJ319"/>
  <c r="M319" s="1"/>
  <c r="N404"/>
  <c r="O404"/>
  <c r="P404"/>
  <c r="CJ404"/>
  <c r="M404" s="1"/>
  <c r="N405"/>
  <c r="O405"/>
  <c r="P405"/>
  <c r="CJ405"/>
  <c r="M405" s="1"/>
  <c r="N406"/>
  <c r="O406"/>
  <c r="P406"/>
  <c r="CJ406"/>
  <c r="M406" s="1"/>
  <c r="N407"/>
  <c r="O407"/>
  <c r="P407"/>
  <c r="CJ407"/>
  <c r="M407" s="1"/>
  <c r="N408"/>
  <c r="O408"/>
  <c r="P408"/>
  <c r="CJ408"/>
  <c r="M408" s="1"/>
  <c r="N409"/>
  <c r="O409"/>
  <c r="P409"/>
  <c r="CJ409"/>
  <c r="M409" s="1"/>
  <c r="N410"/>
  <c r="O410"/>
  <c r="P410"/>
  <c r="CJ410"/>
  <c r="M410" s="1"/>
  <c r="N411"/>
  <c r="O411"/>
  <c r="P411"/>
  <c r="CJ411"/>
  <c r="M411" s="1"/>
  <c r="N412"/>
  <c r="O412"/>
  <c r="P412"/>
  <c r="CJ412"/>
  <c r="M412" s="1"/>
  <c r="N413"/>
  <c r="O413"/>
  <c r="P413"/>
  <c r="CJ413"/>
  <c r="M413" s="1"/>
  <c r="N414"/>
  <c r="O414"/>
  <c r="P414"/>
  <c r="CJ414"/>
  <c r="M414" s="1"/>
  <c r="J415"/>
  <c r="N415"/>
  <c r="P415"/>
  <c r="CJ415"/>
  <c r="M415" s="1"/>
  <c r="CR415"/>
  <c r="O415" s="1"/>
  <c r="N331"/>
  <c r="O331"/>
  <c r="P331"/>
  <c r="CJ331"/>
  <c r="M331" s="1"/>
  <c r="N416"/>
  <c r="O416"/>
  <c r="P416"/>
  <c r="CJ416"/>
  <c r="M416" s="1"/>
  <c r="J417"/>
  <c r="N417"/>
  <c r="O417"/>
  <c r="P417"/>
  <c r="CJ417"/>
  <c r="M417" s="1"/>
  <c r="N418"/>
  <c r="O418"/>
  <c r="P418"/>
  <c r="CJ418"/>
  <c r="M418" s="1"/>
  <c r="S418" s="1"/>
  <c r="N419"/>
  <c r="S419" s="1"/>
  <c r="O419"/>
  <c r="P419"/>
  <c r="CJ419"/>
  <c r="M419" s="1"/>
  <c r="N420"/>
  <c r="S420" s="1"/>
  <c r="O420"/>
  <c r="P420"/>
  <c r="CJ420"/>
  <c r="M420" s="1"/>
  <c r="O421"/>
  <c r="P421"/>
  <c r="AO421"/>
  <c r="BY421"/>
  <c r="CC421"/>
  <c r="CJ421" s="1"/>
  <c r="M421" s="1"/>
  <c r="CE421"/>
  <c r="CG421"/>
  <c r="CN421"/>
  <c r="N421" s="1"/>
  <c r="O422"/>
  <c r="P422"/>
  <c r="AO422"/>
  <c r="BY422"/>
  <c r="CC422"/>
  <c r="CJ422" s="1"/>
  <c r="M422" s="1"/>
  <c r="S422" s="1"/>
  <c r="CE422"/>
  <c r="CG422"/>
  <c r="CN422"/>
  <c r="N422" s="1"/>
  <c r="N423"/>
  <c r="S423" s="1"/>
  <c r="O423"/>
  <c r="P423"/>
  <c r="CJ423"/>
  <c r="M423" s="1"/>
  <c r="N424"/>
  <c r="S424" s="1"/>
  <c r="O424"/>
  <c r="P424"/>
  <c r="CJ424"/>
  <c r="M424" s="1"/>
  <c r="J426"/>
  <c r="N426"/>
  <c r="O426"/>
  <c r="P426"/>
  <c r="CJ426"/>
  <c r="M426" s="1"/>
  <c r="S426" s="1"/>
  <c r="N427"/>
  <c r="O427"/>
  <c r="P427"/>
  <c r="CJ427"/>
  <c r="M427" s="1"/>
  <c r="S427" s="1"/>
  <c r="N428"/>
  <c r="O428"/>
  <c r="P428"/>
  <c r="S428" s="1"/>
  <c r="CJ428"/>
  <c r="M428" s="1"/>
  <c r="N429"/>
  <c r="O429"/>
  <c r="P429"/>
  <c r="S429" s="1"/>
  <c r="CJ429"/>
  <c r="M429" s="1"/>
  <c r="N430"/>
  <c r="O430"/>
  <c r="P430"/>
  <c r="S430" s="1"/>
  <c r="CJ430"/>
  <c r="M430" s="1"/>
  <c r="N325"/>
  <c r="O325"/>
  <c r="P325"/>
  <c r="S325" s="1"/>
  <c r="CJ325"/>
  <c r="M325" s="1"/>
  <c r="N431"/>
  <c r="O431"/>
  <c r="P431"/>
  <c r="S431" s="1"/>
  <c r="CJ431"/>
  <c r="M431" s="1"/>
  <c r="N432"/>
  <c r="O432"/>
  <c r="P432"/>
  <c r="S432" s="1"/>
  <c r="CJ432"/>
  <c r="M432" s="1"/>
  <c r="N433"/>
  <c r="O433"/>
  <c r="P433"/>
  <c r="S433" s="1"/>
  <c r="CJ433"/>
  <c r="M433" s="1"/>
  <c r="N434"/>
  <c r="O434"/>
  <c r="P434"/>
  <c r="CJ434"/>
  <c r="M434" s="1"/>
  <c r="J335"/>
  <c r="O335"/>
  <c r="P335"/>
  <c r="AQ335"/>
  <c r="BY335"/>
  <c r="CE335"/>
  <c r="CG335"/>
  <c r="CN335"/>
  <c r="N335" s="1"/>
  <c r="N435"/>
  <c r="O435"/>
  <c r="P435"/>
  <c r="S435" s="1"/>
  <c r="CJ435"/>
  <c r="M435" s="1"/>
  <c r="N436"/>
  <c r="O436"/>
  <c r="P436"/>
  <c r="S436" s="1"/>
  <c r="CJ436"/>
  <c r="M436" s="1"/>
  <c r="J437"/>
  <c r="P437"/>
  <c r="AO437"/>
  <c r="CJ437" s="1"/>
  <c r="M437" s="1"/>
  <c r="S437" s="1"/>
  <c r="CN437"/>
  <c r="N437" s="1"/>
  <c r="CR437"/>
  <c r="O437" s="1"/>
  <c r="N438"/>
  <c r="O438"/>
  <c r="P438"/>
  <c r="CJ438"/>
  <c r="M438" s="1"/>
  <c r="N439"/>
  <c r="O439"/>
  <c r="P439"/>
  <c r="CJ439"/>
  <c r="M439" s="1"/>
  <c r="N440"/>
  <c r="O440"/>
  <c r="P440"/>
  <c r="CJ440"/>
  <c r="M440" s="1"/>
  <c r="N441"/>
  <c r="O441"/>
  <c r="P441"/>
  <c r="CJ441"/>
  <c r="M441" s="1"/>
  <c r="J442"/>
  <c r="P442"/>
  <c r="CE442"/>
  <c r="CJ442" s="1"/>
  <c r="M442" s="1"/>
  <c r="CN442"/>
  <c r="N442" s="1"/>
  <c r="CQ442"/>
  <c r="CR442"/>
  <c r="O442" s="1"/>
  <c r="N443"/>
  <c r="O443"/>
  <c r="P443"/>
  <c r="CJ443"/>
  <c r="M443" s="1"/>
  <c r="N444"/>
  <c r="O444"/>
  <c r="P444"/>
  <c r="CJ444"/>
  <c r="M444" s="1"/>
  <c r="J445"/>
  <c r="N445"/>
  <c r="O445"/>
  <c r="P445"/>
  <c r="CJ445"/>
  <c r="M445" s="1"/>
  <c r="N446"/>
  <c r="O446"/>
  <c r="P446"/>
  <c r="CJ446"/>
  <c r="M446" s="1"/>
  <c r="S446" s="1"/>
  <c r="P447"/>
  <c r="CE447"/>
  <c r="CG447"/>
  <c r="CN447"/>
  <c r="N447" s="1"/>
  <c r="CR447"/>
  <c r="O447" s="1"/>
  <c r="J448"/>
  <c r="N448"/>
  <c r="O448"/>
  <c r="P448"/>
  <c r="CJ448"/>
  <c r="M448" s="1"/>
  <c r="N449"/>
  <c r="O449"/>
  <c r="P449"/>
  <c r="CJ449"/>
  <c r="M449" s="1"/>
  <c r="J450"/>
  <c r="N450"/>
  <c r="O450"/>
  <c r="P450"/>
  <c r="R450"/>
  <c r="CJ450"/>
  <c r="M450" s="1"/>
  <c r="N451"/>
  <c r="O451"/>
  <c r="P451"/>
  <c r="R451"/>
  <c r="CJ451"/>
  <c r="M451" s="1"/>
  <c r="N452"/>
  <c r="O452"/>
  <c r="P452"/>
  <c r="CJ452"/>
  <c r="M452" s="1"/>
  <c r="N453"/>
  <c r="O453"/>
  <c r="P453"/>
  <c r="CJ453"/>
  <c r="M453" s="1"/>
  <c r="O454"/>
  <c r="P454"/>
  <c r="CE454"/>
  <c r="CJ454" s="1"/>
  <c r="M454" s="1"/>
  <c r="CN454"/>
  <c r="N454" s="1"/>
  <c r="N455"/>
  <c r="O455"/>
  <c r="P455"/>
  <c r="CJ455"/>
  <c r="M455" s="1"/>
  <c r="J456"/>
  <c r="N456"/>
  <c r="O456"/>
  <c r="P456"/>
  <c r="CJ456"/>
  <c r="M456" s="1"/>
  <c r="S456" s="1"/>
  <c r="N457"/>
  <c r="O457"/>
  <c r="P457"/>
  <c r="CJ457"/>
  <c r="M457" s="1"/>
  <c r="S457" s="1"/>
  <c r="J458"/>
  <c r="K458"/>
  <c r="N458"/>
  <c r="P458"/>
  <c r="CJ458"/>
  <c r="M458" s="1"/>
  <c r="CR458"/>
  <c r="O458" s="1"/>
  <c r="N459"/>
  <c r="O459"/>
  <c r="P459"/>
  <c r="CJ459"/>
  <c r="M459" s="1"/>
  <c r="N460"/>
  <c r="O460"/>
  <c r="P460"/>
  <c r="CJ460"/>
  <c r="M460"/>
  <c r="N461"/>
  <c r="O461"/>
  <c r="P461"/>
  <c r="CJ461"/>
  <c r="M461" s="1"/>
  <c r="N462"/>
  <c r="O462"/>
  <c r="P462"/>
  <c r="CJ462"/>
  <c r="M462" s="1"/>
  <c r="N463"/>
  <c r="O463"/>
  <c r="P463"/>
  <c r="CJ463"/>
  <c r="M463" s="1"/>
  <c r="N464"/>
  <c r="O464"/>
  <c r="P464"/>
  <c r="CJ464"/>
  <c r="M464" s="1"/>
  <c r="N465"/>
  <c r="O465"/>
  <c r="P465"/>
  <c r="CJ465"/>
  <c r="M465"/>
  <c r="N466"/>
  <c r="O466"/>
  <c r="P466"/>
  <c r="CJ466"/>
  <c r="M466" s="1"/>
  <c r="S466" s="1"/>
  <c r="N467"/>
  <c r="O467"/>
  <c r="P467"/>
  <c r="CJ467"/>
  <c r="M467" s="1"/>
  <c r="N468"/>
  <c r="O468"/>
  <c r="P468"/>
  <c r="CJ468"/>
  <c r="M468" s="1"/>
  <c r="N470"/>
  <c r="O470"/>
  <c r="P470"/>
  <c r="CJ470"/>
  <c r="M470" s="1"/>
  <c r="N471"/>
  <c r="O471"/>
  <c r="P471"/>
  <c r="Q471"/>
  <c r="CJ471"/>
  <c r="M471" s="1"/>
  <c r="N472"/>
  <c r="O472"/>
  <c r="P472"/>
  <c r="CJ472"/>
  <c r="M472" s="1"/>
  <c r="N473"/>
  <c r="O473"/>
  <c r="P473"/>
  <c r="CJ473"/>
  <c r="M473" s="1"/>
  <c r="N474"/>
  <c r="O474"/>
  <c r="P474"/>
  <c r="CJ474"/>
  <c r="M474" s="1"/>
  <c r="N475"/>
  <c r="O475"/>
  <c r="P475"/>
  <c r="CJ475"/>
  <c r="M475" s="1"/>
  <c r="N476"/>
  <c r="O476"/>
  <c r="P476"/>
  <c r="CJ476"/>
  <c r="M476" s="1"/>
  <c r="N477"/>
  <c r="O477"/>
  <c r="P477"/>
  <c r="CJ477"/>
  <c r="M477" s="1"/>
  <c r="O478"/>
  <c r="P478"/>
  <c r="R478"/>
  <c r="T478"/>
  <c r="T2426" s="1"/>
  <c r="CE478"/>
  <c r="CG478"/>
  <c r="CJ478" s="1"/>
  <c r="M478" s="1"/>
  <c r="S478" s="1"/>
  <c r="CN478"/>
  <c r="N478" s="1"/>
  <c r="N479"/>
  <c r="O479"/>
  <c r="P479"/>
  <c r="CJ479"/>
  <c r="M479"/>
  <c r="N481"/>
  <c r="O481"/>
  <c r="S481" s="1"/>
  <c r="P481"/>
  <c r="CJ481"/>
  <c r="M481" s="1"/>
  <c r="N482"/>
  <c r="O482"/>
  <c r="P482"/>
  <c r="CJ482"/>
  <c r="M482" s="1"/>
  <c r="N483"/>
  <c r="O483"/>
  <c r="P483"/>
  <c r="CJ483"/>
  <c r="M483" s="1"/>
  <c r="N484"/>
  <c r="O484"/>
  <c r="P484"/>
  <c r="CJ484"/>
  <c r="M484" s="1"/>
  <c r="N485"/>
  <c r="O485"/>
  <c r="P485"/>
  <c r="CJ485"/>
  <c r="M485" s="1"/>
  <c r="N486"/>
  <c r="O486"/>
  <c r="S486" s="1"/>
  <c r="P486"/>
  <c r="CJ486"/>
  <c r="M486" s="1"/>
  <c r="N487"/>
  <c r="O487"/>
  <c r="P487"/>
  <c r="CJ487"/>
  <c r="M487" s="1"/>
  <c r="N488"/>
  <c r="O488"/>
  <c r="P488"/>
  <c r="CJ488"/>
  <c r="M488" s="1"/>
  <c r="J489"/>
  <c r="N489"/>
  <c r="O489"/>
  <c r="P489"/>
  <c r="CJ489"/>
  <c r="M489" s="1"/>
  <c r="N490"/>
  <c r="O490"/>
  <c r="Q490"/>
  <c r="CJ490"/>
  <c r="M490" s="1"/>
  <c r="CL490"/>
  <c r="P490" s="1"/>
  <c r="N491"/>
  <c r="O491"/>
  <c r="P491"/>
  <c r="CJ491"/>
  <c r="M491" s="1"/>
  <c r="N492"/>
  <c r="O492"/>
  <c r="P492"/>
  <c r="CJ492"/>
  <c r="M492" s="1"/>
  <c r="N493"/>
  <c r="O493"/>
  <c r="P493"/>
  <c r="CJ493"/>
  <c r="M493" s="1"/>
  <c r="N494"/>
  <c r="O494"/>
  <c r="P494"/>
  <c r="CJ494"/>
  <c r="M494" s="1"/>
  <c r="J496"/>
  <c r="P496"/>
  <c r="AO496"/>
  <c r="BY496"/>
  <c r="CE496"/>
  <c r="CG496"/>
  <c r="CN496"/>
  <c r="N496" s="1"/>
  <c r="CR496"/>
  <c r="O496" s="1"/>
  <c r="O497"/>
  <c r="P497"/>
  <c r="CJ497"/>
  <c r="M497" s="1"/>
  <c r="CN497"/>
  <c r="N497" s="1"/>
  <c r="N498"/>
  <c r="O498"/>
  <c r="P498"/>
  <c r="CJ498"/>
  <c r="M498" s="1"/>
  <c r="N499"/>
  <c r="O499"/>
  <c r="P499"/>
  <c r="CJ499"/>
  <c r="M499" s="1"/>
  <c r="N500"/>
  <c r="O500"/>
  <c r="P500"/>
  <c r="CJ500"/>
  <c r="M500" s="1"/>
  <c r="N501"/>
  <c r="O501"/>
  <c r="P501"/>
  <c r="CJ501"/>
  <c r="M501" s="1"/>
  <c r="N503"/>
  <c r="O503"/>
  <c r="P503"/>
  <c r="CJ503"/>
  <c r="M503" s="1"/>
  <c r="N504"/>
  <c r="O504"/>
  <c r="S504" s="1"/>
  <c r="P504"/>
  <c r="CJ504"/>
  <c r="M504" s="1"/>
  <c r="N505"/>
  <c r="O505"/>
  <c r="P505"/>
  <c r="CJ505"/>
  <c r="M505" s="1"/>
  <c r="N506"/>
  <c r="O506"/>
  <c r="P506"/>
  <c r="CJ506"/>
  <c r="M506" s="1"/>
  <c r="N507"/>
  <c r="O507"/>
  <c r="S507" s="1"/>
  <c r="P507"/>
  <c r="CJ507"/>
  <c r="M507" s="1"/>
  <c r="O508"/>
  <c r="P508"/>
  <c r="CJ508"/>
  <c r="M508" s="1"/>
  <c r="CN508"/>
  <c r="N508"/>
  <c r="O509"/>
  <c r="P509"/>
  <c r="CJ509"/>
  <c r="M509"/>
  <c r="CN509"/>
  <c r="N509" s="1"/>
  <c r="J510"/>
  <c r="O510"/>
  <c r="P510"/>
  <c r="CJ510"/>
  <c r="M510" s="1"/>
  <c r="CN510"/>
  <c r="N510" s="1"/>
  <c r="J511"/>
  <c r="O511"/>
  <c r="P511"/>
  <c r="CJ511"/>
  <c r="M511" s="1"/>
  <c r="CN511"/>
  <c r="N511" s="1"/>
  <c r="O512"/>
  <c r="P512"/>
  <c r="CJ512"/>
  <c r="M512" s="1"/>
  <c r="CN512"/>
  <c r="N512" s="1"/>
  <c r="O513"/>
  <c r="P513"/>
  <c r="CJ513"/>
  <c r="M513" s="1"/>
  <c r="CN513"/>
  <c r="N513" s="1"/>
  <c r="J514"/>
  <c r="O514"/>
  <c r="P514"/>
  <c r="CJ514"/>
  <c r="M514" s="1"/>
  <c r="CN514"/>
  <c r="N514" s="1"/>
  <c r="O515"/>
  <c r="S515" s="1"/>
  <c r="P515"/>
  <c r="CJ515"/>
  <c r="M515" s="1"/>
  <c r="CN515"/>
  <c r="N515" s="1"/>
  <c r="J516"/>
  <c r="O516"/>
  <c r="P516"/>
  <c r="CJ516"/>
  <c r="M516"/>
  <c r="CN516"/>
  <c r="N516" s="1"/>
  <c r="O517"/>
  <c r="P517"/>
  <c r="CJ517"/>
  <c r="M517" s="1"/>
  <c r="CN517"/>
  <c r="N517" s="1"/>
  <c r="O518"/>
  <c r="P518"/>
  <c r="CJ518"/>
  <c r="M518" s="1"/>
  <c r="CN518"/>
  <c r="N518" s="1"/>
  <c r="O519"/>
  <c r="P519"/>
  <c r="CJ519"/>
  <c r="M519" s="1"/>
  <c r="CN519"/>
  <c r="N519"/>
  <c r="N520"/>
  <c r="O520"/>
  <c r="P520"/>
  <c r="CJ520"/>
  <c r="M520" s="1"/>
  <c r="S520" s="1"/>
  <c r="J521"/>
  <c r="N521"/>
  <c r="O521"/>
  <c r="P521"/>
  <c r="CJ521"/>
  <c r="M521" s="1"/>
  <c r="N522"/>
  <c r="O522"/>
  <c r="P522"/>
  <c r="S522" s="1"/>
  <c r="CJ522"/>
  <c r="M522" s="1"/>
  <c r="N523"/>
  <c r="O523"/>
  <c r="P523"/>
  <c r="CJ523"/>
  <c r="M523" s="1"/>
  <c r="N524"/>
  <c r="O524"/>
  <c r="P524"/>
  <c r="CJ524"/>
  <c r="M524" s="1"/>
  <c r="J525"/>
  <c r="N525"/>
  <c r="O525"/>
  <c r="P525"/>
  <c r="CJ525"/>
  <c r="M525" s="1"/>
  <c r="N526"/>
  <c r="O526"/>
  <c r="P526"/>
  <c r="CJ526"/>
  <c r="M526" s="1"/>
  <c r="N527"/>
  <c r="O527"/>
  <c r="P527"/>
  <c r="CJ527"/>
  <c r="M527"/>
  <c r="N528"/>
  <c r="O528"/>
  <c r="P528"/>
  <c r="CJ528"/>
  <c r="M528" s="1"/>
  <c r="N529"/>
  <c r="O529"/>
  <c r="P529"/>
  <c r="CJ529"/>
  <c r="M529" s="1"/>
  <c r="N530"/>
  <c r="O530"/>
  <c r="P530"/>
  <c r="CJ530"/>
  <c r="M530" s="1"/>
  <c r="O532"/>
  <c r="P532"/>
  <c r="AO532"/>
  <c r="CE532"/>
  <c r="CG532"/>
  <c r="CN532"/>
  <c r="N532" s="1"/>
  <c r="J533"/>
  <c r="P533"/>
  <c r="AO533"/>
  <c r="CJ533" s="1"/>
  <c r="M533" s="1"/>
  <c r="CN533"/>
  <c r="N533" s="1"/>
  <c r="CR533"/>
  <c r="O533" s="1"/>
  <c r="N534"/>
  <c r="O534"/>
  <c r="S534" s="1"/>
  <c r="P534"/>
  <c r="CJ534"/>
  <c r="M534" s="1"/>
  <c r="N535"/>
  <c r="O535"/>
  <c r="P535"/>
  <c r="CJ535"/>
  <c r="M535" s="1"/>
  <c r="J536"/>
  <c r="N536"/>
  <c r="O536"/>
  <c r="P536"/>
  <c r="CJ536"/>
  <c r="M536" s="1"/>
  <c r="P538"/>
  <c r="AO538"/>
  <c r="CJ538" s="1"/>
  <c r="M538" s="1"/>
  <c r="CN538"/>
  <c r="N538" s="1"/>
  <c r="CR538"/>
  <c r="O538" s="1"/>
  <c r="N539"/>
  <c r="O539"/>
  <c r="P539"/>
  <c r="CJ539"/>
  <c r="M539" s="1"/>
  <c r="N540"/>
  <c r="O540"/>
  <c r="P540"/>
  <c r="CJ540"/>
  <c r="M540" s="1"/>
  <c r="N541"/>
  <c r="O541"/>
  <c r="P541"/>
  <c r="CJ541"/>
  <c r="M541" s="1"/>
  <c r="N542"/>
  <c r="O542"/>
  <c r="P542"/>
  <c r="CJ542"/>
  <c r="M542" s="1"/>
  <c r="N543"/>
  <c r="O543"/>
  <c r="P543"/>
  <c r="CJ543"/>
  <c r="M543"/>
  <c r="J545"/>
  <c r="P545"/>
  <c r="AO545"/>
  <c r="CJ545"/>
  <c r="M545" s="1"/>
  <c r="CN545"/>
  <c r="N545" s="1"/>
  <c r="CR545"/>
  <c r="O545" s="1"/>
  <c r="J546"/>
  <c r="P546"/>
  <c r="AO546"/>
  <c r="CJ546" s="1"/>
  <c r="M546" s="1"/>
  <c r="CN546"/>
  <c r="N546"/>
  <c r="CR546"/>
  <c r="O546" s="1"/>
  <c r="S546" s="1"/>
  <c r="N547"/>
  <c r="O547"/>
  <c r="P547"/>
  <c r="CJ547"/>
  <c r="M547" s="1"/>
  <c r="J548"/>
  <c r="P548"/>
  <c r="AO548"/>
  <c r="CJ548" s="1"/>
  <c r="M548" s="1"/>
  <c r="CN548"/>
  <c r="N548" s="1"/>
  <c r="CR548"/>
  <c r="O548" s="1"/>
  <c r="J549"/>
  <c r="P549"/>
  <c r="AO549"/>
  <c r="CJ549" s="1"/>
  <c r="M549" s="1"/>
  <c r="CN549"/>
  <c r="N549" s="1"/>
  <c r="CR549"/>
  <c r="O549" s="1"/>
  <c r="N550"/>
  <c r="O550"/>
  <c r="P550"/>
  <c r="CJ550"/>
  <c r="M550" s="1"/>
  <c r="N551"/>
  <c r="O551"/>
  <c r="P551"/>
  <c r="CJ551"/>
  <c r="M551" s="1"/>
  <c r="N552"/>
  <c r="O552"/>
  <c r="P552"/>
  <c r="CJ552"/>
  <c r="M552"/>
  <c r="N553"/>
  <c r="O553"/>
  <c r="CJ553"/>
  <c r="M553"/>
  <c r="CK553"/>
  <c r="CL553"/>
  <c r="P553" s="1"/>
  <c r="N554"/>
  <c r="O554"/>
  <c r="P554"/>
  <c r="CJ554"/>
  <c r="M554" s="1"/>
  <c r="N555"/>
  <c r="O555"/>
  <c r="P555"/>
  <c r="CJ555"/>
  <c r="M555" s="1"/>
  <c r="N557"/>
  <c r="O557"/>
  <c r="P557"/>
  <c r="CJ557"/>
  <c r="M557" s="1"/>
  <c r="J558"/>
  <c r="O558"/>
  <c r="P558"/>
  <c r="AQ558"/>
  <c r="BY558"/>
  <c r="CE558"/>
  <c r="CG558"/>
  <c r="CN558"/>
  <c r="N558" s="1"/>
  <c r="N559"/>
  <c r="O559"/>
  <c r="P559"/>
  <c r="CJ559"/>
  <c r="M559" s="1"/>
  <c r="N560"/>
  <c r="O560"/>
  <c r="P560"/>
  <c r="CJ560"/>
  <c r="M560" s="1"/>
  <c r="N561"/>
  <c r="O561"/>
  <c r="P561"/>
  <c r="CJ561"/>
  <c r="M561" s="1"/>
  <c r="N562"/>
  <c r="O562"/>
  <c r="P562"/>
  <c r="CJ562"/>
  <c r="M562" s="1"/>
  <c r="O563"/>
  <c r="P563"/>
  <c r="BY563"/>
  <c r="CE563"/>
  <c r="CG563"/>
  <c r="CN563"/>
  <c r="N563" s="1"/>
  <c r="N564"/>
  <c r="S564" s="1"/>
  <c r="O564"/>
  <c r="P564"/>
  <c r="CJ564"/>
  <c r="M564" s="1"/>
  <c r="N565"/>
  <c r="O565"/>
  <c r="P565"/>
  <c r="CJ565"/>
  <c r="M565" s="1"/>
  <c r="J566"/>
  <c r="N566"/>
  <c r="P566"/>
  <c r="CJ566"/>
  <c r="M566" s="1"/>
  <c r="CR566"/>
  <c r="O566" s="1"/>
  <c r="O567"/>
  <c r="P567"/>
  <c r="AO567"/>
  <c r="AP567"/>
  <c r="AP2426" s="1"/>
  <c r="AQ567"/>
  <c r="BX567"/>
  <c r="BY567"/>
  <c r="CD567"/>
  <c r="CE567"/>
  <c r="CF567"/>
  <c r="CG567"/>
  <c r="CM567"/>
  <c r="CN567"/>
  <c r="N567" s="1"/>
  <c r="N568"/>
  <c r="O568"/>
  <c r="P568"/>
  <c r="CJ568"/>
  <c r="M568" s="1"/>
  <c r="O569"/>
  <c r="P569"/>
  <c r="CJ569"/>
  <c r="M569" s="1"/>
  <c r="CN569"/>
  <c r="N569" s="1"/>
  <c r="J570"/>
  <c r="O570"/>
  <c r="P570"/>
  <c r="CJ570"/>
  <c r="M570" s="1"/>
  <c r="CN570"/>
  <c r="N570" s="1"/>
  <c r="O571"/>
  <c r="P571"/>
  <c r="CJ571"/>
  <c r="M571" s="1"/>
  <c r="CN571"/>
  <c r="N571" s="1"/>
  <c r="N573"/>
  <c r="O573"/>
  <c r="P573"/>
  <c r="CJ573"/>
  <c r="M573" s="1"/>
  <c r="N574"/>
  <c r="O574"/>
  <c r="P574"/>
  <c r="CJ574"/>
  <c r="M574" s="1"/>
  <c r="N575"/>
  <c r="O575"/>
  <c r="P575"/>
  <c r="CJ575"/>
  <c r="M575" s="1"/>
  <c r="N576"/>
  <c r="O576"/>
  <c r="P576"/>
  <c r="CJ576"/>
  <c r="M576" s="1"/>
  <c r="N577"/>
  <c r="P577"/>
  <c r="AO577"/>
  <c r="BY577"/>
  <c r="CE577"/>
  <c r="CG577"/>
  <c r="CQ577"/>
  <c r="CR577"/>
  <c r="O577" s="1"/>
  <c r="N578"/>
  <c r="O578"/>
  <c r="P578"/>
  <c r="CJ578"/>
  <c r="M578" s="1"/>
  <c r="J579"/>
  <c r="P579"/>
  <c r="AO579"/>
  <c r="CE579"/>
  <c r="CG579"/>
  <c r="CN579"/>
  <c r="N579" s="1"/>
  <c r="CR579"/>
  <c r="O579" s="1"/>
  <c r="N580"/>
  <c r="O580"/>
  <c r="P580"/>
  <c r="CJ580"/>
  <c r="M580" s="1"/>
  <c r="J581"/>
  <c r="P581"/>
  <c r="AO581"/>
  <c r="CE581"/>
  <c r="CG581"/>
  <c r="CN581"/>
  <c r="N581" s="1"/>
  <c r="CR581"/>
  <c r="O581" s="1"/>
  <c r="N582"/>
  <c r="O582"/>
  <c r="P582"/>
  <c r="CJ582"/>
  <c r="M582" s="1"/>
  <c r="J585"/>
  <c r="K585"/>
  <c r="N585"/>
  <c r="O585"/>
  <c r="P585"/>
  <c r="CJ585"/>
  <c r="M585" s="1"/>
  <c r="N586"/>
  <c r="O586"/>
  <c r="P586"/>
  <c r="CJ586"/>
  <c r="M586" s="1"/>
  <c r="O587"/>
  <c r="P587"/>
  <c r="CC587"/>
  <c r="CG587"/>
  <c r="CN587"/>
  <c r="N587" s="1"/>
  <c r="J588"/>
  <c r="O588"/>
  <c r="P588"/>
  <c r="CJ588"/>
  <c r="M588" s="1"/>
  <c r="CN588"/>
  <c r="N588" s="1"/>
  <c r="N589"/>
  <c r="O589"/>
  <c r="P589"/>
  <c r="CJ589"/>
  <c r="M589" s="1"/>
  <c r="N590"/>
  <c r="O590"/>
  <c r="P590"/>
  <c r="CJ590"/>
  <c r="M590" s="1"/>
  <c r="O591"/>
  <c r="BA591"/>
  <c r="CJ591" s="1"/>
  <c r="M591" s="1"/>
  <c r="CE591"/>
  <c r="CG591"/>
  <c r="CL591"/>
  <c r="P591" s="1"/>
  <c r="CN591"/>
  <c r="N591" s="1"/>
  <c r="N592"/>
  <c r="O592"/>
  <c r="P592"/>
  <c r="CJ592"/>
  <c r="M592" s="1"/>
  <c r="N593"/>
  <c r="O593"/>
  <c r="P593"/>
  <c r="CJ593"/>
  <c r="M593" s="1"/>
  <c r="N594"/>
  <c r="O594"/>
  <c r="P594"/>
  <c r="CJ594"/>
  <c r="M594" s="1"/>
  <c r="J595"/>
  <c r="N595"/>
  <c r="O595"/>
  <c r="P595"/>
  <c r="CJ595"/>
  <c r="M595" s="1"/>
  <c r="N596"/>
  <c r="O596"/>
  <c r="P596"/>
  <c r="CJ596"/>
  <c r="M596" s="1"/>
  <c r="N597"/>
  <c r="O597"/>
  <c r="P597"/>
  <c r="CJ597"/>
  <c r="M597" s="1"/>
  <c r="N598"/>
  <c r="O598"/>
  <c r="P598"/>
  <c r="CJ598"/>
  <c r="M598"/>
  <c r="N599"/>
  <c r="O599"/>
  <c r="P599"/>
  <c r="CJ599"/>
  <c r="M599" s="1"/>
  <c r="J600"/>
  <c r="K600"/>
  <c r="N600"/>
  <c r="O600"/>
  <c r="P600"/>
  <c r="CJ600"/>
  <c r="M600" s="1"/>
  <c r="N601"/>
  <c r="O601"/>
  <c r="P601"/>
  <c r="CJ601"/>
  <c r="M601" s="1"/>
  <c r="N602"/>
  <c r="O602"/>
  <c r="P602"/>
  <c r="CJ602"/>
  <c r="M602" s="1"/>
  <c r="N603"/>
  <c r="O603"/>
  <c r="P603"/>
  <c r="CJ603"/>
  <c r="M603" s="1"/>
  <c r="N604"/>
  <c r="O604"/>
  <c r="P604"/>
  <c r="CJ604"/>
  <c r="M604" s="1"/>
  <c r="J605"/>
  <c r="K605"/>
  <c r="N605"/>
  <c r="O605"/>
  <c r="P605"/>
  <c r="CJ605"/>
  <c r="M605" s="1"/>
  <c r="N606"/>
  <c r="O606"/>
  <c r="P606"/>
  <c r="CJ606"/>
  <c r="M606"/>
  <c r="N607"/>
  <c r="O607"/>
  <c r="P607"/>
  <c r="CJ607"/>
  <c r="M607" s="1"/>
  <c r="N609"/>
  <c r="O609"/>
  <c r="P609"/>
  <c r="CJ609"/>
  <c r="M609" s="1"/>
  <c r="N610"/>
  <c r="O610"/>
  <c r="P610"/>
  <c r="CJ610"/>
  <c r="M610" s="1"/>
  <c r="N611"/>
  <c r="O611"/>
  <c r="P611"/>
  <c r="CJ611"/>
  <c r="M611" s="1"/>
  <c r="N612"/>
  <c r="O612"/>
  <c r="P612"/>
  <c r="CJ612"/>
  <c r="M612" s="1"/>
  <c r="N613"/>
  <c r="O613"/>
  <c r="P613"/>
  <c r="CJ613"/>
  <c r="M613" s="1"/>
  <c r="N614"/>
  <c r="O614"/>
  <c r="P614"/>
  <c r="CJ614"/>
  <c r="M614" s="1"/>
  <c r="S614" s="1"/>
  <c r="J615"/>
  <c r="N615"/>
  <c r="O615"/>
  <c r="P615"/>
  <c r="CJ615"/>
  <c r="M615" s="1"/>
  <c r="N616"/>
  <c r="O616"/>
  <c r="P616"/>
  <c r="CJ616"/>
  <c r="M616" s="1"/>
  <c r="N617"/>
  <c r="O617"/>
  <c r="P617"/>
  <c r="CJ617"/>
  <c r="M617" s="1"/>
  <c r="N618"/>
  <c r="O618"/>
  <c r="P618"/>
  <c r="CJ618"/>
  <c r="M618" s="1"/>
  <c r="N619"/>
  <c r="O619"/>
  <c r="P619"/>
  <c r="CJ619"/>
  <c r="M619" s="1"/>
  <c r="J620"/>
  <c r="N620"/>
  <c r="O620"/>
  <c r="P620"/>
  <c r="CJ620"/>
  <c r="M620"/>
  <c r="CQ620"/>
  <c r="J621"/>
  <c r="N621"/>
  <c r="O621"/>
  <c r="P621"/>
  <c r="CJ621"/>
  <c r="M621" s="1"/>
  <c r="N622"/>
  <c r="O622"/>
  <c r="P622"/>
  <c r="CJ622"/>
  <c r="M622"/>
  <c r="N623"/>
  <c r="O623"/>
  <c r="P623"/>
  <c r="CJ623"/>
  <c r="M623"/>
  <c r="N624"/>
  <c r="O624"/>
  <c r="P624"/>
  <c r="CJ624"/>
  <c r="M624" s="1"/>
  <c r="N625"/>
  <c r="O625"/>
  <c r="P625"/>
  <c r="CJ625"/>
  <c r="M625" s="1"/>
  <c r="N626"/>
  <c r="O626"/>
  <c r="P626"/>
  <c r="CJ626"/>
  <c r="M626" s="1"/>
  <c r="N627"/>
  <c r="O627"/>
  <c r="P627"/>
  <c r="CJ627"/>
  <c r="M627" s="1"/>
  <c r="N628"/>
  <c r="O628"/>
  <c r="P628"/>
  <c r="CJ628"/>
  <c r="M628" s="1"/>
  <c r="N629"/>
  <c r="O629"/>
  <c r="P629"/>
  <c r="CJ629"/>
  <c r="M629" s="1"/>
  <c r="N630"/>
  <c r="O630"/>
  <c r="P630"/>
  <c r="AM630"/>
  <c r="AO630"/>
  <c r="BW630"/>
  <c r="CE630"/>
  <c r="CG630"/>
  <c r="N631"/>
  <c r="O631"/>
  <c r="P631"/>
  <c r="CJ631"/>
  <c r="M631" s="1"/>
  <c r="N632"/>
  <c r="O632"/>
  <c r="P632"/>
  <c r="CJ632"/>
  <c r="M632" s="1"/>
  <c r="N633"/>
  <c r="O633"/>
  <c r="P633"/>
  <c r="CJ633"/>
  <c r="M633" s="1"/>
  <c r="N634"/>
  <c r="O634"/>
  <c r="P634"/>
  <c r="CJ634"/>
  <c r="M634" s="1"/>
  <c r="J635"/>
  <c r="N635"/>
  <c r="O635"/>
  <c r="P635"/>
  <c r="CJ635"/>
  <c r="M635" s="1"/>
  <c r="N636"/>
  <c r="O636"/>
  <c r="P636"/>
  <c r="CJ636"/>
  <c r="M636" s="1"/>
  <c r="J318"/>
  <c r="N318"/>
  <c r="P318"/>
  <c r="CJ318"/>
  <c r="M318" s="1"/>
  <c r="CR318"/>
  <c r="O318" s="1"/>
  <c r="N637"/>
  <c r="O637"/>
  <c r="P637"/>
  <c r="CJ637"/>
  <c r="M637" s="1"/>
  <c r="N638"/>
  <c r="O638"/>
  <c r="P638"/>
  <c r="CJ638"/>
  <c r="M638" s="1"/>
  <c r="N639"/>
  <c r="O639"/>
  <c r="P639"/>
  <c r="CJ639"/>
  <c r="M639" s="1"/>
  <c r="N640"/>
  <c r="O640"/>
  <c r="P640"/>
  <c r="CJ640"/>
  <c r="M640" s="1"/>
  <c r="N641"/>
  <c r="O641"/>
  <c r="P641"/>
  <c r="CJ641"/>
  <c r="M641" s="1"/>
  <c r="N642"/>
  <c r="CC642"/>
  <c r="CJ642" s="1"/>
  <c r="M642" s="1"/>
  <c r="CL642"/>
  <c r="P642" s="1"/>
  <c r="CR642"/>
  <c r="O642" s="1"/>
  <c r="N643"/>
  <c r="O643"/>
  <c r="P643"/>
  <c r="CJ643"/>
  <c r="M643" s="1"/>
  <c r="J644"/>
  <c r="N644"/>
  <c r="CJ644"/>
  <c r="M644" s="1"/>
  <c r="CL644"/>
  <c r="P644" s="1"/>
  <c r="CR644"/>
  <c r="O644" s="1"/>
  <c r="N645"/>
  <c r="O645"/>
  <c r="P645"/>
  <c r="CJ645"/>
  <c r="M645" s="1"/>
  <c r="N646"/>
  <c r="O646"/>
  <c r="P646"/>
  <c r="CJ646"/>
  <c r="M646"/>
  <c r="N647"/>
  <c r="O647"/>
  <c r="P647"/>
  <c r="CJ647"/>
  <c r="M647" s="1"/>
  <c r="S647" s="1"/>
  <c r="N648"/>
  <c r="O648"/>
  <c r="P648"/>
  <c r="CJ648"/>
  <c r="M648" s="1"/>
  <c r="N649"/>
  <c r="O649"/>
  <c r="P649"/>
  <c r="CJ649"/>
  <c r="M649" s="1"/>
  <c r="N650"/>
  <c r="O650"/>
  <c r="P650"/>
  <c r="CJ650"/>
  <c r="M650" s="1"/>
  <c r="N651"/>
  <c r="O651"/>
  <c r="P651"/>
  <c r="CJ651"/>
  <c r="M651" s="1"/>
  <c r="N652"/>
  <c r="O652"/>
  <c r="P652"/>
  <c r="CJ652"/>
  <c r="M652" s="1"/>
  <c r="N653"/>
  <c r="O653"/>
  <c r="P653"/>
  <c r="CJ653"/>
  <c r="M653" s="1"/>
  <c r="N654"/>
  <c r="O654"/>
  <c r="P654"/>
  <c r="CJ654"/>
  <c r="M654" s="1"/>
  <c r="N655"/>
  <c r="O655"/>
  <c r="P655"/>
  <c r="CJ655"/>
  <c r="M655" s="1"/>
  <c r="N656"/>
  <c r="O656"/>
  <c r="P656"/>
  <c r="CJ656"/>
  <c r="M656" s="1"/>
  <c r="N657"/>
  <c r="O657"/>
  <c r="P657"/>
  <c r="CJ657"/>
  <c r="M657" s="1"/>
  <c r="N658"/>
  <c r="O658"/>
  <c r="P658"/>
  <c r="CJ658"/>
  <c r="M658" s="1"/>
  <c r="N659"/>
  <c r="O659"/>
  <c r="P659"/>
  <c r="CJ659"/>
  <c r="M659" s="1"/>
  <c r="J660"/>
  <c r="K660"/>
  <c r="N660"/>
  <c r="P660"/>
  <c r="AO660"/>
  <c r="BW660"/>
  <c r="BY660"/>
  <c r="CR660"/>
  <c r="O660" s="1"/>
  <c r="J661"/>
  <c r="N661"/>
  <c r="O661"/>
  <c r="P661"/>
  <c r="CJ661"/>
  <c r="M661" s="1"/>
  <c r="J662"/>
  <c r="P662"/>
  <c r="CJ662"/>
  <c r="M662" s="1"/>
  <c r="CN662"/>
  <c r="N662" s="1"/>
  <c r="CQ662"/>
  <c r="CR662"/>
  <c r="O662" s="1"/>
  <c r="N663"/>
  <c r="O663"/>
  <c r="P663"/>
  <c r="CJ663"/>
  <c r="M663" s="1"/>
  <c r="J664"/>
  <c r="N664"/>
  <c r="P664"/>
  <c r="CJ664"/>
  <c r="M664" s="1"/>
  <c r="CQ664"/>
  <c r="CR664"/>
  <c r="O664" s="1"/>
  <c r="N665"/>
  <c r="O665"/>
  <c r="P665"/>
  <c r="CJ665"/>
  <c r="M665" s="1"/>
  <c r="N666"/>
  <c r="O666"/>
  <c r="P666"/>
  <c r="CJ666"/>
  <c r="M666" s="1"/>
  <c r="N667"/>
  <c r="O667"/>
  <c r="P667"/>
  <c r="CJ667"/>
  <c r="M667" s="1"/>
  <c r="N668"/>
  <c r="O668"/>
  <c r="P668"/>
  <c r="CJ668"/>
  <c r="M668" s="1"/>
  <c r="N669"/>
  <c r="O669"/>
  <c r="P669"/>
  <c r="CJ669"/>
  <c r="M669" s="1"/>
  <c r="N670"/>
  <c r="O670"/>
  <c r="S670" s="1"/>
  <c r="P670"/>
  <c r="CJ670"/>
  <c r="M670" s="1"/>
  <c r="N671"/>
  <c r="O671"/>
  <c r="P671"/>
  <c r="CJ671"/>
  <c r="M671" s="1"/>
  <c r="O672"/>
  <c r="P672"/>
  <c r="AK672"/>
  <c r="CE672"/>
  <c r="CN672"/>
  <c r="N672"/>
  <c r="N673"/>
  <c r="O673"/>
  <c r="P673"/>
  <c r="CJ673"/>
  <c r="M673" s="1"/>
  <c r="N674"/>
  <c r="O674"/>
  <c r="P674"/>
  <c r="CJ674"/>
  <c r="M674" s="1"/>
  <c r="N320"/>
  <c r="O320"/>
  <c r="P320"/>
  <c r="CJ320"/>
  <c r="M320" s="1"/>
  <c r="O675"/>
  <c r="P675"/>
  <c r="AO675"/>
  <c r="BO675"/>
  <c r="BY675"/>
  <c r="CE675"/>
  <c r="CG675"/>
  <c r="CN675"/>
  <c r="N675" s="1"/>
  <c r="N676"/>
  <c r="O676"/>
  <c r="P676"/>
  <c r="CJ676"/>
  <c r="M676" s="1"/>
  <c r="N677"/>
  <c r="O677"/>
  <c r="P677"/>
  <c r="CJ677"/>
  <c r="M677" s="1"/>
  <c r="N678"/>
  <c r="O678"/>
  <c r="P678"/>
  <c r="S678" s="1"/>
  <c r="CJ678"/>
  <c r="M678" s="1"/>
  <c r="J679"/>
  <c r="N679"/>
  <c r="O679"/>
  <c r="P679"/>
  <c r="CC679"/>
  <c r="CJ679" s="1"/>
  <c r="M679"/>
  <c r="N680"/>
  <c r="O680"/>
  <c r="P680"/>
  <c r="CJ680"/>
  <c r="M680" s="1"/>
  <c r="N681"/>
  <c r="S681" s="1"/>
  <c r="O681"/>
  <c r="P681"/>
  <c r="CJ681"/>
  <c r="M681" s="1"/>
  <c r="N682"/>
  <c r="O682"/>
  <c r="P682"/>
  <c r="CJ682"/>
  <c r="M682" s="1"/>
  <c r="J683"/>
  <c r="N683"/>
  <c r="O683"/>
  <c r="P683"/>
  <c r="CJ683"/>
  <c r="M683" s="1"/>
  <c r="S683" s="1"/>
  <c r="N684"/>
  <c r="O684"/>
  <c r="P684"/>
  <c r="CJ684"/>
  <c r="M684" s="1"/>
  <c r="S684" s="1"/>
  <c r="N685"/>
  <c r="O685"/>
  <c r="P685"/>
  <c r="CJ685"/>
  <c r="M685" s="1"/>
  <c r="S685" s="1"/>
  <c r="O686"/>
  <c r="P686"/>
  <c r="AO686"/>
  <c r="CE686"/>
  <c r="CJ686" s="1"/>
  <c r="M686" s="1"/>
  <c r="S686" s="1"/>
  <c r="CG686"/>
  <c r="CN686"/>
  <c r="N686" s="1"/>
  <c r="N687"/>
  <c r="O687"/>
  <c r="S687" s="1"/>
  <c r="P687"/>
  <c r="CJ687"/>
  <c r="M687" s="1"/>
  <c r="N688"/>
  <c r="O688"/>
  <c r="P688"/>
  <c r="CJ688"/>
  <c r="M688" s="1"/>
  <c r="N689"/>
  <c r="O689"/>
  <c r="S689" s="1"/>
  <c r="P689"/>
  <c r="CJ689"/>
  <c r="M689" s="1"/>
  <c r="J690"/>
  <c r="N690"/>
  <c r="O690"/>
  <c r="P690"/>
  <c r="CJ690"/>
  <c r="M690" s="1"/>
  <c r="N691"/>
  <c r="O691"/>
  <c r="P691"/>
  <c r="CJ691"/>
  <c r="M691" s="1"/>
  <c r="N692"/>
  <c r="S692" s="1"/>
  <c r="O692"/>
  <c r="P692"/>
  <c r="CJ692"/>
  <c r="M692" s="1"/>
  <c r="J693"/>
  <c r="N693"/>
  <c r="O693"/>
  <c r="P693"/>
  <c r="CJ693"/>
  <c r="M693" s="1"/>
  <c r="S693" s="1"/>
  <c r="N694"/>
  <c r="O694"/>
  <c r="P694"/>
  <c r="CJ694"/>
  <c r="M694" s="1"/>
  <c r="S694" s="1"/>
  <c r="N695"/>
  <c r="O695"/>
  <c r="P695"/>
  <c r="CJ695"/>
  <c r="M695" s="1"/>
  <c r="N698"/>
  <c r="O698"/>
  <c r="P698"/>
  <c r="CJ698"/>
  <c r="M698" s="1"/>
  <c r="N696"/>
  <c r="O696"/>
  <c r="P696"/>
  <c r="CJ696"/>
  <c r="M696" s="1"/>
  <c r="N697"/>
  <c r="O697"/>
  <c r="P697"/>
  <c r="CJ697"/>
  <c r="M697" s="1"/>
  <c r="O699"/>
  <c r="P699"/>
  <c r="BA699"/>
  <c r="BO699"/>
  <c r="CJ699" s="1"/>
  <c r="M699" s="1"/>
  <c r="CC699"/>
  <c r="CE699"/>
  <c r="CN699"/>
  <c r="N699" s="1"/>
  <c r="N700"/>
  <c r="S700" s="1"/>
  <c r="O700"/>
  <c r="P700"/>
  <c r="CJ700"/>
  <c r="M700" s="1"/>
  <c r="N701"/>
  <c r="O701"/>
  <c r="P701"/>
  <c r="CJ701"/>
  <c r="M701"/>
  <c r="S701" s="1"/>
  <c r="N702"/>
  <c r="O702"/>
  <c r="P702"/>
  <c r="CJ702"/>
  <c r="M702" s="1"/>
  <c r="S702" s="1"/>
  <c r="N703"/>
  <c r="O703"/>
  <c r="P703"/>
  <c r="CJ703"/>
  <c r="M703" s="1"/>
  <c r="S703" s="1"/>
  <c r="N704"/>
  <c r="O704"/>
  <c r="P704"/>
  <c r="CJ704"/>
  <c r="M704" s="1"/>
  <c r="N705"/>
  <c r="O705"/>
  <c r="P705"/>
  <c r="CJ705"/>
  <c r="M705" s="1"/>
  <c r="S705" s="1"/>
  <c r="N706"/>
  <c r="O706"/>
  <c r="P706"/>
  <c r="CJ706"/>
  <c r="M706" s="1"/>
  <c r="S706" s="1"/>
  <c r="N707"/>
  <c r="O707"/>
  <c r="P707"/>
  <c r="CJ707"/>
  <c r="M707" s="1"/>
  <c r="S707" s="1"/>
  <c r="N708"/>
  <c r="O708"/>
  <c r="P708"/>
  <c r="CJ708"/>
  <c r="M708" s="1"/>
  <c r="S708" s="1"/>
  <c r="O709"/>
  <c r="P709"/>
  <c r="AO709"/>
  <c r="BY709"/>
  <c r="CE709"/>
  <c r="CG709"/>
  <c r="CN709"/>
  <c r="N709" s="1"/>
  <c r="P710"/>
  <c r="CE710"/>
  <c r="CG710"/>
  <c r="CN710"/>
  <c r="N710" s="1"/>
  <c r="CR710"/>
  <c r="O710" s="1"/>
  <c r="N711"/>
  <c r="O711"/>
  <c r="P711"/>
  <c r="CJ711"/>
  <c r="M711" s="1"/>
  <c r="N712"/>
  <c r="O712"/>
  <c r="P712"/>
  <c r="CJ712"/>
  <c r="M712" s="1"/>
  <c r="N713"/>
  <c r="O713"/>
  <c r="P713"/>
  <c r="CJ713"/>
  <c r="M713" s="1"/>
  <c r="S713" s="1"/>
  <c r="N714"/>
  <c r="O714"/>
  <c r="P714"/>
  <c r="CJ714"/>
  <c r="M714" s="1"/>
  <c r="S714" s="1"/>
  <c r="N715"/>
  <c r="O715"/>
  <c r="P715"/>
  <c r="CJ715"/>
  <c r="M715" s="1"/>
  <c r="S715" s="1"/>
  <c r="N716"/>
  <c r="O716"/>
  <c r="P716"/>
  <c r="CJ716"/>
  <c r="M716" s="1"/>
  <c r="N717"/>
  <c r="O717"/>
  <c r="P717"/>
  <c r="CJ717"/>
  <c r="M717" s="1"/>
  <c r="CU702"/>
  <c r="N718"/>
  <c r="O718"/>
  <c r="P718"/>
  <c r="CJ718"/>
  <c r="M718" s="1"/>
  <c r="J719"/>
  <c r="N719"/>
  <c r="P719"/>
  <c r="CJ719"/>
  <c r="M719" s="1"/>
  <c r="CR719"/>
  <c r="O719" s="1"/>
  <c r="N720"/>
  <c r="O720"/>
  <c r="P720"/>
  <c r="CJ720"/>
  <c r="M720" s="1"/>
  <c r="N721"/>
  <c r="O721"/>
  <c r="P721"/>
  <c r="CJ721"/>
  <c r="M721"/>
  <c r="N722"/>
  <c r="O722"/>
  <c r="P722"/>
  <c r="CJ722"/>
  <c r="M722" s="1"/>
  <c r="N723"/>
  <c r="O723"/>
  <c r="CJ723"/>
  <c r="M723" s="1"/>
  <c r="CK723"/>
  <c r="CL723"/>
  <c r="P723" s="1"/>
  <c r="N724"/>
  <c r="O724"/>
  <c r="P724"/>
  <c r="CJ724"/>
  <c r="M724" s="1"/>
  <c r="N725"/>
  <c r="O725"/>
  <c r="P725"/>
  <c r="CJ725"/>
  <c r="M725" s="1"/>
  <c r="J726"/>
  <c r="N726"/>
  <c r="O726"/>
  <c r="P726"/>
  <c r="CJ726"/>
  <c r="M726"/>
  <c r="N727"/>
  <c r="O727"/>
  <c r="P727"/>
  <c r="CJ727"/>
  <c r="M727" s="1"/>
  <c r="N728"/>
  <c r="O728"/>
  <c r="P728"/>
  <c r="CJ728"/>
  <c r="M728" s="1"/>
  <c r="N729"/>
  <c r="O729"/>
  <c r="P729"/>
  <c r="CJ729"/>
  <c r="M729" s="1"/>
  <c r="N730"/>
  <c r="O730"/>
  <c r="P730"/>
  <c r="CJ730"/>
  <c r="M730" s="1"/>
  <c r="N731"/>
  <c r="O731"/>
  <c r="P731"/>
  <c r="Q731"/>
  <c r="CJ731"/>
  <c r="M731" s="1"/>
  <c r="S731" s="1"/>
  <c r="N732"/>
  <c r="P732"/>
  <c r="CJ732"/>
  <c r="M732" s="1"/>
  <c r="N733"/>
  <c r="O733"/>
  <c r="P733"/>
  <c r="CJ733"/>
  <c r="M733" s="1"/>
  <c r="N734"/>
  <c r="O734"/>
  <c r="P734"/>
  <c r="CJ734"/>
  <c r="M734" s="1"/>
  <c r="N735"/>
  <c r="S735" s="1"/>
  <c r="O735"/>
  <c r="P735"/>
  <c r="CJ735"/>
  <c r="M735" s="1"/>
  <c r="N736"/>
  <c r="S736" s="1"/>
  <c r="O736"/>
  <c r="P736"/>
  <c r="CJ736"/>
  <c r="M736" s="1"/>
  <c r="N737"/>
  <c r="O737"/>
  <c r="P737"/>
  <c r="CJ737"/>
  <c r="M737" s="1"/>
  <c r="N738"/>
  <c r="O738"/>
  <c r="P738"/>
  <c r="CJ738"/>
  <c r="M738" s="1"/>
  <c r="N739"/>
  <c r="O739"/>
  <c r="P739"/>
  <c r="CJ739"/>
  <c r="M739" s="1"/>
  <c r="N740"/>
  <c r="P740"/>
  <c r="AO740"/>
  <c r="CJ740" s="1"/>
  <c r="M740" s="1"/>
  <c r="CQ740"/>
  <c r="CR740"/>
  <c r="O740" s="1"/>
  <c r="N741"/>
  <c r="P741"/>
  <c r="AO741"/>
  <c r="CJ741" s="1"/>
  <c r="M741" s="1"/>
  <c r="CQ741"/>
  <c r="CR741"/>
  <c r="O741" s="1"/>
  <c r="J742"/>
  <c r="N742"/>
  <c r="P742"/>
  <c r="AO742"/>
  <c r="CJ742" s="1"/>
  <c r="M742" s="1"/>
  <c r="S742" s="1"/>
  <c r="CQ742"/>
  <c r="CR742"/>
  <c r="O742" s="1"/>
  <c r="N743"/>
  <c r="O743"/>
  <c r="P743"/>
  <c r="CJ743"/>
  <c r="M743" s="1"/>
  <c r="N745"/>
  <c r="O745"/>
  <c r="P745"/>
  <c r="CJ745"/>
  <c r="M745" s="1"/>
  <c r="N746"/>
  <c r="O746"/>
  <c r="P746"/>
  <c r="CJ746"/>
  <c r="M746" s="1"/>
  <c r="N747"/>
  <c r="O747"/>
  <c r="S747" s="1"/>
  <c r="P747"/>
  <c r="CJ747"/>
  <c r="M747" s="1"/>
  <c r="N748"/>
  <c r="O748"/>
  <c r="P748"/>
  <c r="CJ748"/>
  <c r="M748"/>
  <c r="N749"/>
  <c r="O749"/>
  <c r="P749"/>
  <c r="CJ749"/>
  <c r="M749" s="1"/>
  <c r="N750"/>
  <c r="O750"/>
  <c r="P750"/>
  <c r="CJ750"/>
  <c r="M750" s="1"/>
  <c r="N751"/>
  <c r="O751"/>
  <c r="P751"/>
  <c r="CJ751"/>
  <c r="M751" s="1"/>
  <c r="N752"/>
  <c r="O752"/>
  <c r="P752"/>
  <c r="CJ752"/>
  <c r="M752" s="1"/>
  <c r="N753"/>
  <c r="O753"/>
  <c r="P753"/>
  <c r="CJ753"/>
  <c r="M753" s="1"/>
  <c r="N2257"/>
  <c r="O2257"/>
  <c r="P2257"/>
  <c r="CJ2257"/>
  <c r="M2257" s="1"/>
  <c r="N755"/>
  <c r="S755" s="1"/>
  <c r="O755"/>
  <c r="P755"/>
  <c r="CJ755"/>
  <c r="M755" s="1"/>
  <c r="O756"/>
  <c r="P756"/>
  <c r="AQ756"/>
  <c r="CC756"/>
  <c r="CM756"/>
  <c r="CN756"/>
  <c r="N756" s="1"/>
  <c r="P757"/>
  <c r="AO757"/>
  <c r="BY757"/>
  <c r="CJ757" s="1"/>
  <c r="M757" s="1"/>
  <c r="CD757"/>
  <c r="CE757"/>
  <c r="CG757"/>
  <c r="CM757"/>
  <c r="CN757"/>
  <c r="N757" s="1"/>
  <c r="CR757"/>
  <c r="O757" s="1"/>
  <c r="N758"/>
  <c r="O758"/>
  <c r="P758"/>
  <c r="CJ758"/>
  <c r="M758" s="1"/>
  <c r="O759"/>
  <c r="P759"/>
  <c r="AO759"/>
  <c r="BY759"/>
  <c r="CE759"/>
  <c r="CG759"/>
  <c r="CN759"/>
  <c r="N759" s="1"/>
  <c r="N760"/>
  <c r="O760"/>
  <c r="P760"/>
  <c r="AK760"/>
  <c r="AO760"/>
  <c r="AQ760"/>
  <c r="CE760"/>
  <c r="CG760"/>
  <c r="N761"/>
  <c r="O761"/>
  <c r="P761"/>
  <c r="CJ761"/>
  <c r="M761" s="1"/>
  <c r="N762"/>
  <c r="O762"/>
  <c r="P762"/>
  <c r="S762" s="1"/>
  <c r="CJ762"/>
  <c r="M762" s="1"/>
  <c r="J763"/>
  <c r="N763"/>
  <c r="O763"/>
  <c r="P763"/>
  <c r="CJ763"/>
  <c r="M763" s="1"/>
  <c r="N764"/>
  <c r="O764"/>
  <c r="P764"/>
  <c r="CJ764"/>
  <c r="M764" s="1"/>
  <c r="N765"/>
  <c r="O765"/>
  <c r="P765"/>
  <c r="CJ765"/>
  <c r="M765" s="1"/>
  <c r="N766"/>
  <c r="O766"/>
  <c r="S766" s="1"/>
  <c r="P766"/>
  <c r="CJ766"/>
  <c r="M766" s="1"/>
  <c r="N767"/>
  <c r="O767"/>
  <c r="S767" s="1"/>
  <c r="P767"/>
  <c r="CJ767"/>
  <c r="M767" s="1"/>
  <c r="N768"/>
  <c r="O768"/>
  <c r="P768"/>
  <c r="CJ768"/>
  <c r="M768" s="1"/>
  <c r="N769"/>
  <c r="O769"/>
  <c r="P769"/>
  <c r="CJ769"/>
  <c r="M769" s="1"/>
  <c r="N770"/>
  <c r="O770"/>
  <c r="S770" s="1"/>
  <c r="P770"/>
  <c r="CJ770"/>
  <c r="M770" s="1"/>
  <c r="N771"/>
  <c r="O771"/>
  <c r="S771" s="1"/>
  <c r="P771"/>
  <c r="CJ771"/>
  <c r="M771" s="1"/>
  <c r="N772"/>
  <c r="O772"/>
  <c r="P772"/>
  <c r="CJ772"/>
  <c r="M772" s="1"/>
  <c r="O773"/>
  <c r="AO773"/>
  <c r="CE773"/>
  <c r="CG773"/>
  <c r="CL773"/>
  <c r="P773" s="1"/>
  <c r="CN773"/>
  <c r="N773" s="1"/>
  <c r="N774"/>
  <c r="O774"/>
  <c r="P774"/>
  <c r="CJ774"/>
  <c r="M774" s="1"/>
  <c r="J776"/>
  <c r="K776"/>
  <c r="O776"/>
  <c r="P776"/>
  <c r="CE776"/>
  <c r="CG776"/>
  <c r="CN776"/>
  <c r="N776" s="1"/>
  <c r="N777"/>
  <c r="O777"/>
  <c r="P777"/>
  <c r="CJ777"/>
  <c r="M777" s="1"/>
  <c r="N778"/>
  <c r="O778"/>
  <c r="P778"/>
  <c r="CJ778"/>
  <c r="M778" s="1"/>
  <c r="N779"/>
  <c r="O779"/>
  <c r="P779"/>
  <c r="CJ779"/>
  <c r="M779" s="1"/>
  <c r="N780"/>
  <c r="O780"/>
  <c r="P780"/>
  <c r="CJ780"/>
  <c r="M780"/>
  <c r="N781"/>
  <c r="O781"/>
  <c r="P781"/>
  <c r="CJ781"/>
  <c r="M781" s="1"/>
  <c r="N782"/>
  <c r="O782"/>
  <c r="P782"/>
  <c r="CJ782"/>
  <c r="M782" s="1"/>
  <c r="J783"/>
  <c r="N783"/>
  <c r="O783"/>
  <c r="P783"/>
  <c r="CJ783"/>
  <c r="M783" s="1"/>
  <c r="J784"/>
  <c r="N784"/>
  <c r="O784"/>
  <c r="P784"/>
  <c r="CJ784"/>
  <c r="M784" s="1"/>
  <c r="O785"/>
  <c r="P785"/>
  <c r="BA785"/>
  <c r="CB785"/>
  <c r="CC785"/>
  <c r="CM785"/>
  <c r="CN785"/>
  <c r="N785" s="1"/>
  <c r="N786"/>
  <c r="O786"/>
  <c r="P786"/>
  <c r="CJ786"/>
  <c r="M786" s="1"/>
  <c r="N787"/>
  <c r="O787"/>
  <c r="P787"/>
  <c r="S787" s="1"/>
  <c r="CJ787"/>
  <c r="M787" s="1"/>
  <c r="N788"/>
  <c r="O788"/>
  <c r="P788"/>
  <c r="CJ788"/>
  <c r="M788" s="1"/>
  <c r="N789"/>
  <c r="O789"/>
  <c r="P789"/>
  <c r="CJ789"/>
  <c r="M789" s="1"/>
  <c r="N790"/>
  <c r="O790"/>
  <c r="P790"/>
  <c r="CJ790"/>
  <c r="M790" s="1"/>
  <c r="N791"/>
  <c r="O791"/>
  <c r="P791"/>
  <c r="CJ791"/>
  <c r="M791" s="1"/>
  <c r="N792"/>
  <c r="O792"/>
  <c r="P792"/>
  <c r="CJ792"/>
  <c r="M792" s="1"/>
  <c r="N793"/>
  <c r="O793"/>
  <c r="P793"/>
  <c r="CJ793"/>
  <c r="M793" s="1"/>
  <c r="O794"/>
  <c r="P794"/>
  <c r="AO794"/>
  <c r="BA794"/>
  <c r="BN794"/>
  <c r="BO794"/>
  <c r="CB794"/>
  <c r="CC794"/>
  <c r="CD794"/>
  <c r="CE794"/>
  <c r="CG794"/>
  <c r="CM794"/>
  <c r="CN794"/>
  <c r="N794" s="1"/>
  <c r="N795"/>
  <c r="O795"/>
  <c r="P795"/>
  <c r="CJ795"/>
  <c r="M795" s="1"/>
  <c r="N796"/>
  <c r="O796"/>
  <c r="S796" s="1"/>
  <c r="P796"/>
  <c r="CJ796"/>
  <c r="M796" s="1"/>
  <c r="N797"/>
  <c r="O797"/>
  <c r="S797" s="1"/>
  <c r="P797"/>
  <c r="CJ797"/>
  <c r="M797" s="1"/>
  <c r="J798"/>
  <c r="O798"/>
  <c r="CE798"/>
  <c r="CG798"/>
  <c r="CL798"/>
  <c r="P798" s="1"/>
  <c r="CN798"/>
  <c r="N798" s="1"/>
  <c r="O799"/>
  <c r="CD799"/>
  <c r="CE799"/>
  <c r="CF799"/>
  <c r="CG799"/>
  <c r="CL799"/>
  <c r="P799" s="1"/>
  <c r="CM799"/>
  <c r="CN799"/>
  <c r="N799" s="1"/>
  <c r="N800"/>
  <c r="O800"/>
  <c r="P800"/>
  <c r="CJ800"/>
  <c r="M800" s="1"/>
  <c r="S800" s="1"/>
  <c r="N801"/>
  <c r="O801"/>
  <c r="P801"/>
  <c r="AO801"/>
  <c r="BO801"/>
  <c r="N802"/>
  <c r="O802"/>
  <c r="P802"/>
  <c r="CJ802"/>
  <c r="M802" s="1"/>
  <c r="N803"/>
  <c r="O803"/>
  <c r="P803"/>
  <c r="CJ803"/>
  <c r="M803" s="1"/>
  <c r="N804"/>
  <c r="O804"/>
  <c r="P804"/>
  <c r="CJ804"/>
  <c r="M804" s="1"/>
  <c r="N805"/>
  <c r="O805"/>
  <c r="P805"/>
  <c r="CJ805"/>
  <c r="M805" s="1"/>
  <c r="N806"/>
  <c r="O806"/>
  <c r="P806"/>
  <c r="CJ806"/>
  <c r="M806" s="1"/>
  <c r="N807"/>
  <c r="O807"/>
  <c r="P807"/>
  <c r="CJ807"/>
  <c r="M807" s="1"/>
  <c r="N808"/>
  <c r="O808"/>
  <c r="P808"/>
  <c r="CJ808"/>
  <c r="M808" s="1"/>
  <c r="N809"/>
  <c r="O809"/>
  <c r="P809"/>
  <c r="S809" s="1"/>
  <c r="CJ809"/>
  <c r="M809" s="1"/>
  <c r="N810"/>
  <c r="O810"/>
  <c r="P810"/>
  <c r="S810" s="1"/>
  <c r="CJ810"/>
  <c r="M810" s="1"/>
  <c r="N811"/>
  <c r="O811"/>
  <c r="P811"/>
  <c r="S811" s="1"/>
  <c r="CJ811"/>
  <c r="M811" s="1"/>
  <c r="N812"/>
  <c r="O812"/>
  <c r="P812"/>
  <c r="CJ812"/>
  <c r="M812" s="1"/>
  <c r="J813"/>
  <c r="N813"/>
  <c r="O813"/>
  <c r="S813" s="1"/>
  <c r="P813"/>
  <c r="CJ813"/>
  <c r="M813" s="1"/>
  <c r="J814"/>
  <c r="O814"/>
  <c r="P814"/>
  <c r="AK814"/>
  <c r="AO814"/>
  <c r="CN814"/>
  <c r="N814" s="1"/>
  <c r="J815"/>
  <c r="K815"/>
  <c r="N815"/>
  <c r="O815"/>
  <c r="S815" s="1"/>
  <c r="P815"/>
  <c r="CJ815"/>
  <c r="M815" s="1"/>
  <c r="N816"/>
  <c r="O816"/>
  <c r="P816"/>
  <c r="CJ816"/>
  <c r="M816" s="1"/>
  <c r="N817"/>
  <c r="O817"/>
  <c r="S817" s="1"/>
  <c r="P817"/>
  <c r="CJ817"/>
  <c r="M817" s="1"/>
  <c r="N818"/>
  <c r="O818"/>
  <c r="P818"/>
  <c r="CJ818"/>
  <c r="M818" s="1"/>
  <c r="N819"/>
  <c r="O819"/>
  <c r="S819" s="1"/>
  <c r="P819"/>
  <c r="CJ819"/>
  <c r="M819" s="1"/>
  <c r="O820"/>
  <c r="P820"/>
  <c r="CE820"/>
  <c r="CG820"/>
  <c r="CN820"/>
  <c r="N820" s="1"/>
  <c r="N821"/>
  <c r="O821"/>
  <c r="P821"/>
  <c r="CJ821"/>
  <c r="M821" s="1"/>
  <c r="N822"/>
  <c r="S822" s="1"/>
  <c r="O822"/>
  <c r="P822"/>
  <c r="CJ822"/>
  <c r="M822" s="1"/>
  <c r="N823"/>
  <c r="O823"/>
  <c r="CJ823"/>
  <c r="M823" s="1"/>
  <c r="CK823"/>
  <c r="CL823"/>
  <c r="P823" s="1"/>
  <c r="N824"/>
  <c r="O824"/>
  <c r="P824"/>
  <c r="CJ824"/>
  <c r="M824" s="1"/>
  <c r="N825"/>
  <c r="O825"/>
  <c r="P825"/>
  <c r="CJ825"/>
  <c r="M825" s="1"/>
  <c r="S825" s="1"/>
  <c r="N826"/>
  <c r="O826"/>
  <c r="P826"/>
  <c r="CJ826"/>
  <c r="M826" s="1"/>
  <c r="N827"/>
  <c r="O827"/>
  <c r="P827"/>
  <c r="CJ827"/>
  <c r="M827" s="1"/>
  <c r="S827" s="1"/>
  <c r="J828"/>
  <c r="O828"/>
  <c r="P828"/>
  <c r="BN828"/>
  <c r="BO828"/>
  <c r="CE828"/>
  <c r="CM828"/>
  <c r="CN828"/>
  <c r="N828" s="1"/>
  <c r="N829"/>
  <c r="O829"/>
  <c r="P829"/>
  <c r="CJ829"/>
  <c r="M829" s="1"/>
  <c r="S829" s="1"/>
  <c r="N830"/>
  <c r="O830"/>
  <c r="P830"/>
  <c r="CJ830"/>
  <c r="M830" s="1"/>
  <c r="N831"/>
  <c r="O831"/>
  <c r="P831"/>
  <c r="CJ831"/>
  <c r="M831" s="1"/>
  <c r="N832"/>
  <c r="O832"/>
  <c r="P832"/>
  <c r="CJ832"/>
  <c r="M832" s="1"/>
  <c r="J833"/>
  <c r="K833"/>
  <c r="O833"/>
  <c r="P833"/>
  <c r="AQ833"/>
  <c r="CE833"/>
  <c r="CJ833" s="1"/>
  <c r="M833" s="1"/>
  <c r="CM833"/>
  <c r="CN833"/>
  <c r="N833" s="1"/>
  <c r="N834"/>
  <c r="O834"/>
  <c r="CJ834"/>
  <c r="M834" s="1"/>
  <c r="CK834"/>
  <c r="CL834"/>
  <c r="P834" s="1"/>
  <c r="J835"/>
  <c r="K835"/>
  <c r="O835"/>
  <c r="P835"/>
  <c r="CC835"/>
  <c r="CJ835" s="1"/>
  <c r="M835" s="1"/>
  <c r="CM835"/>
  <c r="CN835"/>
  <c r="N835" s="1"/>
  <c r="N838"/>
  <c r="O838"/>
  <c r="P838"/>
  <c r="CJ838"/>
  <c r="M838" s="1"/>
  <c r="S838" s="1"/>
  <c r="N837"/>
  <c r="O837"/>
  <c r="P837"/>
  <c r="CJ837"/>
  <c r="M837" s="1"/>
  <c r="N839"/>
  <c r="O839"/>
  <c r="P839"/>
  <c r="CJ839"/>
  <c r="M839" s="1"/>
  <c r="O840"/>
  <c r="Q840"/>
  <c r="BA840"/>
  <c r="BO840"/>
  <c r="BY840"/>
  <c r="CD840"/>
  <c r="CE840"/>
  <c r="CF840"/>
  <c r="CG840"/>
  <c r="CL840"/>
  <c r="P840" s="1"/>
  <c r="CM840"/>
  <c r="CN840"/>
  <c r="N840" s="1"/>
  <c r="N841"/>
  <c r="O841"/>
  <c r="P841"/>
  <c r="CJ841"/>
  <c r="M841" s="1"/>
  <c r="N842"/>
  <c r="O842"/>
  <c r="P842"/>
  <c r="CJ842"/>
  <c r="M842" s="1"/>
  <c r="N843"/>
  <c r="O843"/>
  <c r="P843"/>
  <c r="CJ843"/>
  <c r="M843" s="1"/>
  <c r="S843" s="1"/>
  <c r="N844"/>
  <c r="O844"/>
  <c r="P844"/>
  <c r="CJ844"/>
  <c r="M844" s="1"/>
  <c r="J845"/>
  <c r="N845"/>
  <c r="O845"/>
  <c r="P845"/>
  <c r="CJ845"/>
  <c r="M845" s="1"/>
  <c r="N846"/>
  <c r="O846"/>
  <c r="CJ846"/>
  <c r="M846" s="1"/>
  <c r="CL846"/>
  <c r="P846"/>
  <c r="N847"/>
  <c r="O847"/>
  <c r="P847"/>
  <c r="CJ847"/>
  <c r="M847" s="1"/>
  <c r="N848"/>
  <c r="O848"/>
  <c r="P848"/>
  <c r="CJ848"/>
  <c r="M848" s="1"/>
  <c r="N849"/>
  <c r="O849"/>
  <c r="S849" s="1"/>
  <c r="P849"/>
  <c r="CJ849"/>
  <c r="M849" s="1"/>
  <c r="N850"/>
  <c r="O850"/>
  <c r="P850"/>
  <c r="CJ850"/>
  <c r="M850" s="1"/>
  <c r="J851"/>
  <c r="N851"/>
  <c r="O851"/>
  <c r="P851"/>
  <c r="CJ851"/>
  <c r="M851" s="1"/>
  <c r="O852"/>
  <c r="P852"/>
  <c r="BO852"/>
  <c r="CE852"/>
  <c r="CM852"/>
  <c r="CN852"/>
  <c r="N852" s="1"/>
  <c r="O853"/>
  <c r="P853"/>
  <c r="BN853"/>
  <c r="BO853"/>
  <c r="CE853"/>
  <c r="CM853"/>
  <c r="CN853"/>
  <c r="N853" s="1"/>
  <c r="N854"/>
  <c r="O854"/>
  <c r="P854"/>
  <c r="CJ854"/>
  <c r="M854" s="1"/>
  <c r="N855"/>
  <c r="O855"/>
  <c r="P855"/>
  <c r="CJ855"/>
  <c r="M855" s="1"/>
  <c r="N856"/>
  <c r="O856"/>
  <c r="P856"/>
  <c r="CJ856"/>
  <c r="M856" s="1"/>
  <c r="O857"/>
  <c r="P857"/>
  <c r="CE857"/>
  <c r="CJ857" s="1"/>
  <c r="M857" s="1"/>
  <c r="CN857"/>
  <c r="N857" s="1"/>
  <c r="N858"/>
  <c r="O858"/>
  <c r="P858"/>
  <c r="CJ858"/>
  <c r="M858" s="1"/>
  <c r="O859"/>
  <c r="P859"/>
  <c r="BO859"/>
  <c r="CJ859" s="1"/>
  <c r="M859" s="1"/>
  <c r="S859" s="1"/>
  <c r="CC859"/>
  <c r="CE859"/>
  <c r="CG859"/>
  <c r="CM859"/>
  <c r="CN859"/>
  <c r="N859" s="1"/>
  <c r="N860"/>
  <c r="O860"/>
  <c r="P860"/>
  <c r="CJ860"/>
  <c r="M860" s="1"/>
  <c r="O861"/>
  <c r="P861"/>
  <c r="CE861"/>
  <c r="CJ861" s="1"/>
  <c r="M861" s="1"/>
  <c r="CG861"/>
  <c r="CM861"/>
  <c r="CN861"/>
  <c r="N861" s="1"/>
  <c r="N862"/>
  <c r="O862"/>
  <c r="P862"/>
  <c r="CJ862"/>
  <c r="M862" s="1"/>
  <c r="N863"/>
  <c r="O863"/>
  <c r="P863"/>
  <c r="CJ863"/>
  <c r="M863" s="1"/>
  <c r="J864"/>
  <c r="O864"/>
  <c r="P864"/>
  <c r="CC864"/>
  <c r="CJ864" s="1"/>
  <c r="M864" s="1"/>
  <c r="CN864"/>
  <c r="N864" s="1"/>
  <c r="N865"/>
  <c r="O865"/>
  <c r="P865"/>
  <c r="CJ865"/>
  <c r="M865" s="1"/>
  <c r="O866"/>
  <c r="P866"/>
  <c r="CE866"/>
  <c r="CJ866" s="1"/>
  <c r="M866" s="1"/>
  <c r="CN866"/>
  <c r="N866" s="1"/>
  <c r="O867"/>
  <c r="P867"/>
  <c r="CJ867"/>
  <c r="M867" s="1"/>
  <c r="CM867"/>
  <c r="CN867"/>
  <c r="N867" s="1"/>
  <c r="S867" s="1"/>
  <c r="N868"/>
  <c r="O868"/>
  <c r="P868"/>
  <c r="CJ868"/>
  <c r="M868" s="1"/>
  <c r="S868" s="1"/>
  <c r="N869"/>
  <c r="O869"/>
  <c r="P869"/>
  <c r="CJ869"/>
  <c r="M869" s="1"/>
  <c r="S869" s="1"/>
  <c r="J870"/>
  <c r="N870"/>
  <c r="O870"/>
  <c r="P870"/>
  <c r="S870" s="1"/>
  <c r="CJ870"/>
  <c r="M870" s="1"/>
  <c r="N871"/>
  <c r="O871"/>
  <c r="CJ871"/>
  <c r="M871" s="1"/>
  <c r="CL871"/>
  <c r="P871" s="1"/>
  <c r="N872"/>
  <c r="O872"/>
  <c r="P872"/>
  <c r="CJ872"/>
  <c r="M872" s="1"/>
  <c r="J873"/>
  <c r="K873"/>
  <c r="O873"/>
  <c r="P873"/>
  <c r="BO873"/>
  <c r="CC873"/>
  <c r="CE873"/>
  <c r="CJ873" s="1"/>
  <c r="M873" s="1"/>
  <c r="S873" s="1"/>
  <c r="CG873"/>
  <c r="CM873"/>
  <c r="CN873"/>
  <c r="N873" s="1"/>
  <c r="N874"/>
  <c r="O874"/>
  <c r="P874"/>
  <c r="CJ874"/>
  <c r="M874" s="1"/>
  <c r="O875"/>
  <c r="P875"/>
  <c r="CC875"/>
  <c r="CG875"/>
  <c r="CN875"/>
  <c r="N875" s="1"/>
  <c r="J876"/>
  <c r="O876"/>
  <c r="P876"/>
  <c r="CC876"/>
  <c r="CJ876" s="1"/>
  <c r="M876" s="1"/>
  <c r="S876" s="1"/>
  <c r="CG876"/>
  <c r="CN876"/>
  <c r="N876" s="1"/>
  <c r="O877"/>
  <c r="P877"/>
  <c r="CC877"/>
  <c r="CG877"/>
  <c r="CN877"/>
  <c r="N877" s="1"/>
  <c r="N878"/>
  <c r="S878" s="1"/>
  <c r="O878"/>
  <c r="P878"/>
  <c r="CJ878"/>
  <c r="M878" s="1"/>
  <c r="N879"/>
  <c r="S879" s="1"/>
  <c r="O879"/>
  <c r="P879"/>
  <c r="CJ879"/>
  <c r="M879" s="1"/>
  <c r="N880"/>
  <c r="O880"/>
  <c r="P880"/>
  <c r="CJ880"/>
  <c r="M880" s="1"/>
  <c r="J881"/>
  <c r="N881"/>
  <c r="O881"/>
  <c r="P881"/>
  <c r="CJ881"/>
  <c r="M881" s="1"/>
  <c r="S881" s="1"/>
  <c r="J882"/>
  <c r="O882"/>
  <c r="Q882"/>
  <c r="AQ882"/>
  <c r="BO882"/>
  <c r="BY882"/>
  <c r="CB882"/>
  <c r="CC882"/>
  <c r="CE882"/>
  <c r="CK882"/>
  <c r="CL882"/>
  <c r="P882" s="1"/>
  <c r="CM882"/>
  <c r="CN882"/>
  <c r="N882" s="1"/>
  <c r="N883"/>
  <c r="O883"/>
  <c r="P883"/>
  <c r="CJ883"/>
  <c r="M883" s="1"/>
  <c r="O884"/>
  <c r="P884"/>
  <c r="BO884"/>
  <c r="CJ884" s="1"/>
  <c r="M884" s="1"/>
  <c r="CE884"/>
  <c r="CM884"/>
  <c r="CN884"/>
  <c r="N884" s="1"/>
  <c r="J885"/>
  <c r="O885"/>
  <c r="P885"/>
  <c r="BN885"/>
  <c r="BO885"/>
  <c r="CJ885" s="1"/>
  <c r="M885" s="1"/>
  <c r="S885" s="1"/>
  <c r="CD885"/>
  <c r="CE885"/>
  <c r="CG885"/>
  <c r="CM885"/>
  <c r="CN885"/>
  <c r="N885" s="1"/>
  <c r="N886"/>
  <c r="O886"/>
  <c r="P886"/>
  <c r="S886" s="1"/>
  <c r="CJ886"/>
  <c r="M886" s="1"/>
  <c r="N887"/>
  <c r="O887"/>
  <c r="P887"/>
  <c r="CJ887"/>
  <c r="M887" s="1"/>
  <c r="N888"/>
  <c r="O888"/>
  <c r="P888"/>
  <c r="CJ888"/>
  <c r="M888" s="1"/>
  <c r="O889"/>
  <c r="P889"/>
  <c r="Q889"/>
  <c r="S889" s="1"/>
  <c r="CC889"/>
  <c r="CJ889" s="1"/>
  <c r="M889" s="1"/>
  <c r="CN889"/>
  <c r="N889" s="1"/>
  <c r="N890"/>
  <c r="O890"/>
  <c r="S890" s="1"/>
  <c r="P890"/>
  <c r="CJ890"/>
  <c r="M890" s="1"/>
  <c r="N891"/>
  <c r="O891"/>
  <c r="P891"/>
  <c r="CJ891"/>
  <c r="M891" s="1"/>
  <c r="O892"/>
  <c r="P892"/>
  <c r="BO892"/>
  <c r="CC892"/>
  <c r="CE892"/>
  <c r="CG892"/>
  <c r="CM892"/>
  <c r="CN892"/>
  <c r="N892" s="1"/>
  <c r="N893"/>
  <c r="O893"/>
  <c r="P893"/>
  <c r="CJ893"/>
  <c r="M893" s="1"/>
  <c r="N894"/>
  <c r="O894"/>
  <c r="CJ894"/>
  <c r="M894" s="1"/>
  <c r="CK894"/>
  <c r="CL894"/>
  <c r="P894" s="1"/>
  <c r="N895"/>
  <c r="S895" s="1"/>
  <c r="O895"/>
  <c r="P895"/>
  <c r="CJ895"/>
  <c r="M895" s="1"/>
  <c r="J896"/>
  <c r="O896"/>
  <c r="P896"/>
  <c r="Q896"/>
  <c r="BO896"/>
  <c r="BY896"/>
  <c r="CC896"/>
  <c r="CD896"/>
  <c r="CE896"/>
  <c r="CF896"/>
  <c r="CG896"/>
  <c r="CM896"/>
  <c r="CN896"/>
  <c r="N896" s="1"/>
  <c r="N897"/>
  <c r="O897"/>
  <c r="P897"/>
  <c r="CJ897"/>
  <c r="M897" s="1"/>
  <c r="S897" s="1"/>
  <c r="N898"/>
  <c r="O898"/>
  <c r="P898"/>
  <c r="CJ898"/>
  <c r="M898" s="1"/>
  <c r="N899"/>
  <c r="O899"/>
  <c r="P899"/>
  <c r="CJ899"/>
  <c r="M899" s="1"/>
  <c r="N900"/>
  <c r="O900"/>
  <c r="P900"/>
  <c r="CJ900"/>
  <c r="M900" s="1"/>
  <c r="S900" s="1"/>
  <c r="N901"/>
  <c r="O901"/>
  <c r="P901"/>
  <c r="CJ901"/>
  <c r="M901" s="1"/>
  <c r="J902"/>
  <c r="N902"/>
  <c r="O902"/>
  <c r="P902"/>
  <c r="CJ902"/>
  <c r="M902" s="1"/>
  <c r="N903"/>
  <c r="O903"/>
  <c r="P903"/>
  <c r="CJ903"/>
  <c r="M903" s="1"/>
  <c r="J904"/>
  <c r="K904"/>
  <c r="O904"/>
  <c r="P904"/>
  <c r="CB904"/>
  <c r="CC904"/>
  <c r="CE904"/>
  <c r="CJ904" s="1"/>
  <c r="M904" s="1"/>
  <c r="S904" s="1"/>
  <c r="CG904"/>
  <c r="CN904"/>
  <c r="N904" s="1"/>
  <c r="N905"/>
  <c r="O905"/>
  <c r="P905"/>
  <c r="CJ905"/>
  <c r="M905"/>
  <c r="N906"/>
  <c r="O906"/>
  <c r="P906"/>
  <c r="CJ906"/>
  <c r="M906" s="1"/>
  <c r="N907"/>
  <c r="S907" s="1"/>
  <c r="O907"/>
  <c r="P907"/>
  <c r="CJ907"/>
  <c r="M907" s="1"/>
  <c r="N908"/>
  <c r="O908"/>
  <c r="P908"/>
  <c r="CJ908"/>
  <c r="M908" s="1"/>
  <c r="J909"/>
  <c r="O909"/>
  <c r="P909"/>
  <c r="CC909"/>
  <c r="CJ909" s="1"/>
  <c r="M909" s="1"/>
  <c r="CN909"/>
  <c r="N909" s="1"/>
  <c r="N910"/>
  <c r="O910"/>
  <c r="P910"/>
  <c r="CJ910"/>
  <c r="M910" s="1"/>
  <c r="N911"/>
  <c r="O911"/>
  <c r="P911"/>
  <c r="CJ911"/>
  <c r="M911" s="1"/>
  <c r="O912"/>
  <c r="P912"/>
  <c r="CE912"/>
  <c r="CG912"/>
  <c r="CN912"/>
  <c r="N912" s="1"/>
  <c r="N913"/>
  <c r="O913"/>
  <c r="P913"/>
  <c r="Q913"/>
  <c r="CJ913"/>
  <c r="M913" s="1"/>
  <c r="N914"/>
  <c r="O914"/>
  <c r="P914"/>
  <c r="CJ914"/>
  <c r="M914" s="1"/>
  <c r="N915"/>
  <c r="O915"/>
  <c r="P915"/>
  <c r="CJ915"/>
  <c r="M915" s="1"/>
  <c r="O916"/>
  <c r="P916"/>
  <c r="AQ916"/>
  <c r="CE916"/>
  <c r="CG916"/>
  <c r="CN916"/>
  <c r="N916" s="1"/>
  <c r="J917"/>
  <c r="O917"/>
  <c r="P917"/>
  <c r="CC917"/>
  <c r="CG917"/>
  <c r="CN917"/>
  <c r="N917" s="1"/>
  <c r="O918"/>
  <c r="P918"/>
  <c r="Q918"/>
  <c r="CD918"/>
  <c r="CE918"/>
  <c r="CF918"/>
  <c r="CG918"/>
  <c r="CM918"/>
  <c r="CN918"/>
  <c r="N918" s="1"/>
  <c r="O919"/>
  <c r="P919"/>
  <c r="AO919"/>
  <c r="BO919"/>
  <c r="CM919"/>
  <c r="CN919"/>
  <c r="N919" s="1"/>
  <c r="O920"/>
  <c r="P920"/>
  <c r="BO920"/>
  <c r="CE920"/>
  <c r="CM920"/>
  <c r="CN920"/>
  <c r="N920" s="1"/>
  <c r="J921"/>
  <c r="O921"/>
  <c r="P921"/>
  <c r="CJ921"/>
  <c r="M921" s="1"/>
  <c r="CN921"/>
  <c r="N921" s="1"/>
  <c r="N922"/>
  <c r="O922"/>
  <c r="P922"/>
  <c r="CJ922"/>
  <c r="M922" s="1"/>
  <c r="N923"/>
  <c r="O923"/>
  <c r="P923"/>
  <c r="CJ923"/>
  <c r="M923" s="1"/>
  <c r="N924"/>
  <c r="O924"/>
  <c r="P924"/>
  <c r="CJ924"/>
  <c r="M924" s="1"/>
  <c r="N925"/>
  <c r="O925"/>
  <c r="P925"/>
  <c r="CJ925"/>
  <c r="M925" s="1"/>
  <c r="N926"/>
  <c r="O926"/>
  <c r="P926"/>
  <c r="CJ926"/>
  <c r="M926" s="1"/>
  <c r="J927"/>
  <c r="N927"/>
  <c r="O927"/>
  <c r="P927"/>
  <c r="CB927"/>
  <c r="CC927"/>
  <c r="CJ927" s="1"/>
  <c r="M927" s="1"/>
  <c r="J928"/>
  <c r="O928"/>
  <c r="P928"/>
  <c r="CB928"/>
  <c r="CC928"/>
  <c r="CJ928" s="1"/>
  <c r="M928" s="1"/>
  <c r="CE928"/>
  <c r="CM928"/>
  <c r="CN928"/>
  <c r="N928" s="1"/>
  <c r="J929"/>
  <c r="O929"/>
  <c r="AO929"/>
  <c r="BA929"/>
  <c r="BN929"/>
  <c r="BO929"/>
  <c r="BY929"/>
  <c r="CC929"/>
  <c r="CE929"/>
  <c r="CG929"/>
  <c r="CL929"/>
  <c r="P929" s="1"/>
  <c r="CM929"/>
  <c r="CN929"/>
  <c r="N929" s="1"/>
  <c r="J930"/>
  <c r="O930"/>
  <c r="P930"/>
  <c r="Q930"/>
  <c r="CB930"/>
  <c r="CC930"/>
  <c r="CE930"/>
  <c r="CM930"/>
  <c r="CN930"/>
  <c r="N930" s="1"/>
  <c r="J931"/>
  <c r="K931"/>
  <c r="O931"/>
  <c r="P931"/>
  <c r="CC931"/>
  <c r="CE931"/>
  <c r="CG931"/>
  <c r="CN931"/>
  <c r="N931" s="1"/>
  <c r="J932"/>
  <c r="O932"/>
  <c r="P932"/>
  <c r="CB932"/>
  <c r="CC932"/>
  <c r="CE932"/>
  <c r="CJ932" s="1"/>
  <c r="M932" s="1"/>
  <c r="CN932"/>
  <c r="N932" s="1"/>
  <c r="J933"/>
  <c r="O933"/>
  <c r="P933"/>
  <c r="AO933"/>
  <c r="BA933"/>
  <c r="BO933"/>
  <c r="BY933"/>
  <c r="CB933"/>
  <c r="CC933"/>
  <c r="CE933"/>
  <c r="CM933"/>
  <c r="CN933"/>
  <c r="N933" s="1"/>
  <c r="J934"/>
  <c r="O934"/>
  <c r="P934"/>
  <c r="CC934"/>
  <c r="CJ934" s="1"/>
  <c r="M934" s="1"/>
  <c r="CN934"/>
  <c r="N934" s="1"/>
  <c r="J935"/>
  <c r="O935"/>
  <c r="P935"/>
  <c r="CC935"/>
  <c r="CJ935" s="1"/>
  <c r="M935" s="1"/>
  <c r="CM935"/>
  <c r="CN935"/>
  <c r="N935" s="1"/>
  <c r="J936"/>
  <c r="O936"/>
  <c r="P936"/>
  <c r="CB936"/>
  <c r="CC936"/>
  <c r="CE936"/>
  <c r="CM936"/>
  <c r="CN936"/>
  <c r="N936" s="1"/>
  <c r="J937"/>
  <c r="N937"/>
  <c r="O937"/>
  <c r="P937"/>
  <c r="CJ937"/>
  <c r="M937" s="1"/>
  <c r="N938"/>
  <c r="O938"/>
  <c r="P938"/>
  <c r="CJ938"/>
  <c r="M938" s="1"/>
  <c r="N939"/>
  <c r="O939"/>
  <c r="P939"/>
  <c r="CJ939"/>
  <c r="M939" s="1"/>
  <c r="J940"/>
  <c r="O940"/>
  <c r="P940"/>
  <c r="CB940"/>
  <c r="CC940"/>
  <c r="CE940"/>
  <c r="CM940"/>
  <c r="CN940"/>
  <c r="N940" s="1"/>
  <c r="N941"/>
  <c r="O941"/>
  <c r="P941"/>
  <c r="CJ941"/>
  <c r="M941" s="1"/>
  <c r="N942"/>
  <c r="O942"/>
  <c r="P942"/>
  <c r="CJ942"/>
  <c r="M942" s="1"/>
  <c r="J943"/>
  <c r="O943"/>
  <c r="P943"/>
  <c r="CC943"/>
  <c r="CG943"/>
  <c r="CN943"/>
  <c r="N943" s="1"/>
  <c r="J944"/>
  <c r="O944"/>
  <c r="P944"/>
  <c r="CC944"/>
  <c r="CG944"/>
  <c r="CJ944" s="1"/>
  <c r="M944" s="1"/>
  <c r="S944" s="1"/>
  <c r="CN944"/>
  <c r="N944" s="1"/>
  <c r="J945"/>
  <c r="O945"/>
  <c r="P945"/>
  <c r="CC945"/>
  <c r="CG945"/>
  <c r="CN945"/>
  <c r="N945" s="1"/>
  <c r="J946"/>
  <c r="N946"/>
  <c r="O946"/>
  <c r="P946"/>
  <c r="CJ946"/>
  <c r="M946" s="1"/>
  <c r="S946" s="1"/>
  <c r="N947"/>
  <c r="O947"/>
  <c r="P947"/>
  <c r="CJ947"/>
  <c r="M947" s="1"/>
  <c r="S947" s="1"/>
  <c r="N948"/>
  <c r="O948"/>
  <c r="P948"/>
  <c r="CJ948"/>
  <c r="M948" s="1"/>
  <c r="O949"/>
  <c r="P949"/>
  <c r="CC949"/>
  <c r="CG949"/>
  <c r="CN949"/>
  <c r="N949" s="1"/>
  <c r="N950"/>
  <c r="O950"/>
  <c r="P950"/>
  <c r="CJ950"/>
  <c r="M950" s="1"/>
  <c r="J951"/>
  <c r="K951"/>
  <c r="O951"/>
  <c r="P951"/>
  <c r="CJ951"/>
  <c r="M951" s="1"/>
  <c r="CN951"/>
  <c r="N951" s="1"/>
  <c r="O952"/>
  <c r="P952"/>
  <c r="BO952"/>
  <c r="CE952"/>
  <c r="CM952"/>
  <c r="CN952"/>
  <c r="N952" s="1"/>
  <c r="BA953"/>
  <c r="BN953"/>
  <c r="BO953"/>
  <c r="CC953"/>
  <c r="CL953"/>
  <c r="P953" s="1"/>
  <c r="CM953"/>
  <c r="CN953"/>
  <c r="N953" s="1"/>
  <c r="CR953"/>
  <c r="O953" s="1"/>
  <c r="O954"/>
  <c r="BA954"/>
  <c r="BN954"/>
  <c r="BO954"/>
  <c r="CC954"/>
  <c r="CL954"/>
  <c r="P954" s="1"/>
  <c r="CM954"/>
  <c r="CN954"/>
  <c r="N954" s="1"/>
  <c r="O955"/>
  <c r="BN955"/>
  <c r="BO955"/>
  <c r="CC955"/>
  <c r="CK955"/>
  <c r="CL955"/>
  <c r="P955" s="1"/>
  <c r="CM955"/>
  <c r="CN955"/>
  <c r="N955" s="1"/>
  <c r="BA956"/>
  <c r="BN956"/>
  <c r="BO956"/>
  <c r="CB956"/>
  <c r="CC956"/>
  <c r="CL956"/>
  <c r="P956" s="1"/>
  <c r="CM956"/>
  <c r="CN956"/>
  <c r="N956" s="1"/>
  <c r="CR956"/>
  <c r="O956" s="1"/>
  <c r="O957"/>
  <c r="AO957"/>
  <c r="BA957"/>
  <c r="BN957"/>
  <c r="BO957"/>
  <c r="CC957"/>
  <c r="CE957"/>
  <c r="CL957"/>
  <c r="P957" s="1"/>
  <c r="CM957"/>
  <c r="CN957"/>
  <c r="N957" s="1"/>
  <c r="O958"/>
  <c r="AO958"/>
  <c r="BA958"/>
  <c r="BN958"/>
  <c r="BO958"/>
  <c r="CC958"/>
  <c r="CL958"/>
  <c r="P958" s="1"/>
  <c r="CM958"/>
  <c r="CN958"/>
  <c r="N958"/>
  <c r="O959"/>
  <c r="BA959"/>
  <c r="BO959"/>
  <c r="CC959"/>
  <c r="CJ959" s="1"/>
  <c r="M959" s="1"/>
  <c r="CL959"/>
  <c r="P959" s="1"/>
  <c r="CM959"/>
  <c r="CN959"/>
  <c r="N959" s="1"/>
  <c r="O960"/>
  <c r="BO960"/>
  <c r="CC960"/>
  <c r="CL960"/>
  <c r="P960" s="1"/>
  <c r="CM960"/>
  <c r="CN960"/>
  <c r="N960" s="1"/>
  <c r="O961"/>
  <c r="BA961"/>
  <c r="BN961"/>
  <c r="BO961"/>
  <c r="CB961"/>
  <c r="CC961"/>
  <c r="CE961"/>
  <c r="CL961"/>
  <c r="P961" s="1"/>
  <c r="CM961"/>
  <c r="CN961"/>
  <c r="N961" s="1"/>
  <c r="O962"/>
  <c r="AO962"/>
  <c r="BA962"/>
  <c r="BN962"/>
  <c r="BO962"/>
  <c r="CC962"/>
  <c r="CL962"/>
  <c r="P962" s="1"/>
  <c r="CM962"/>
  <c r="CN962"/>
  <c r="N962" s="1"/>
  <c r="AZ963"/>
  <c r="BA963"/>
  <c r="BN963"/>
  <c r="BO963"/>
  <c r="CB963"/>
  <c r="CC963"/>
  <c r="CE963"/>
  <c r="CL963"/>
  <c r="P963" s="1"/>
  <c r="CM963"/>
  <c r="CN963"/>
  <c r="N963" s="1"/>
  <c r="CR963"/>
  <c r="O963" s="1"/>
  <c r="O964"/>
  <c r="BO964"/>
  <c r="CC964"/>
  <c r="CL964"/>
  <c r="P964" s="1"/>
  <c r="CM964"/>
  <c r="CN964"/>
  <c r="N964" s="1"/>
  <c r="O965"/>
  <c r="BA965"/>
  <c r="BO965"/>
  <c r="CB965"/>
  <c r="CC965"/>
  <c r="CL965"/>
  <c r="P965" s="1"/>
  <c r="CM965"/>
  <c r="CN965"/>
  <c r="N965" s="1"/>
  <c r="O966"/>
  <c r="AO966"/>
  <c r="BA966"/>
  <c r="CJ966" s="1"/>
  <c r="M966" s="1"/>
  <c r="BN966"/>
  <c r="BO966"/>
  <c r="CC966"/>
  <c r="CE966"/>
  <c r="CL966"/>
  <c r="P966" s="1"/>
  <c r="CM966"/>
  <c r="CN966"/>
  <c r="N966" s="1"/>
  <c r="O967"/>
  <c r="Q967"/>
  <c r="AZ967"/>
  <c r="BA967"/>
  <c r="BN967"/>
  <c r="BO967"/>
  <c r="CB967"/>
  <c r="CC967"/>
  <c r="CE967"/>
  <c r="CL967"/>
  <c r="P967" s="1"/>
  <c r="CM967"/>
  <c r="CN967"/>
  <c r="N967" s="1"/>
  <c r="O968"/>
  <c r="BO968"/>
  <c r="CC968"/>
  <c r="CL968"/>
  <c r="P968" s="1"/>
  <c r="CN968"/>
  <c r="N968" s="1"/>
  <c r="O969"/>
  <c r="BA969"/>
  <c r="BN969"/>
  <c r="BO969"/>
  <c r="CJ969" s="1"/>
  <c r="M969" s="1"/>
  <c r="CC969"/>
  <c r="CL969"/>
  <c r="P969" s="1"/>
  <c r="CM969"/>
  <c r="CN969"/>
  <c r="N969" s="1"/>
  <c r="O970"/>
  <c r="AO970"/>
  <c r="BN970"/>
  <c r="BO970"/>
  <c r="CJ970" s="1"/>
  <c r="M970" s="1"/>
  <c r="S970" s="1"/>
  <c r="BY970"/>
  <c r="CC970"/>
  <c r="CG970"/>
  <c r="CL970"/>
  <c r="P970" s="1"/>
  <c r="CM970"/>
  <c r="CN970"/>
  <c r="N970" s="1"/>
  <c r="O971"/>
  <c r="BA971"/>
  <c r="BN971"/>
  <c r="BO971"/>
  <c r="CB971"/>
  <c r="CC971"/>
  <c r="CL971"/>
  <c r="P971" s="1"/>
  <c r="CM971"/>
  <c r="CN971"/>
  <c r="N971" s="1"/>
  <c r="N972"/>
  <c r="O972"/>
  <c r="P972"/>
  <c r="CJ972"/>
  <c r="M972" s="1"/>
  <c r="N973"/>
  <c r="O973"/>
  <c r="P973"/>
  <c r="CJ973"/>
  <c r="M973" s="1"/>
  <c r="N974"/>
  <c r="O974"/>
  <c r="P974"/>
  <c r="CJ974"/>
  <c r="M974" s="1"/>
  <c r="O975"/>
  <c r="P975"/>
  <c r="CJ975"/>
  <c r="M975" s="1"/>
  <c r="CN975"/>
  <c r="N975" s="1"/>
  <c r="O976"/>
  <c r="P976"/>
  <c r="BA976"/>
  <c r="BY976"/>
  <c r="CE976"/>
  <c r="CJ976" s="1"/>
  <c r="M976" s="1"/>
  <c r="S976" s="1"/>
  <c r="CN976"/>
  <c r="N976" s="1"/>
  <c r="N977"/>
  <c r="O977"/>
  <c r="P977"/>
  <c r="S977" s="1"/>
  <c r="CJ977"/>
  <c r="M977" s="1"/>
  <c r="N978"/>
  <c r="O978"/>
  <c r="P978"/>
  <c r="CJ978"/>
  <c r="M978" s="1"/>
  <c r="O979"/>
  <c r="P979"/>
  <c r="AQ979"/>
  <c r="CJ979" s="1"/>
  <c r="M979" s="1"/>
  <c r="CC979"/>
  <c r="CE979"/>
  <c r="CM979"/>
  <c r="CN979"/>
  <c r="N979" s="1"/>
  <c r="O980"/>
  <c r="P980"/>
  <c r="CC980"/>
  <c r="CG980"/>
  <c r="CJ980" s="1"/>
  <c r="M980" s="1"/>
  <c r="S980" s="1"/>
  <c r="CN980"/>
  <c r="N980" s="1"/>
  <c r="N981"/>
  <c r="O981"/>
  <c r="P981"/>
  <c r="S981" s="1"/>
  <c r="CJ981"/>
  <c r="M981" s="1"/>
  <c r="N982"/>
  <c r="O982"/>
  <c r="P982"/>
  <c r="S982" s="1"/>
  <c r="CJ982"/>
  <c r="M982" s="1"/>
  <c r="N983"/>
  <c r="O983"/>
  <c r="P983"/>
  <c r="Q983"/>
  <c r="CJ983"/>
  <c r="M983" s="1"/>
  <c r="O984"/>
  <c r="P984"/>
  <c r="CE984"/>
  <c r="CJ984" s="1"/>
  <c r="M984" s="1"/>
  <c r="CM984"/>
  <c r="CN984"/>
  <c r="N984" s="1"/>
  <c r="O985"/>
  <c r="CB985"/>
  <c r="CC985"/>
  <c r="CE985"/>
  <c r="CL985"/>
  <c r="P985" s="1"/>
  <c r="CM985"/>
  <c r="CN985"/>
  <c r="N985" s="1"/>
  <c r="O986"/>
  <c r="Q986"/>
  <c r="AO986"/>
  <c r="BO986"/>
  <c r="BY986"/>
  <c r="CB986"/>
  <c r="CC986"/>
  <c r="CE986"/>
  <c r="CL986"/>
  <c r="P986" s="1"/>
  <c r="CM986"/>
  <c r="CN986"/>
  <c r="N986" s="1"/>
  <c r="O987"/>
  <c r="Q987"/>
  <c r="AQ987"/>
  <c r="BO987"/>
  <c r="BY987"/>
  <c r="CB987"/>
  <c r="CC987"/>
  <c r="CE987"/>
  <c r="CL987"/>
  <c r="P987" s="1"/>
  <c r="CM987"/>
  <c r="CN987"/>
  <c r="N987" s="1"/>
  <c r="J988"/>
  <c r="O988"/>
  <c r="P988"/>
  <c r="Q988"/>
  <c r="AQ988"/>
  <c r="BY988"/>
  <c r="CB988"/>
  <c r="CC988"/>
  <c r="CJ988" s="1"/>
  <c r="M988" s="1"/>
  <c r="S988" s="1"/>
  <c r="CE988"/>
  <c r="CM988"/>
  <c r="CN988"/>
  <c r="N988" s="1"/>
  <c r="J989"/>
  <c r="O989"/>
  <c r="P989"/>
  <c r="BA989"/>
  <c r="BY989"/>
  <c r="CE989"/>
  <c r="CG989"/>
  <c r="CN989"/>
  <c r="N989" s="1"/>
  <c r="J990"/>
  <c r="N990"/>
  <c r="O990"/>
  <c r="P990"/>
  <c r="CJ990"/>
  <c r="M990" s="1"/>
  <c r="O991"/>
  <c r="P991"/>
  <c r="BA991"/>
  <c r="CJ991" s="1"/>
  <c r="M991" s="1"/>
  <c r="CC991"/>
  <c r="CE991"/>
  <c r="CG991"/>
  <c r="CN991"/>
  <c r="N991" s="1"/>
  <c r="O992"/>
  <c r="P992"/>
  <c r="AQ992"/>
  <c r="CJ992" s="1"/>
  <c r="M992" s="1"/>
  <c r="CE992"/>
  <c r="CM992"/>
  <c r="CN992"/>
  <c r="N992" s="1"/>
  <c r="N993"/>
  <c r="O993"/>
  <c r="P993"/>
  <c r="CJ993"/>
  <c r="M993"/>
  <c r="O994"/>
  <c r="P994"/>
  <c r="BO994"/>
  <c r="CE994"/>
  <c r="CN994"/>
  <c r="N994" s="1"/>
  <c r="J995"/>
  <c r="O995"/>
  <c r="BN995"/>
  <c r="BO995"/>
  <c r="CC995"/>
  <c r="CL995"/>
  <c r="P995" s="1"/>
  <c r="CM995"/>
  <c r="CN995"/>
  <c r="N995" s="1"/>
  <c r="O996"/>
  <c r="BA996"/>
  <c r="BN996"/>
  <c r="BO996"/>
  <c r="CC996"/>
  <c r="CE996"/>
  <c r="CL996"/>
  <c r="P996" s="1"/>
  <c r="CM996"/>
  <c r="CN996"/>
  <c r="N996" s="1"/>
  <c r="K997"/>
  <c r="O997"/>
  <c r="BN997"/>
  <c r="BO997"/>
  <c r="CC997"/>
  <c r="CL997"/>
  <c r="P997" s="1"/>
  <c r="CM997"/>
  <c r="CN997"/>
  <c r="N997" s="1"/>
  <c r="O999"/>
  <c r="P999"/>
  <c r="CJ999"/>
  <c r="M999" s="1"/>
  <c r="CN999"/>
  <c r="N999"/>
  <c r="N1000"/>
  <c r="O1000"/>
  <c r="P1000"/>
  <c r="CJ1000"/>
  <c r="M1000" s="1"/>
  <c r="N1001"/>
  <c r="O1001"/>
  <c r="P1001"/>
  <c r="CJ1001"/>
  <c r="M1001" s="1"/>
  <c r="O1002"/>
  <c r="P1002"/>
  <c r="CJ1002"/>
  <c r="M1002" s="1"/>
  <c r="CN1002"/>
  <c r="N1002" s="1"/>
  <c r="N1003"/>
  <c r="O1003"/>
  <c r="P1003"/>
  <c r="CJ1003"/>
  <c r="M1003" s="1"/>
  <c r="N1004"/>
  <c r="O1004"/>
  <c r="P1004"/>
  <c r="CJ1004"/>
  <c r="M1004" s="1"/>
  <c r="J1005"/>
  <c r="O1005"/>
  <c r="P1005"/>
  <c r="CC1005"/>
  <c r="CJ1005" s="1"/>
  <c r="M1005" s="1"/>
  <c r="CN1005"/>
  <c r="N1005" s="1"/>
  <c r="N1006"/>
  <c r="O1006"/>
  <c r="P1006"/>
  <c r="CJ1006"/>
  <c r="M1006" s="1"/>
  <c r="S1006" s="1"/>
  <c r="N1007"/>
  <c r="O1007"/>
  <c r="P1007"/>
  <c r="CJ1007"/>
  <c r="M1007" s="1"/>
  <c r="N1008"/>
  <c r="O1008"/>
  <c r="P1008"/>
  <c r="CJ1008"/>
  <c r="M1008" s="1"/>
  <c r="N1009"/>
  <c r="O1009"/>
  <c r="P1009"/>
  <c r="CJ1009"/>
  <c r="M1009" s="1"/>
  <c r="N1010"/>
  <c r="O1010"/>
  <c r="P1010"/>
  <c r="CJ1010"/>
  <c r="M1010" s="1"/>
  <c r="O1011"/>
  <c r="BA1011"/>
  <c r="BO1011"/>
  <c r="BY1011"/>
  <c r="CC1011"/>
  <c r="CD1011"/>
  <c r="CE1011"/>
  <c r="CL1011"/>
  <c r="P1011" s="1"/>
  <c r="CM1011"/>
  <c r="CN1011"/>
  <c r="N1011" s="1"/>
  <c r="N1012"/>
  <c r="O1012"/>
  <c r="CJ1012"/>
  <c r="M1012" s="1"/>
  <c r="S1012" s="1"/>
  <c r="CL1012"/>
  <c r="P1012" s="1"/>
  <c r="N1013"/>
  <c r="O1013"/>
  <c r="P1013"/>
  <c r="CJ1013"/>
  <c r="M1013" s="1"/>
  <c r="N1014"/>
  <c r="O1014"/>
  <c r="CJ1014"/>
  <c r="M1014" s="1"/>
  <c r="CK1014"/>
  <c r="CL1014"/>
  <c r="P1014" s="1"/>
  <c r="N1015"/>
  <c r="O1015"/>
  <c r="P1015"/>
  <c r="CJ1015"/>
  <c r="M1015" s="1"/>
  <c r="N1016"/>
  <c r="O1016"/>
  <c r="P1016"/>
  <c r="CJ1016"/>
  <c r="M1016" s="1"/>
  <c r="N1017"/>
  <c r="O1017"/>
  <c r="CJ1017"/>
  <c r="M1017" s="1"/>
  <c r="CL1017"/>
  <c r="P1017" s="1"/>
  <c r="N1018"/>
  <c r="O1018"/>
  <c r="P1018"/>
  <c r="CJ1018"/>
  <c r="M1018" s="1"/>
  <c r="O1019"/>
  <c r="CE1019"/>
  <c r="CG1019"/>
  <c r="CL1019"/>
  <c r="P1019" s="1"/>
  <c r="CN1019"/>
  <c r="N1019" s="1"/>
  <c r="N1020"/>
  <c r="O1020"/>
  <c r="P1020"/>
  <c r="CJ1020"/>
  <c r="M1020" s="1"/>
  <c r="N1021"/>
  <c r="O1021"/>
  <c r="P1021"/>
  <c r="CJ1021"/>
  <c r="M1021" s="1"/>
  <c r="N1022"/>
  <c r="O1022"/>
  <c r="P1022"/>
  <c r="CJ1022"/>
  <c r="M1022" s="1"/>
  <c r="J1023"/>
  <c r="K1023"/>
  <c r="N1023"/>
  <c r="O1023"/>
  <c r="P1023"/>
  <c r="CJ1023"/>
  <c r="M1023" s="1"/>
  <c r="N1024"/>
  <c r="O1024"/>
  <c r="P1024"/>
  <c r="CJ1024"/>
  <c r="M1024" s="1"/>
  <c r="O1025"/>
  <c r="P1025"/>
  <c r="CC1025"/>
  <c r="CE1025"/>
  <c r="CN1025"/>
  <c r="N1025" s="1"/>
  <c r="O1026"/>
  <c r="P1026"/>
  <c r="BA1026"/>
  <c r="CE1026"/>
  <c r="CG1026"/>
  <c r="CN1026"/>
  <c r="N1026" s="1"/>
  <c r="N1027"/>
  <c r="O1027"/>
  <c r="P1027"/>
  <c r="CJ1027"/>
  <c r="M1027" s="1"/>
  <c r="N1028"/>
  <c r="O1028"/>
  <c r="P1028"/>
  <c r="CJ1028"/>
  <c r="M1028" s="1"/>
  <c r="O1029"/>
  <c r="P1029"/>
  <c r="BN1029"/>
  <c r="BO1029"/>
  <c r="CJ1029" s="1"/>
  <c r="M1029" s="1"/>
  <c r="CE1029"/>
  <c r="CM1029"/>
  <c r="CN1029"/>
  <c r="N1029" s="1"/>
  <c r="O1030"/>
  <c r="P1030"/>
  <c r="BO1030"/>
  <c r="CE1030"/>
  <c r="CM1030"/>
  <c r="CN1030"/>
  <c r="N1030" s="1"/>
  <c r="N1031"/>
  <c r="O1031"/>
  <c r="P1031"/>
  <c r="CJ1031"/>
  <c r="M1031" s="1"/>
  <c r="N1032"/>
  <c r="O1032"/>
  <c r="P1032"/>
  <c r="CJ1032"/>
  <c r="M1032" s="1"/>
  <c r="N1033"/>
  <c r="O1033"/>
  <c r="P1033"/>
  <c r="CJ1033"/>
  <c r="M1033" s="1"/>
  <c r="N1034"/>
  <c r="O1034"/>
  <c r="P1034"/>
  <c r="CJ1034"/>
  <c r="M1034" s="1"/>
  <c r="O1035"/>
  <c r="P1035"/>
  <c r="BQ1035"/>
  <c r="CE1035"/>
  <c r="CM1035"/>
  <c r="CN1035"/>
  <c r="N1035" s="1"/>
  <c r="N1037"/>
  <c r="O1037"/>
  <c r="P1037"/>
  <c r="CJ1037"/>
  <c r="M1037" s="1"/>
  <c r="N1038"/>
  <c r="O1038"/>
  <c r="CJ1038"/>
  <c r="M1038" s="1"/>
  <c r="CL1038"/>
  <c r="P1038" s="1"/>
  <c r="N1039"/>
  <c r="O1039"/>
  <c r="P1039"/>
  <c r="CJ1039"/>
  <c r="M1039" s="1"/>
  <c r="N1040"/>
  <c r="O1040"/>
  <c r="P1040"/>
  <c r="CJ1040"/>
  <c r="M1040" s="1"/>
  <c r="N1041"/>
  <c r="O1041"/>
  <c r="P1041"/>
  <c r="CJ1041"/>
  <c r="M1041" s="1"/>
  <c r="N1042"/>
  <c r="O1042"/>
  <c r="P1042"/>
  <c r="CJ1042"/>
  <c r="M1042" s="1"/>
  <c r="N1043"/>
  <c r="O1043"/>
  <c r="P1043"/>
  <c r="CJ1043"/>
  <c r="M1043" s="1"/>
  <c r="N1044"/>
  <c r="O1044"/>
  <c r="P1044"/>
  <c r="CJ1044"/>
  <c r="M1044" s="1"/>
  <c r="N1045"/>
  <c r="O1045"/>
  <c r="P1045"/>
  <c r="CJ1045"/>
  <c r="M1045" s="1"/>
  <c r="N1046"/>
  <c r="O1046"/>
  <c r="P1046"/>
  <c r="CJ1046"/>
  <c r="M1046" s="1"/>
  <c r="O1047"/>
  <c r="P1047"/>
  <c r="BA1047"/>
  <c r="BY1047"/>
  <c r="CC1047"/>
  <c r="CE1047"/>
  <c r="CG1047"/>
  <c r="CN1047"/>
  <c r="N1047" s="1"/>
  <c r="N1048"/>
  <c r="O1048"/>
  <c r="P1048"/>
  <c r="CJ1048"/>
  <c r="M1048" s="1"/>
  <c r="J1049"/>
  <c r="N1049"/>
  <c r="O1049"/>
  <c r="P1049"/>
  <c r="CJ1049"/>
  <c r="M1049" s="1"/>
  <c r="N1050"/>
  <c r="O1050"/>
  <c r="P1050"/>
  <c r="CJ1050"/>
  <c r="M1050" s="1"/>
  <c r="O1051"/>
  <c r="P1051"/>
  <c r="BO1051"/>
  <c r="CJ1051" s="1"/>
  <c r="M1051" s="1"/>
  <c r="CE1051"/>
  <c r="CM1051"/>
  <c r="CN1051"/>
  <c r="N1051" s="1"/>
  <c r="O1052"/>
  <c r="P1052"/>
  <c r="BO1052"/>
  <c r="CJ1052" s="1"/>
  <c r="M1052" s="1"/>
  <c r="CE1052"/>
  <c r="CM1052"/>
  <c r="CN1052"/>
  <c r="N1052" s="1"/>
  <c r="N1053"/>
  <c r="O1053"/>
  <c r="P1053"/>
  <c r="CJ1053"/>
  <c r="M1053" s="1"/>
  <c r="N1054"/>
  <c r="O1054"/>
  <c r="P1054"/>
  <c r="S1054" s="1"/>
  <c r="CJ1054"/>
  <c r="M1054" s="1"/>
  <c r="J1055"/>
  <c r="N1055"/>
  <c r="O1055"/>
  <c r="P1055"/>
  <c r="CJ1055"/>
  <c r="M1055" s="1"/>
  <c r="S1055" s="1"/>
  <c r="O1056"/>
  <c r="P1056"/>
  <c r="CJ1056"/>
  <c r="M1056" s="1"/>
  <c r="CN1056"/>
  <c r="N1056" s="1"/>
  <c r="S1056" s="1"/>
  <c r="N1057"/>
  <c r="O1057"/>
  <c r="P1057"/>
  <c r="CJ1057"/>
  <c r="M1057" s="1"/>
  <c r="S1057" s="1"/>
  <c r="N1058"/>
  <c r="O1058"/>
  <c r="P1058"/>
  <c r="CJ1058"/>
  <c r="M1058" s="1"/>
  <c r="S1058" s="1"/>
  <c r="N1059"/>
  <c r="O1059"/>
  <c r="P1059"/>
  <c r="CJ1059"/>
  <c r="M1059" s="1"/>
  <c r="N1060"/>
  <c r="O1060"/>
  <c r="P1060"/>
  <c r="CJ1060"/>
  <c r="M1060" s="1"/>
  <c r="S1060" s="1"/>
  <c r="J1061"/>
  <c r="N1061"/>
  <c r="O1061"/>
  <c r="P1061"/>
  <c r="CJ1061"/>
  <c r="M1061" s="1"/>
  <c r="S1061" s="1"/>
  <c r="O1062"/>
  <c r="P1062"/>
  <c r="BN1062"/>
  <c r="BO1062"/>
  <c r="CJ1062" s="1"/>
  <c r="M1062" s="1"/>
  <c r="CE1062"/>
  <c r="CM1062"/>
  <c r="CN1062"/>
  <c r="N1062" s="1"/>
  <c r="O1063"/>
  <c r="P1063"/>
  <c r="BN1063"/>
  <c r="BO1063"/>
  <c r="CJ1063" s="1"/>
  <c r="M1063" s="1"/>
  <c r="S1063" s="1"/>
  <c r="CD1063"/>
  <c r="CE1063"/>
  <c r="CM1063"/>
  <c r="CN1063"/>
  <c r="N1063" s="1"/>
  <c r="N1064"/>
  <c r="O1064"/>
  <c r="P1064"/>
  <c r="CJ1064"/>
  <c r="M1064" s="1"/>
  <c r="S1064" s="1"/>
  <c r="N1065"/>
  <c r="O1065"/>
  <c r="P1065"/>
  <c r="CJ1065"/>
  <c r="M1065" s="1"/>
  <c r="S1065" s="1"/>
  <c r="N1066"/>
  <c r="O1066"/>
  <c r="P1066"/>
  <c r="CJ1066"/>
  <c r="M1066" s="1"/>
  <c r="S1066" s="1"/>
  <c r="O1067"/>
  <c r="P1067"/>
  <c r="Q1067"/>
  <c r="BO1067"/>
  <c r="CJ1067" s="1"/>
  <c r="M1067" s="1"/>
  <c r="S1067" s="1"/>
  <c r="CB1067"/>
  <c r="CC1067"/>
  <c r="CE1067"/>
  <c r="CM1067"/>
  <c r="CN1067"/>
  <c r="N1067" s="1"/>
  <c r="N1068"/>
  <c r="O1068"/>
  <c r="P1068"/>
  <c r="CJ1068"/>
  <c r="M1068" s="1"/>
  <c r="N1069"/>
  <c r="O1069"/>
  <c r="CJ1069"/>
  <c r="M1069" s="1"/>
  <c r="CL1069"/>
  <c r="P1069" s="1"/>
  <c r="O1070"/>
  <c r="P1070"/>
  <c r="AO1070"/>
  <c r="BO1070"/>
  <c r="BY1070"/>
  <c r="CC1070"/>
  <c r="CE1070"/>
  <c r="CM1070"/>
  <c r="CN1070"/>
  <c r="N1070" s="1"/>
  <c r="O1071"/>
  <c r="P1071"/>
  <c r="BY1071"/>
  <c r="CB1071"/>
  <c r="CC1071"/>
  <c r="CE1071"/>
  <c r="CM1071"/>
  <c r="CN1071"/>
  <c r="N1071" s="1"/>
  <c r="N1072"/>
  <c r="O1072"/>
  <c r="P1072"/>
  <c r="CJ1072"/>
  <c r="M1072" s="1"/>
  <c r="N1073"/>
  <c r="O1073"/>
  <c r="P1073"/>
  <c r="CJ1073"/>
  <c r="M1073" s="1"/>
  <c r="N1074"/>
  <c r="O1074"/>
  <c r="S1074" s="1"/>
  <c r="P1074"/>
  <c r="CJ1074"/>
  <c r="M1074" s="1"/>
  <c r="J1075"/>
  <c r="N1075"/>
  <c r="O1075"/>
  <c r="P1075"/>
  <c r="CJ1075"/>
  <c r="M1075" s="1"/>
  <c r="N1076"/>
  <c r="O1076"/>
  <c r="P1076"/>
  <c r="CJ1076"/>
  <c r="M1076" s="1"/>
  <c r="N1077"/>
  <c r="O1077"/>
  <c r="AQ1077"/>
  <c r="CE1077"/>
  <c r="CL1077"/>
  <c r="P1077" s="1"/>
  <c r="N1078"/>
  <c r="O1078"/>
  <c r="P1078"/>
  <c r="CJ1078"/>
  <c r="M1078" s="1"/>
  <c r="J1079"/>
  <c r="N1079"/>
  <c r="O1079"/>
  <c r="P1079"/>
  <c r="CJ1079"/>
  <c r="M1079" s="1"/>
  <c r="N1080"/>
  <c r="O1080"/>
  <c r="P1080"/>
  <c r="CJ1080"/>
  <c r="M1080" s="1"/>
  <c r="N1081"/>
  <c r="O1081"/>
  <c r="P1081"/>
  <c r="CJ1081"/>
  <c r="M1081" s="1"/>
  <c r="O1083"/>
  <c r="P1083"/>
  <c r="BA1083"/>
  <c r="CC1083"/>
  <c r="CE1083"/>
  <c r="CG1083"/>
  <c r="CN1083"/>
  <c r="N1083" s="1"/>
  <c r="N1082"/>
  <c r="O1082"/>
  <c r="P1082"/>
  <c r="CJ1082"/>
  <c r="M1082" s="1"/>
  <c r="S1082" s="1"/>
  <c r="N1084"/>
  <c r="O1084"/>
  <c r="P1084"/>
  <c r="CJ1084"/>
  <c r="M1084" s="1"/>
  <c r="S1084" s="1"/>
  <c r="N1085"/>
  <c r="O1085"/>
  <c r="P1085"/>
  <c r="CJ1085"/>
  <c r="M1085" s="1"/>
  <c r="S1085" s="1"/>
  <c r="O1086"/>
  <c r="P1086"/>
  <c r="CJ1086"/>
  <c r="M1086" s="1"/>
  <c r="CN1086"/>
  <c r="N1086" s="1"/>
  <c r="S1086" s="1"/>
  <c r="J1087"/>
  <c r="K1087"/>
  <c r="N1087"/>
  <c r="O1087"/>
  <c r="P1087"/>
  <c r="CJ1087"/>
  <c r="M1087" s="1"/>
  <c r="O1088"/>
  <c r="P1088"/>
  <c r="CD1088"/>
  <c r="CE1088"/>
  <c r="CF1088"/>
  <c r="CG1088"/>
  <c r="CM1088"/>
  <c r="CN1088"/>
  <c r="N1088" s="1"/>
  <c r="N1089"/>
  <c r="O1089"/>
  <c r="S1089" s="1"/>
  <c r="P1089"/>
  <c r="CJ1089"/>
  <c r="M1089" s="1"/>
  <c r="N1090"/>
  <c r="O1090"/>
  <c r="P1090"/>
  <c r="CJ1090"/>
  <c r="M1090" s="1"/>
  <c r="N1091"/>
  <c r="O1091"/>
  <c r="P1091"/>
  <c r="CJ1091"/>
  <c r="M1091" s="1"/>
  <c r="P1092"/>
  <c r="CC1092"/>
  <c r="CJ1092" s="1"/>
  <c r="M1092" s="1"/>
  <c r="CN1092"/>
  <c r="N1092" s="1"/>
  <c r="CR1092"/>
  <c r="O1092" s="1"/>
  <c r="O1093"/>
  <c r="P1093"/>
  <c r="AO1093"/>
  <c r="CJ1093" s="1"/>
  <c r="M1093" s="1"/>
  <c r="CE1093"/>
  <c r="CM1093"/>
  <c r="CN1093"/>
  <c r="N1093" s="1"/>
  <c r="N1094"/>
  <c r="O1094"/>
  <c r="P1094"/>
  <c r="CJ1094"/>
  <c r="M1094" s="1"/>
  <c r="N1095"/>
  <c r="O1095"/>
  <c r="P1095"/>
  <c r="CJ1095"/>
  <c r="M1095" s="1"/>
  <c r="N1096"/>
  <c r="O1096"/>
  <c r="P1096"/>
  <c r="CJ1096"/>
  <c r="M1096" s="1"/>
  <c r="N1097"/>
  <c r="O1097"/>
  <c r="P1097"/>
  <c r="CJ1097"/>
  <c r="M1097" s="1"/>
  <c r="N1098"/>
  <c r="O1098"/>
  <c r="P1098"/>
  <c r="CJ1098"/>
  <c r="M1098" s="1"/>
  <c r="S1098" s="1"/>
  <c r="N1099"/>
  <c r="O1099"/>
  <c r="P1099"/>
  <c r="CJ1099"/>
  <c r="M1099" s="1"/>
  <c r="S1099" s="1"/>
  <c r="N1100"/>
  <c r="O1100"/>
  <c r="P1100"/>
  <c r="CJ1100"/>
  <c r="M1100" s="1"/>
  <c r="S1100" s="1"/>
  <c r="N1101"/>
  <c r="O1101"/>
  <c r="P1101"/>
  <c r="CJ1101"/>
  <c r="M1101" s="1"/>
  <c r="N1102"/>
  <c r="O1102"/>
  <c r="P1102"/>
  <c r="CJ1102"/>
  <c r="M1102" s="1"/>
  <c r="N1103"/>
  <c r="O1103"/>
  <c r="P1103"/>
  <c r="CJ1103"/>
  <c r="M1103" s="1"/>
  <c r="S1103" s="1"/>
  <c r="N1104"/>
  <c r="O1104"/>
  <c r="P1104"/>
  <c r="CJ1104"/>
  <c r="M1104" s="1"/>
  <c r="S1104" s="1"/>
  <c r="N1105"/>
  <c r="O1105"/>
  <c r="P1105"/>
  <c r="CJ1105"/>
  <c r="M1105" s="1"/>
  <c r="N1106"/>
  <c r="O1106"/>
  <c r="P1106"/>
  <c r="CJ1106"/>
  <c r="M1106" s="1"/>
  <c r="N1107"/>
  <c r="O1107"/>
  <c r="P1107"/>
  <c r="CJ1107"/>
  <c r="M1107" s="1"/>
  <c r="O1108"/>
  <c r="AK1108"/>
  <c r="AM1108"/>
  <c r="AM2426" s="1"/>
  <c r="AO1108"/>
  <c r="BO1108"/>
  <c r="BW1108"/>
  <c r="CE1108"/>
  <c r="CG1108"/>
  <c r="CL1108"/>
  <c r="P1108" s="1"/>
  <c r="CN1108"/>
  <c r="N1108" s="1"/>
  <c r="N1109"/>
  <c r="O1109"/>
  <c r="P1109"/>
  <c r="CJ1109"/>
  <c r="M1109" s="1"/>
  <c r="O1110"/>
  <c r="P1110"/>
  <c r="CC1110"/>
  <c r="CE1110"/>
  <c r="CN1110"/>
  <c r="N1110" s="1"/>
  <c r="N1111"/>
  <c r="O1111"/>
  <c r="P1111"/>
  <c r="CJ1111"/>
  <c r="M1111" s="1"/>
  <c r="N1112"/>
  <c r="O1112"/>
  <c r="P1112"/>
  <c r="CJ1112"/>
  <c r="M1112" s="1"/>
  <c r="N1113"/>
  <c r="O1113"/>
  <c r="P1113"/>
  <c r="CJ1113"/>
  <c r="M1113" s="1"/>
  <c r="P1114"/>
  <c r="AK1114"/>
  <c r="AO1114"/>
  <c r="CJ1114" s="1"/>
  <c r="M1114" s="1"/>
  <c r="CN1114"/>
  <c r="N1114" s="1"/>
  <c r="CR1114"/>
  <c r="O1114" s="1"/>
  <c r="O1115"/>
  <c r="P1115"/>
  <c r="BN1115"/>
  <c r="BO1115"/>
  <c r="CE1115"/>
  <c r="CM1115"/>
  <c r="CN1115"/>
  <c r="N1115" s="1"/>
  <c r="O1116"/>
  <c r="P1116"/>
  <c r="AO1116"/>
  <c r="BY1116"/>
  <c r="CE1116"/>
  <c r="CG1116"/>
  <c r="CN1116"/>
  <c r="N1116" s="1"/>
  <c r="J1117"/>
  <c r="K1117"/>
  <c r="O1117"/>
  <c r="P1117"/>
  <c r="BA1117"/>
  <c r="CE1117"/>
  <c r="CG1117"/>
  <c r="CN1117"/>
  <c r="N1117" s="1"/>
  <c r="N1118"/>
  <c r="O1118"/>
  <c r="P1118"/>
  <c r="CJ1118"/>
  <c r="M1118" s="1"/>
  <c r="N1119"/>
  <c r="O1119"/>
  <c r="P1119"/>
  <c r="CJ1119"/>
  <c r="M1119" s="1"/>
  <c r="S1119" s="1"/>
  <c r="N1120"/>
  <c r="O1120"/>
  <c r="P1120"/>
  <c r="CJ1120"/>
  <c r="M1120" s="1"/>
  <c r="N1121"/>
  <c r="O1121"/>
  <c r="P1121"/>
  <c r="CJ1121"/>
  <c r="M1121" s="1"/>
  <c r="N1122"/>
  <c r="O1122"/>
  <c r="P1122"/>
  <c r="CJ1122"/>
  <c r="M1122" s="1"/>
  <c r="S1122" s="1"/>
  <c r="O1123"/>
  <c r="P1123"/>
  <c r="CC1123"/>
  <c r="CJ1123" s="1"/>
  <c r="M1123" s="1"/>
  <c r="CN1123"/>
  <c r="N1123" s="1"/>
  <c r="S1123" s="1"/>
  <c r="N1124"/>
  <c r="O1124"/>
  <c r="P1124"/>
  <c r="CJ1124"/>
  <c r="M1124" s="1"/>
  <c r="S1124" s="1"/>
  <c r="N1125"/>
  <c r="O1125"/>
  <c r="P1125"/>
  <c r="CJ1125"/>
  <c r="M1125" s="1"/>
  <c r="S1125" s="1"/>
  <c r="O1126"/>
  <c r="P1126"/>
  <c r="AQ1126"/>
  <c r="CC1126"/>
  <c r="CN1126"/>
  <c r="N1126" s="1"/>
  <c r="N1127"/>
  <c r="O1127"/>
  <c r="P1127"/>
  <c r="CJ1127"/>
  <c r="M1127" s="1"/>
  <c r="N1128"/>
  <c r="O1128"/>
  <c r="P1128"/>
  <c r="CJ1128"/>
  <c r="M1128" s="1"/>
  <c r="O1129"/>
  <c r="AO1129"/>
  <c r="BN1129"/>
  <c r="BO1129"/>
  <c r="CC1129"/>
  <c r="CL1129"/>
  <c r="P1129" s="1"/>
  <c r="CM1129"/>
  <c r="CN1129"/>
  <c r="N1129" s="1"/>
  <c r="O1130"/>
  <c r="P1130"/>
  <c r="CJ1130"/>
  <c r="M1130" s="1"/>
  <c r="CN1130"/>
  <c r="N1130" s="1"/>
  <c r="N1131"/>
  <c r="O1131"/>
  <c r="P1131"/>
  <c r="CJ1131"/>
  <c r="M1131" s="1"/>
  <c r="N1132"/>
  <c r="O1132"/>
  <c r="P1132"/>
  <c r="CJ1132"/>
  <c r="M1132" s="1"/>
  <c r="N1133"/>
  <c r="O1133"/>
  <c r="P1133"/>
  <c r="S1133" s="1"/>
  <c r="CJ1133"/>
  <c r="M1133" s="1"/>
  <c r="N1134"/>
  <c r="O1134"/>
  <c r="P1134"/>
  <c r="S1134" s="1"/>
  <c r="CJ1134"/>
  <c r="M1134" s="1"/>
  <c r="N1135"/>
  <c r="O1135"/>
  <c r="P1135"/>
  <c r="S1135" s="1"/>
  <c r="CJ1135"/>
  <c r="M1135" s="1"/>
  <c r="N1136"/>
  <c r="O1136"/>
  <c r="P1136"/>
  <c r="CJ1136"/>
  <c r="M1136" s="1"/>
  <c r="N1137"/>
  <c r="O1137"/>
  <c r="P1137"/>
  <c r="CJ1137"/>
  <c r="M1137" s="1"/>
  <c r="N1138"/>
  <c r="O1138"/>
  <c r="P1138"/>
  <c r="CJ1138"/>
  <c r="M1138" s="1"/>
  <c r="N1139"/>
  <c r="O1139"/>
  <c r="P1139"/>
  <c r="CJ1139"/>
  <c r="M1139" s="1"/>
  <c r="N1140"/>
  <c r="S1140" s="1"/>
  <c r="O1140"/>
  <c r="P1140"/>
  <c r="CJ1140"/>
  <c r="M1140" s="1"/>
  <c r="J1141"/>
  <c r="N1141"/>
  <c r="O1141"/>
  <c r="P1141"/>
  <c r="CJ1141"/>
  <c r="M1141" s="1"/>
  <c r="N1142"/>
  <c r="O1142"/>
  <c r="P1142"/>
  <c r="CJ1142"/>
  <c r="M1142" s="1"/>
  <c r="J1143"/>
  <c r="O1143"/>
  <c r="P1143"/>
  <c r="AO1143"/>
  <c r="CE1143"/>
  <c r="CN1143"/>
  <c r="N1143" s="1"/>
  <c r="N1144"/>
  <c r="O1144"/>
  <c r="P1144"/>
  <c r="CJ1144"/>
  <c r="M1144" s="1"/>
  <c r="N1145"/>
  <c r="O1145"/>
  <c r="P1145"/>
  <c r="CJ1145"/>
  <c r="M1145" s="1"/>
  <c r="N1146"/>
  <c r="O1146"/>
  <c r="P1146"/>
  <c r="CJ1146"/>
  <c r="M1146" s="1"/>
  <c r="N1147"/>
  <c r="O1147"/>
  <c r="P1147"/>
  <c r="CJ1147"/>
  <c r="M1147" s="1"/>
  <c r="N1148"/>
  <c r="O1148"/>
  <c r="P1148"/>
  <c r="CJ1148"/>
  <c r="M1148" s="1"/>
  <c r="O1150"/>
  <c r="P1150"/>
  <c r="CJ1150"/>
  <c r="M1150" s="1"/>
  <c r="CN1150"/>
  <c r="N1150" s="1"/>
  <c r="N1149"/>
  <c r="S1149" s="1"/>
  <c r="O1149"/>
  <c r="P1149"/>
  <c r="CJ1149"/>
  <c r="M1149" s="1"/>
  <c r="N1151"/>
  <c r="O1151"/>
  <c r="CJ1151"/>
  <c r="M1151" s="1"/>
  <c r="CK1151"/>
  <c r="CL1151"/>
  <c r="P1151" s="1"/>
  <c r="J1152"/>
  <c r="N1152"/>
  <c r="O1152"/>
  <c r="S1152" s="1"/>
  <c r="P1152"/>
  <c r="CJ1152"/>
  <c r="M1152" s="1"/>
  <c r="N1153"/>
  <c r="O1153"/>
  <c r="P1153"/>
  <c r="CJ1153"/>
  <c r="M1153" s="1"/>
  <c r="N1154"/>
  <c r="O1154"/>
  <c r="P1154"/>
  <c r="CJ1154"/>
  <c r="M1154" s="1"/>
  <c r="O1155"/>
  <c r="BA1155"/>
  <c r="CJ1155" s="1"/>
  <c r="M1155" s="1"/>
  <c r="CE1155"/>
  <c r="CG1155"/>
  <c r="CL1155"/>
  <c r="P1155"/>
  <c r="CN1155"/>
  <c r="N1155" s="1"/>
  <c r="O1156"/>
  <c r="BO1156"/>
  <c r="CC1156"/>
  <c r="CJ1156" s="1"/>
  <c r="M1156" s="1"/>
  <c r="S1156" s="1"/>
  <c r="CL1156"/>
  <c r="P1156" s="1"/>
  <c r="CM1156"/>
  <c r="CN1156"/>
  <c r="N1156" s="1"/>
  <c r="O1157"/>
  <c r="BN1157"/>
  <c r="BO1157"/>
  <c r="CC1157"/>
  <c r="CL1157"/>
  <c r="P1157" s="1"/>
  <c r="CM1157"/>
  <c r="CN1157"/>
  <c r="N1157" s="1"/>
  <c r="N1158"/>
  <c r="O1158"/>
  <c r="P1158"/>
  <c r="CJ1158"/>
  <c r="M1158"/>
  <c r="S1158" s="1"/>
  <c r="N1159"/>
  <c r="O1159"/>
  <c r="P1159"/>
  <c r="CJ1159"/>
  <c r="M1159" s="1"/>
  <c r="N1160"/>
  <c r="O1160"/>
  <c r="P1160"/>
  <c r="CJ1160"/>
  <c r="M1160" s="1"/>
  <c r="S1160" s="1"/>
  <c r="N1161"/>
  <c r="O1161"/>
  <c r="BO1161"/>
  <c r="CJ1161" s="1"/>
  <c r="M1161" s="1"/>
  <c r="CK1161"/>
  <c r="CL1161"/>
  <c r="P1161" s="1"/>
  <c r="O1162"/>
  <c r="P1162"/>
  <c r="Q1162"/>
  <c r="BN1162"/>
  <c r="BO1162"/>
  <c r="CJ1162" s="1"/>
  <c r="M1162" s="1"/>
  <c r="CN1162"/>
  <c r="N1162"/>
  <c r="S1162" s="1"/>
  <c r="N1163"/>
  <c r="O1163"/>
  <c r="P1163"/>
  <c r="CJ1163"/>
  <c r="M1163" s="1"/>
  <c r="S1163" s="1"/>
  <c r="J1164"/>
  <c r="O1164"/>
  <c r="P1164"/>
  <c r="AO1164"/>
  <c r="CE1164"/>
  <c r="CN1164"/>
  <c r="N1164" s="1"/>
  <c r="N1165"/>
  <c r="O1165"/>
  <c r="P1165"/>
  <c r="CJ1165"/>
  <c r="M1165" s="1"/>
  <c r="N1166"/>
  <c r="O1166"/>
  <c r="S1166" s="1"/>
  <c r="P1166"/>
  <c r="CJ1166"/>
  <c r="M1166" s="1"/>
  <c r="O1167"/>
  <c r="P1167"/>
  <c r="BA1167"/>
  <c r="CE1167"/>
  <c r="CG1167"/>
  <c r="CN1167"/>
  <c r="N1167" s="1"/>
  <c r="N1168"/>
  <c r="O1168"/>
  <c r="P1168"/>
  <c r="CJ1168"/>
  <c r="M1168" s="1"/>
  <c r="N1169"/>
  <c r="O1169"/>
  <c r="P1169"/>
  <c r="CJ1169"/>
  <c r="M1169" s="1"/>
  <c r="S1169" s="1"/>
  <c r="N1170"/>
  <c r="O1170"/>
  <c r="P1170"/>
  <c r="CJ1170"/>
  <c r="M1170" s="1"/>
  <c r="S1170" s="1"/>
  <c r="N1171"/>
  <c r="O1171"/>
  <c r="P1171"/>
  <c r="CJ1171"/>
  <c r="M1171" s="1"/>
  <c r="N1172"/>
  <c r="O1172"/>
  <c r="P1172"/>
  <c r="CJ1172"/>
  <c r="M1172" s="1"/>
  <c r="N1173"/>
  <c r="O1173"/>
  <c r="P1173"/>
  <c r="CJ1173"/>
  <c r="M1173" s="1"/>
  <c r="N1174"/>
  <c r="O1174"/>
  <c r="P1174"/>
  <c r="CJ1174"/>
  <c r="M1174" s="1"/>
  <c r="O1175"/>
  <c r="P1175"/>
  <c r="BA1175"/>
  <c r="CJ1175" s="1"/>
  <c r="M1175" s="1"/>
  <c r="CE1175"/>
  <c r="CG1175"/>
  <c r="CN1175"/>
  <c r="N1175" s="1"/>
  <c r="O1176"/>
  <c r="P1176"/>
  <c r="AO1176"/>
  <c r="CE1176"/>
  <c r="CG1176"/>
  <c r="CM1176"/>
  <c r="CN1176"/>
  <c r="N1176" s="1"/>
  <c r="O1177"/>
  <c r="P1177"/>
  <c r="BA1177"/>
  <c r="CJ1177" s="1"/>
  <c r="M1177" s="1"/>
  <c r="CE1177"/>
  <c r="CG1177"/>
  <c r="CN1177"/>
  <c r="N1177" s="1"/>
  <c r="N1178"/>
  <c r="O1178"/>
  <c r="P1178"/>
  <c r="CJ1178"/>
  <c r="M1178" s="1"/>
  <c r="N1179"/>
  <c r="O1179"/>
  <c r="P1179"/>
  <c r="CJ1179"/>
  <c r="M1179" s="1"/>
  <c r="S1179" s="1"/>
  <c r="N1180"/>
  <c r="O1180"/>
  <c r="P1180"/>
  <c r="CJ1180"/>
  <c r="M1180" s="1"/>
  <c r="N1181"/>
  <c r="O1181"/>
  <c r="P1181"/>
  <c r="CJ1181"/>
  <c r="M1181" s="1"/>
  <c r="J1182"/>
  <c r="K1182"/>
  <c r="N1182"/>
  <c r="S1182" s="1"/>
  <c r="O1182"/>
  <c r="P1182"/>
  <c r="CJ1182"/>
  <c r="M1182" s="1"/>
  <c r="P1183"/>
  <c r="BA1183"/>
  <c r="BY1183"/>
  <c r="CE1183"/>
  <c r="CG1183"/>
  <c r="CJ1183" s="1"/>
  <c r="M1183" s="1"/>
  <c r="S1183" s="1"/>
  <c r="CN1183"/>
  <c r="N1183" s="1"/>
  <c r="CR1183"/>
  <c r="O1183" s="1"/>
  <c r="N1184"/>
  <c r="O1184"/>
  <c r="S1184" s="1"/>
  <c r="P1184"/>
  <c r="CJ1184"/>
  <c r="M1184" s="1"/>
  <c r="N1185"/>
  <c r="O1185"/>
  <c r="CJ1185"/>
  <c r="M1185" s="1"/>
  <c r="CK1185"/>
  <c r="CL1185"/>
  <c r="P1185" s="1"/>
  <c r="N1186"/>
  <c r="O1186"/>
  <c r="P1186"/>
  <c r="CJ1186"/>
  <c r="M1186" s="1"/>
  <c r="S1186" s="1"/>
  <c r="N1187"/>
  <c r="O1187"/>
  <c r="P1187"/>
  <c r="CJ1187"/>
  <c r="M1187" s="1"/>
  <c r="N1188"/>
  <c r="O1188"/>
  <c r="P1188"/>
  <c r="CJ1188"/>
  <c r="M1188" s="1"/>
  <c r="N1189"/>
  <c r="O1189"/>
  <c r="S1189" s="1"/>
  <c r="P1189"/>
  <c r="CJ1189"/>
  <c r="M1189" s="1"/>
  <c r="N1190"/>
  <c r="O1190"/>
  <c r="P1190"/>
  <c r="CJ1190"/>
  <c r="M1190" s="1"/>
  <c r="N1191"/>
  <c r="O1191"/>
  <c r="P1191"/>
  <c r="CJ1191"/>
  <c r="M1191" s="1"/>
  <c r="N1192"/>
  <c r="O1192"/>
  <c r="P1192"/>
  <c r="CJ1192"/>
  <c r="M1192" s="1"/>
  <c r="N1193"/>
  <c r="O1193"/>
  <c r="S1193" s="1"/>
  <c r="P1193"/>
  <c r="CJ1193"/>
  <c r="M1193" s="1"/>
  <c r="N1194"/>
  <c r="O1194"/>
  <c r="P1194"/>
  <c r="CJ1194"/>
  <c r="M1194" s="1"/>
  <c r="J1195"/>
  <c r="K1195"/>
  <c r="N1195"/>
  <c r="O1195"/>
  <c r="P1195"/>
  <c r="CJ1195"/>
  <c r="M1195" s="1"/>
  <c r="N1196"/>
  <c r="P1196"/>
  <c r="CJ1196"/>
  <c r="M1196" s="1"/>
  <c r="CP1196"/>
  <c r="CR1196"/>
  <c r="N1197"/>
  <c r="O1197"/>
  <c r="P1197"/>
  <c r="AO1197"/>
  <c r="CJ1197" s="1"/>
  <c r="M1197" s="1"/>
  <c r="CR1197"/>
  <c r="O1198"/>
  <c r="P1198"/>
  <c r="BA1198"/>
  <c r="CE1198"/>
  <c r="CG1198"/>
  <c r="CN1198"/>
  <c r="N1198" s="1"/>
  <c r="N1199"/>
  <c r="O1199"/>
  <c r="P1199"/>
  <c r="CJ1199"/>
  <c r="M1199" s="1"/>
  <c r="N1200"/>
  <c r="O1200"/>
  <c r="P1200"/>
  <c r="CJ1200"/>
  <c r="M1200" s="1"/>
  <c r="N1201"/>
  <c r="O1201"/>
  <c r="P1201"/>
  <c r="Q1201"/>
  <c r="CJ1201"/>
  <c r="M1201" s="1"/>
  <c r="N1202"/>
  <c r="O1202"/>
  <c r="P1202"/>
  <c r="CJ1202"/>
  <c r="M1202" s="1"/>
  <c r="N1203"/>
  <c r="O1203"/>
  <c r="P1203"/>
  <c r="CJ1203"/>
  <c r="M1203" s="1"/>
  <c r="N1204"/>
  <c r="O1204"/>
  <c r="P1204"/>
  <c r="Q1204"/>
  <c r="CJ1204"/>
  <c r="M1204" s="1"/>
  <c r="N1205"/>
  <c r="O1205"/>
  <c r="P1205"/>
  <c r="CJ1205"/>
  <c r="M1205" s="1"/>
  <c r="J1206"/>
  <c r="O1206"/>
  <c r="P1206"/>
  <c r="CB1206"/>
  <c r="CC1206"/>
  <c r="CE1206"/>
  <c r="CJ1206" s="1"/>
  <c r="M1206" s="1"/>
  <c r="CF1206"/>
  <c r="CG1206"/>
  <c r="CM1206"/>
  <c r="CN1206"/>
  <c r="N1206" s="1"/>
  <c r="N1207"/>
  <c r="O1207"/>
  <c r="P1207"/>
  <c r="CJ1207"/>
  <c r="M1207" s="1"/>
  <c r="S1207" s="1"/>
  <c r="J1208"/>
  <c r="N1208"/>
  <c r="O1208"/>
  <c r="P1208"/>
  <c r="CJ1208"/>
  <c r="M1208" s="1"/>
  <c r="N1209"/>
  <c r="O1209"/>
  <c r="P1209"/>
  <c r="CJ1209"/>
  <c r="M1209" s="1"/>
  <c r="N1210"/>
  <c r="O1210"/>
  <c r="P1210"/>
  <c r="CJ1210"/>
  <c r="M1210" s="1"/>
  <c r="N1212"/>
  <c r="O1212"/>
  <c r="P1212"/>
  <c r="S1212" s="1"/>
  <c r="CJ1212"/>
  <c r="M1212" s="1"/>
  <c r="N1211"/>
  <c r="O1211"/>
  <c r="P1211"/>
  <c r="CJ1211"/>
  <c r="M1211" s="1"/>
  <c r="J1213"/>
  <c r="N1213"/>
  <c r="O1213"/>
  <c r="P1213"/>
  <c r="CJ1213"/>
  <c r="M1213" s="1"/>
  <c r="N1214"/>
  <c r="O1214"/>
  <c r="P1214"/>
  <c r="CJ1214"/>
  <c r="M1214" s="1"/>
  <c r="S1214" s="1"/>
  <c r="N1215"/>
  <c r="O1215"/>
  <c r="P1215"/>
  <c r="CJ1215"/>
  <c r="M1215" s="1"/>
  <c r="N1216"/>
  <c r="O1216"/>
  <c r="P1216"/>
  <c r="CJ1216"/>
  <c r="M1216" s="1"/>
  <c r="N1217"/>
  <c r="O1217"/>
  <c r="P1217"/>
  <c r="CJ1217"/>
  <c r="M1217" s="1"/>
  <c r="N1218"/>
  <c r="O1218"/>
  <c r="P1218"/>
  <c r="CJ1218"/>
  <c r="M1218" s="1"/>
  <c r="N1219"/>
  <c r="O1219"/>
  <c r="P1219"/>
  <c r="CJ1219"/>
  <c r="M1219" s="1"/>
  <c r="N1220"/>
  <c r="O1220"/>
  <c r="P1220"/>
  <c r="CJ1220"/>
  <c r="M1220" s="1"/>
  <c r="N1221"/>
  <c r="O1221"/>
  <c r="P1221"/>
  <c r="CJ1221"/>
  <c r="M1221" s="1"/>
  <c r="J1222"/>
  <c r="K1222"/>
  <c r="O1222"/>
  <c r="P1222"/>
  <c r="AQ1222"/>
  <c r="CE1222"/>
  <c r="CG1222"/>
  <c r="CN1222"/>
  <c r="N1222" s="1"/>
  <c r="O1223"/>
  <c r="P1223"/>
  <c r="AK1223"/>
  <c r="AO1223"/>
  <c r="CN1223"/>
  <c r="N1223" s="1"/>
  <c r="O1224"/>
  <c r="BA1224"/>
  <c r="BN1224"/>
  <c r="BO1224"/>
  <c r="CB1224"/>
  <c r="CC1224"/>
  <c r="CL1224"/>
  <c r="P1224" s="1"/>
  <c r="CM1224"/>
  <c r="CN1224"/>
  <c r="N1224" s="1"/>
  <c r="N1225"/>
  <c r="O1225"/>
  <c r="P1225"/>
  <c r="CJ1225"/>
  <c r="M1225" s="1"/>
  <c r="N1226"/>
  <c r="O1226"/>
  <c r="P1226"/>
  <c r="CJ1226"/>
  <c r="M1226" s="1"/>
  <c r="N1227"/>
  <c r="O1227"/>
  <c r="P1227"/>
  <c r="CJ1227"/>
  <c r="M1227" s="1"/>
  <c r="N1228"/>
  <c r="O1228"/>
  <c r="CJ1228"/>
  <c r="M1228" s="1"/>
  <c r="CL1228"/>
  <c r="P1228" s="1"/>
  <c r="P1229"/>
  <c r="CE1229"/>
  <c r="CG1229"/>
  <c r="CJ1229" s="1"/>
  <c r="M1229" s="1"/>
  <c r="CN1229"/>
  <c r="N1229" s="1"/>
  <c r="CP1229"/>
  <c r="O1229" s="1"/>
  <c r="CR1229"/>
  <c r="O1230"/>
  <c r="P1230"/>
  <c r="CC1230"/>
  <c r="CE1230"/>
  <c r="CG1230"/>
  <c r="CJ1230" s="1"/>
  <c r="M1230" s="1"/>
  <c r="CN1230"/>
  <c r="N1230" s="1"/>
  <c r="O1231"/>
  <c r="CJ1231"/>
  <c r="M1231" s="1"/>
  <c r="CK1231"/>
  <c r="CL1231"/>
  <c r="P1231" s="1"/>
  <c r="CN1231"/>
  <c r="N1231" s="1"/>
  <c r="N1232"/>
  <c r="O1232"/>
  <c r="P1232"/>
  <c r="CJ1232"/>
  <c r="M1232" s="1"/>
  <c r="N1233"/>
  <c r="O1233"/>
  <c r="P1233"/>
  <c r="CJ1233"/>
  <c r="M1233"/>
  <c r="N1234"/>
  <c r="O1234"/>
  <c r="P1234"/>
  <c r="CJ1234"/>
  <c r="M1234" s="1"/>
  <c r="S1234" s="1"/>
  <c r="N1235"/>
  <c r="O1235"/>
  <c r="P1235"/>
  <c r="CJ1235"/>
  <c r="M1235" s="1"/>
  <c r="N1236"/>
  <c r="O1236"/>
  <c r="P1236"/>
  <c r="Q1236"/>
  <c r="CJ1236"/>
  <c r="M1236" s="1"/>
  <c r="S1236" s="1"/>
  <c r="N1237"/>
  <c r="O1237"/>
  <c r="P1237"/>
  <c r="CJ1237"/>
  <c r="M1237" s="1"/>
  <c r="N1238"/>
  <c r="O1238"/>
  <c r="P1238"/>
  <c r="CJ1238"/>
  <c r="M1238" s="1"/>
  <c r="S1238" s="1"/>
  <c r="N1239"/>
  <c r="O1239"/>
  <c r="P1239"/>
  <c r="CJ1239"/>
  <c r="M1239" s="1"/>
  <c r="J1240"/>
  <c r="N1240"/>
  <c r="O1240"/>
  <c r="S1240" s="1"/>
  <c r="P1240"/>
  <c r="CJ1240"/>
  <c r="M1240" s="1"/>
  <c r="N1241"/>
  <c r="O1241"/>
  <c r="S1241" s="1"/>
  <c r="P1241"/>
  <c r="CJ1241"/>
  <c r="M1241" s="1"/>
  <c r="N1242"/>
  <c r="O1242"/>
  <c r="S1242" s="1"/>
  <c r="P1242"/>
  <c r="CJ1242"/>
  <c r="M1242" s="1"/>
  <c r="N1243"/>
  <c r="O1243"/>
  <c r="S1243" s="1"/>
  <c r="P1243"/>
  <c r="CJ1243"/>
  <c r="M1243" s="1"/>
  <c r="J1244"/>
  <c r="N1244"/>
  <c r="O1244"/>
  <c r="P1244"/>
  <c r="CJ1244"/>
  <c r="M1244" s="1"/>
  <c r="N1245"/>
  <c r="O1245"/>
  <c r="P1245"/>
  <c r="CJ1245"/>
  <c r="M1245" s="1"/>
  <c r="J1250"/>
  <c r="N1250"/>
  <c r="O1250"/>
  <c r="P1250"/>
  <c r="CJ1250"/>
  <c r="M1250" s="1"/>
  <c r="J1252"/>
  <c r="N1252"/>
  <c r="O1252"/>
  <c r="P1252"/>
  <c r="CJ1252"/>
  <c r="M1252" s="1"/>
  <c r="J1247"/>
  <c r="N1247"/>
  <c r="O1247"/>
  <c r="P1247"/>
  <c r="CJ1247"/>
  <c r="M1247" s="1"/>
  <c r="N1248"/>
  <c r="O1248"/>
  <c r="S1248" s="1"/>
  <c r="P1248"/>
  <c r="CJ1248"/>
  <c r="M1248" s="1"/>
  <c r="N1246"/>
  <c r="O1246"/>
  <c r="S1246" s="1"/>
  <c r="P1246"/>
  <c r="CJ1246"/>
  <c r="M1246" s="1"/>
  <c r="N1249"/>
  <c r="O1249"/>
  <c r="S1249" s="1"/>
  <c r="P1249"/>
  <c r="CJ1249"/>
  <c r="M1249"/>
  <c r="N1251"/>
  <c r="O1251"/>
  <c r="P1251"/>
  <c r="CJ1251"/>
  <c r="M1251" s="1"/>
  <c r="J1253"/>
  <c r="N1253"/>
  <c r="O1253"/>
  <c r="P1253"/>
  <c r="CJ1253"/>
  <c r="M1253" s="1"/>
  <c r="S1253" s="1"/>
  <c r="J1254"/>
  <c r="N1254"/>
  <c r="O1254"/>
  <c r="P1254"/>
  <c r="CJ1254"/>
  <c r="M1254" s="1"/>
  <c r="J1255"/>
  <c r="N1255"/>
  <c r="O1255"/>
  <c r="P1255"/>
  <c r="CJ1255"/>
  <c r="M1255"/>
  <c r="J1256"/>
  <c r="N1256"/>
  <c r="O1256"/>
  <c r="P1256"/>
  <c r="CJ1256"/>
  <c r="M1256" s="1"/>
  <c r="N1257"/>
  <c r="O1257"/>
  <c r="P1257"/>
  <c r="CJ1257"/>
  <c r="M1257" s="1"/>
  <c r="N1258"/>
  <c r="O1258"/>
  <c r="P1258"/>
  <c r="CJ1258"/>
  <c r="M1258" s="1"/>
  <c r="N1259"/>
  <c r="O1259"/>
  <c r="P1259"/>
  <c r="CJ1259"/>
  <c r="M1259" s="1"/>
  <c r="N1260"/>
  <c r="O1260"/>
  <c r="CJ1260"/>
  <c r="M1260" s="1"/>
  <c r="CK1260"/>
  <c r="CL1260"/>
  <c r="P1260" s="1"/>
  <c r="J1261"/>
  <c r="O1261"/>
  <c r="P1261"/>
  <c r="AO1261"/>
  <c r="CE1261"/>
  <c r="CN1261"/>
  <c r="N1261" s="1"/>
  <c r="N1263"/>
  <c r="O1263"/>
  <c r="Q1263"/>
  <c r="CJ1263"/>
  <c r="M1263"/>
  <c r="CL1263"/>
  <c r="P1263" s="1"/>
  <c r="N1264"/>
  <c r="O1264"/>
  <c r="P1264"/>
  <c r="S1264" s="1"/>
  <c r="CJ1264"/>
  <c r="M1264" s="1"/>
  <c r="J1265"/>
  <c r="N1265"/>
  <c r="O1265"/>
  <c r="S1265" s="1"/>
  <c r="P1265"/>
  <c r="CJ1265"/>
  <c r="M1265"/>
  <c r="O1266"/>
  <c r="P1266"/>
  <c r="CJ1266"/>
  <c r="M1266"/>
  <c r="CN1266"/>
  <c r="N1266" s="1"/>
  <c r="S1266" s="1"/>
  <c r="N1267"/>
  <c r="O1267"/>
  <c r="P1267"/>
  <c r="CJ1267"/>
  <c r="M1267" s="1"/>
  <c r="S1267" s="1"/>
  <c r="N1268"/>
  <c r="O1268"/>
  <c r="P1268"/>
  <c r="CJ1268"/>
  <c r="M1268" s="1"/>
  <c r="S1268" s="1"/>
  <c r="N1269"/>
  <c r="O1269"/>
  <c r="P1269"/>
  <c r="CJ1269"/>
  <c r="M1269" s="1"/>
  <c r="S1269" s="1"/>
  <c r="J1270"/>
  <c r="K1270"/>
  <c r="O1270"/>
  <c r="P1270"/>
  <c r="CC1270"/>
  <c r="CJ1270" s="1"/>
  <c r="M1270" s="1"/>
  <c r="CN1270"/>
  <c r="N1270" s="1"/>
  <c r="N1271"/>
  <c r="O1271"/>
  <c r="S1271" s="1"/>
  <c r="P1271"/>
  <c r="CJ1271"/>
  <c r="M1271" s="1"/>
  <c r="N1272"/>
  <c r="O1272"/>
  <c r="P1272"/>
  <c r="CJ1272"/>
  <c r="M1272" s="1"/>
  <c r="N1273"/>
  <c r="O1273"/>
  <c r="S1273" s="1"/>
  <c r="P1273"/>
  <c r="CJ1273"/>
  <c r="M1273" s="1"/>
  <c r="N1274"/>
  <c r="O1274"/>
  <c r="P1274"/>
  <c r="CJ1274"/>
  <c r="M1274" s="1"/>
  <c r="N1275"/>
  <c r="O1275"/>
  <c r="S1275" s="1"/>
  <c r="P1275"/>
  <c r="CJ1275"/>
  <c r="M1275" s="1"/>
  <c r="O1276"/>
  <c r="P1276"/>
  <c r="AO1276"/>
  <c r="BY1276"/>
  <c r="CE1276"/>
  <c r="CG1276"/>
  <c r="CJ1276" s="1"/>
  <c r="M1276" s="1"/>
  <c r="S1276" s="1"/>
  <c r="CN1276"/>
  <c r="N1276" s="1"/>
  <c r="O1277"/>
  <c r="P1277"/>
  <c r="AO1277"/>
  <c r="CJ1277" s="1"/>
  <c r="M1277" s="1"/>
  <c r="BY1277"/>
  <c r="CE1277"/>
  <c r="CG1277"/>
  <c r="CN1277"/>
  <c r="N1277" s="1"/>
  <c r="N1278"/>
  <c r="O1278"/>
  <c r="P1278"/>
  <c r="CJ1278"/>
  <c r="M1278" s="1"/>
  <c r="S1278" s="1"/>
  <c r="N1279"/>
  <c r="O1279"/>
  <c r="P1279"/>
  <c r="CJ1279"/>
  <c r="M1279" s="1"/>
  <c r="S1279" s="1"/>
  <c r="N1280"/>
  <c r="O1280"/>
  <c r="P1280"/>
  <c r="CJ1280"/>
  <c r="M1280" s="1"/>
  <c r="S1280" s="1"/>
  <c r="N1281"/>
  <c r="O1281"/>
  <c r="P1281"/>
  <c r="CJ1281"/>
  <c r="M1281" s="1"/>
  <c r="J1282"/>
  <c r="N1282"/>
  <c r="O1282"/>
  <c r="P1282"/>
  <c r="CJ1282"/>
  <c r="M1282" s="1"/>
  <c r="N1283"/>
  <c r="O1283"/>
  <c r="P1283"/>
  <c r="CJ1283"/>
  <c r="M1283" s="1"/>
  <c r="N1284"/>
  <c r="O1284"/>
  <c r="P1284"/>
  <c r="CJ1284"/>
  <c r="M1284" s="1"/>
  <c r="J1285"/>
  <c r="N1285"/>
  <c r="O1285"/>
  <c r="P1285"/>
  <c r="CJ1285"/>
  <c r="M1285" s="1"/>
  <c r="S1285" s="1"/>
  <c r="O1286"/>
  <c r="P1286"/>
  <c r="AO1286"/>
  <c r="BY1286"/>
  <c r="CJ1286" s="1"/>
  <c r="M1286" s="1"/>
  <c r="S1286" s="1"/>
  <c r="CE1286"/>
  <c r="CG1286"/>
  <c r="CN1286"/>
  <c r="N1286" s="1"/>
  <c r="N1287"/>
  <c r="O1287"/>
  <c r="P1287"/>
  <c r="CJ1287"/>
  <c r="M1287"/>
  <c r="S1287" s="1"/>
  <c r="J1288"/>
  <c r="N1288"/>
  <c r="O1288"/>
  <c r="P1288"/>
  <c r="S1288" s="1"/>
  <c r="CJ1288"/>
  <c r="M1288" s="1"/>
  <c r="N1289"/>
  <c r="O1289"/>
  <c r="P1289"/>
  <c r="S1289" s="1"/>
  <c r="CJ1289"/>
  <c r="M1289" s="1"/>
  <c r="N1290"/>
  <c r="O1290"/>
  <c r="P1290"/>
  <c r="S1290" s="1"/>
  <c r="CJ1290"/>
  <c r="M1290" s="1"/>
  <c r="N1291"/>
  <c r="O1291"/>
  <c r="P1291"/>
  <c r="CJ1291"/>
  <c r="M1291" s="1"/>
  <c r="J1292"/>
  <c r="O1292"/>
  <c r="P1292"/>
  <c r="Q1292"/>
  <c r="CC1292"/>
  <c r="CE1292"/>
  <c r="CG1292"/>
  <c r="CN1292"/>
  <c r="N1292" s="1"/>
  <c r="P1293"/>
  <c r="AK1293"/>
  <c r="AO1293"/>
  <c r="BY1293"/>
  <c r="CE1293"/>
  <c r="CN1293"/>
  <c r="N1293" s="1"/>
  <c r="CR1293"/>
  <c r="O1293" s="1"/>
  <c r="J1294"/>
  <c r="N1294"/>
  <c r="O1294"/>
  <c r="P1294"/>
  <c r="CJ1294"/>
  <c r="M1294" s="1"/>
  <c r="N1295"/>
  <c r="O1295"/>
  <c r="P1295"/>
  <c r="CJ1295"/>
  <c r="M1295" s="1"/>
  <c r="N1296"/>
  <c r="O1296"/>
  <c r="P1296"/>
  <c r="CJ1296"/>
  <c r="M1296" s="1"/>
  <c r="N1297"/>
  <c r="O1297"/>
  <c r="P1297"/>
  <c r="CJ1297"/>
  <c r="M1297" s="1"/>
  <c r="N1298"/>
  <c r="O1298"/>
  <c r="P1298"/>
  <c r="CJ1298"/>
  <c r="M1298" s="1"/>
  <c r="N1299"/>
  <c r="O1299"/>
  <c r="P1299"/>
  <c r="CJ1299"/>
  <c r="M1299" s="1"/>
  <c r="O1300"/>
  <c r="P1300"/>
  <c r="AZ1300"/>
  <c r="BA1300"/>
  <c r="CD1300"/>
  <c r="CE1300"/>
  <c r="CG1300"/>
  <c r="CM1300"/>
  <c r="CN1300"/>
  <c r="N1300" s="1"/>
  <c r="J1301"/>
  <c r="O1301"/>
  <c r="P1301"/>
  <c r="AO1301"/>
  <c r="BY1301"/>
  <c r="CE1301"/>
  <c r="CG1301"/>
  <c r="CN1301"/>
  <c r="N1301" s="1"/>
  <c r="O1302"/>
  <c r="P1302"/>
  <c r="AO1302"/>
  <c r="BY1302"/>
  <c r="CE1302"/>
  <c r="CJ1302" s="1"/>
  <c r="M1302" s="1"/>
  <c r="S1302" s="1"/>
  <c r="CG1302"/>
  <c r="CN1302"/>
  <c r="N1302" s="1"/>
  <c r="J1303"/>
  <c r="N1303"/>
  <c r="O1303"/>
  <c r="P1303"/>
  <c r="CJ1303"/>
  <c r="M1303" s="1"/>
  <c r="N1304"/>
  <c r="O1304"/>
  <c r="P1304"/>
  <c r="CJ1304"/>
  <c r="M1304" s="1"/>
  <c r="N1305"/>
  <c r="O1305"/>
  <c r="P1305"/>
  <c r="CJ1305"/>
  <c r="M1305" s="1"/>
  <c r="J1306"/>
  <c r="N1306"/>
  <c r="O1306"/>
  <c r="P1306"/>
  <c r="CJ1306"/>
  <c r="M1306" s="1"/>
  <c r="S1306" s="1"/>
  <c r="P1307"/>
  <c r="AO1307"/>
  <c r="CG1307"/>
  <c r="CN1307"/>
  <c r="N1307" s="1"/>
  <c r="CR1307"/>
  <c r="O1307" s="1"/>
  <c r="N1308"/>
  <c r="O1308"/>
  <c r="P1308"/>
  <c r="S1308" s="1"/>
  <c r="CJ1308"/>
  <c r="M1308" s="1"/>
  <c r="N1309"/>
  <c r="O1309"/>
  <c r="P1309"/>
  <c r="CJ1309"/>
  <c r="M1309" s="1"/>
  <c r="N1310"/>
  <c r="P1310"/>
  <c r="CJ1310"/>
  <c r="M1310" s="1"/>
  <c r="S1310" s="1"/>
  <c r="CQ1310"/>
  <c r="CR1310"/>
  <c r="O1310" s="1"/>
  <c r="N1311"/>
  <c r="O1311"/>
  <c r="S1311" s="1"/>
  <c r="P1311"/>
  <c r="CJ1311"/>
  <c r="M1311" s="1"/>
  <c r="N1312"/>
  <c r="O1312"/>
  <c r="P1312"/>
  <c r="CJ1312"/>
  <c r="M1312" s="1"/>
  <c r="N1313"/>
  <c r="O1313"/>
  <c r="P1313"/>
  <c r="CJ1313"/>
  <c r="M1313" s="1"/>
  <c r="N1314"/>
  <c r="O1314"/>
  <c r="P1314"/>
  <c r="CJ1314"/>
  <c r="M1314" s="1"/>
  <c r="N1315"/>
  <c r="O1315"/>
  <c r="S1315" s="1"/>
  <c r="P1315"/>
  <c r="CJ1315"/>
  <c r="M1315" s="1"/>
  <c r="J1316"/>
  <c r="N1316"/>
  <c r="O1316"/>
  <c r="P1316"/>
  <c r="CJ1316"/>
  <c r="M1316" s="1"/>
  <c r="N1317"/>
  <c r="O1317"/>
  <c r="P1317"/>
  <c r="CJ1317"/>
  <c r="M1317" s="1"/>
  <c r="N1318"/>
  <c r="O1318"/>
  <c r="P1318"/>
  <c r="CJ1318"/>
  <c r="M1318" s="1"/>
  <c r="O1319"/>
  <c r="P1319"/>
  <c r="AO1319"/>
  <c r="CJ1319" s="1"/>
  <c r="M1319" s="1"/>
  <c r="CC1319"/>
  <c r="CN1319"/>
  <c r="N1319" s="1"/>
  <c r="N1320"/>
  <c r="O1320"/>
  <c r="P1320"/>
  <c r="CJ1320"/>
  <c r="M1320" s="1"/>
  <c r="N1321"/>
  <c r="O1321"/>
  <c r="P1321"/>
  <c r="CJ1321"/>
  <c r="M1321" s="1"/>
  <c r="S1321" s="1"/>
  <c r="O1322"/>
  <c r="P1322"/>
  <c r="CE1322"/>
  <c r="CJ1322" s="1"/>
  <c r="M1322" s="1"/>
  <c r="S1322" s="1"/>
  <c r="CN1322"/>
  <c r="N1322" s="1"/>
  <c r="N1323"/>
  <c r="O1323"/>
  <c r="P1323"/>
  <c r="CJ1323"/>
  <c r="M1323" s="1"/>
  <c r="N1324"/>
  <c r="O1324"/>
  <c r="P1324"/>
  <c r="CJ1324"/>
  <c r="M1324" s="1"/>
  <c r="J1325"/>
  <c r="O1325"/>
  <c r="P1325"/>
  <c r="CE1325"/>
  <c r="CJ1325" s="1"/>
  <c r="M1325" s="1"/>
  <c r="CN1325"/>
  <c r="N1325" s="1"/>
  <c r="N1326"/>
  <c r="O1326"/>
  <c r="P1326"/>
  <c r="CJ1326"/>
  <c r="M1326" s="1"/>
  <c r="N1327"/>
  <c r="O1327"/>
  <c r="P1327"/>
  <c r="CJ1327"/>
  <c r="M1327"/>
  <c r="S1327" s="1"/>
  <c r="N1328"/>
  <c r="O1328"/>
  <c r="P1328"/>
  <c r="CJ1328"/>
  <c r="M1328" s="1"/>
  <c r="S1328" s="1"/>
  <c r="N1329"/>
  <c r="O1329"/>
  <c r="P1329"/>
  <c r="CJ1329"/>
  <c r="M1329" s="1"/>
  <c r="O1330"/>
  <c r="P1330"/>
  <c r="CJ1330"/>
  <c r="M1330" s="1"/>
  <c r="CM1330"/>
  <c r="CN1330"/>
  <c r="N1330" s="1"/>
  <c r="S1330" s="1"/>
  <c r="N1331"/>
  <c r="P1331"/>
  <c r="CJ1331"/>
  <c r="M1331" s="1"/>
  <c r="N1332"/>
  <c r="O1332"/>
  <c r="CJ1332"/>
  <c r="M1332" s="1"/>
  <c r="CK1332"/>
  <c r="CL1332"/>
  <c r="P1332" s="1"/>
  <c r="N1333"/>
  <c r="O1333"/>
  <c r="P1333"/>
  <c r="S1333" s="1"/>
  <c r="CJ1333"/>
  <c r="M1333" s="1"/>
  <c r="N1334"/>
  <c r="O1334"/>
  <c r="P1334"/>
  <c r="CJ1334"/>
  <c r="M1334" s="1"/>
  <c r="O1335"/>
  <c r="P1335"/>
  <c r="AQ1335"/>
  <c r="CJ1335" s="1"/>
  <c r="M1335" s="1"/>
  <c r="S1335" s="1"/>
  <c r="BY1335"/>
  <c r="CE1335"/>
  <c r="CG1335"/>
  <c r="CN1335"/>
  <c r="N1335" s="1"/>
  <c r="J1336"/>
  <c r="K1336"/>
  <c r="N1336"/>
  <c r="O1336"/>
  <c r="P1336"/>
  <c r="CJ1336"/>
  <c r="M1336" s="1"/>
  <c r="O1337"/>
  <c r="P1337"/>
  <c r="CJ1337"/>
  <c r="M1337" s="1"/>
  <c r="CN1337"/>
  <c r="N1337" s="1"/>
  <c r="J1338"/>
  <c r="O1338"/>
  <c r="P1338"/>
  <c r="CJ1338"/>
  <c r="M1338" s="1"/>
  <c r="CN1338"/>
  <c r="N1338" s="1"/>
  <c r="O1339"/>
  <c r="P1339"/>
  <c r="AQ1339"/>
  <c r="BO1339"/>
  <c r="CE1339"/>
  <c r="CJ1339" s="1"/>
  <c r="M1339" s="1"/>
  <c r="S1339" s="1"/>
  <c r="CG1339"/>
  <c r="CM1339"/>
  <c r="CN1339"/>
  <c r="N1339" s="1"/>
  <c r="N1340"/>
  <c r="S1340" s="1"/>
  <c r="O1340"/>
  <c r="P1340"/>
  <c r="CJ1340"/>
  <c r="M1340" s="1"/>
  <c r="N1341"/>
  <c r="O1341"/>
  <c r="P1341"/>
  <c r="CJ1341"/>
  <c r="M1341" s="1"/>
  <c r="N1342"/>
  <c r="S1342" s="1"/>
  <c r="O1342"/>
  <c r="P1342"/>
  <c r="CJ1342"/>
  <c r="M1342" s="1"/>
  <c r="J1343"/>
  <c r="K1343"/>
  <c r="N1343"/>
  <c r="O1343"/>
  <c r="P1343"/>
  <c r="CJ1343"/>
  <c r="M1343" s="1"/>
  <c r="J1344"/>
  <c r="O1344"/>
  <c r="Q1344"/>
  <c r="AQ1344"/>
  <c r="BY1344"/>
  <c r="CC1344"/>
  <c r="CE1344"/>
  <c r="CL1344"/>
  <c r="CM1344"/>
  <c r="CN1344"/>
  <c r="N1344" s="1"/>
  <c r="J1345"/>
  <c r="O1345"/>
  <c r="P1345"/>
  <c r="Q1345"/>
  <c r="AQ1345"/>
  <c r="CB1345"/>
  <c r="CC1345"/>
  <c r="CE1345"/>
  <c r="CM1345"/>
  <c r="CN1345"/>
  <c r="N1345" s="1"/>
  <c r="J1346"/>
  <c r="O1346"/>
  <c r="P1346"/>
  <c r="Q1346"/>
  <c r="CE1346"/>
  <c r="CJ1346" s="1"/>
  <c r="M1346" s="1"/>
  <c r="CN1346"/>
  <c r="N1346" s="1"/>
  <c r="J1347"/>
  <c r="O1347"/>
  <c r="Q1347"/>
  <c r="AQ1347"/>
  <c r="CC1347"/>
  <c r="CE1347"/>
  <c r="CL1347"/>
  <c r="P1347" s="1"/>
  <c r="CN1347"/>
  <c r="N1347" s="1"/>
  <c r="J1348"/>
  <c r="O1348"/>
  <c r="AO1348"/>
  <c r="CE1348"/>
  <c r="CL1348"/>
  <c r="P1348" s="1"/>
  <c r="CN1348"/>
  <c r="N1348" s="1"/>
  <c r="J1349"/>
  <c r="K1349"/>
  <c r="O1349"/>
  <c r="P1349"/>
  <c r="CC1349"/>
  <c r="CJ1349" s="1"/>
  <c r="M1349" s="1"/>
  <c r="CN1349"/>
  <c r="N1349" s="1"/>
  <c r="N1350"/>
  <c r="O1350"/>
  <c r="P1350"/>
  <c r="CJ1350"/>
  <c r="M1350" s="1"/>
  <c r="N1351"/>
  <c r="O1351"/>
  <c r="P1351"/>
  <c r="CJ1351"/>
  <c r="M1351" s="1"/>
  <c r="N1352"/>
  <c r="O1352"/>
  <c r="CJ1352"/>
  <c r="M1352" s="1"/>
  <c r="CK1352"/>
  <c r="CL1352"/>
  <c r="P1352" s="1"/>
  <c r="J1353"/>
  <c r="O1353"/>
  <c r="P1353"/>
  <c r="CJ1353"/>
  <c r="M1353" s="1"/>
  <c r="CN1353"/>
  <c r="N1353" s="1"/>
  <c r="O1354"/>
  <c r="P1354"/>
  <c r="CJ1354"/>
  <c r="M1354" s="1"/>
  <c r="CN1354"/>
  <c r="N1354" s="1"/>
  <c r="N1355"/>
  <c r="O1355"/>
  <c r="S1355" s="1"/>
  <c r="P1355"/>
  <c r="CJ1355"/>
  <c r="M1355" s="1"/>
  <c r="N1356"/>
  <c r="O1356"/>
  <c r="S1356" s="1"/>
  <c r="P1356"/>
  <c r="CJ1356"/>
  <c r="M1356" s="1"/>
  <c r="O1357"/>
  <c r="P1357"/>
  <c r="AO1357"/>
  <c r="BY1357"/>
  <c r="CE1357"/>
  <c r="CG1357"/>
  <c r="CJ1357" s="1"/>
  <c r="M1357" s="1"/>
  <c r="S1357" s="1"/>
  <c r="CN1357"/>
  <c r="N1357" s="1"/>
  <c r="N1358"/>
  <c r="O1358"/>
  <c r="P1358"/>
  <c r="CJ1358"/>
  <c r="M1358" s="1"/>
  <c r="N1360"/>
  <c r="O1360"/>
  <c r="P1360"/>
  <c r="S1360" s="1"/>
  <c r="CJ1360"/>
  <c r="M1360" s="1"/>
  <c r="N1361"/>
  <c r="O1361"/>
  <c r="P1361"/>
  <c r="S1361" s="1"/>
  <c r="CJ1361"/>
  <c r="M1361" s="1"/>
  <c r="J1362"/>
  <c r="O1362"/>
  <c r="P1362"/>
  <c r="AO1362"/>
  <c r="BA1362"/>
  <c r="CN1362"/>
  <c r="N1362" s="1"/>
  <c r="N1363"/>
  <c r="O1363"/>
  <c r="P1363"/>
  <c r="CJ1363"/>
  <c r="M1363" s="1"/>
  <c r="N1364"/>
  <c r="S1364" s="1"/>
  <c r="O1364"/>
  <c r="P1364"/>
  <c r="CJ1364"/>
  <c r="M1364" s="1"/>
  <c r="N1365"/>
  <c r="S1365" s="1"/>
  <c r="O1365"/>
  <c r="P1365"/>
  <c r="CJ1365"/>
  <c r="M1365" s="1"/>
  <c r="N1366"/>
  <c r="S1366" s="1"/>
  <c r="O1366"/>
  <c r="P1366"/>
  <c r="CJ1366"/>
  <c r="M1366" s="1"/>
  <c r="J1367"/>
  <c r="N1367"/>
  <c r="O1367"/>
  <c r="P1367"/>
  <c r="CJ1367"/>
  <c r="M1367" s="1"/>
  <c r="S1367" s="1"/>
  <c r="N1368"/>
  <c r="O1368"/>
  <c r="P1368"/>
  <c r="CJ1368"/>
  <c r="M1368" s="1"/>
  <c r="S1368" s="1"/>
  <c r="N1369"/>
  <c r="O1369"/>
  <c r="P1369"/>
  <c r="CJ1369"/>
  <c r="M1369" s="1"/>
  <c r="S1369" s="1"/>
  <c r="N1370"/>
  <c r="O1370"/>
  <c r="P1370"/>
  <c r="CJ1370"/>
  <c r="M1370" s="1"/>
  <c r="S1370" s="1"/>
  <c r="N1371"/>
  <c r="O1371"/>
  <c r="CJ1371"/>
  <c r="M1371" s="1"/>
  <c r="CL1371"/>
  <c r="P1371" s="1"/>
  <c r="N1372"/>
  <c r="O1372"/>
  <c r="P1372"/>
  <c r="CJ1372"/>
  <c r="M1372" s="1"/>
  <c r="P1374"/>
  <c r="AO1374"/>
  <c r="CE1374"/>
  <c r="CG1374"/>
  <c r="CN1374"/>
  <c r="N1374" s="1"/>
  <c r="CR1374"/>
  <c r="O1374" s="1"/>
  <c r="N1375"/>
  <c r="O1375"/>
  <c r="P1375"/>
  <c r="CJ1375"/>
  <c r="M1375" s="1"/>
  <c r="N1376"/>
  <c r="O1376"/>
  <c r="P1376"/>
  <c r="CJ1376"/>
  <c r="M1376" s="1"/>
  <c r="N1377"/>
  <c r="O1377"/>
  <c r="P1377"/>
  <c r="CJ1377"/>
  <c r="M1377" s="1"/>
  <c r="J1378"/>
  <c r="K1378"/>
  <c r="N1378"/>
  <c r="O1378"/>
  <c r="P1378"/>
  <c r="CJ1378"/>
  <c r="M1378" s="1"/>
  <c r="N1379"/>
  <c r="O1379"/>
  <c r="P1379"/>
  <c r="CJ1379"/>
  <c r="M1379" s="1"/>
  <c r="N1380"/>
  <c r="O1380"/>
  <c r="P1380"/>
  <c r="CJ1380"/>
  <c r="M1380" s="1"/>
  <c r="N1381"/>
  <c r="O1381"/>
  <c r="P1381"/>
  <c r="CJ1381"/>
  <c r="M1381" s="1"/>
  <c r="N1382"/>
  <c r="O1382"/>
  <c r="P1382"/>
  <c r="CJ1382"/>
  <c r="M1382" s="1"/>
  <c r="O1383"/>
  <c r="P1383"/>
  <c r="AO1383"/>
  <c r="CE1383"/>
  <c r="CN1383"/>
  <c r="N1383" s="1"/>
  <c r="N1388"/>
  <c r="O1388"/>
  <c r="P1388"/>
  <c r="CJ1388"/>
  <c r="M1388" s="1"/>
  <c r="N1389"/>
  <c r="O1389"/>
  <c r="P1389"/>
  <c r="CJ1389"/>
  <c r="M1389" s="1"/>
  <c r="N1390"/>
  <c r="O1390"/>
  <c r="P1390"/>
  <c r="CJ1390"/>
  <c r="M1390" s="1"/>
  <c r="N1391"/>
  <c r="O1391"/>
  <c r="P1391"/>
  <c r="CJ1391"/>
  <c r="M1391" s="1"/>
  <c r="O1392"/>
  <c r="P1392"/>
  <c r="Q1392"/>
  <c r="CC1392"/>
  <c r="CE1392"/>
  <c r="CG1392"/>
  <c r="CN1392"/>
  <c r="N1392" s="1"/>
  <c r="N1393"/>
  <c r="O1393"/>
  <c r="P1393"/>
  <c r="CJ1393"/>
  <c r="M1393" s="1"/>
  <c r="O1394"/>
  <c r="P1394"/>
  <c r="BO1394"/>
  <c r="CJ1394" s="1"/>
  <c r="M1394" s="1"/>
  <c r="CN1394"/>
  <c r="N1394" s="1"/>
  <c r="N1395"/>
  <c r="O1395"/>
  <c r="P1395"/>
  <c r="CJ1395"/>
  <c r="M1395" s="1"/>
  <c r="N1396"/>
  <c r="O1396"/>
  <c r="P1396"/>
  <c r="CJ1396"/>
  <c r="M1396" s="1"/>
  <c r="N1397"/>
  <c r="O1397"/>
  <c r="P1397"/>
  <c r="CJ1397"/>
  <c r="M1397" s="1"/>
  <c r="N1398"/>
  <c r="O1398"/>
  <c r="P1398"/>
  <c r="CJ1398"/>
  <c r="M1398" s="1"/>
  <c r="N1399"/>
  <c r="O1399"/>
  <c r="P1399"/>
  <c r="CJ1399"/>
  <c r="M1399" s="1"/>
  <c r="N1400"/>
  <c r="O1400"/>
  <c r="P1400"/>
  <c r="CJ1400"/>
  <c r="M1400" s="1"/>
  <c r="N1401"/>
  <c r="O1401"/>
  <c r="P1401"/>
  <c r="CJ1401"/>
  <c r="M1401" s="1"/>
  <c r="N1402"/>
  <c r="O1402"/>
  <c r="P1402"/>
  <c r="CJ1402"/>
  <c r="M1402" s="1"/>
  <c r="N1403"/>
  <c r="O1403"/>
  <c r="P1403"/>
  <c r="CJ1403"/>
  <c r="M1403" s="1"/>
  <c r="N1404"/>
  <c r="O1404"/>
  <c r="P1404"/>
  <c r="CJ1404"/>
  <c r="M1404" s="1"/>
  <c r="K1405"/>
  <c r="N1405"/>
  <c r="O1405"/>
  <c r="P1405"/>
  <c r="CJ1405"/>
  <c r="M1405" s="1"/>
  <c r="J1406"/>
  <c r="K1406"/>
  <c r="N1406"/>
  <c r="O1406"/>
  <c r="P1406"/>
  <c r="CJ1406"/>
  <c r="M1406" s="1"/>
  <c r="N1407"/>
  <c r="O1407"/>
  <c r="S1407" s="1"/>
  <c r="P1407"/>
  <c r="CJ1407"/>
  <c r="M1407" s="1"/>
  <c r="N1408"/>
  <c r="O1408"/>
  <c r="P1408"/>
  <c r="CJ1408"/>
  <c r="M1408" s="1"/>
  <c r="N1409"/>
  <c r="O1409"/>
  <c r="P1409"/>
  <c r="AO1409"/>
  <c r="BN1409"/>
  <c r="BO1409"/>
  <c r="BV1409"/>
  <c r="BV2426" s="1"/>
  <c r="BW1409"/>
  <c r="BX1409"/>
  <c r="BY1409"/>
  <c r="CD1409"/>
  <c r="CE1409"/>
  <c r="N1410"/>
  <c r="O1410"/>
  <c r="S1410" s="1"/>
  <c r="P1410"/>
  <c r="CJ1410"/>
  <c r="M1410" s="1"/>
  <c r="N1411"/>
  <c r="O1411"/>
  <c r="S1411" s="1"/>
  <c r="P1411"/>
  <c r="CJ1411"/>
  <c r="M1411" s="1"/>
  <c r="N1412"/>
  <c r="O1412"/>
  <c r="P1412"/>
  <c r="CJ1412"/>
  <c r="M1412" s="1"/>
  <c r="N1413"/>
  <c r="O1413"/>
  <c r="P1413"/>
  <c r="CJ1413"/>
  <c r="M1413" s="1"/>
  <c r="N1414"/>
  <c r="O1414"/>
  <c r="P1414"/>
  <c r="CJ1414"/>
  <c r="M1414" s="1"/>
  <c r="N1415"/>
  <c r="O1415"/>
  <c r="P1415"/>
  <c r="CJ1415"/>
  <c r="M1415" s="1"/>
  <c r="N1416"/>
  <c r="O1416"/>
  <c r="P1416"/>
  <c r="CJ1416"/>
  <c r="M1416" s="1"/>
  <c r="N1417"/>
  <c r="O1417"/>
  <c r="P1417"/>
  <c r="CJ1417"/>
  <c r="M1417" s="1"/>
  <c r="N1418"/>
  <c r="O1418"/>
  <c r="P1418"/>
  <c r="CJ1418"/>
  <c r="M1418" s="1"/>
  <c r="N1419"/>
  <c r="O1419"/>
  <c r="S1419" s="1"/>
  <c r="P1419"/>
  <c r="CJ1419"/>
  <c r="M1419" s="1"/>
  <c r="O1420"/>
  <c r="BO1420"/>
  <c r="CJ1420" s="1"/>
  <c r="M1420" s="1"/>
  <c r="S1420" s="1"/>
  <c r="CL1420"/>
  <c r="P1420" s="1"/>
  <c r="CN1420"/>
  <c r="N1420"/>
  <c r="N1421"/>
  <c r="S1421" s="1"/>
  <c r="O1421"/>
  <c r="P1421"/>
  <c r="CJ1421"/>
  <c r="M1421" s="1"/>
  <c r="N1422"/>
  <c r="O1422"/>
  <c r="P1422"/>
  <c r="CJ1422"/>
  <c r="M1422" s="1"/>
  <c r="J1423"/>
  <c r="N1423"/>
  <c r="O1423"/>
  <c r="P1423"/>
  <c r="CJ1423"/>
  <c r="M1423" s="1"/>
  <c r="N1424"/>
  <c r="O1424"/>
  <c r="P1424"/>
  <c r="CJ1424"/>
  <c r="M1424" s="1"/>
  <c r="N1425"/>
  <c r="O1425"/>
  <c r="P1425"/>
  <c r="CJ1425"/>
  <c r="M1425" s="1"/>
  <c r="S1425" s="1"/>
  <c r="J1426"/>
  <c r="N1426"/>
  <c r="O1426"/>
  <c r="P1426"/>
  <c r="CJ1426"/>
  <c r="M1426" s="1"/>
  <c r="N1427"/>
  <c r="O1427"/>
  <c r="P1427"/>
  <c r="S1427" s="1"/>
  <c r="CJ1427"/>
  <c r="M1427" s="1"/>
  <c r="N1428"/>
  <c r="O1428"/>
  <c r="P1428"/>
  <c r="CJ1428"/>
  <c r="M1428" s="1"/>
  <c r="N1429"/>
  <c r="O1429"/>
  <c r="P1429"/>
  <c r="CJ1429"/>
  <c r="M1429" s="1"/>
  <c r="N1430"/>
  <c r="O1430"/>
  <c r="P1430"/>
  <c r="CJ1430"/>
  <c r="M1430" s="1"/>
  <c r="J1431"/>
  <c r="K1431"/>
  <c r="N1431"/>
  <c r="O1431"/>
  <c r="P1431"/>
  <c r="CJ1431"/>
  <c r="M1431" s="1"/>
  <c r="S1431" s="1"/>
  <c r="N1432"/>
  <c r="O1432"/>
  <c r="P1432"/>
  <c r="CJ1432"/>
  <c r="M1432" s="1"/>
  <c r="N1433"/>
  <c r="O1433"/>
  <c r="P1433"/>
  <c r="CJ1433"/>
  <c r="M1433" s="1"/>
  <c r="S1433" s="1"/>
  <c r="N1434"/>
  <c r="O1434"/>
  <c r="P1434"/>
  <c r="CJ1434"/>
  <c r="M1434" s="1"/>
  <c r="S1434" s="1"/>
  <c r="N1435"/>
  <c r="O1435"/>
  <c r="P1435"/>
  <c r="CJ1435"/>
  <c r="M1435" s="1"/>
  <c r="S1435" s="1"/>
  <c r="N1436"/>
  <c r="O1436"/>
  <c r="P1436"/>
  <c r="CJ1436"/>
  <c r="M1436" s="1"/>
  <c r="N1437"/>
  <c r="O1437"/>
  <c r="P1437"/>
  <c r="CJ1437"/>
  <c r="M1437" s="1"/>
  <c r="S1437" s="1"/>
  <c r="O1438"/>
  <c r="P1438"/>
  <c r="Q1438"/>
  <c r="CC1438"/>
  <c r="CE1438"/>
  <c r="CG1438"/>
  <c r="CN1438"/>
  <c r="N1438" s="1"/>
  <c r="O1439"/>
  <c r="P1439"/>
  <c r="BO1439"/>
  <c r="CJ1439" s="1"/>
  <c r="M1439" s="1"/>
  <c r="CN1439"/>
  <c r="N1439" s="1"/>
  <c r="N1440"/>
  <c r="S1440" s="1"/>
  <c r="O1440"/>
  <c r="P1440"/>
  <c r="CJ1440"/>
  <c r="M1440" s="1"/>
  <c r="O1441"/>
  <c r="S1441" s="1"/>
  <c r="P1441"/>
  <c r="BO1441"/>
  <c r="CJ1441" s="1"/>
  <c r="M1441" s="1"/>
  <c r="CN1441"/>
  <c r="N1441" s="1"/>
  <c r="N1442"/>
  <c r="O1442"/>
  <c r="P1442"/>
  <c r="CJ1442"/>
  <c r="M1442" s="1"/>
  <c r="N1443"/>
  <c r="O1443"/>
  <c r="P1443"/>
  <c r="CJ1443"/>
  <c r="M1443" s="1"/>
  <c r="O1444"/>
  <c r="P1444"/>
  <c r="Q1444"/>
  <c r="AQ1444"/>
  <c r="BY1444"/>
  <c r="CC1444"/>
  <c r="CE1444"/>
  <c r="CG1444"/>
  <c r="CN1444"/>
  <c r="N1444" s="1"/>
  <c r="N1445"/>
  <c r="O1445"/>
  <c r="P1445"/>
  <c r="CJ1445"/>
  <c r="M1445" s="1"/>
  <c r="N1446"/>
  <c r="O1446"/>
  <c r="P1446"/>
  <c r="CJ1446"/>
  <c r="M1446" s="1"/>
  <c r="N1447"/>
  <c r="O1447"/>
  <c r="P1447"/>
  <c r="CJ1447"/>
  <c r="M1447" s="1"/>
  <c r="N1448"/>
  <c r="O1448"/>
  <c r="P1448"/>
  <c r="CJ1448"/>
  <c r="M1448" s="1"/>
  <c r="J1449"/>
  <c r="N1449"/>
  <c r="O1449"/>
  <c r="S1449" s="1"/>
  <c r="P1449"/>
  <c r="CJ1449"/>
  <c r="M1449" s="1"/>
  <c r="J1450"/>
  <c r="N1450"/>
  <c r="O1450"/>
  <c r="P1450"/>
  <c r="CJ1450"/>
  <c r="M1450" s="1"/>
  <c r="J1451"/>
  <c r="N1451"/>
  <c r="O1451"/>
  <c r="P1451"/>
  <c r="CJ1451"/>
  <c r="M1451" s="1"/>
  <c r="J1452"/>
  <c r="N1452"/>
  <c r="O1452"/>
  <c r="P1452"/>
  <c r="CJ1452"/>
  <c r="M1452" s="1"/>
  <c r="N1453"/>
  <c r="O1453"/>
  <c r="P1453"/>
  <c r="CJ1453"/>
  <c r="M1453" s="1"/>
  <c r="N1454"/>
  <c r="O1454"/>
  <c r="P1454"/>
  <c r="CJ1454"/>
  <c r="M1454" s="1"/>
  <c r="J1455"/>
  <c r="N1455"/>
  <c r="O1455"/>
  <c r="P1455"/>
  <c r="CJ1455"/>
  <c r="M1455" s="1"/>
  <c r="J1456"/>
  <c r="N1456"/>
  <c r="S1456" s="1"/>
  <c r="O1456"/>
  <c r="P1456"/>
  <c r="CJ1456"/>
  <c r="M1456" s="1"/>
  <c r="J1457"/>
  <c r="N1457"/>
  <c r="O1457"/>
  <c r="P1457"/>
  <c r="CJ1457"/>
  <c r="M1457" s="1"/>
  <c r="J1458"/>
  <c r="N1458"/>
  <c r="O1458"/>
  <c r="P1458"/>
  <c r="CJ1458"/>
  <c r="M1458" s="1"/>
  <c r="O1459"/>
  <c r="P1459"/>
  <c r="CC1459"/>
  <c r="CJ1459" s="1"/>
  <c r="M1459" s="1"/>
  <c r="CN1459"/>
  <c r="N1459" s="1"/>
  <c r="N1460"/>
  <c r="O1460"/>
  <c r="P1460"/>
  <c r="CJ1460"/>
  <c r="M1460" s="1"/>
  <c r="N1461"/>
  <c r="O1461"/>
  <c r="P1461"/>
  <c r="CJ1461"/>
  <c r="M1461" s="1"/>
  <c r="N1462"/>
  <c r="O1462"/>
  <c r="P1462"/>
  <c r="CJ1462"/>
  <c r="M1462" s="1"/>
  <c r="N1463"/>
  <c r="O1463"/>
  <c r="P1463"/>
  <c r="S1463" s="1"/>
  <c r="CJ1463"/>
  <c r="M1463" s="1"/>
  <c r="N1464"/>
  <c r="O1464"/>
  <c r="P1464"/>
  <c r="CJ1464"/>
  <c r="M1464" s="1"/>
  <c r="N1465"/>
  <c r="O1465"/>
  <c r="P1465"/>
  <c r="CJ1465"/>
  <c r="M1465" s="1"/>
  <c r="N1466"/>
  <c r="O1466"/>
  <c r="P1466"/>
  <c r="S1466" s="1"/>
  <c r="CJ1466"/>
  <c r="M1466" s="1"/>
  <c r="N1467"/>
  <c r="O1467"/>
  <c r="P1467"/>
  <c r="S1467" s="1"/>
  <c r="CJ1467"/>
  <c r="M1467" s="1"/>
  <c r="N1468"/>
  <c r="O1468"/>
  <c r="P1468"/>
  <c r="S1468" s="1"/>
  <c r="CJ1468"/>
  <c r="M1468" s="1"/>
  <c r="O1469"/>
  <c r="P1469"/>
  <c r="AO1469"/>
  <c r="CJ1469" s="1"/>
  <c r="M1469" s="1"/>
  <c r="BY1469"/>
  <c r="CE1469"/>
  <c r="CG1469"/>
  <c r="CN1469"/>
  <c r="N1469" s="1"/>
  <c r="N1470"/>
  <c r="O1470"/>
  <c r="P1470"/>
  <c r="CJ1470"/>
  <c r="M1470" s="1"/>
  <c r="S1470" s="1"/>
  <c r="N1471"/>
  <c r="O1471"/>
  <c r="P1471"/>
  <c r="CJ1471"/>
  <c r="M1471" s="1"/>
  <c r="S1471" s="1"/>
  <c r="N1472"/>
  <c r="O1472"/>
  <c r="P1472"/>
  <c r="CJ1472"/>
  <c r="M1472" s="1"/>
  <c r="S1472" s="1"/>
  <c r="N1473"/>
  <c r="O1473"/>
  <c r="P1473"/>
  <c r="CJ1473"/>
  <c r="M1473" s="1"/>
  <c r="J1474"/>
  <c r="K1474"/>
  <c r="N1474"/>
  <c r="O1474"/>
  <c r="P1474"/>
  <c r="CJ1474"/>
  <c r="M1474" s="1"/>
  <c r="N1475"/>
  <c r="O1475"/>
  <c r="S1475" s="1"/>
  <c r="P1475"/>
  <c r="CJ1475"/>
  <c r="M1475" s="1"/>
  <c r="N1476"/>
  <c r="O1476"/>
  <c r="S1476" s="1"/>
  <c r="P1476"/>
  <c r="CJ1476"/>
  <c r="M1476" s="1"/>
  <c r="N1477"/>
  <c r="O1477"/>
  <c r="P1477"/>
  <c r="CJ1477"/>
  <c r="M1477" s="1"/>
  <c r="N1478"/>
  <c r="O1478"/>
  <c r="S1478" s="1"/>
  <c r="P1478"/>
  <c r="CJ1478"/>
  <c r="M1478" s="1"/>
  <c r="N1479"/>
  <c r="O1479"/>
  <c r="P1479"/>
  <c r="CJ1479"/>
  <c r="M1479" s="1"/>
  <c r="J1480"/>
  <c r="K1480"/>
  <c r="N1480"/>
  <c r="O1480"/>
  <c r="P1480"/>
  <c r="CJ1480"/>
  <c r="M1480" s="1"/>
  <c r="N1481"/>
  <c r="O1481"/>
  <c r="P1481"/>
  <c r="CJ1481"/>
  <c r="M1481" s="1"/>
  <c r="N1482"/>
  <c r="O1482"/>
  <c r="P1482"/>
  <c r="CJ1482"/>
  <c r="M1482" s="1"/>
  <c r="N1483"/>
  <c r="O1483"/>
  <c r="P1483"/>
  <c r="CJ1483"/>
  <c r="M1483" s="1"/>
  <c r="N1484"/>
  <c r="O1484"/>
  <c r="P1484"/>
  <c r="CJ1484"/>
  <c r="M1484" s="1"/>
  <c r="S1484" s="1"/>
  <c r="N1485"/>
  <c r="O1485"/>
  <c r="P1485"/>
  <c r="CJ1485"/>
  <c r="M1485" s="1"/>
  <c r="N1486"/>
  <c r="O1486"/>
  <c r="P1486"/>
  <c r="CJ1486"/>
  <c r="M1486" s="1"/>
  <c r="N1487"/>
  <c r="O1487"/>
  <c r="P1487"/>
  <c r="CJ1487"/>
  <c r="M1487" s="1"/>
  <c r="O1488"/>
  <c r="P1488"/>
  <c r="AQ1488"/>
  <c r="CC1488"/>
  <c r="CJ1488" s="1"/>
  <c r="M1488" s="1"/>
  <c r="S1488" s="1"/>
  <c r="CM1488"/>
  <c r="CN1488"/>
  <c r="N1488" s="1"/>
  <c r="O1489"/>
  <c r="P1489"/>
  <c r="AQ1489"/>
  <c r="CC1489"/>
  <c r="CJ1489" s="1"/>
  <c r="M1489" s="1"/>
  <c r="CM1489"/>
  <c r="CN1489"/>
  <c r="N1489" s="1"/>
  <c r="O1490"/>
  <c r="P1490"/>
  <c r="CJ1490"/>
  <c r="M1490" s="1"/>
  <c r="CN1490"/>
  <c r="N1490" s="1"/>
  <c r="O1491"/>
  <c r="P1491"/>
  <c r="AQ1491"/>
  <c r="CC1491"/>
  <c r="CJ1491" s="1"/>
  <c r="M1491" s="1"/>
  <c r="CM1491"/>
  <c r="CN1491"/>
  <c r="N1491" s="1"/>
  <c r="O1492"/>
  <c r="P1492"/>
  <c r="CJ1492"/>
  <c r="M1492" s="1"/>
  <c r="CN1492"/>
  <c r="N1492" s="1"/>
  <c r="O1493"/>
  <c r="P1493"/>
  <c r="AQ1493"/>
  <c r="CC1493"/>
  <c r="CM1493"/>
  <c r="CN1493"/>
  <c r="N1493" s="1"/>
  <c r="J1494"/>
  <c r="K1494"/>
  <c r="O1494"/>
  <c r="P1494"/>
  <c r="CJ1494"/>
  <c r="M1494" s="1"/>
  <c r="CN1494"/>
  <c r="N1494" s="1"/>
  <c r="O1495"/>
  <c r="P1495"/>
  <c r="CJ1495"/>
  <c r="M1495" s="1"/>
  <c r="CN1495"/>
  <c r="N1495" s="1"/>
  <c r="J1496"/>
  <c r="K1496"/>
  <c r="O1496"/>
  <c r="P1496"/>
  <c r="AQ1496"/>
  <c r="CC1496"/>
  <c r="CM1496"/>
  <c r="CN1496"/>
  <c r="N1496" s="1"/>
  <c r="O1497"/>
  <c r="P1497"/>
  <c r="AQ1497"/>
  <c r="CC1497"/>
  <c r="CM1497"/>
  <c r="CN1497"/>
  <c r="N1497" s="1"/>
  <c r="N1499"/>
  <c r="O1499"/>
  <c r="P1499"/>
  <c r="CJ1499"/>
  <c r="M1499" s="1"/>
  <c r="N1498"/>
  <c r="O1498"/>
  <c r="P1498"/>
  <c r="CJ1498"/>
  <c r="M1498" s="1"/>
  <c r="N1500"/>
  <c r="O1500"/>
  <c r="P1500"/>
  <c r="CJ1500"/>
  <c r="M1500" s="1"/>
  <c r="N1501"/>
  <c r="O1501"/>
  <c r="P1501"/>
  <c r="CJ1501"/>
  <c r="M1501"/>
  <c r="N1502"/>
  <c r="O1502"/>
  <c r="P1502"/>
  <c r="CJ1502"/>
  <c r="M1502" s="1"/>
  <c r="J1504"/>
  <c r="O1504"/>
  <c r="P1504"/>
  <c r="AO1504"/>
  <c r="CE1504"/>
  <c r="CN1504"/>
  <c r="N1504" s="1"/>
  <c r="N1505"/>
  <c r="O1505"/>
  <c r="P1505"/>
  <c r="CJ1505"/>
  <c r="M1505" s="1"/>
  <c r="J1506"/>
  <c r="O1506"/>
  <c r="P1506"/>
  <c r="AO1506"/>
  <c r="CE1506"/>
  <c r="CN1506"/>
  <c r="N1506" s="1"/>
  <c r="N1507"/>
  <c r="O1507"/>
  <c r="P1507"/>
  <c r="CJ1507"/>
  <c r="M1507" s="1"/>
  <c r="J1508"/>
  <c r="O1508"/>
  <c r="P1508"/>
  <c r="AO1508"/>
  <c r="CE1508"/>
  <c r="CN1508"/>
  <c r="N1508" s="1"/>
  <c r="N1509"/>
  <c r="O1509"/>
  <c r="P1509"/>
  <c r="CJ1509"/>
  <c r="M1509" s="1"/>
  <c r="O1510"/>
  <c r="R1510"/>
  <c r="BO1510"/>
  <c r="CJ1510" s="1"/>
  <c r="M1510" s="1"/>
  <c r="CL1510"/>
  <c r="P1510" s="1"/>
  <c r="CN1510"/>
  <c r="N1510" s="1"/>
  <c r="N1511"/>
  <c r="O1511"/>
  <c r="P1511"/>
  <c r="CJ1511"/>
  <c r="M1511"/>
  <c r="N1512"/>
  <c r="O1512"/>
  <c r="P1512"/>
  <c r="CJ1512"/>
  <c r="M1512" s="1"/>
  <c r="K1513"/>
  <c r="N1513"/>
  <c r="O1513"/>
  <c r="P1513"/>
  <c r="CJ1513"/>
  <c r="M1513" s="1"/>
  <c r="N1514"/>
  <c r="O1514"/>
  <c r="P1514"/>
  <c r="CJ1514"/>
  <c r="M1514" s="1"/>
  <c r="N1515"/>
  <c r="O1515"/>
  <c r="P1515"/>
  <c r="CJ1515"/>
  <c r="M1515" s="1"/>
  <c r="N1516"/>
  <c r="O1516"/>
  <c r="P1516"/>
  <c r="CJ1516"/>
  <c r="M1516" s="1"/>
  <c r="N1517"/>
  <c r="O1517"/>
  <c r="P1517"/>
  <c r="CJ1517"/>
  <c r="M1517" s="1"/>
  <c r="N1518"/>
  <c r="O1518"/>
  <c r="P1518"/>
  <c r="CJ1518"/>
  <c r="M1518" s="1"/>
  <c r="N1519"/>
  <c r="O1519"/>
  <c r="P1519"/>
  <c r="CJ1519"/>
  <c r="M1519" s="1"/>
  <c r="N1520"/>
  <c r="O1520"/>
  <c r="P1520"/>
  <c r="CJ1520"/>
  <c r="M1520" s="1"/>
  <c r="O1521"/>
  <c r="P1521"/>
  <c r="AO1521"/>
  <c r="CE1521"/>
  <c r="CN1521"/>
  <c r="N1521"/>
  <c r="N1522"/>
  <c r="O1522"/>
  <c r="P1522"/>
  <c r="CJ1522"/>
  <c r="M1522" s="1"/>
  <c r="N1523"/>
  <c r="O1523"/>
  <c r="P1523"/>
  <c r="CJ1523"/>
  <c r="M1523" s="1"/>
  <c r="N1524"/>
  <c r="O1524"/>
  <c r="P1524"/>
  <c r="CJ1524"/>
  <c r="M1524" s="1"/>
  <c r="S1524" s="1"/>
  <c r="N1525"/>
  <c r="O1525"/>
  <c r="P1525"/>
  <c r="CJ1525"/>
  <c r="M1525" s="1"/>
  <c r="N1526"/>
  <c r="O1526"/>
  <c r="P1526"/>
  <c r="CJ1526"/>
  <c r="M1526" s="1"/>
  <c r="J1527"/>
  <c r="K1527"/>
  <c r="N1527"/>
  <c r="O1527"/>
  <c r="S1527" s="1"/>
  <c r="P1527"/>
  <c r="CJ1527"/>
  <c r="M1527" s="1"/>
  <c r="N1528"/>
  <c r="O1528"/>
  <c r="S1528" s="1"/>
  <c r="P1528"/>
  <c r="CJ1528"/>
  <c r="M1528" s="1"/>
  <c r="N1529"/>
  <c r="O1529"/>
  <c r="P1529"/>
  <c r="CJ1529"/>
  <c r="M1529" s="1"/>
  <c r="N1531"/>
  <c r="O1531"/>
  <c r="P1531"/>
  <c r="CJ1531"/>
  <c r="M1531" s="1"/>
  <c r="N1532"/>
  <c r="O1532"/>
  <c r="S1532" s="1"/>
  <c r="P1532"/>
  <c r="Q1532"/>
  <c r="CJ1532"/>
  <c r="M1532" s="1"/>
  <c r="N1533"/>
  <c r="O1533"/>
  <c r="P1533"/>
  <c r="CJ1533"/>
  <c r="M1533" s="1"/>
  <c r="J1534"/>
  <c r="N1534"/>
  <c r="O1534"/>
  <c r="P1534"/>
  <c r="CJ1534"/>
  <c r="M1534" s="1"/>
  <c r="S1534" s="1"/>
  <c r="N1535"/>
  <c r="O1535"/>
  <c r="P1535"/>
  <c r="CJ1535"/>
  <c r="M1535" s="1"/>
  <c r="S1535" s="1"/>
  <c r="N1536"/>
  <c r="O1536"/>
  <c r="P1536"/>
  <c r="CJ1536"/>
  <c r="M1536" s="1"/>
  <c r="S1536" s="1"/>
  <c r="N1537"/>
  <c r="O1537"/>
  <c r="P1537"/>
  <c r="CJ1537"/>
  <c r="M1537" s="1"/>
  <c r="N1538"/>
  <c r="O1538"/>
  <c r="P1538"/>
  <c r="CJ1538"/>
  <c r="M1538" s="1"/>
  <c r="N1539"/>
  <c r="O1539"/>
  <c r="P1539"/>
  <c r="CJ1539"/>
  <c r="M1539" s="1"/>
  <c r="S1539" s="1"/>
  <c r="N1540"/>
  <c r="O1540"/>
  <c r="P1540"/>
  <c r="CJ1540"/>
  <c r="M1540" s="1"/>
  <c r="N1541"/>
  <c r="O1541"/>
  <c r="P1541"/>
  <c r="CJ1541"/>
  <c r="M1541" s="1"/>
  <c r="N1542"/>
  <c r="O1542"/>
  <c r="P1542"/>
  <c r="CJ1542"/>
  <c r="M1542" s="1"/>
  <c r="N1543"/>
  <c r="O1543"/>
  <c r="P1543"/>
  <c r="CJ1543"/>
  <c r="M1543" s="1"/>
  <c r="N1544"/>
  <c r="O1544"/>
  <c r="P1544"/>
  <c r="CJ1544"/>
  <c r="M1544" s="1"/>
  <c r="N1545"/>
  <c r="O1545"/>
  <c r="P1545"/>
  <c r="CJ1545"/>
  <c r="M1545" s="1"/>
  <c r="N1546"/>
  <c r="O1546"/>
  <c r="P1546"/>
  <c r="S1546" s="1"/>
  <c r="CJ1546"/>
  <c r="M1546" s="1"/>
  <c r="N1547"/>
  <c r="O1547"/>
  <c r="P1547"/>
  <c r="CJ1547"/>
  <c r="M1547" s="1"/>
  <c r="N1548"/>
  <c r="O1548"/>
  <c r="P1548"/>
  <c r="CJ1548"/>
  <c r="M1548" s="1"/>
  <c r="N1549"/>
  <c r="O1549"/>
  <c r="P1549"/>
  <c r="CJ1549"/>
  <c r="M1549" s="1"/>
  <c r="N1550"/>
  <c r="O1550"/>
  <c r="P1550"/>
  <c r="CJ1550"/>
  <c r="M1550" s="1"/>
  <c r="N1551"/>
  <c r="O1551"/>
  <c r="P1551"/>
  <c r="S1551" s="1"/>
  <c r="CJ1551"/>
  <c r="M1551" s="1"/>
  <c r="J1552"/>
  <c r="N1552"/>
  <c r="O1552"/>
  <c r="P1552"/>
  <c r="CJ1552"/>
  <c r="M1552" s="1"/>
  <c r="N1553"/>
  <c r="O1553"/>
  <c r="P1553"/>
  <c r="CJ1553"/>
  <c r="M1553" s="1"/>
  <c r="N1554"/>
  <c r="O1554"/>
  <c r="P1554"/>
  <c r="CJ1554"/>
  <c r="M1554" s="1"/>
  <c r="N1555"/>
  <c r="O1555"/>
  <c r="P1555"/>
  <c r="CJ1555"/>
  <c r="M1555" s="1"/>
  <c r="N1556"/>
  <c r="O1556"/>
  <c r="P1556"/>
  <c r="CJ1556"/>
  <c r="M1556" s="1"/>
  <c r="N1557"/>
  <c r="O1557"/>
  <c r="P1557"/>
  <c r="Q1557"/>
  <c r="CJ1557"/>
  <c r="M1557" s="1"/>
  <c r="N1558"/>
  <c r="O1558"/>
  <c r="P1558"/>
  <c r="CJ1558"/>
  <c r="M1558"/>
  <c r="S1558" s="1"/>
  <c r="N1559"/>
  <c r="O1559"/>
  <c r="P1559"/>
  <c r="CJ1559"/>
  <c r="M1559" s="1"/>
  <c r="S1559" s="1"/>
  <c r="N1560"/>
  <c r="O1560"/>
  <c r="P1560"/>
  <c r="CJ1560"/>
  <c r="M1560" s="1"/>
  <c r="N1561"/>
  <c r="O1561"/>
  <c r="P1561"/>
  <c r="CJ1561"/>
  <c r="M1561" s="1"/>
  <c r="N1562"/>
  <c r="O1562"/>
  <c r="P1562"/>
  <c r="CJ1562"/>
  <c r="M1562" s="1"/>
  <c r="S1562" s="1"/>
  <c r="J1563"/>
  <c r="K1563"/>
  <c r="N1563"/>
  <c r="O1563"/>
  <c r="P1563"/>
  <c r="CJ1563"/>
  <c r="M1563" s="1"/>
  <c r="N1564"/>
  <c r="O1564"/>
  <c r="P1564"/>
  <c r="CJ1564"/>
  <c r="M1564" s="1"/>
  <c r="J1565"/>
  <c r="N1565"/>
  <c r="O1565"/>
  <c r="P1565"/>
  <c r="CJ1565"/>
  <c r="M1565" s="1"/>
  <c r="O1566"/>
  <c r="P1566"/>
  <c r="AO1566"/>
  <c r="CE1566"/>
  <c r="CN1566"/>
  <c r="N1566" s="1"/>
  <c r="J1567"/>
  <c r="O1567"/>
  <c r="P1567"/>
  <c r="AO1567"/>
  <c r="CJ1567" s="1"/>
  <c r="M1567" s="1"/>
  <c r="CE1567"/>
  <c r="CN1567"/>
  <c r="N1567" s="1"/>
  <c r="N1568"/>
  <c r="O1568"/>
  <c r="P1568"/>
  <c r="CJ1568"/>
  <c r="M1568" s="1"/>
  <c r="J1569"/>
  <c r="K1569"/>
  <c r="N1569"/>
  <c r="O1569"/>
  <c r="P1569"/>
  <c r="CJ1569"/>
  <c r="M1569" s="1"/>
  <c r="N1570"/>
  <c r="O1570"/>
  <c r="P1570"/>
  <c r="CJ1570"/>
  <c r="M1570" s="1"/>
  <c r="J1571"/>
  <c r="O1571"/>
  <c r="P1571"/>
  <c r="AO1571"/>
  <c r="BY1571"/>
  <c r="CE1571"/>
  <c r="CG1571"/>
  <c r="CN1571"/>
  <c r="N1571" s="1"/>
  <c r="N1572"/>
  <c r="S1572" s="1"/>
  <c r="O1572"/>
  <c r="P1572"/>
  <c r="CJ1572"/>
  <c r="M1572" s="1"/>
  <c r="O1573"/>
  <c r="P1573"/>
  <c r="AO1573"/>
  <c r="BY1573"/>
  <c r="CE1573"/>
  <c r="CJ1573" s="1"/>
  <c r="M1573" s="1"/>
  <c r="S1573" s="1"/>
  <c r="CG1573"/>
  <c r="CN1573"/>
  <c r="N1573" s="1"/>
  <c r="O1574"/>
  <c r="P1574"/>
  <c r="AO1574"/>
  <c r="BY1574"/>
  <c r="CE1574"/>
  <c r="CG1574"/>
  <c r="CJ1574" s="1"/>
  <c r="M1574" s="1"/>
  <c r="S1574" s="1"/>
  <c r="CN1574"/>
  <c r="N1574" s="1"/>
  <c r="N1575"/>
  <c r="O1575"/>
  <c r="P1575"/>
  <c r="AQ1575"/>
  <c r="CJ1575" s="1"/>
  <c r="M1575" s="1"/>
  <c r="CC1575"/>
  <c r="N1576"/>
  <c r="O1576"/>
  <c r="S1576" s="1"/>
  <c r="P1576"/>
  <c r="CJ1576"/>
  <c r="M1576" s="1"/>
  <c r="K1577"/>
  <c r="N1577"/>
  <c r="S1577" s="1"/>
  <c r="O1577"/>
  <c r="P1577"/>
  <c r="CJ1577"/>
  <c r="M1577" s="1"/>
  <c r="K1578"/>
  <c r="N1578"/>
  <c r="O1578"/>
  <c r="P1578"/>
  <c r="CJ1578"/>
  <c r="M1578" s="1"/>
  <c r="N1579"/>
  <c r="O1579"/>
  <c r="P1579"/>
  <c r="CJ1579"/>
  <c r="M1579" s="1"/>
  <c r="J1580"/>
  <c r="O1580"/>
  <c r="P1580"/>
  <c r="AO1580"/>
  <c r="CJ1580" s="1"/>
  <c r="M1580" s="1"/>
  <c r="CE1580"/>
  <c r="CN1580"/>
  <c r="N1580" s="1"/>
  <c r="J1581"/>
  <c r="N1581"/>
  <c r="O1581"/>
  <c r="P1581"/>
  <c r="CJ1581"/>
  <c r="M1581" s="1"/>
  <c r="N1582"/>
  <c r="O1582"/>
  <c r="P1582"/>
  <c r="CJ1582"/>
  <c r="M1582" s="1"/>
  <c r="N1583"/>
  <c r="O1583"/>
  <c r="P1583"/>
  <c r="CJ1583"/>
  <c r="M1583" s="1"/>
  <c r="O1584"/>
  <c r="P1584"/>
  <c r="CJ1584"/>
  <c r="M1584" s="1"/>
  <c r="S1584" s="1"/>
  <c r="CN1584"/>
  <c r="N1584" s="1"/>
  <c r="N1585"/>
  <c r="O1585"/>
  <c r="P1585"/>
  <c r="CJ1585"/>
  <c r="M1585" s="1"/>
  <c r="N1586"/>
  <c r="O1586"/>
  <c r="P1586"/>
  <c r="CJ1586"/>
  <c r="M1586" s="1"/>
  <c r="J1587"/>
  <c r="O1587"/>
  <c r="P1587"/>
  <c r="CJ1587"/>
  <c r="M1587" s="1"/>
  <c r="CN1587"/>
  <c r="N1587" s="1"/>
  <c r="N1588"/>
  <c r="O1588"/>
  <c r="P1588"/>
  <c r="CJ1588"/>
  <c r="M1588" s="1"/>
  <c r="O1589"/>
  <c r="P1589"/>
  <c r="BA1589"/>
  <c r="CC1589"/>
  <c r="CE1589"/>
  <c r="CG1589"/>
  <c r="CN1589"/>
  <c r="N1589" s="1"/>
  <c r="O1590"/>
  <c r="P1590"/>
  <c r="Q1590"/>
  <c r="AO1590"/>
  <c r="CC1590"/>
  <c r="CE1590"/>
  <c r="CN1590"/>
  <c r="N1590" s="1"/>
  <c r="N1591"/>
  <c r="O1591"/>
  <c r="P1591"/>
  <c r="CJ1591"/>
  <c r="M1591" s="1"/>
  <c r="J1592"/>
  <c r="K1592"/>
  <c r="N1592"/>
  <c r="O1592"/>
  <c r="P1592"/>
  <c r="CJ1592"/>
  <c r="M1592" s="1"/>
  <c r="N1593"/>
  <c r="O1593"/>
  <c r="P1593"/>
  <c r="CJ1593"/>
  <c r="M1593" s="1"/>
  <c r="O1594"/>
  <c r="P1594"/>
  <c r="AQ1594"/>
  <c r="CC1594"/>
  <c r="CM1594"/>
  <c r="CN1594"/>
  <c r="N1594" s="1"/>
  <c r="O1595"/>
  <c r="P1595"/>
  <c r="CJ1595"/>
  <c r="M1595" s="1"/>
  <c r="CN1595"/>
  <c r="N1595" s="1"/>
  <c r="O1596"/>
  <c r="P1596"/>
  <c r="CC1596"/>
  <c r="CJ1596" s="1"/>
  <c r="M1596" s="1"/>
  <c r="S1596" s="1"/>
  <c r="CM1596"/>
  <c r="CN1596"/>
  <c r="N1596" s="1"/>
  <c r="N1597"/>
  <c r="O1597"/>
  <c r="P1597"/>
  <c r="CJ1597"/>
  <c r="M1597" s="1"/>
  <c r="O1602"/>
  <c r="CJ1602"/>
  <c r="M1602" s="1"/>
  <c r="CL1602"/>
  <c r="P1602" s="1"/>
  <c r="CN1602"/>
  <c r="N1602" s="1"/>
  <c r="N1598"/>
  <c r="O1598"/>
  <c r="P1598"/>
  <c r="CJ1598"/>
  <c r="M1598" s="1"/>
  <c r="N1599"/>
  <c r="O1599"/>
  <c r="P1599"/>
  <c r="CJ1599"/>
  <c r="M1599" s="1"/>
  <c r="N1600"/>
  <c r="O1600"/>
  <c r="P1600"/>
  <c r="CJ1600"/>
  <c r="M1600" s="1"/>
  <c r="N1601"/>
  <c r="O1601"/>
  <c r="P1601"/>
  <c r="CJ1601"/>
  <c r="M1601" s="1"/>
  <c r="N1603"/>
  <c r="O1603"/>
  <c r="P1603"/>
  <c r="S1603" s="1"/>
  <c r="CJ1603"/>
  <c r="M1603" s="1"/>
  <c r="N1604"/>
  <c r="O1604"/>
  <c r="P1604"/>
  <c r="CJ1604"/>
  <c r="M1604" s="1"/>
  <c r="N1605"/>
  <c r="O1605"/>
  <c r="P1605"/>
  <c r="CJ1605"/>
  <c r="M1605" s="1"/>
  <c r="J1606"/>
  <c r="K1606"/>
  <c r="N1606"/>
  <c r="O1606"/>
  <c r="P1606"/>
  <c r="CJ1606"/>
  <c r="M1606" s="1"/>
  <c r="J1608"/>
  <c r="K1608"/>
  <c r="O1608"/>
  <c r="Q1608"/>
  <c r="AO1608"/>
  <c r="BO1608"/>
  <c r="BY1608"/>
  <c r="CB1608"/>
  <c r="CC1608"/>
  <c r="CD1608"/>
  <c r="CE1608"/>
  <c r="CL1608"/>
  <c r="P1608" s="1"/>
  <c r="CM1608"/>
  <c r="CN1608"/>
  <c r="N1608" s="1"/>
  <c r="J1609"/>
  <c r="K1609"/>
  <c r="O1609"/>
  <c r="P1609"/>
  <c r="Q1609"/>
  <c r="AO1609"/>
  <c r="CC1609"/>
  <c r="CE1609"/>
  <c r="CN1609"/>
  <c r="N1609" s="1"/>
  <c r="O1610"/>
  <c r="P1610"/>
  <c r="AO1610"/>
  <c r="BY1610"/>
  <c r="CE1610"/>
  <c r="CG1610"/>
  <c r="CN1610"/>
  <c r="N1610" s="1"/>
  <c r="N1611"/>
  <c r="O1611"/>
  <c r="P1611"/>
  <c r="CJ1611"/>
  <c r="M1611" s="1"/>
  <c r="O1612"/>
  <c r="P1612"/>
  <c r="AO1612"/>
  <c r="BY1612"/>
  <c r="CE1612"/>
  <c r="CG1612"/>
  <c r="CN1612"/>
  <c r="N1612" s="1"/>
  <c r="N1613"/>
  <c r="O1613"/>
  <c r="P1613"/>
  <c r="CJ1613"/>
  <c r="M1613" s="1"/>
  <c r="N1614"/>
  <c r="O1614"/>
  <c r="P1614"/>
  <c r="S1614" s="1"/>
  <c r="CJ1614"/>
  <c r="M1614" s="1"/>
  <c r="O1615"/>
  <c r="P1615"/>
  <c r="AO1615"/>
  <c r="BY1615"/>
  <c r="CE1615"/>
  <c r="CG1615"/>
  <c r="CN1615"/>
  <c r="N1615" s="1"/>
  <c r="N1616"/>
  <c r="O1616"/>
  <c r="P1616"/>
  <c r="CJ1616"/>
  <c r="M1616" s="1"/>
  <c r="O1617"/>
  <c r="P1617"/>
  <c r="AO1617"/>
  <c r="BY1617"/>
  <c r="CE1617"/>
  <c r="CG1617"/>
  <c r="CN1617"/>
  <c r="N1617" s="1"/>
  <c r="O1618"/>
  <c r="P1618"/>
  <c r="AO1618"/>
  <c r="BY1618"/>
  <c r="CE1618"/>
  <c r="CG1618"/>
  <c r="CN1618"/>
  <c r="N1618" s="1"/>
  <c r="O1619"/>
  <c r="P1619"/>
  <c r="AO1619"/>
  <c r="BY1619"/>
  <c r="CE1619"/>
  <c r="CG1619"/>
  <c r="CN1619"/>
  <c r="N1619" s="1"/>
  <c r="N1620"/>
  <c r="O1620"/>
  <c r="P1620"/>
  <c r="CJ1620"/>
  <c r="M1620" s="1"/>
  <c r="O1621"/>
  <c r="P1621"/>
  <c r="AO1621"/>
  <c r="BY1621"/>
  <c r="CE1621"/>
  <c r="CG1621"/>
  <c r="CN1621"/>
  <c r="N1621" s="1"/>
  <c r="N1622"/>
  <c r="O1622"/>
  <c r="P1622"/>
  <c r="CJ1622"/>
  <c r="M1622" s="1"/>
  <c r="O1623"/>
  <c r="P1623"/>
  <c r="AO1623"/>
  <c r="BY1623"/>
  <c r="CE1623"/>
  <c r="CG1623"/>
  <c r="CN1623"/>
  <c r="N1623" s="1"/>
  <c r="N1624"/>
  <c r="O1624"/>
  <c r="P1624"/>
  <c r="CJ1624"/>
  <c r="M1624" s="1"/>
  <c r="N1625"/>
  <c r="O1625"/>
  <c r="P1625"/>
  <c r="CJ1625"/>
  <c r="M1625" s="1"/>
  <c r="N1626"/>
  <c r="O1626"/>
  <c r="P1626"/>
  <c r="CJ1626"/>
  <c r="M1626" s="1"/>
  <c r="N1627"/>
  <c r="O1627"/>
  <c r="P1627"/>
  <c r="CJ1627"/>
  <c r="M1627" s="1"/>
  <c r="N1628"/>
  <c r="O1628"/>
  <c r="P1628"/>
  <c r="CJ1628"/>
  <c r="M1628" s="1"/>
  <c r="N1629"/>
  <c r="O1629"/>
  <c r="P1629"/>
  <c r="CJ1629"/>
  <c r="M1629" s="1"/>
  <c r="N1630"/>
  <c r="O1630"/>
  <c r="P1630"/>
  <c r="CJ1630"/>
  <c r="M1630" s="1"/>
  <c r="N1631"/>
  <c r="O1631"/>
  <c r="P1631"/>
  <c r="CJ1631"/>
  <c r="M1631" s="1"/>
  <c r="N1632"/>
  <c r="O1632"/>
  <c r="P1632"/>
  <c r="CJ1632"/>
  <c r="M1632" s="1"/>
  <c r="N1633"/>
  <c r="O1633"/>
  <c r="P1633"/>
  <c r="CJ1633"/>
  <c r="M1633"/>
  <c r="S1633" s="1"/>
  <c r="N1634"/>
  <c r="O1634"/>
  <c r="P1634"/>
  <c r="CJ1634"/>
  <c r="M1634" s="1"/>
  <c r="S1634" s="1"/>
  <c r="N1635"/>
  <c r="O1635"/>
  <c r="P1635"/>
  <c r="CJ1635"/>
  <c r="M1635" s="1"/>
  <c r="N1636"/>
  <c r="O1636"/>
  <c r="P1636"/>
  <c r="CJ1636"/>
  <c r="M1636" s="1"/>
  <c r="S1636" s="1"/>
  <c r="N1637"/>
  <c r="O1637"/>
  <c r="P1637"/>
  <c r="CJ1637"/>
  <c r="M1637" s="1"/>
  <c r="S1637" s="1"/>
  <c r="N1638"/>
  <c r="O1638"/>
  <c r="P1638"/>
  <c r="CJ1638"/>
  <c r="M1638" s="1"/>
  <c r="N1639"/>
  <c r="O1639"/>
  <c r="P1639"/>
  <c r="CJ1639"/>
  <c r="M1639" s="1"/>
  <c r="N1640"/>
  <c r="O1640"/>
  <c r="P1640"/>
  <c r="CJ1640"/>
  <c r="M1640" s="1"/>
  <c r="N1641"/>
  <c r="O1641"/>
  <c r="P1641"/>
  <c r="CJ1641"/>
  <c r="M1641" s="1"/>
  <c r="N1642"/>
  <c r="O1642"/>
  <c r="P1642"/>
  <c r="CJ1642"/>
  <c r="M1642" s="1"/>
  <c r="N1643"/>
  <c r="O1643"/>
  <c r="P1643"/>
  <c r="CJ1643"/>
  <c r="M1643" s="1"/>
  <c r="N1644"/>
  <c r="O1644"/>
  <c r="P1644"/>
  <c r="CJ1644"/>
  <c r="M1644" s="1"/>
  <c r="N1645"/>
  <c r="O1645"/>
  <c r="P1645"/>
  <c r="CJ1645"/>
  <c r="M1645" s="1"/>
  <c r="N1646"/>
  <c r="O1646"/>
  <c r="P1646"/>
  <c r="CJ1646"/>
  <c r="M1646" s="1"/>
  <c r="N1647"/>
  <c r="O1647"/>
  <c r="P1647"/>
  <c r="CJ1647"/>
  <c r="M1647" s="1"/>
  <c r="J1648"/>
  <c r="O1648"/>
  <c r="P1648"/>
  <c r="AO1648"/>
  <c r="CE1648"/>
  <c r="CN1648"/>
  <c r="N1648"/>
  <c r="O1649"/>
  <c r="P1649"/>
  <c r="AO1649"/>
  <c r="CE1649"/>
  <c r="CJ1649" s="1"/>
  <c r="M1649" s="1"/>
  <c r="CN1649"/>
  <c r="N1649" s="1"/>
  <c r="N1650"/>
  <c r="O1650"/>
  <c r="S1650" s="1"/>
  <c r="P1650"/>
  <c r="CJ1650"/>
  <c r="M1650" s="1"/>
  <c r="N1651"/>
  <c r="O1651"/>
  <c r="P1651"/>
  <c r="CJ1651"/>
  <c r="M1651" s="1"/>
  <c r="J1652"/>
  <c r="N1652"/>
  <c r="O1652"/>
  <c r="P1652"/>
  <c r="CJ1652"/>
  <c r="M1652" s="1"/>
  <c r="S1652" s="1"/>
  <c r="J1653"/>
  <c r="O1653"/>
  <c r="P1653"/>
  <c r="AO1653"/>
  <c r="BY1653"/>
  <c r="CE1653"/>
  <c r="CG1653"/>
  <c r="CN1653"/>
  <c r="N1653" s="1"/>
  <c r="N1654"/>
  <c r="O1654"/>
  <c r="P1654"/>
  <c r="CJ1654"/>
  <c r="M1654" s="1"/>
  <c r="S1654" s="1"/>
  <c r="N1655"/>
  <c r="O1655"/>
  <c r="P1655"/>
  <c r="CJ1655"/>
  <c r="M1655" s="1"/>
  <c r="S1655" s="1"/>
  <c r="N1656"/>
  <c r="O1656"/>
  <c r="P1656"/>
  <c r="CJ1656"/>
  <c r="M1656" s="1"/>
  <c r="N1657"/>
  <c r="O1657"/>
  <c r="P1657"/>
  <c r="CJ1657"/>
  <c r="M1657" s="1"/>
  <c r="N1658"/>
  <c r="O1658"/>
  <c r="P1658"/>
  <c r="CJ1658"/>
  <c r="M1658" s="1"/>
  <c r="S1658" s="1"/>
  <c r="J1659"/>
  <c r="K1659"/>
  <c r="N1659"/>
  <c r="S1659" s="1"/>
  <c r="O1659"/>
  <c r="P1659"/>
  <c r="CJ1659"/>
  <c r="M1659" s="1"/>
  <c r="J1660"/>
  <c r="N1660"/>
  <c r="O1660"/>
  <c r="P1660"/>
  <c r="CJ1660"/>
  <c r="M1660" s="1"/>
  <c r="S1660" s="1"/>
  <c r="J1661"/>
  <c r="N1661"/>
  <c r="O1661"/>
  <c r="P1661"/>
  <c r="CJ1661"/>
  <c r="M1661" s="1"/>
  <c r="S1661" s="1"/>
  <c r="N1662"/>
  <c r="O1662"/>
  <c r="P1662"/>
  <c r="S1662" s="1"/>
  <c r="CJ1662"/>
  <c r="M1662" s="1"/>
  <c r="N1663"/>
  <c r="O1663"/>
  <c r="P1663"/>
  <c r="CJ1663"/>
  <c r="M1663" s="1"/>
  <c r="N1664"/>
  <c r="O1664"/>
  <c r="P1664"/>
  <c r="S1664" s="1"/>
  <c r="CJ1664"/>
  <c r="M1664" s="1"/>
  <c r="N1665"/>
  <c r="O1665"/>
  <c r="P1665"/>
  <c r="CJ1665"/>
  <c r="M1665" s="1"/>
  <c r="J1666"/>
  <c r="K1666"/>
  <c r="N1666"/>
  <c r="S1666" s="1"/>
  <c r="O1666"/>
  <c r="P1666"/>
  <c r="CJ1666"/>
  <c r="M1666" s="1"/>
  <c r="O1667"/>
  <c r="P1667"/>
  <c r="AO1667"/>
  <c r="CE1667"/>
  <c r="CN1667"/>
  <c r="N1667" s="1"/>
  <c r="N1668"/>
  <c r="O1668"/>
  <c r="P1668"/>
  <c r="CJ1668"/>
  <c r="M1668" s="1"/>
  <c r="S1668" s="1"/>
  <c r="N1669"/>
  <c r="O1669"/>
  <c r="P1669"/>
  <c r="CJ1669"/>
  <c r="M1669" s="1"/>
  <c r="S1669" s="1"/>
  <c r="N1670"/>
  <c r="O1670"/>
  <c r="P1670"/>
  <c r="CJ1670"/>
  <c r="M1670" s="1"/>
  <c r="N1671"/>
  <c r="O1671"/>
  <c r="P1671"/>
  <c r="CJ1671"/>
  <c r="M1671" s="1"/>
  <c r="N1672"/>
  <c r="O1672"/>
  <c r="P1672"/>
  <c r="CJ1672"/>
  <c r="M1672" s="1"/>
  <c r="N1673"/>
  <c r="O1673"/>
  <c r="P1673"/>
  <c r="CJ1673"/>
  <c r="M1673" s="1"/>
  <c r="S1673" s="1"/>
  <c r="N1674"/>
  <c r="O1674"/>
  <c r="P1674"/>
  <c r="CJ1674"/>
  <c r="M1674" s="1"/>
  <c r="N1675"/>
  <c r="O1675"/>
  <c r="CJ1675"/>
  <c r="M1675" s="1"/>
  <c r="CL1675"/>
  <c r="P1675" s="1"/>
  <c r="N1676"/>
  <c r="O1676"/>
  <c r="P1676"/>
  <c r="CJ1676"/>
  <c r="M1676" s="1"/>
  <c r="N1677"/>
  <c r="O1677"/>
  <c r="P1677"/>
  <c r="CE1677"/>
  <c r="CJ1677" s="1"/>
  <c r="M1677" s="1"/>
  <c r="N1678"/>
  <c r="O1678"/>
  <c r="P1678"/>
  <c r="CJ1678"/>
  <c r="M1678" s="1"/>
  <c r="N1679"/>
  <c r="O1679"/>
  <c r="P1679"/>
  <c r="CJ1679"/>
  <c r="M1679" s="1"/>
  <c r="N1680"/>
  <c r="O1680"/>
  <c r="P1680"/>
  <c r="CJ1680"/>
  <c r="M1680" s="1"/>
  <c r="J1681"/>
  <c r="K1681"/>
  <c r="N1681"/>
  <c r="O1681"/>
  <c r="P1681"/>
  <c r="CJ1681"/>
  <c r="M1681" s="1"/>
  <c r="N1682"/>
  <c r="O1682"/>
  <c r="P1682"/>
  <c r="CJ1682"/>
  <c r="M1682" s="1"/>
  <c r="N1683"/>
  <c r="O1683"/>
  <c r="P1683"/>
  <c r="CJ1683"/>
  <c r="M1683" s="1"/>
  <c r="N1684"/>
  <c r="O1684"/>
  <c r="P1684"/>
  <c r="CJ1684"/>
  <c r="M1684" s="1"/>
  <c r="N1685"/>
  <c r="O1685"/>
  <c r="P1685"/>
  <c r="CJ1685"/>
  <c r="M1685" s="1"/>
  <c r="N1686"/>
  <c r="O1686"/>
  <c r="P1686"/>
  <c r="CJ1686"/>
  <c r="M1686" s="1"/>
  <c r="N1687"/>
  <c r="O1687"/>
  <c r="P1687"/>
  <c r="CJ1687"/>
  <c r="M1687" s="1"/>
  <c r="N1688"/>
  <c r="O1688"/>
  <c r="P1688"/>
  <c r="CJ1688"/>
  <c r="M1688"/>
  <c r="N1689"/>
  <c r="O1689"/>
  <c r="P1689"/>
  <c r="CJ1689"/>
  <c r="M1689" s="1"/>
  <c r="J1691"/>
  <c r="N1691"/>
  <c r="O1691"/>
  <c r="P1691"/>
  <c r="CJ1691"/>
  <c r="M1691" s="1"/>
  <c r="N1692"/>
  <c r="O1692"/>
  <c r="P1692"/>
  <c r="CJ1692"/>
  <c r="M1692" s="1"/>
  <c r="J1693"/>
  <c r="K1693"/>
  <c r="N1693"/>
  <c r="O1693"/>
  <c r="P1693"/>
  <c r="CJ1693"/>
  <c r="M1693"/>
  <c r="N1694"/>
  <c r="O1694"/>
  <c r="P1694"/>
  <c r="CJ1694"/>
  <c r="M1694" s="1"/>
  <c r="S1694" s="1"/>
  <c r="N1695"/>
  <c r="O1695"/>
  <c r="P1695"/>
  <c r="CJ1695"/>
  <c r="M1695" s="1"/>
  <c r="N1696"/>
  <c r="O1696"/>
  <c r="P1696"/>
  <c r="CJ1696"/>
  <c r="M1696" s="1"/>
  <c r="N1697"/>
  <c r="O1697"/>
  <c r="P1697"/>
  <c r="CJ1697"/>
  <c r="M1697" s="1"/>
  <c r="N1698"/>
  <c r="O1698"/>
  <c r="P1698"/>
  <c r="CJ1698"/>
  <c r="M1698" s="1"/>
  <c r="N1699"/>
  <c r="O1699"/>
  <c r="P1699"/>
  <c r="CJ1699"/>
  <c r="M1699" s="1"/>
  <c r="O1700"/>
  <c r="P1700"/>
  <c r="AN1700"/>
  <c r="AN2426" s="1"/>
  <c r="AO1700"/>
  <c r="BO1700"/>
  <c r="BW1700"/>
  <c r="BY1700"/>
  <c r="CE1700"/>
  <c r="CG1700"/>
  <c r="CM1700"/>
  <c r="CN1700"/>
  <c r="N1700" s="1"/>
  <c r="J1701"/>
  <c r="N1701"/>
  <c r="O1701"/>
  <c r="P1701"/>
  <c r="CJ1701"/>
  <c r="M1701" s="1"/>
  <c r="J1702"/>
  <c r="K1702"/>
  <c r="N1702"/>
  <c r="O1702"/>
  <c r="P1702"/>
  <c r="CJ1702"/>
  <c r="M1702" s="1"/>
  <c r="J1703"/>
  <c r="K1703"/>
  <c r="N1703"/>
  <c r="O1703"/>
  <c r="P1703"/>
  <c r="CJ1703"/>
  <c r="M1703" s="1"/>
  <c r="N1704"/>
  <c r="O1704"/>
  <c r="P1704"/>
  <c r="CJ1704"/>
  <c r="M1704" s="1"/>
  <c r="S1704" s="1"/>
  <c r="J1705"/>
  <c r="N1705"/>
  <c r="O1705"/>
  <c r="P1705"/>
  <c r="CJ1705"/>
  <c r="M1705" s="1"/>
  <c r="J1706"/>
  <c r="K1706"/>
  <c r="N1706"/>
  <c r="O1706"/>
  <c r="P1706"/>
  <c r="CJ1706"/>
  <c r="M1706" s="1"/>
  <c r="O1707"/>
  <c r="P1707"/>
  <c r="BA1707"/>
  <c r="CC1707"/>
  <c r="CE1707"/>
  <c r="CG1707"/>
  <c r="CN1707"/>
  <c r="N1707" s="1"/>
  <c r="N1708"/>
  <c r="O1708"/>
  <c r="P1708"/>
  <c r="CJ1708"/>
  <c r="M1708" s="1"/>
  <c r="N1709"/>
  <c r="O1709"/>
  <c r="P1709"/>
  <c r="CJ1709"/>
  <c r="M1709" s="1"/>
  <c r="N1710"/>
  <c r="O1710"/>
  <c r="P1710"/>
  <c r="CJ1710"/>
  <c r="M1710" s="1"/>
  <c r="N1711"/>
  <c r="O1711"/>
  <c r="P1711"/>
  <c r="CJ1711"/>
  <c r="M1711" s="1"/>
  <c r="K1712"/>
  <c r="N1712"/>
  <c r="O1712"/>
  <c r="P1712"/>
  <c r="CJ1712"/>
  <c r="M1712" s="1"/>
  <c r="N1713"/>
  <c r="O1713"/>
  <c r="P1713"/>
  <c r="CJ1713"/>
  <c r="M1713" s="1"/>
  <c r="N1714"/>
  <c r="O1714"/>
  <c r="P1714"/>
  <c r="CJ1714"/>
  <c r="M1714" s="1"/>
  <c r="O1715"/>
  <c r="AO1715"/>
  <c r="BO1715"/>
  <c r="BY1715"/>
  <c r="CE1715"/>
  <c r="CG1715"/>
  <c r="CL1715"/>
  <c r="P1715" s="1"/>
  <c r="CN1715"/>
  <c r="N1715" s="1"/>
  <c r="J1716"/>
  <c r="K1716"/>
  <c r="N1716"/>
  <c r="O1716"/>
  <c r="P1716"/>
  <c r="CJ1716"/>
  <c r="M1716" s="1"/>
  <c r="N1717"/>
  <c r="O1717"/>
  <c r="P1717"/>
  <c r="CJ1717"/>
  <c r="M1717" s="1"/>
  <c r="N1720"/>
  <c r="O1720"/>
  <c r="P1720"/>
  <c r="CJ1720"/>
  <c r="M1720" s="1"/>
  <c r="N1721"/>
  <c r="O1721"/>
  <c r="P1721"/>
  <c r="CJ1721"/>
  <c r="M1721" s="1"/>
  <c r="N1722"/>
  <c r="O1722"/>
  <c r="P1722"/>
  <c r="CJ1722"/>
  <c r="M1722" s="1"/>
  <c r="J1723"/>
  <c r="K1723"/>
  <c r="N1723"/>
  <c r="O1723"/>
  <c r="P1723"/>
  <c r="CJ1723"/>
  <c r="M1723" s="1"/>
  <c r="N1724"/>
  <c r="O1724"/>
  <c r="P1724"/>
  <c r="S1724" s="1"/>
  <c r="CJ1724"/>
  <c r="M1724" s="1"/>
  <c r="N1725"/>
  <c r="O1725"/>
  <c r="P1725"/>
  <c r="S1725" s="1"/>
  <c r="CJ1725"/>
  <c r="M1725" s="1"/>
  <c r="N1729"/>
  <c r="O1729"/>
  <c r="P1729"/>
  <c r="CJ1729"/>
  <c r="M1729" s="1"/>
  <c r="N1728"/>
  <c r="O1728"/>
  <c r="P1728"/>
  <c r="S1728" s="1"/>
  <c r="CJ1728"/>
  <c r="M1728" s="1"/>
  <c r="N1730"/>
  <c r="O1730"/>
  <c r="P1730"/>
  <c r="CJ1730"/>
  <c r="M1730" s="1"/>
  <c r="N1731"/>
  <c r="O1731"/>
  <c r="S1731" s="1"/>
  <c r="P1731"/>
  <c r="CJ1731"/>
  <c r="M1731" s="1"/>
  <c r="O1735"/>
  <c r="P1735"/>
  <c r="CJ1735"/>
  <c r="M1735" s="1"/>
  <c r="CN1735"/>
  <c r="N1735" s="1"/>
  <c r="N1736"/>
  <c r="O1736"/>
  <c r="S1736" s="1"/>
  <c r="P1736"/>
  <c r="CJ1736"/>
  <c r="M1736" s="1"/>
  <c r="N1737"/>
  <c r="O1737"/>
  <c r="P1737"/>
  <c r="CJ1737"/>
  <c r="M1737" s="1"/>
  <c r="J1738"/>
  <c r="K1738"/>
  <c r="N1738"/>
  <c r="O1738"/>
  <c r="P1738"/>
  <c r="CJ1738"/>
  <c r="M1738" s="1"/>
  <c r="N1739"/>
  <c r="O1739"/>
  <c r="P1739"/>
  <c r="CJ1739"/>
  <c r="M1739" s="1"/>
  <c r="O1740"/>
  <c r="P1740"/>
  <c r="AO1740"/>
  <c r="BY1740"/>
  <c r="CE1740"/>
  <c r="CN1740"/>
  <c r="N1740" s="1"/>
  <c r="O1741"/>
  <c r="P1741"/>
  <c r="AQ1741"/>
  <c r="CJ1741" s="1"/>
  <c r="M1741" s="1"/>
  <c r="CC1741"/>
  <c r="CN1741"/>
  <c r="N1741" s="1"/>
  <c r="N1742"/>
  <c r="O1742"/>
  <c r="P1742"/>
  <c r="CJ1742"/>
  <c r="M1742"/>
  <c r="N1743"/>
  <c r="O1743"/>
  <c r="P1743"/>
  <c r="CJ1743"/>
  <c r="M1743" s="1"/>
  <c r="N1744"/>
  <c r="O1744"/>
  <c r="P1744"/>
  <c r="CJ1744"/>
  <c r="M1744" s="1"/>
  <c r="S1744" s="1"/>
  <c r="N1745"/>
  <c r="O1745"/>
  <c r="P1745"/>
  <c r="CJ1745"/>
  <c r="M1745" s="1"/>
  <c r="S1745" s="1"/>
  <c r="N1746"/>
  <c r="O1746"/>
  <c r="P1746"/>
  <c r="CJ1746"/>
  <c r="M1746" s="1"/>
  <c r="S1746" s="1"/>
  <c r="N1747"/>
  <c r="O1747"/>
  <c r="P1747"/>
  <c r="CJ1747"/>
  <c r="M1747" s="1"/>
  <c r="S1747" s="1"/>
  <c r="N1748"/>
  <c r="O1748"/>
  <c r="P1748"/>
  <c r="CJ1748"/>
  <c r="M1748" s="1"/>
  <c r="N1749"/>
  <c r="O1749"/>
  <c r="P1749"/>
  <c r="CJ1749"/>
  <c r="M1749" s="1"/>
  <c r="S1749" s="1"/>
  <c r="J1750"/>
  <c r="N1750"/>
  <c r="O1750"/>
  <c r="P1750"/>
  <c r="CJ1750"/>
  <c r="M1750" s="1"/>
  <c r="N1751"/>
  <c r="O1751"/>
  <c r="P1751"/>
  <c r="CJ1751"/>
  <c r="M1751" s="1"/>
  <c r="N1752"/>
  <c r="O1752"/>
  <c r="P1752"/>
  <c r="CJ1752"/>
  <c r="M1752" s="1"/>
  <c r="N1753"/>
  <c r="O1753"/>
  <c r="P1753"/>
  <c r="CJ1753"/>
  <c r="M1753" s="1"/>
  <c r="N1754"/>
  <c r="O1754"/>
  <c r="P1754"/>
  <c r="CJ1754"/>
  <c r="M1754" s="1"/>
  <c r="N1755"/>
  <c r="O1755"/>
  <c r="P1755"/>
  <c r="CJ1755"/>
  <c r="M1755" s="1"/>
  <c r="N1756"/>
  <c r="O1756"/>
  <c r="P1756"/>
  <c r="CJ1756"/>
  <c r="M1756" s="1"/>
  <c r="N1757"/>
  <c r="O1757"/>
  <c r="P1757"/>
  <c r="CJ1757"/>
  <c r="M1757" s="1"/>
  <c r="J1758"/>
  <c r="K1758"/>
  <c r="N1758"/>
  <c r="O1758"/>
  <c r="P1758"/>
  <c r="CJ1758"/>
  <c r="M1758" s="1"/>
  <c r="N1759"/>
  <c r="O1759"/>
  <c r="P1759"/>
  <c r="CJ1759"/>
  <c r="M1759" s="1"/>
  <c r="N1761"/>
  <c r="O1761"/>
  <c r="P1761"/>
  <c r="CJ1761"/>
  <c r="M1761" s="1"/>
  <c r="J1762"/>
  <c r="N1762"/>
  <c r="O1762"/>
  <c r="P1762"/>
  <c r="CJ1762"/>
  <c r="M1762" s="1"/>
  <c r="N1763"/>
  <c r="O1763"/>
  <c r="P1763"/>
  <c r="CJ1763"/>
  <c r="M1763" s="1"/>
  <c r="S1763" s="1"/>
  <c r="N1764"/>
  <c r="O1764"/>
  <c r="P1764"/>
  <c r="CJ1764"/>
  <c r="M1764" s="1"/>
  <c r="S1764" s="1"/>
  <c r="N1765"/>
  <c r="O1765"/>
  <c r="P1765"/>
  <c r="CJ1765"/>
  <c r="M1765" s="1"/>
  <c r="N1766"/>
  <c r="O1766"/>
  <c r="P1766"/>
  <c r="CJ1766"/>
  <c r="M1766" s="1"/>
  <c r="N1767"/>
  <c r="O1767"/>
  <c r="P1767"/>
  <c r="CJ1767"/>
  <c r="M1767" s="1"/>
  <c r="J1768"/>
  <c r="N1768"/>
  <c r="O1768"/>
  <c r="P1768"/>
  <c r="CJ1768"/>
  <c r="M1768"/>
  <c r="N1769"/>
  <c r="O1769"/>
  <c r="CJ1769"/>
  <c r="M1769"/>
  <c r="CL1769"/>
  <c r="P1769" s="1"/>
  <c r="N1770"/>
  <c r="O1770"/>
  <c r="P1770"/>
  <c r="CJ1770"/>
  <c r="M1770" s="1"/>
  <c r="J1771"/>
  <c r="K1771"/>
  <c r="N1771"/>
  <c r="O1771"/>
  <c r="P1771"/>
  <c r="CJ1771"/>
  <c r="M1771" s="1"/>
  <c r="N1772"/>
  <c r="O1772"/>
  <c r="P1772"/>
  <c r="CJ1772"/>
  <c r="M1772" s="1"/>
  <c r="N1773"/>
  <c r="O1773"/>
  <c r="P1773"/>
  <c r="CJ1773"/>
  <c r="M1773" s="1"/>
  <c r="J1780"/>
  <c r="N1780"/>
  <c r="O1780"/>
  <c r="P1780"/>
  <c r="CJ1780"/>
  <c r="M1780" s="1"/>
  <c r="N1781"/>
  <c r="O1781"/>
  <c r="P1781"/>
  <c r="CJ1781"/>
  <c r="M1781" s="1"/>
  <c r="N1782"/>
  <c r="O1782"/>
  <c r="P1782"/>
  <c r="CJ1782"/>
  <c r="M1782"/>
  <c r="N1783"/>
  <c r="O1783"/>
  <c r="P1783"/>
  <c r="CJ1783"/>
  <c r="M1783" s="1"/>
  <c r="J1784"/>
  <c r="N1784"/>
  <c r="O1784"/>
  <c r="P1784"/>
  <c r="CJ1784"/>
  <c r="M1784" s="1"/>
  <c r="N1785"/>
  <c r="O1785"/>
  <c r="P1785"/>
  <c r="CJ1785"/>
  <c r="M1785" s="1"/>
  <c r="N1786"/>
  <c r="O1786"/>
  <c r="P1786"/>
  <c r="CJ1786"/>
  <c r="M1786" s="1"/>
  <c r="N1787"/>
  <c r="S1787" s="1"/>
  <c r="O1787"/>
  <c r="P1787"/>
  <c r="CJ1787"/>
  <c r="M1787" s="1"/>
  <c r="N1788"/>
  <c r="O1788"/>
  <c r="P1788"/>
  <c r="CJ1788"/>
  <c r="M1788" s="1"/>
  <c r="O1789"/>
  <c r="P1789"/>
  <c r="AQ1789"/>
  <c r="CC1789"/>
  <c r="CN1789"/>
  <c r="N1789" s="1"/>
  <c r="O1790"/>
  <c r="P1790"/>
  <c r="CC1790"/>
  <c r="CJ1790" s="1"/>
  <c r="M1790" s="1"/>
  <c r="CN1790"/>
  <c r="N1790" s="1"/>
  <c r="S1790" s="1"/>
  <c r="N1791"/>
  <c r="O1791"/>
  <c r="P1791"/>
  <c r="CJ1791"/>
  <c r="M1791" s="1"/>
  <c r="S1791" s="1"/>
  <c r="N1792"/>
  <c r="O1792"/>
  <c r="P1792"/>
  <c r="CJ1792"/>
  <c r="M1792" s="1"/>
  <c r="N1793"/>
  <c r="O1793"/>
  <c r="P1793"/>
  <c r="CJ1793"/>
  <c r="M1793" s="1"/>
  <c r="N1795"/>
  <c r="O1795"/>
  <c r="P1795"/>
  <c r="CJ1795"/>
  <c r="M1795" s="1"/>
  <c r="N1796"/>
  <c r="O1796"/>
  <c r="P1796"/>
  <c r="CJ1796"/>
  <c r="M1796" s="1"/>
  <c r="N1797"/>
  <c r="O1797"/>
  <c r="P1797"/>
  <c r="CJ1797"/>
  <c r="M1797" s="1"/>
  <c r="N1798"/>
  <c r="O1798"/>
  <c r="P1798"/>
  <c r="CJ1798"/>
  <c r="M1798" s="1"/>
  <c r="N1799"/>
  <c r="O1799"/>
  <c r="P1799"/>
  <c r="CJ1799"/>
  <c r="M1799" s="1"/>
  <c r="N1800"/>
  <c r="O1800"/>
  <c r="P1800"/>
  <c r="CJ1800"/>
  <c r="M1800" s="1"/>
  <c r="N1801"/>
  <c r="O1801"/>
  <c r="P1801"/>
  <c r="CJ1801"/>
  <c r="M1801" s="1"/>
  <c r="N1802"/>
  <c r="O1802"/>
  <c r="Q1802"/>
  <c r="CJ1802"/>
  <c r="M1802" s="1"/>
  <c r="CK1802"/>
  <c r="CL1802"/>
  <c r="P1802" s="1"/>
  <c r="N1803"/>
  <c r="O1803"/>
  <c r="P1803"/>
  <c r="CJ1803"/>
  <c r="M1803" s="1"/>
  <c r="N1804"/>
  <c r="O1804"/>
  <c r="P1804"/>
  <c r="CJ1804"/>
  <c r="M1804" s="1"/>
  <c r="N1805"/>
  <c r="O1805"/>
  <c r="P1805"/>
  <c r="CJ1805"/>
  <c r="M1805" s="1"/>
  <c r="N1806"/>
  <c r="O1806"/>
  <c r="P1806"/>
  <c r="CJ1806"/>
  <c r="M1806" s="1"/>
  <c r="N1807"/>
  <c r="O1807"/>
  <c r="P1807"/>
  <c r="CJ1807"/>
  <c r="M1807" s="1"/>
  <c r="O1808"/>
  <c r="P1808"/>
  <c r="CC1808"/>
  <c r="CJ1808" s="1"/>
  <c r="M1808" s="1"/>
  <c r="CN1808"/>
  <c r="N1808" s="1"/>
  <c r="O1809"/>
  <c r="P1809"/>
  <c r="CJ1809"/>
  <c r="M1809" s="1"/>
  <c r="CN1809"/>
  <c r="N1809" s="1"/>
  <c r="N1810"/>
  <c r="O1810"/>
  <c r="P1810"/>
  <c r="CJ1810"/>
  <c r="M1810" s="1"/>
  <c r="N1811"/>
  <c r="O1811"/>
  <c r="P1811"/>
  <c r="CJ1811"/>
  <c r="M1811" s="1"/>
  <c r="N1812"/>
  <c r="O1812"/>
  <c r="P1812"/>
  <c r="CJ1812"/>
  <c r="M1812" s="1"/>
  <c r="N1813"/>
  <c r="O1813"/>
  <c r="P1813"/>
  <c r="CJ1813"/>
  <c r="M1813" s="1"/>
  <c r="J1814"/>
  <c r="O1814"/>
  <c r="P1814"/>
  <c r="AQ1814"/>
  <c r="CC1814"/>
  <c r="CN1814"/>
  <c r="N1814" s="1"/>
  <c r="N1815"/>
  <c r="O1815"/>
  <c r="P1815"/>
  <c r="S1815" s="1"/>
  <c r="CJ1815"/>
  <c r="M1815" s="1"/>
  <c r="N1816"/>
  <c r="O1816"/>
  <c r="P1816"/>
  <c r="S1816" s="1"/>
  <c r="CJ1816"/>
  <c r="M1816" s="1"/>
  <c r="N1817"/>
  <c r="O1817"/>
  <c r="P1817"/>
  <c r="S1817" s="1"/>
  <c r="CJ1817"/>
  <c r="M1817" s="1"/>
  <c r="O1818"/>
  <c r="P1818"/>
  <c r="AO1818"/>
  <c r="CJ1818" s="1"/>
  <c r="M1818" s="1"/>
  <c r="CD1818"/>
  <c r="CE1818"/>
  <c r="CM1818"/>
  <c r="CN1818"/>
  <c r="N1818" s="1"/>
  <c r="N1819"/>
  <c r="O1819"/>
  <c r="P1819"/>
  <c r="CJ1819"/>
  <c r="M1819" s="1"/>
  <c r="S1819" s="1"/>
  <c r="N1820"/>
  <c r="O1820"/>
  <c r="P1820"/>
  <c r="CJ1820"/>
  <c r="M1820" s="1"/>
  <c r="S1820" s="1"/>
  <c r="N1821"/>
  <c r="O1821"/>
  <c r="P1821"/>
  <c r="CJ1821"/>
  <c r="M1821" s="1"/>
  <c r="S1821" s="1"/>
  <c r="N1822"/>
  <c r="O1822"/>
  <c r="P1822"/>
  <c r="CJ1822"/>
  <c r="M1822" s="1"/>
  <c r="S1822" s="1"/>
  <c r="N1823"/>
  <c r="O1823"/>
  <c r="P1823"/>
  <c r="CJ1823"/>
  <c r="M1823" s="1"/>
  <c r="S1823" s="1"/>
  <c r="N1824"/>
  <c r="O1824"/>
  <c r="P1824"/>
  <c r="CJ1824"/>
  <c r="M1824" s="1"/>
  <c r="S1824" s="1"/>
  <c r="N1825"/>
  <c r="O1825"/>
  <c r="P1825"/>
  <c r="CJ1825"/>
  <c r="M1825" s="1"/>
  <c r="N1826"/>
  <c r="O1826"/>
  <c r="P1826"/>
  <c r="CJ1826"/>
  <c r="M1826" s="1"/>
  <c r="S1826" s="1"/>
  <c r="N1827"/>
  <c r="O1827"/>
  <c r="P1827"/>
  <c r="CJ1827"/>
  <c r="M1827" s="1"/>
  <c r="N1828"/>
  <c r="O1828"/>
  <c r="P1828"/>
  <c r="CJ1828"/>
  <c r="M1828" s="1"/>
  <c r="N1829"/>
  <c r="O1829"/>
  <c r="P1829"/>
  <c r="CJ1829"/>
  <c r="M1829" s="1"/>
  <c r="N1830"/>
  <c r="O1830"/>
  <c r="P1830"/>
  <c r="CJ1830"/>
  <c r="M1830" s="1"/>
  <c r="S1830" s="1"/>
  <c r="N1831"/>
  <c r="O1831"/>
  <c r="P1831"/>
  <c r="CJ1831"/>
  <c r="M1831" s="1"/>
  <c r="N1832"/>
  <c r="O1832"/>
  <c r="P1832"/>
  <c r="CJ1832"/>
  <c r="M1832" s="1"/>
  <c r="O1833"/>
  <c r="P1833"/>
  <c r="CJ1833"/>
  <c r="M1833" s="1"/>
  <c r="CN1833"/>
  <c r="N1833" s="1"/>
  <c r="S1833" s="1"/>
  <c r="O1834"/>
  <c r="P1834"/>
  <c r="CJ1834"/>
  <c r="M1834" s="1"/>
  <c r="CN1834"/>
  <c r="N1834" s="1"/>
  <c r="O1835"/>
  <c r="P1835"/>
  <c r="CJ1835"/>
  <c r="M1835" s="1"/>
  <c r="CN1835"/>
  <c r="N1835" s="1"/>
  <c r="N1836"/>
  <c r="O1836"/>
  <c r="P1836"/>
  <c r="CJ1836"/>
  <c r="M1836" s="1"/>
  <c r="N1837"/>
  <c r="O1837"/>
  <c r="P1837"/>
  <c r="CJ1837"/>
  <c r="M1837" s="1"/>
  <c r="N1838"/>
  <c r="O1838"/>
  <c r="P1838"/>
  <c r="CJ1838"/>
  <c r="M1838" s="1"/>
  <c r="N1839"/>
  <c r="O1839"/>
  <c r="P1839"/>
  <c r="CJ1839"/>
  <c r="M1839" s="1"/>
  <c r="N1841"/>
  <c r="O1841"/>
  <c r="P1841"/>
  <c r="CJ1841"/>
  <c r="M1841" s="1"/>
  <c r="N1842"/>
  <c r="O1842"/>
  <c r="P1842"/>
  <c r="CJ1842"/>
  <c r="M1842" s="1"/>
  <c r="N1843"/>
  <c r="O1843"/>
  <c r="P1843"/>
  <c r="CJ1843"/>
  <c r="M1843" s="1"/>
  <c r="N1844"/>
  <c r="O1844"/>
  <c r="P1844"/>
  <c r="CJ1844"/>
  <c r="M1844" s="1"/>
  <c r="N1845"/>
  <c r="S1845" s="1"/>
  <c r="O1845"/>
  <c r="P1845"/>
  <c r="CJ1845"/>
  <c r="M1845" s="1"/>
  <c r="N1846"/>
  <c r="O1846"/>
  <c r="P1846"/>
  <c r="CJ1846"/>
  <c r="M1846" s="1"/>
  <c r="J1847"/>
  <c r="K1847"/>
  <c r="N1847"/>
  <c r="O1847"/>
  <c r="P1847"/>
  <c r="CJ1847"/>
  <c r="M1847" s="1"/>
  <c r="N1848"/>
  <c r="O1848"/>
  <c r="P1848"/>
  <c r="CJ1848"/>
  <c r="M1848" s="1"/>
  <c r="N1849"/>
  <c r="O1849"/>
  <c r="P1849"/>
  <c r="CJ1849"/>
  <c r="M1849" s="1"/>
  <c r="N1850"/>
  <c r="O1850"/>
  <c r="P1850"/>
  <c r="CJ1850"/>
  <c r="M1850" s="1"/>
  <c r="O1851"/>
  <c r="P1851"/>
  <c r="AO1851"/>
  <c r="CJ1851" s="1"/>
  <c r="M1851" s="1"/>
  <c r="CE1851"/>
  <c r="CN1851"/>
  <c r="N1851" s="1"/>
  <c r="O1852"/>
  <c r="P1852"/>
  <c r="AO1852"/>
  <c r="CE1852"/>
  <c r="CN1852"/>
  <c r="N1852" s="1"/>
  <c r="N1853"/>
  <c r="O1853"/>
  <c r="P1853"/>
  <c r="CJ1853"/>
  <c r="M1853" s="1"/>
  <c r="N1854"/>
  <c r="O1854"/>
  <c r="P1854"/>
  <c r="CJ1854"/>
  <c r="M1854" s="1"/>
  <c r="N1855"/>
  <c r="O1855"/>
  <c r="P1855"/>
  <c r="CJ1855"/>
  <c r="M1855" s="1"/>
  <c r="N1856"/>
  <c r="O1856"/>
  <c r="P1856"/>
  <c r="CJ1856"/>
  <c r="M1856" s="1"/>
  <c r="N1857"/>
  <c r="S1857" s="1"/>
  <c r="O1857"/>
  <c r="P1857"/>
  <c r="CJ1857"/>
  <c r="M1857" s="1"/>
  <c r="N1858"/>
  <c r="O1858"/>
  <c r="P1858"/>
  <c r="CJ1858"/>
  <c r="M1858" s="1"/>
  <c r="N1859"/>
  <c r="O1859"/>
  <c r="P1859"/>
  <c r="CJ1859"/>
  <c r="M1859"/>
  <c r="N1860"/>
  <c r="O1860"/>
  <c r="P1860"/>
  <c r="CJ1860"/>
  <c r="M1860" s="1"/>
  <c r="N1861"/>
  <c r="O1861"/>
  <c r="P1861"/>
  <c r="CJ1861"/>
  <c r="M1861" s="1"/>
  <c r="J1862"/>
  <c r="K1862"/>
  <c r="N1862"/>
  <c r="O1862"/>
  <c r="P1862"/>
  <c r="CJ1862"/>
  <c r="M1862" s="1"/>
  <c r="N1863"/>
  <c r="O1863"/>
  <c r="P1863"/>
  <c r="CJ1863"/>
  <c r="M1863" s="1"/>
  <c r="N1864"/>
  <c r="O1864"/>
  <c r="P1864"/>
  <c r="CJ1864"/>
  <c r="M1864" s="1"/>
  <c r="N1865"/>
  <c r="O1865"/>
  <c r="P1865"/>
  <c r="CJ1865"/>
  <c r="M1865" s="1"/>
  <c r="N1869"/>
  <c r="O1869"/>
  <c r="BO1869"/>
  <c r="CJ1869" s="1"/>
  <c r="M1869" s="1"/>
  <c r="CK1869"/>
  <c r="CL1869"/>
  <c r="P1869" s="1"/>
  <c r="N1870"/>
  <c r="O1870"/>
  <c r="P1870"/>
  <c r="CJ1870"/>
  <c r="M1870" s="1"/>
  <c r="N1871"/>
  <c r="O1871"/>
  <c r="P1871"/>
  <c r="CJ1871"/>
  <c r="M1871" s="1"/>
  <c r="J1872"/>
  <c r="N1872"/>
  <c r="O1872"/>
  <c r="P1872"/>
  <c r="CJ1872"/>
  <c r="M1872" s="1"/>
  <c r="S1872" s="1"/>
  <c r="N1873"/>
  <c r="O1873"/>
  <c r="P1873"/>
  <c r="CJ1873"/>
  <c r="M1873" s="1"/>
  <c r="N1874"/>
  <c r="O1874"/>
  <c r="P1874"/>
  <c r="CJ1874"/>
  <c r="M1874" s="1"/>
  <c r="N1875"/>
  <c r="O1875"/>
  <c r="P1875"/>
  <c r="CJ1875"/>
  <c r="M1875" s="1"/>
  <c r="N1876"/>
  <c r="O1876"/>
  <c r="P1876"/>
  <c r="CJ1876"/>
  <c r="M1876" s="1"/>
  <c r="J1877"/>
  <c r="N1877"/>
  <c r="O1877"/>
  <c r="P1877"/>
  <c r="CJ1877"/>
  <c r="M1877" s="1"/>
  <c r="N1878"/>
  <c r="O1878"/>
  <c r="P1878"/>
  <c r="CJ1878"/>
  <c r="M1878" s="1"/>
  <c r="N1879"/>
  <c r="O1879"/>
  <c r="P1879"/>
  <c r="CJ1879"/>
  <c r="M1879" s="1"/>
  <c r="O1881"/>
  <c r="P1881"/>
  <c r="CE1881"/>
  <c r="CJ1881" s="1"/>
  <c r="M1881" s="1"/>
  <c r="S1881" s="1"/>
  <c r="CN1881"/>
  <c r="N1881" s="1"/>
  <c r="N1882"/>
  <c r="O1882"/>
  <c r="P1882"/>
  <c r="CJ1882"/>
  <c r="M1882" s="1"/>
  <c r="O1885"/>
  <c r="P1885"/>
  <c r="BA1885"/>
  <c r="CC1885"/>
  <c r="CN1885"/>
  <c r="N1885" s="1"/>
  <c r="O1886"/>
  <c r="P1886"/>
  <c r="BA1886"/>
  <c r="BO1886"/>
  <c r="CC1886"/>
  <c r="CM1886"/>
  <c r="CN1886"/>
  <c r="N1886" s="1"/>
  <c r="N1887"/>
  <c r="O1887"/>
  <c r="P1887"/>
  <c r="CJ1887"/>
  <c r="M1887" s="1"/>
  <c r="N1889"/>
  <c r="O1889"/>
  <c r="P1889"/>
  <c r="CJ1889"/>
  <c r="M1889" s="1"/>
  <c r="N1888"/>
  <c r="O1888"/>
  <c r="P1888"/>
  <c r="CJ1888"/>
  <c r="M1888" s="1"/>
  <c r="J1890"/>
  <c r="N1890"/>
  <c r="O1890"/>
  <c r="S1890" s="1"/>
  <c r="P1890"/>
  <c r="CJ1890"/>
  <c r="M1890" s="1"/>
  <c r="N1891"/>
  <c r="O1891"/>
  <c r="P1891"/>
  <c r="CJ1891"/>
  <c r="M1891" s="1"/>
  <c r="N1892"/>
  <c r="O1892"/>
  <c r="P1892"/>
  <c r="CJ1892"/>
  <c r="M1892" s="1"/>
  <c r="N1893"/>
  <c r="O1893"/>
  <c r="P1893"/>
  <c r="CJ1893"/>
  <c r="M1893" s="1"/>
  <c r="N1895"/>
  <c r="O1895"/>
  <c r="P1895"/>
  <c r="CJ1895"/>
  <c r="M1895" s="1"/>
  <c r="N1896"/>
  <c r="O1896"/>
  <c r="P1896"/>
  <c r="CJ1896"/>
  <c r="M1896" s="1"/>
  <c r="O1897"/>
  <c r="P1897"/>
  <c r="BA1897"/>
  <c r="BO1897"/>
  <c r="CE1897"/>
  <c r="CN1897"/>
  <c r="N1897" s="1"/>
  <c r="N1898"/>
  <c r="O1898"/>
  <c r="P1898"/>
  <c r="CJ1898"/>
  <c r="M1898" s="1"/>
  <c r="N1899"/>
  <c r="O1899"/>
  <c r="P1899"/>
  <c r="CJ1899"/>
  <c r="M1899" s="1"/>
  <c r="N1900"/>
  <c r="O1900"/>
  <c r="P1900"/>
  <c r="CJ1900"/>
  <c r="M1900" s="1"/>
  <c r="N1901"/>
  <c r="O1901"/>
  <c r="P1901"/>
  <c r="CJ1901"/>
  <c r="M1901" s="1"/>
  <c r="N1902"/>
  <c r="O1902"/>
  <c r="P1902"/>
  <c r="CJ1902"/>
  <c r="M1902" s="1"/>
  <c r="O1903"/>
  <c r="P1903"/>
  <c r="AQ1903"/>
  <c r="CC1903"/>
  <c r="CN1903"/>
  <c r="N1903" s="1"/>
  <c r="N1904"/>
  <c r="O1904"/>
  <c r="P1904"/>
  <c r="CJ1904"/>
  <c r="M1904" s="1"/>
  <c r="N1905"/>
  <c r="O1905"/>
  <c r="P1905"/>
  <c r="CJ1905"/>
  <c r="M1905" s="1"/>
  <c r="N1906"/>
  <c r="O1906"/>
  <c r="P1906"/>
  <c r="CJ1906"/>
  <c r="M1906" s="1"/>
  <c r="N1907"/>
  <c r="O1907"/>
  <c r="P1907"/>
  <c r="CJ1907"/>
  <c r="M1907" s="1"/>
  <c r="N1908"/>
  <c r="O1908"/>
  <c r="P1908"/>
  <c r="CJ1908"/>
  <c r="M1908" s="1"/>
  <c r="N1909"/>
  <c r="O1909"/>
  <c r="P1909"/>
  <c r="CJ1909"/>
  <c r="M1909" s="1"/>
  <c r="O1911"/>
  <c r="BO1911"/>
  <c r="CJ1911" s="1"/>
  <c r="M1911" s="1"/>
  <c r="CL1911"/>
  <c r="P1911" s="1"/>
  <c r="CM1911"/>
  <c r="CN1911"/>
  <c r="N1911" s="1"/>
  <c r="N1912"/>
  <c r="O1912"/>
  <c r="P1912"/>
  <c r="CJ1912"/>
  <c r="M1912" s="1"/>
  <c r="N1913"/>
  <c r="O1913"/>
  <c r="P1913"/>
  <c r="CJ1913"/>
  <c r="M1913" s="1"/>
  <c r="N1914"/>
  <c r="O1914"/>
  <c r="P1914"/>
  <c r="CJ1914"/>
  <c r="M1914" s="1"/>
  <c r="N1915"/>
  <c r="O1915"/>
  <c r="P1915"/>
  <c r="CJ1915"/>
  <c r="M1915" s="1"/>
  <c r="O1916"/>
  <c r="P1916"/>
  <c r="AQ1916"/>
  <c r="CJ1916" s="1"/>
  <c r="M1916" s="1"/>
  <c r="CC1916"/>
  <c r="CN1916"/>
  <c r="N1916" s="1"/>
  <c r="N1917"/>
  <c r="O1917"/>
  <c r="P1917"/>
  <c r="CJ1917"/>
  <c r="M1917" s="1"/>
  <c r="N1918"/>
  <c r="O1918"/>
  <c r="P1918"/>
  <c r="CJ1918"/>
  <c r="M1918" s="1"/>
  <c r="S1918" s="1"/>
  <c r="N1919"/>
  <c r="O1919"/>
  <c r="P1919"/>
  <c r="CJ1919"/>
  <c r="M1919" s="1"/>
  <c r="N1920"/>
  <c r="O1920"/>
  <c r="P1920"/>
  <c r="CJ1920"/>
  <c r="M1920" s="1"/>
  <c r="N1921"/>
  <c r="O1921"/>
  <c r="P1921"/>
  <c r="CJ1921"/>
  <c r="M1921" s="1"/>
  <c r="N1922"/>
  <c r="O1922"/>
  <c r="P1922"/>
  <c r="CJ1922"/>
  <c r="M1922" s="1"/>
  <c r="N1923"/>
  <c r="O1923"/>
  <c r="P1923"/>
  <c r="CJ1923"/>
  <c r="M1923" s="1"/>
  <c r="N1924"/>
  <c r="O1924"/>
  <c r="P1924"/>
  <c r="CJ1924"/>
  <c r="M1924" s="1"/>
  <c r="N1925"/>
  <c r="O1925"/>
  <c r="P1925"/>
  <c r="CJ1925"/>
  <c r="M1925" s="1"/>
  <c r="N1926"/>
  <c r="O1926"/>
  <c r="P1926"/>
  <c r="CJ1926"/>
  <c r="M1926" s="1"/>
  <c r="N1927"/>
  <c r="O1927"/>
  <c r="P1927"/>
  <c r="CJ1927"/>
  <c r="M1927" s="1"/>
  <c r="N1929"/>
  <c r="O1929"/>
  <c r="P1929"/>
  <c r="CJ1929"/>
  <c r="M1929" s="1"/>
  <c r="J1930"/>
  <c r="O1930"/>
  <c r="P1930"/>
  <c r="Q1930"/>
  <c r="AO1930"/>
  <c r="BY1930"/>
  <c r="CC1930"/>
  <c r="CE1930"/>
  <c r="CN1930"/>
  <c r="N1930" s="1"/>
  <c r="J1931"/>
  <c r="O1931"/>
  <c r="P1931"/>
  <c r="Q1931"/>
  <c r="CJ1931"/>
  <c r="M1931" s="1"/>
  <c r="CN1931"/>
  <c r="N1931" s="1"/>
  <c r="N1932"/>
  <c r="O1932"/>
  <c r="P1932"/>
  <c r="CJ1932"/>
  <c r="M1932" s="1"/>
  <c r="N1933"/>
  <c r="O1933"/>
  <c r="P1933"/>
  <c r="CJ1933"/>
  <c r="M1933" s="1"/>
  <c r="N1934"/>
  <c r="O1934"/>
  <c r="P1934"/>
  <c r="CJ1934"/>
  <c r="M1934" s="1"/>
  <c r="S1934" s="1"/>
  <c r="N1935"/>
  <c r="O1935"/>
  <c r="P1935"/>
  <c r="CJ1935"/>
  <c r="M1935" s="1"/>
  <c r="N1936"/>
  <c r="O1936"/>
  <c r="P1936"/>
  <c r="CJ1936"/>
  <c r="M1936" s="1"/>
  <c r="N1937"/>
  <c r="O1937"/>
  <c r="P1937"/>
  <c r="CJ1937"/>
  <c r="M1937" s="1"/>
  <c r="N1938"/>
  <c r="O1938"/>
  <c r="P1938"/>
  <c r="CJ1938"/>
  <c r="M1938" s="1"/>
  <c r="N1939"/>
  <c r="O1939"/>
  <c r="P1939"/>
  <c r="CJ1939"/>
  <c r="M1939" s="1"/>
  <c r="N1941"/>
  <c r="O1941"/>
  <c r="P1941"/>
  <c r="CJ1941"/>
  <c r="M1941" s="1"/>
  <c r="N1940"/>
  <c r="O1940"/>
  <c r="P1940"/>
  <c r="CJ1940"/>
  <c r="M1940" s="1"/>
  <c r="N1942"/>
  <c r="O1942"/>
  <c r="P1942"/>
  <c r="CJ1942"/>
  <c r="M1942" s="1"/>
  <c r="N1943"/>
  <c r="O1943"/>
  <c r="P1943"/>
  <c r="CJ1943"/>
  <c r="M1943" s="1"/>
  <c r="N1944"/>
  <c r="O1944"/>
  <c r="P1944"/>
  <c r="CJ1944"/>
  <c r="M1944" s="1"/>
  <c r="K1945"/>
  <c r="N1945"/>
  <c r="O1945"/>
  <c r="P1945"/>
  <c r="CJ1945"/>
  <c r="M1945" s="1"/>
  <c r="K1946"/>
  <c r="N1946"/>
  <c r="S1946" s="1"/>
  <c r="O1946"/>
  <c r="P1946"/>
  <c r="CJ1946"/>
  <c r="M1946" s="1"/>
  <c r="N1947"/>
  <c r="O1947"/>
  <c r="P1947"/>
  <c r="CJ1947"/>
  <c r="M1947" s="1"/>
  <c r="N1948"/>
  <c r="O1948"/>
  <c r="P1948"/>
  <c r="CJ1948"/>
  <c r="M1948" s="1"/>
  <c r="N1950"/>
  <c r="O1950"/>
  <c r="P1950"/>
  <c r="CJ1950"/>
  <c r="M1950" s="1"/>
  <c r="N1951"/>
  <c r="O1951"/>
  <c r="P1951"/>
  <c r="CJ1951"/>
  <c r="M1951" s="1"/>
  <c r="N1952"/>
  <c r="O1952"/>
  <c r="P1952"/>
  <c r="CJ1952"/>
  <c r="M1952" s="1"/>
  <c r="N1953"/>
  <c r="O1953"/>
  <c r="P1953"/>
  <c r="CJ1953"/>
  <c r="M1953" s="1"/>
  <c r="N1954"/>
  <c r="O1954"/>
  <c r="P1954"/>
  <c r="CJ1954"/>
  <c r="M1954"/>
  <c r="S1954" s="1"/>
  <c r="N1955"/>
  <c r="O1955"/>
  <c r="P1955"/>
  <c r="CJ1955"/>
  <c r="M1955" s="1"/>
  <c r="S1955" s="1"/>
  <c r="N1956"/>
  <c r="O1956"/>
  <c r="P1956"/>
  <c r="CJ1956"/>
  <c r="M1956" s="1"/>
  <c r="S1956" s="1"/>
  <c r="O1957"/>
  <c r="P1957"/>
  <c r="AQ1957"/>
  <c r="CC1957"/>
  <c r="CN1957"/>
  <c r="N1957" s="1"/>
  <c r="N1958"/>
  <c r="O1958"/>
  <c r="P1958"/>
  <c r="S1958" s="1"/>
  <c r="CJ1958"/>
  <c r="M1958" s="1"/>
  <c r="N1959"/>
  <c r="O1959"/>
  <c r="P1959"/>
  <c r="S1959" s="1"/>
  <c r="CJ1959"/>
  <c r="M1959" s="1"/>
  <c r="N1960"/>
  <c r="O1960"/>
  <c r="P1960"/>
  <c r="CJ1960"/>
  <c r="M1960" s="1"/>
  <c r="N1961"/>
  <c r="O1961"/>
  <c r="P1961"/>
  <c r="CJ1961"/>
  <c r="M1961" s="1"/>
  <c r="N1962"/>
  <c r="O1962"/>
  <c r="P1962"/>
  <c r="CJ1962"/>
  <c r="M1962" s="1"/>
  <c r="N1963"/>
  <c r="O1963"/>
  <c r="P1963"/>
  <c r="CJ1963"/>
  <c r="M1963" s="1"/>
  <c r="N1964"/>
  <c r="O1964"/>
  <c r="P1964"/>
  <c r="CJ1964"/>
  <c r="M1964" s="1"/>
  <c r="N1965"/>
  <c r="O1965"/>
  <c r="P1965"/>
  <c r="CJ1965"/>
  <c r="M1965" s="1"/>
  <c r="N1966"/>
  <c r="O1966"/>
  <c r="P1966"/>
  <c r="CJ1966"/>
  <c r="M1966" s="1"/>
  <c r="N1967"/>
  <c r="O1967"/>
  <c r="P1967"/>
  <c r="CJ1967"/>
  <c r="M1967" s="1"/>
  <c r="N1968"/>
  <c r="O1968"/>
  <c r="P1968"/>
  <c r="CJ1968"/>
  <c r="M1968" s="1"/>
  <c r="S1968" s="1"/>
  <c r="J1969"/>
  <c r="K1969"/>
  <c r="O1969"/>
  <c r="P1969"/>
  <c r="CE1969"/>
  <c r="CJ1969" s="1"/>
  <c r="M1969" s="1"/>
  <c r="CG1969"/>
  <c r="CN1969"/>
  <c r="N1969" s="1"/>
  <c r="O1970"/>
  <c r="S1970" s="1"/>
  <c r="P1970"/>
  <c r="CE1970"/>
  <c r="CJ1970" s="1"/>
  <c r="M1970" s="1"/>
  <c r="CN1970"/>
  <c r="N1970" s="1"/>
  <c r="N1971"/>
  <c r="O1971"/>
  <c r="P1971"/>
  <c r="CJ1971"/>
  <c r="M1971" s="1"/>
  <c r="N1972"/>
  <c r="O1972"/>
  <c r="P1972"/>
  <c r="CJ1972"/>
  <c r="M1972" s="1"/>
  <c r="N1973"/>
  <c r="O1973"/>
  <c r="P1973"/>
  <c r="CJ1973"/>
  <c r="M1973" s="1"/>
  <c r="N1974"/>
  <c r="O1974"/>
  <c r="P1974"/>
  <c r="CJ1974"/>
  <c r="M1974" s="1"/>
  <c r="N1975"/>
  <c r="O1975"/>
  <c r="P1975"/>
  <c r="CJ1975"/>
  <c r="M1975" s="1"/>
  <c r="N1976"/>
  <c r="S1976" s="1"/>
  <c r="O1976"/>
  <c r="P1976"/>
  <c r="CJ1976"/>
  <c r="M1976" s="1"/>
  <c r="N1977"/>
  <c r="S1977" s="1"/>
  <c r="O1977"/>
  <c r="P1977"/>
  <c r="CJ1977"/>
  <c r="M1977" s="1"/>
  <c r="N1978"/>
  <c r="O1978"/>
  <c r="P1978"/>
  <c r="CJ1978"/>
  <c r="M1978" s="1"/>
  <c r="N1979"/>
  <c r="S1979" s="1"/>
  <c r="O1979"/>
  <c r="P1979"/>
  <c r="CJ1979"/>
  <c r="M1979" s="1"/>
  <c r="N1980"/>
  <c r="O1980"/>
  <c r="P1980"/>
  <c r="CJ1980"/>
  <c r="M1980" s="1"/>
  <c r="N1981"/>
  <c r="S1981" s="1"/>
  <c r="O1981"/>
  <c r="P1981"/>
  <c r="CJ1981"/>
  <c r="M1981" s="1"/>
  <c r="N1982"/>
  <c r="O1982"/>
  <c r="P1982"/>
  <c r="CJ1982"/>
  <c r="M1982"/>
  <c r="S1982" s="1"/>
  <c r="N1983"/>
  <c r="O1983"/>
  <c r="P1983"/>
  <c r="CJ1983"/>
  <c r="M1983" s="1"/>
  <c r="S1983" s="1"/>
  <c r="N1984"/>
  <c r="O1984"/>
  <c r="P1984"/>
  <c r="CJ1984"/>
  <c r="M1984" s="1"/>
  <c r="N1985"/>
  <c r="O1985"/>
  <c r="P1985"/>
  <c r="CJ1985"/>
  <c r="M1985" s="1"/>
  <c r="S1985" s="1"/>
  <c r="N1986"/>
  <c r="O1986"/>
  <c r="P1986"/>
  <c r="CJ1986"/>
  <c r="M1986" s="1"/>
  <c r="S1986" s="1"/>
  <c r="N1987"/>
  <c r="O1987"/>
  <c r="P1987"/>
  <c r="CJ1987"/>
  <c r="M1987" s="1"/>
  <c r="N1988"/>
  <c r="O1988"/>
  <c r="P1988"/>
  <c r="CJ1988"/>
  <c r="M1988" s="1"/>
  <c r="S1988" s="1"/>
  <c r="N1989"/>
  <c r="O1989"/>
  <c r="P1989"/>
  <c r="CJ1989"/>
  <c r="M1989" s="1"/>
  <c r="N1991"/>
  <c r="O1991"/>
  <c r="P1991"/>
  <c r="CJ1991"/>
  <c r="M1991" s="1"/>
  <c r="J1992"/>
  <c r="K1992"/>
  <c r="N1992"/>
  <c r="O1992"/>
  <c r="P1992"/>
  <c r="CJ1992"/>
  <c r="M1992" s="1"/>
  <c r="J1993"/>
  <c r="K1993"/>
  <c r="N1993"/>
  <c r="O1993"/>
  <c r="P1993"/>
  <c r="CJ1993"/>
  <c r="M1993" s="1"/>
  <c r="J1994"/>
  <c r="K1994"/>
  <c r="N1994"/>
  <c r="O1994"/>
  <c r="P1994"/>
  <c r="CJ1994"/>
  <c r="M1994" s="1"/>
  <c r="J1995"/>
  <c r="K1995"/>
  <c r="N1995"/>
  <c r="O1995"/>
  <c r="P1995"/>
  <c r="CJ1995"/>
  <c r="M1995" s="1"/>
  <c r="N1996"/>
  <c r="O1996"/>
  <c r="P1996"/>
  <c r="CJ1996"/>
  <c r="M1996" s="1"/>
  <c r="N1997"/>
  <c r="O1997"/>
  <c r="P1997"/>
  <c r="CJ1997"/>
  <c r="M1997" s="1"/>
  <c r="N1998"/>
  <c r="O1998"/>
  <c r="P1998"/>
  <c r="CJ1998"/>
  <c r="M1998" s="1"/>
  <c r="N1999"/>
  <c r="O1999"/>
  <c r="P1999"/>
  <c r="CJ1999"/>
  <c r="M1999" s="1"/>
  <c r="N2000"/>
  <c r="O2000"/>
  <c r="P2000"/>
  <c r="CJ2000"/>
  <c r="M2000" s="1"/>
  <c r="N2001"/>
  <c r="O2001"/>
  <c r="P2001"/>
  <c r="CJ2001"/>
  <c r="M2001" s="1"/>
  <c r="N2002"/>
  <c r="O2002"/>
  <c r="P2002"/>
  <c r="CJ2002"/>
  <c r="M2002" s="1"/>
  <c r="S2002" s="1"/>
  <c r="N2003"/>
  <c r="O2003"/>
  <c r="P2003"/>
  <c r="CJ2003"/>
  <c r="M2003" s="1"/>
  <c r="N2004"/>
  <c r="O2004"/>
  <c r="P2004"/>
  <c r="CJ2004"/>
  <c r="M2004" s="1"/>
  <c r="N2005"/>
  <c r="O2005"/>
  <c r="P2005"/>
  <c r="CJ2005"/>
  <c r="M2005" s="1"/>
  <c r="N2006"/>
  <c r="O2006"/>
  <c r="P2006"/>
  <c r="CJ2006"/>
  <c r="M2006" s="1"/>
  <c r="N2007"/>
  <c r="O2007"/>
  <c r="P2007"/>
  <c r="CJ2007"/>
  <c r="M2007" s="1"/>
  <c r="N2008"/>
  <c r="O2008"/>
  <c r="P2008"/>
  <c r="CJ2008"/>
  <c r="M2008" s="1"/>
  <c r="N2009"/>
  <c r="O2009"/>
  <c r="P2009"/>
  <c r="CJ2009"/>
  <c r="M2009" s="1"/>
  <c r="N2010"/>
  <c r="O2010"/>
  <c r="P2010"/>
  <c r="CJ2010"/>
  <c r="M2010" s="1"/>
  <c r="N2011"/>
  <c r="O2011"/>
  <c r="P2011"/>
  <c r="CJ2011"/>
  <c r="M2011" s="1"/>
  <c r="N2012"/>
  <c r="O2012"/>
  <c r="P2012"/>
  <c r="CJ2012"/>
  <c r="M2012" s="1"/>
  <c r="N2013"/>
  <c r="O2013"/>
  <c r="P2013"/>
  <c r="CJ2013"/>
  <c r="M2013" s="1"/>
  <c r="N2014"/>
  <c r="O2014"/>
  <c r="P2014"/>
  <c r="CJ2014"/>
  <c r="M2014" s="1"/>
  <c r="N2015"/>
  <c r="S2015" s="1"/>
  <c r="O2015"/>
  <c r="P2015"/>
  <c r="CJ2015"/>
  <c r="M2015" s="1"/>
  <c r="N2016"/>
  <c r="S2016" s="1"/>
  <c r="O2016"/>
  <c r="P2016"/>
  <c r="CJ2016"/>
  <c r="M2016" s="1"/>
  <c r="N2017"/>
  <c r="O2017"/>
  <c r="P2017"/>
  <c r="CJ2017"/>
  <c r="M2017" s="1"/>
  <c r="N2018"/>
  <c r="O2018"/>
  <c r="P2018"/>
  <c r="CJ2018"/>
  <c r="M2018"/>
  <c r="S2018" s="1"/>
  <c r="N2019"/>
  <c r="O2019"/>
  <c r="P2019"/>
  <c r="CJ2019"/>
  <c r="M2019" s="1"/>
  <c r="S2019" s="1"/>
  <c r="N2020"/>
  <c r="O2020"/>
  <c r="P2020"/>
  <c r="CJ2020"/>
  <c r="M2020" s="1"/>
  <c r="S2020" s="1"/>
  <c r="N2021"/>
  <c r="O2021"/>
  <c r="P2021"/>
  <c r="CJ2021"/>
  <c r="M2021" s="1"/>
  <c r="S2021" s="1"/>
  <c r="N2022"/>
  <c r="O2022"/>
  <c r="P2022"/>
  <c r="CJ2022"/>
  <c r="M2022" s="1"/>
  <c r="S2022" s="1"/>
  <c r="N2023"/>
  <c r="O2023"/>
  <c r="P2023"/>
  <c r="CJ2023"/>
  <c r="M2023" s="1"/>
  <c r="N2024"/>
  <c r="O2024"/>
  <c r="P2024"/>
  <c r="CJ2024"/>
  <c r="M2024" s="1"/>
  <c r="N2025"/>
  <c r="O2025"/>
  <c r="P2025"/>
  <c r="CJ2025"/>
  <c r="M2025" s="1"/>
  <c r="S2025" s="1"/>
  <c r="N2026"/>
  <c r="O2026"/>
  <c r="P2026"/>
  <c r="CJ2026"/>
  <c r="M2026" s="1"/>
  <c r="N2027"/>
  <c r="O2027"/>
  <c r="P2027"/>
  <c r="CJ2027"/>
  <c r="M2027" s="1"/>
  <c r="N2028"/>
  <c r="O2028"/>
  <c r="P2028"/>
  <c r="CJ2028"/>
  <c r="M2028" s="1"/>
  <c r="N2029"/>
  <c r="O2029"/>
  <c r="P2029"/>
  <c r="CJ2029"/>
  <c r="M2029" s="1"/>
  <c r="N2030"/>
  <c r="O2030"/>
  <c r="P2030"/>
  <c r="CJ2030"/>
  <c r="M2030" s="1"/>
  <c r="N2031"/>
  <c r="O2031"/>
  <c r="P2031"/>
  <c r="CJ2031"/>
  <c r="M2031" s="1"/>
  <c r="N2033"/>
  <c r="O2033"/>
  <c r="P2033"/>
  <c r="CJ2033"/>
  <c r="M2033" s="1"/>
  <c r="N2034"/>
  <c r="O2034"/>
  <c r="P2034"/>
  <c r="CJ2034"/>
  <c r="M2034" s="1"/>
  <c r="S2034" s="1"/>
  <c r="N2035"/>
  <c r="O2035"/>
  <c r="P2035"/>
  <c r="CJ2035"/>
  <c r="M2035" s="1"/>
  <c r="N2036"/>
  <c r="O2036"/>
  <c r="P2036"/>
  <c r="CJ2036"/>
  <c r="M2036" s="1"/>
  <c r="N2037"/>
  <c r="O2037"/>
  <c r="P2037"/>
  <c r="CJ2037"/>
  <c r="M2037" s="1"/>
  <c r="N2038"/>
  <c r="O2038"/>
  <c r="P2038"/>
  <c r="CJ2038"/>
  <c r="M2038" s="1"/>
  <c r="S2038" s="1"/>
  <c r="N2039"/>
  <c r="O2039"/>
  <c r="P2039"/>
  <c r="CJ2039"/>
  <c r="M2039" s="1"/>
  <c r="N2040"/>
  <c r="O2040"/>
  <c r="P2040"/>
  <c r="CJ2040"/>
  <c r="M2040" s="1"/>
  <c r="N2041"/>
  <c r="O2041"/>
  <c r="P2041"/>
  <c r="CJ2041"/>
  <c r="M2041" s="1"/>
  <c r="N2042"/>
  <c r="O2042"/>
  <c r="P2042"/>
  <c r="CJ2042"/>
  <c r="M2042" s="1"/>
  <c r="S2042" s="1"/>
  <c r="N2043"/>
  <c r="O2043"/>
  <c r="P2043"/>
  <c r="CJ2043"/>
  <c r="M2043" s="1"/>
  <c r="N2044"/>
  <c r="O2044"/>
  <c r="P2044"/>
  <c r="S2044" s="1"/>
  <c r="CJ2044"/>
  <c r="M2044" s="1"/>
  <c r="J2045"/>
  <c r="K2045"/>
  <c r="N2045"/>
  <c r="O2045"/>
  <c r="P2045"/>
  <c r="CJ2045"/>
  <c r="M2045" s="1"/>
  <c r="N2046"/>
  <c r="S2046" s="1"/>
  <c r="O2046"/>
  <c r="P2046"/>
  <c r="CJ2046"/>
  <c r="M2046" s="1"/>
  <c r="N2047"/>
  <c r="O2047"/>
  <c r="P2047"/>
  <c r="CJ2047"/>
  <c r="M2047" s="1"/>
  <c r="J2049"/>
  <c r="N2049"/>
  <c r="O2049"/>
  <c r="P2049"/>
  <c r="CJ2049"/>
  <c r="M2049" s="1"/>
  <c r="N2050"/>
  <c r="O2050"/>
  <c r="P2050"/>
  <c r="CJ2050"/>
  <c r="M2050" s="1"/>
  <c r="S2050" s="1"/>
  <c r="N2051"/>
  <c r="O2051"/>
  <c r="P2051"/>
  <c r="CJ2051"/>
  <c r="M2051" s="1"/>
  <c r="N2052"/>
  <c r="O2052"/>
  <c r="P2052"/>
  <c r="CJ2052"/>
  <c r="M2052" s="1"/>
  <c r="S2052" s="1"/>
  <c r="N2053"/>
  <c r="O2053"/>
  <c r="P2053"/>
  <c r="CJ2053"/>
  <c r="M2053" s="1"/>
  <c r="S2053" s="1"/>
  <c r="N2054"/>
  <c r="O2054"/>
  <c r="P2054"/>
  <c r="CJ2054"/>
  <c r="M2054" s="1"/>
  <c r="S2054" s="1"/>
  <c r="N2055"/>
  <c r="O2055"/>
  <c r="P2055"/>
  <c r="CJ2055"/>
  <c r="M2055" s="1"/>
  <c r="N2058"/>
  <c r="O2058"/>
  <c r="P2058"/>
  <c r="CJ2058"/>
  <c r="M2058" s="1"/>
  <c r="S2058" s="1"/>
  <c r="N2059"/>
  <c r="O2059"/>
  <c r="P2059"/>
  <c r="CJ2059"/>
  <c r="M2059" s="1"/>
  <c r="N2060"/>
  <c r="O2060"/>
  <c r="P2060"/>
  <c r="CJ2060"/>
  <c r="M2060" s="1"/>
  <c r="N2061"/>
  <c r="O2061"/>
  <c r="P2061"/>
  <c r="CJ2061"/>
  <c r="M2061" s="1"/>
  <c r="N2062"/>
  <c r="O2062"/>
  <c r="P2062"/>
  <c r="CJ2062"/>
  <c r="M2062" s="1"/>
  <c r="N2063"/>
  <c r="O2063"/>
  <c r="P2063"/>
  <c r="CJ2063"/>
  <c r="M2063" s="1"/>
  <c r="N2064"/>
  <c r="O2064"/>
  <c r="P2064"/>
  <c r="CJ2064"/>
  <c r="M2064" s="1"/>
  <c r="S2064" s="1"/>
  <c r="N2065"/>
  <c r="O2065"/>
  <c r="P2065"/>
  <c r="CJ2065"/>
  <c r="M2065" s="1"/>
  <c r="J2066"/>
  <c r="N2066"/>
  <c r="O2066"/>
  <c r="P2066"/>
  <c r="CJ2066"/>
  <c r="M2066" s="1"/>
  <c r="N2067"/>
  <c r="O2067"/>
  <c r="P2067"/>
  <c r="CJ2067"/>
  <c r="M2067" s="1"/>
  <c r="N2068"/>
  <c r="O2068"/>
  <c r="P2068"/>
  <c r="CJ2068"/>
  <c r="M2068" s="1"/>
  <c r="N2069"/>
  <c r="O2069"/>
  <c r="P2069"/>
  <c r="CJ2069"/>
  <c r="M2069" s="1"/>
  <c r="O2070"/>
  <c r="P2070"/>
  <c r="AQ2070"/>
  <c r="CJ2070" s="1"/>
  <c r="M2070" s="1"/>
  <c r="CC2070"/>
  <c r="CN2070"/>
  <c r="N2070" s="1"/>
  <c r="K2071"/>
  <c r="N2071"/>
  <c r="O2071"/>
  <c r="P2071"/>
  <c r="CJ2071"/>
  <c r="M2071" s="1"/>
  <c r="O2072"/>
  <c r="P2072"/>
  <c r="CJ2072"/>
  <c r="M2072" s="1"/>
  <c r="CN2072"/>
  <c r="N2072" s="1"/>
  <c r="N2073"/>
  <c r="O2073"/>
  <c r="P2073"/>
  <c r="CJ2073"/>
  <c r="M2073" s="1"/>
  <c r="O2074"/>
  <c r="CJ2074"/>
  <c r="M2074" s="1"/>
  <c r="CK2074"/>
  <c r="CL2074"/>
  <c r="P2074" s="1"/>
  <c r="CN2074"/>
  <c r="N2074" s="1"/>
  <c r="N2075"/>
  <c r="O2075"/>
  <c r="P2075"/>
  <c r="CJ2075"/>
  <c r="M2075" s="1"/>
  <c r="N2076"/>
  <c r="O2076"/>
  <c r="P2076"/>
  <c r="CJ2076"/>
  <c r="M2076" s="1"/>
  <c r="N2077"/>
  <c r="O2077"/>
  <c r="P2077"/>
  <c r="CJ2077"/>
  <c r="M2077" s="1"/>
  <c r="N2078"/>
  <c r="O2078"/>
  <c r="P2078"/>
  <c r="CJ2078"/>
  <c r="M2078" s="1"/>
  <c r="N2079"/>
  <c r="O2079"/>
  <c r="P2079"/>
  <c r="CJ2079"/>
  <c r="M2079" s="1"/>
  <c r="N2080"/>
  <c r="O2080"/>
  <c r="P2080"/>
  <c r="CJ2080"/>
  <c r="M2080" s="1"/>
  <c r="N2081"/>
  <c r="O2081"/>
  <c r="P2081"/>
  <c r="CJ2081"/>
  <c r="M2081" s="1"/>
  <c r="N2082"/>
  <c r="O2082"/>
  <c r="P2082"/>
  <c r="CJ2082"/>
  <c r="M2082" s="1"/>
  <c r="J2083"/>
  <c r="K2083"/>
  <c r="N2083"/>
  <c r="O2083"/>
  <c r="P2083"/>
  <c r="CJ2083"/>
  <c r="M2083" s="1"/>
  <c r="N2084"/>
  <c r="O2084"/>
  <c r="P2084"/>
  <c r="CJ2084"/>
  <c r="M2084" s="1"/>
  <c r="N2085"/>
  <c r="O2085"/>
  <c r="P2085"/>
  <c r="CJ2085"/>
  <c r="M2085" s="1"/>
  <c r="N2086"/>
  <c r="O2086"/>
  <c r="P2086"/>
  <c r="CJ2086"/>
  <c r="M2086" s="1"/>
  <c r="N2087"/>
  <c r="O2087"/>
  <c r="P2087"/>
  <c r="CJ2087"/>
  <c r="M2087" s="1"/>
  <c r="N2088"/>
  <c r="O2088"/>
  <c r="P2088"/>
  <c r="CJ2088"/>
  <c r="M2088" s="1"/>
  <c r="N2089"/>
  <c r="O2089"/>
  <c r="P2089"/>
  <c r="CJ2089"/>
  <c r="M2089" s="1"/>
  <c r="N2090"/>
  <c r="O2090"/>
  <c r="P2090"/>
  <c r="CJ2090"/>
  <c r="M2090" s="1"/>
  <c r="N2091"/>
  <c r="O2091"/>
  <c r="P2091"/>
  <c r="CJ2091"/>
  <c r="M2091" s="1"/>
  <c r="O2092"/>
  <c r="P2092"/>
  <c r="AQ2092"/>
  <c r="CC2092"/>
  <c r="CN2092"/>
  <c r="N2092" s="1"/>
  <c r="N2093"/>
  <c r="O2093"/>
  <c r="P2093"/>
  <c r="CJ2093"/>
  <c r="M2093" s="1"/>
  <c r="N2094"/>
  <c r="O2094"/>
  <c r="P2094"/>
  <c r="CJ2094"/>
  <c r="M2094" s="1"/>
  <c r="K2095"/>
  <c r="N2095"/>
  <c r="S2095" s="1"/>
  <c r="O2095"/>
  <c r="P2095"/>
  <c r="CJ2095"/>
  <c r="M2095" s="1"/>
  <c r="N2096"/>
  <c r="S2096" s="1"/>
  <c r="O2096"/>
  <c r="P2096"/>
  <c r="CJ2096"/>
  <c r="M2096" s="1"/>
  <c r="N2097"/>
  <c r="O2097"/>
  <c r="P2097"/>
  <c r="CJ2097"/>
  <c r="M2097"/>
  <c r="N2098"/>
  <c r="O2098"/>
  <c r="P2098"/>
  <c r="CJ2098"/>
  <c r="M2098" s="1"/>
  <c r="N2099"/>
  <c r="O2099"/>
  <c r="P2099"/>
  <c r="CJ2099"/>
  <c r="M2099" s="1"/>
  <c r="S2099" s="1"/>
  <c r="N2100"/>
  <c r="O2100"/>
  <c r="P2100"/>
  <c r="CJ2100"/>
  <c r="M2100" s="1"/>
  <c r="N2101"/>
  <c r="O2101"/>
  <c r="P2101"/>
  <c r="CJ2101"/>
  <c r="M2101" s="1"/>
  <c r="S2101" s="1"/>
  <c r="N2102"/>
  <c r="O2102"/>
  <c r="P2102"/>
  <c r="CJ2102"/>
  <c r="M2102" s="1"/>
  <c r="J2103"/>
  <c r="N2103"/>
  <c r="O2103"/>
  <c r="P2103"/>
  <c r="CJ2103"/>
  <c r="M2103" s="1"/>
  <c r="J2104"/>
  <c r="N2104"/>
  <c r="O2104"/>
  <c r="P2104"/>
  <c r="CJ2104"/>
  <c r="M2104" s="1"/>
  <c r="J2105"/>
  <c r="N2105"/>
  <c r="O2105"/>
  <c r="P2105"/>
  <c r="CJ2105"/>
  <c r="M2105" s="1"/>
  <c r="N2106"/>
  <c r="O2106"/>
  <c r="P2106"/>
  <c r="CJ2106"/>
  <c r="M2106" s="1"/>
  <c r="N2107"/>
  <c r="O2107"/>
  <c r="P2107"/>
  <c r="CJ2107"/>
  <c r="M2107" s="1"/>
  <c r="N2108"/>
  <c r="O2108"/>
  <c r="P2108"/>
  <c r="CJ2108"/>
  <c r="M2108" s="1"/>
  <c r="N2109"/>
  <c r="O2109"/>
  <c r="P2109"/>
  <c r="CJ2109"/>
  <c r="M2109" s="1"/>
  <c r="N2110"/>
  <c r="O2110"/>
  <c r="P2110"/>
  <c r="CJ2110"/>
  <c r="M2110" s="1"/>
  <c r="J2111"/>
  <c r="K2111"/>
  <c r="N2111"/>
  <c r="O2111"/>
  <c r="P2111"/>
  <c r="CJ2111"/>
  <c r="M2111" s="1"/>
  <c r="N2112"/>
  <c r="O2112"/>
  <c r="P2112"/>
  <c r="CJ2112"/>
  <c r="M2112" s="1"/>
  <c r="N2113"/>
  <c r="O2113"/>
  <c r="P2113"/>
  <c r="CJ2113"/>
  <c r="M2113" s="1"/>
  <c r="O2114"/>
  <c r="P2114"/>
  <c r="CJ2114"/>
  <c r="M2114" s="1"/>
  <c r="CN2114"/>
  <c r="N2114" s="1"/>
  <c r="J2115"/>
  <c r="N2115"/>
  <c r="O2115"/>
  <c r="P2115"/>
  <c r="CJ2115"/>
  <c r="M2115" s="1"/>
  <c r="O2116"/>
  <c r="P2116"/>
  <c r="AQ2116"/>
  <c r="BA2116"/>
  <c r="CB2116"/>
  <c r="CC2116"/>
  <c r="CG2116"/>
  <c r="CM2116"/>
  <c r="CN2116"/>
  <c r="N2116" s="1"/>
  <c r="O2117"/>
  <c r="P2117"/>
  <c r="AQ2117"/>
  <c r="BA2117"/>
  <c r="CC2117"/>
  <c r="CG2117"/>
  <c r="CN2117"/>
  <c r="N2117" s="1"/>
  <c r="J2118"/>
  <c r="O2118"/>
  <c r="P2118"/>
  <c r="AQ2118"/>
  <c r="BA2118"/>
  <c r="CC2118"/>
  <c r="CG2118"/>
  <c r="CN2118"/>
  <c r="N2118" s="1"/>
  <c r="N2119"/>
  <c r="O2119"/>
  <c r="P2119"/>
  <c r="CJ2119"/>
  <c r="M2119"/>
  <c r="N2120"/>
  <c r="O2120"/>
  <c r="P2120"/>
  <c r="CJ2120"/>
  <c r="M2120" s="1"/>
  <c r="N2121"/>
  <c r="O2121"/>
  <c r="P2121"/>
  <c r="CJ2121"/>
  <c r="M2121" s="1"/>
  <c r="N2122"/>
  <c r="O2122"/>
  <c r="P2122"/>
  <c r="CJ2122"/>
  <c r="M2122" s="1"/>
  <c r="N2123"/>
  <c r="O2123"/>
  <c r="P2123"/>
  <c r="CJ2123"/>
  <c r="M2123" s="1"/>
  <c r="J2124"/>
  <c r="N2124"/>
  <c r="O2124"/>
  <c r="P2124"/>
  <c r="CJ2124"/>
  <c r="M2124" s="1"/>
  <c r="N2125"/>
  <c r="O2125"/>
  <c r="P2125"/>
  <c r="CJ2125"/>
  <c r="M2125" s="1"/>
  <c r="N2126"/>
  <c r="O2126"/>
  <c r="P2126"/>
  <c r="CJ2126"/>
  <c r="M2126" s="1"/>
  <c r="N2127"/>
  <c r="O2127"/>
  <c r="P2127"/>
  <c r="CJ2127"/>
  <c r="M2127" s="1"/>
  <c r="N2128"/>
  <c r="O2128"/>
  <c r="P2128"/>
  <c r="CJ2128"/>
  <c r="M2128" s="1"/>
  <c r="N2129"/>
  <c r="O2129"/>
  <c r="P2129"/>
  <c r="CJ2129"/>
  <c r="M2129" s="1"/>
  <c r="N2130"/>
  <c r="O2130"/>
  <c r="P2130"/>
  <c r="CJ2130"/>
  <c r="M2130" s="1"/>
  <c r="N2131"/>
  <c r="O2131"/>
  <c r="P2131"/>
  <c r="CJ2131"/>
  <c r="M2131" s="1"/>
  <c r="N2132"/>
  <c r="O2132"/>
  <c r="P2132"/>
  <c r="S2132" s="1"/>
  <c r="CJ2132"/>
  <c r="M2132" s="1"/>
  <c r="N2133"/>
  <c r="O2133"/>
  <c r="P2133"/>
  <c r="CJ2133"/>
  <c r="M2133" s="1"/>
  <c r="N2134"/>
  <c r="O2134"/>
  <c r="P2134"/>
  <c r="CJ2134"/>
  <c r="M2134" s="1"/>
  <c r="N2135"/>
  <c r="O2135"/>
  <c r="P2135"/>
  <c r="CJ2135"/>
  <c r="M2135" s="1"/>
  <c r="N2136"/>
  <c r="O2136"/>
  <c r="P2136"/>
  <c r="CJ2136"/>
  <c r="M2136" s="1"/>
  <c r="N2137"/>
  <c r="O2137"/>
  <c r="P2137"/>
  <c r="CJ2137"/>
  <c r="M2137" s="1"/>
  <c r="N2138"/>
  <c r="O2138"/>
  <c r="P2138"/>
  <c r="CJ2138"/>
  <c r="M2138" s="1"/>
  <c r="N2139"/>
  <c r="O2139"/>
  <c r="P2139"/>
  <c r="CJ2139"/>
  <c r="M2139" s="1"/>
  <c r="N2140"/>
  <c r="O2140"/>
  <c r="P2140"/>
  <c r="CJ2140"/>
  <c r="M2140" s="1"/>
  <c r="N2141"/>
  <c r="O2141"/>
  <c r="P2141"/>
  <c r="CJ2141"/>
  <c r="M2141" s="1"/>
  <c r="N2142"/>
  <c r="O2142"/>
  <c r="P2142"/>
  <c r="CJ2142"/>
  <c r="M2142" s="1"/>
  <c r="N2143"/>
  <c r="O2143"/>
  <c r="P2143"/>
  <c r="CJ2143"/>
  <c r="M2143" s="1"/>
  <c r="N2144"/>
  <c r="O2144"/>
  <c r="P2144"/>
  <c r="CJ2144"/>
  <c r="M2144"/>
  <c r="S2144" s="1"/>
  <c r="N2145"/>
  <c r="O2145"/>
  <c r="P2145"/>
  <c r="CJ2145"/>
  <c r="M2145" s="1"/>
  <c r="S2145" s="1"/>
  <c r="O2146"/>
  <c r="P2146"/>
  <c r="AQ2146"/>
  <c r="BY2146"/>
  <c r="CC2146"/>
  <c r="CE2146"/>
  <c r="CG2146"/>
  <c r="CM2146"/>
  <c r="CN2146"/>
  <c r="N2146" s="1"/>
  <c r="N2147"/>
  <c r="O2147"/>
  <c r="P2147"/>
  <c r="CJ2147"/>
  <c r="M2147" s="1"/>
  <c r="N2148"/>
  <c r="O2148"/>
  <c r="P2148"/>
  <c r="CJ2148"/>
  <c r="M2148" s="1"/>
  <c r="N2159"/>
  <c r="O2159"/>
  <c r="S2159" s="1"/>
  <c r="P2159"/>
  <c r="CJ2159"/>
  <c r="M2159" s="1"/>
  <c r="N2162"/>
  <c r="O2162"/>
  <c r="P2162"/>
  <c r="CJ2162"/>
  <c r="M2162" s="1"/>
  <c r="N2149"/>
  <c r="O2149"/>
  <c r="P2149"/>
  <c r="CJ2149"/>
  <c r="M2149" s="1"/>
  <c r="N2150"/>
  <c r="O2150"/>
  <c r="P2150"/>
  <c r="CJ2150"/>
  <c r="M2150" s="1"/>
  <c r="N2151"/>
  <c r="O2151"/>
  <c r="P2151"/>
  <c r="CJ2151"/>
  <c r="M2151" s="1"/>
  <c r="N2152"/>
  <c r="O2152"/>
  <c r="P2152"/>
  <c r="CJ2152"/>
  <c r="M2152" s="1"/>
  <c r="N2153"/>
  <c r="O2153"/>
  <c r="P2153"/>
  <c r="CJ2153"/>
  <c r="M2153" s="1"/>
  <c r="N2154"/>
  <c r="O2154"/>
  <c r="P2154"/>
  <c r="CJ2154"/>
  <c r="M2154" s="1"/>
  <c r="N2155"/>
  <c r="O2155"/>
  <c r="P2155"/>
  <c r="CJ2155"/>
  <c r="M2155" s="1"/>
  <c r="N2156"/>
  <c r="O2156"/>
  <c r="P2156"/>
  <c r="CJ2156"/>
  <c r="M2156" s="1"/>
  <c r="N2157"/>
  <c r="O2157"/>
  <c r="P2157"/>
  <c r="CJ2157"/>
  <c r="M2157" s="1"/>
  <c r="N2158"/>
  <c r="O2158"/>
  <c r="P2158"/>
  <c r="CJ2158"/>
  <c r="M2158" s="1"/>
  <c r="N2160"/>
  <c r="O2160"/>
  <c r="P2160"/>
  <c r="CJ2160"/>
  <c r="M2160" s="1"/>
  <c r="N2161"/>
  <c r="O2161"/>
  <c r="P2161"/>
  <c r="CJ2161"/>
  <c r="M2161" s="1"/>
  <c r="N2163"/>
  <c r="S2163" s="1"/>
  <c r="O2163"/>
  <c r="P2163"/>
  <c r="CJ2163"/>
  <c r="M2163" s="1"/>
  <c r="N2164"/>
  <c r="S2164" s="1"/>
  <c r="O2164"/>
  <c r="P2164"/>
  <c r="CJ2164"/>
  <c r="M2164" s="1"/>
  <c r="N2165"/>
  <c r="O2165"/>
  <c r="P2165"/>
  <c r="CJ2165"/>
  <c r="M2165"/>
  <c r="S2165" s="1"/>
  <c r="N2166"/>
  <c r="O2166"/>
  <c r="P2166"/>
  <c r="CJ2166"/>
  <c r="M2166" s="1"/>
  <c r="S2166" s="1"/>
  <c r="N2167"/>
  <c r="O2167"/>
  <c r="P2167"/>
  <c r="CJ2167"/>
  <c r="M2167" s="1"/>
  <c r="N2168"/>
  <c r="O2168"/>
  <c r="P2168"/>
  <c r="CJ2168"/>
  <c r="M2168" s="1"/>
  <c r="S2168" s="1"/>
  <c r="N2169"/>
  <c r="O2169"/>
  <c r="P2169"/>
  <c r="CJ2169"/>
  <c r="M2169" s="1"/>
  <c r="S2169" s="1"/>
  <c r="N2170"/>
  <c r="O2170"/>
  <c r="P2170"/>
  <c r="CJ2170"/>
  <c r="M2170" s="1"/>
  <c r="N2171"/>
  <c r="O2171"/>
  <c r="P2171"/>
  <c r="CJ2171"/>
  <c r="M2171" s="1"/>
  <c r="N2172"/>
  <c r="O2172"/>
  <c r="P2172"/>
  <c r="CJ2172"/>
  <c r="M2172" s="1"/>
  <c r="N2173"/>
  <c r="O2173"/>
  <c r="P2173"/>
  <c r="CJ2173"/>
  <c r="M2173" s="1"/>
  <c r="N2174"/>
  <c r="O2174"/>
  <c r="P2174"/>
  <c r="CJ2174"/>
  <c r="M2174" s="1"/>
  <c r="N2175"/>
  <c r="O2175"/>
  <c r="P2175"/>
  <c r="CJ2175"/>
  <c r="M2175" s="1"/>
  <c r="N2176"/>
  <c r="O2176"/>
  <c r="P2176"/>
  <c r="CJ2176"/>
  <c r="M2176" s="1"/>
  <c r="N2177"/>
  <c r="O2177"/>
  <c r="P2177"/>
  <c r="CJ2177"/>
  <c r="M2177" s="1"/>
  <c r="S2177" s="1"/>
  <c r="N2178"/>
  <c r="O2178"/>
  <c r="P2178"/>
  <c r="CJ2178"/>
  <c r="M2178" s="1"/>
  <c r="S2178" s="1"/>
  <c r="J2179"/>
  <c r="N2179"/>
  <c r="O2179"/>
  <c r="P2179"/>
  <c r="CJ2179"/>
  <c r="M2179" s="1"/>
  <c r="J2180"/>
  <c r="N2180"/>
  <c r="O2180"/>
  <c r="P2180"/>
  <c r="CJ2180"/>
  <c r="M2180" s="1"/>
  <c r="N2181"/>
  <c r="O2181"/>
  <c r="P2181"/>
  <c r="CJ2181"/>
  <c r="M2181" s="1"/>
  <c r="N2182"/>
  <c r="O2182"/>
  <c r="P2182"/>
  <c r="CJ2182"/>
  <c r="M2182" s="1"/>
  <c r="J2183"/>
  <c r="N2183"/>
  <c r="O2183"/>
  <c r="P2183"/>
  <c r="CJ2183"/>
  <c r="M2183" s="1"/>
  <c r="J2184"/>
  <c r="N2184"/>
  <c r="O2184"/>
  <c r="P2184"/>
  <c r="CJ2184"/>
  <c r="M2184" s="1"/>
  <c r="N2191"/>
  <c r="O2191"/>
  <c r="P2191"/>
  <c r="CJ2191"/>
  <c r="M2191" s="1"/>
  <c r="N2192"/>
  <c r="O2192"/>
  <c r="P2192"/>
  <c r="CJ2192"/>
  <c r="M2192" s="1"/>
  <c r="O2193"/>
  <c r="P2193"/>
  <c r="CJ2193"/>
  <c r="M2193" s="1"/>
  <c r="CN2193"/>
  <c r="N2193" s="1"/>
  <c r="O2194"/>
  <c r="P2194"/>
  <c r="CJ2194"/>
  <c r="M2194" s="1"/>
  <c r="CN2194"/>
  <c r="N2194" s="1"/>
  <c r="N2196"/>
  <c r="O2196"/>
  <c r="P2196"/>
  <c r="CJ2196"/>
  <c r="M2196" s="1"/>
  <c r="N2216"/>
  <c r="O2216"/>
  <c r="P2216"/>
  <c r="CJ2216"/>
  <c r="M2216" s="1"/>
  <c r="N2217"/>
  <c r="O2217"/>
  <c r="P2217"/>
  <c r="CJ2217"/>
  <c r="M2217" s="1"/>
  <c r="N2219"/>
  <c r="O2219"/>
  <c r="P2219"/>
  <c r="CJ2219"/>
  <c r="M2219" s="1"/>
  <c r="N2220"/>
  <c r="O2220"/>
  <c r="P2220"/>
  <c r="CJ2220"/>
  <c r="M2220" s="1"/>
  <c r="N2222"/>
  <c r="O2222"/>
  <c r="P2222"/>
  <c r="CJ2222"/>
  <c r="M2222" s="1"/>
  <c r="J2223"/>
  <c r="N2223"/>
  <c r="O2223"/>
  <c r="P2223"/>
  <c r="CJ2223"/>
  <c r="M2223" s="1"/>
  <c r="N2237"/>
  <c r="O2237"/>
  <c r="P2237"/>
  <c r="CJ2237"/>
  <c r="M2237" s="1"/>
  <c r="N2243"/>
  <c r="O2243"/>
  <c r="S2243" s="1"/>
  <c r="P2243"/>
  <c r="CJ2243"/>
  <c r="M2243" s="1"/>
  <c r="N2265"/>
  <c r="O2265"/>
  <c r="P2265"/>
  <c r="CJ2265"/>
  <c r="M2265" s="1"/>
  <c r="N2271"/>
  <c r="O2271"/>
  <c r="P2271"/>
  <c r="CJ2271"/>
  <c r="M2271" s="1"/>
  <c r="N2279"/>
  <c r="O2279"/>
  <c r="P2279"/>
  <c r="CJ2279"/>
  <c r="M2279" s="1"/>
  <c r="N2280"/>
  <c r="O2280"/>
  <c r="P2280"/>
  <c r="CJ2280"/>
  <c r="M2280" s="1"/>
  <c r="N2281"/>
  <c r="O2281"/>
  <c r="P2281"/>
  <c r="CJ2281"/>
  <c r="M2281" s="1"/>
  <c r="N2282"/>
  <c r="O2282"/>
  <c r="P2282"/>
  <c r="CJ2282"/>
  <c r="M2282" s="1"/>
  <c r="J2284"/>
  <c r="N2284"/>
  <c r="O2284"/>
  <c r="P2284"/>
  <c r="CJ2284"/>
  <c r="M2284" s="1"/>
  <c r="J2285"/>
  <c r="N2285"/>
  <c r="O2285"/>
  <c r="P2285"/>
  <c r="CJ2285"/>
  <c r="M2285" s="1"/>
  <c r="N2286"/>
  <c r="O2286"/>
  <c r="P2286"/>
  <c r="CJ2286"/>
  <c r="M2286" s="1"/>
  <c r="J2287"/>
  <c r="N2287"/>
  <c r="O2287"/>
  <c r="P2287"/>
  <c r="CJ2287"/>
  <c r="M2287" s="1"/>
  <c r="J2288"/>
  <c r="N2288"/>
  <c r="O2288"/>
  <c r="P2288"/>
  <c r="CJ2288"/>
  <c r="M2288" s="1"/>
  <c r="J2289"/>
  <c r="N2289"/>
  <c r="O2289"/>
  <c r="P2289"/>
  <c r="CJ2289"/>
  <c r="M2289" s="1"/>
  <c r="J2290"/>
  <c r="N2290"/>
  <c r="O2290"/>
  <c r="P2290"/>
  <c r="CJ2290"/>
  <c r="M2290" s="1"/>
  <c r="N2291"/>
  <c r="O2291"/>
  <c r="P2291"/>
  <c r="CJ2291"/>
  <c r="M2291" s="1"/>
  <c r="O2295"/>
  <c r="P2295"/>
  <c r="AQ2295"/>
  <c r="BA2295"/>
  <c r="CG2295"/>
  <c r="CN2295"/>
  <c r="N2295" s="1"/>
  <c r="O2302"/>
  <c r="P2302"/>
  <c r="CJ2302"/>
  <c r="M2302" s="1"/>
  <c r="CN2302"/>
  <c r="N2302" s="1"/>
  <c r="N2303"/>
  <c r="O2303"/>
  <c r="P2303"/>
  <c r="CJ2303"/>
  <c r="M2303" s="1"/>
  <c r="N2304"/>
  <c r="O2304"/>
  <c r="S2304" s="1"/>
  <c r="P2304"/>
  <c r="CJ2304"/>
  <c r="M2304" s="1"/>
  <c r="N2305"/>
  <c r="O2305"/>
  <c r="P2305"/>
  <c r="CJ2305"/>
  <c r="M2305" s="1"/>
  <c r="N2306"/>
  <c r="O2306"/>
  <c r="P2306"/>
  <c r="CJ2306"/>
  <c r="M2306" s="1"/>
  <c r="N2308"/>
  <c r="O2308"/>
  <c r="P2308"/>
  <c r="CJ2308"/>
  <c r="M2308" s="1"/>
  <c r="N2310"/>
  <c r="O2310"/>
  <c r="P2310"/>
  <c r="CJ2310"/>
  <c r="M2310"/>
  <c r="N2311"/>
  <c r="O2311"/>
  <c r="P2311"/>
  <c r="CJ2311"/>
  <c r="M2311" s="1"/>
  <c r="N2312"/>
  <c r="O2312"/>
  <c r="P2312"/>
  <c r="CJ2312"/>
  <c r="M2312" s="1"/>
  <c r="O2313"/>
  <c r="P2313"/>
  <c r="CJ2313"/>
  <c r="M2313" s="1"/>
  <c r="CN2313"/>
  <c r="N2313" s="1"/>
  <c r="N2314"/>
  <c r="O2314"/>
  <c r="P2314"/>
  <c r="CJ2314"/>
  <c r="M2314" s="1"/>
  <c r="N2315"/>
  <c r="S2315" s="1"/>
  <c r="O2315"/>
  <c r="P2315"/>
  <c r="CJ2315"/>
  <c r="M2315" s="1"/>
  <c r="N2316"/>
  <c r="O2316"/>
  <c r="BO2316"/>
  <c r="CJ2316" s="1"/>
  <c r="M2316" s="1"/>
  <c r="CL2316"/>
  <c r="P2316" s="1"/>
  <c r="N2317"/>
  <c r="O2317"/>
  <c r="P2317"/>
  <c r="CJ2317"/>
  <c r="M2317" s="1"/>
  <c r="J2318"/>
  <c r="N2318"/>
  <c r="O2318"/>
  <c r="P2318"/>
  <c r="CJ2318"/>
  <c r="M2318" s="1"/>
  <c r="N2319"/>
  <c r="O2319"/>
  <c r="P2319"/>
  <c r="CJ2319"/>
  <c r="M2319" s="1"/>
  <c r="N2320"/>
  <c r="O2320"/>
  <c r="P2320"/>
  <c r="CJ2320"/>
  <c r="M2320" s="1"/>
  <c r="N2321"/>
  <c r="O2321"/>
  <c r="P2321"/>
  <c r="CJ2321"/>
  <c r="M2321" s="1"/>
  <c r="N2322"/>
  <c r="O2322"/>
  <c r="P2322"/>
  <c r="CJ2322"/>
  <c r="M2322" s="1"/>
  <c r="S2322" s="1"/>
  <c r="N2323"/>
  <c r="O2323"/>
  <c r="P2323"/>
  <c r="CJ2323"/>
  <c r="M2323" s="1"/>
  <c r="O2324"/>
  <c r="P2324"/>
  <c r="CE2324"/>
  <c r="CJ2324" s="1"/>
  <c r="M2324" s="1"/>
  <c r="CN2324"/>
  <c r="N2324" s="1"/>
  <c r="N2325"/>
  <c r="O2325"/>
  <c r="P2325"/>
  <c r="CJ2325"/>
  <c r="M2325" s="1"/>
  <c r="N2326"/>
  <c r="O2326"/>
  <c r="P2326"/>
  <c r="CJ2326"/>
  <c r="M2326" s="1"/>
  <c r="N2327"/>
  <c r="O2327"/>
  <c r="P2327"/>
  <c r="CJ2327"/>
  <c r="M2327" s="1"/>
  <c r="N2328"/>
  <c r="O2328"/>
  <c r="P2328"/>
  <c r="CJ2328"/>
  <c r="M2328" s="1"/>
  <c r="J2329"/>
  <c r="K2329"/>
  <c r="N2329"/>
  <c r="O2329"/>
  <c r="P2329"/>
  <c r="CJ2329"/>
  <c r="M2329" s="1"/>
  <c r="N2330"/>
  <c r="O2330"/>
  <c r="P2330"/>
  <c r="CJ2330"/>
  <c r="M2330" s="1"/>
  <c r="N2331"/>
  <c r="O2331"/>
  <c r="P2331"/>
  <c r="CJ2331"/>
  <c r="M2331" s="1"/>
  <c r="J2332"/>
  <c r="N2332"/>
  <c r="O2332"/>
  <c r="P2332"/>
  <c r="CJ2332"/>
  <c r="M2332" s="1"/>
  <c r="O2333"/>
  <c r="P2333"/>
  <c r="CC2333"/>
  <c r="CJ2333" s="1"/>
  <c r="M2333" s="1"/>
  <c r="CN2333"/>
  <c r="N2333" s="1"/>
  <c r="N2334"/>
  <c r="O2334"/>
  <c r="P2334"/>
  <c r="CJ2334"/>
  <c r="M2334" s="1"/>
  <c r="N2335"/>
  <c r="O2335"/>
  <c r="P2335"/>
  <c r="CJ2335"/>
  <c r="M2335" s="1"/>
  <c r="N2336"/>
  <c r="O2336"/>
  <c r="P2336"/>
  <c r="CJ2336"/>
  <c r="M2336" s="1"/>
  <c r="N2337"/>
  <c r="O2337"/>
  <c r="P2337"/>
  <c r="CJ2337"/>
  <c r="M2337" s="1"/>
  <c r="N2338"/>
  <c r="O2338"/>
  <c r="P2338"/>
  <c r="AO2338"/>
  <c r="BY2338"/>
  <c r="N2339"/>
  <c r="O2339"/>
  <c r="P2339"/>
  <c r="CJ2339"/>
  <c r="M2339" s="1"/>
  <c r="S2339" s="1"/>
  <c r="K2340"/>
  <c r="N2340"/>
  <c r="O2340"/>
  <c r="P2340"/>
  <c r="CJ2340"/>
  <c r="M2340" s="1"/>
  <c r="J2341"/>
  <c r="N2341"/>
  <c r="O2341"/>
  <c r="P2341"/>
  <c r="CJ2341"/>
  <c r="M2341" s="1"/>
  <c r="N2342"/>
  <c r="O2342"/>
  <c r="P2342"/>
  <c r="CJ2342"/>
  <c r="M2342" s="1"/>
  <c r="N2343"/>
  <c r="O2343"/>
  <c r="P2343"/>
  <c r="CJ2343"/>
  <c r="M2343" s="1"/>
  <c r="N2344"/>
  <c r="O2344"/>
  <c r="P2344"/>
  <c r="CJ2344"/>
  <c r="M2344" s="1"/>
  <c r="N2345"/>
  <c r="O2345"/>
  <c r="P2345"/>
  <c r="CJ2345"/>
  <c r="M2345" s="1"/>
  <c r="N2347"/>
  <c r="O2347"/>
  <c r="P2347"/>
  <c r="CJ2347"/>
  <c r="M2347" s="1"/>
  <c r="N2348"/>
  <c r="O2348"/>
  <c r="P2348"/>
  <c r="CJ2348"/>
  <c r="M2348" s="1"/>
  <c r="N2349"/>
  <c r="O2349"/>
  <c r="P2349"/>
  <c r="CJ2349"/>
  <c r="M2349" s="1"/>
  <c r="S2349" s="1"/>
  <c r="N2350"/>
  <c r="O2350"/>
  <c r="P2350"/>
  <c r="CJ2350"/>
  <c r="M2350" s="1"/>
  <c r="J2351"/>
  <c r="N2351"/>
  <c r="O2351"/>
  <c r="P2351"/>
  <c r="CJ2351"/>
  <c r="M2351" s="1"/>
  <c r="N2352"/>
  <c r="O2352"/>
  <c r="P2352"/>
  <c r="CJ2352"/>
  <c r="M2352" s="1"/>
  <c r="N2353"/>
  <c r="O2353"/>
  <c r="P2353"/>
  <c r="CJ2353"/>
  <c r="M2353" s="1"/>
  <c r="N2354"/>
  <c r="O2354"/>
  <c r="P2354"/>
  <c r="CJ2354"/>
  <c r="M2354" s="1"/>
  <c r="N2355"/>
  <c r="O2355"/>
  <c r="P2355"/>
  <c r="CJ2355"/>
  <c r="M2355" s="1"/>
  <c r="N2356"/>
  <c r="O2356"/>
  <c r="P2356"/>
  <c r="CJ2356"/>
  <c r="M2356" s="1"/>
  <c r="N2357"/>
  <c r="O2357"/>
  <c r="P2357"/>
  <c r="CJ2357"/>
  <c r="M2357" s="1"/>
  <c r="N2358"/>
  <c r="O2358"/>
  <c r="P2358"/>
  <c r="CJ2358"/>
  <c r="M2358" s="1"/>
  <c r="N2359"/>
  <c r="O2359"/>
  <c r="P2359"/>
  <c r="CJ2359"/>
  <c r="M2359" s="1"/>
  <c r="N2360"/>
  <c r="O2360"/>
  <c r="P2360"/>
  <c r="CJ2360"/>
  <c r="M2360" s="1"/>
  <c r="N2361"/>
  <c r="O2361"/>
  <c r="P2361"/>
  <c r="CJ2361"/>
  <c r="M2361" s="1"/>
  <c r="N2362"/>
  <c r="O2362"/>
  <c r="P2362"/>
  <c r="CJ2362"/>
  <c r="M2362" s="1"/>
  <c r="N2363"/>
  <c r="O2363"/>
  <c r="P2363"/>
  <c r="CJ2363"/>
  <c r="M2363" s="1"/>
  <c r="N2364"/>
  <c r="O2364"/>
  <c r="P2364"/>
  <c r="CJ2364"/>
  <c r="M2364" s="1"/>
  <c r="J2365"/>
  <c r="N2365"/>
  <c r="O2365"/>
  <c r="P2365"/>
  <c r="CJ2365"/>
  <c r="M2365" s="1"/>
  <c r="N2366"/>
  <c r="O2366"/>
  <c r="P2366"/>
  <c r="CJ2366"/>
  <c r="M2366" s="1"/>
  <c r="J2367"/>
  <c r="K2367"/>
  <c r="N2367"/>
  <c r="O2367"/>
  <c r="P2367"/>
  <c r="CJ2367"/>
  <c r="M2367" s="1"/>
  <c r="N2368"/>
  <c r="O2368"/>
  <c r="P2368"/>
  <c r="CJ2368"/>
  <c r="M2368" s="1"/>
  <c r="N2369"/>
  <c r="O2369"/>
  <c r="P2369"/>
  <c r="CJ2369"/>
  <c r="M2369" s="1"/>
  <c r="N2370"/>
  <c r="O2370"/>
  <c r="P2370"/>
  <c r="CJ2370"/>
  <c r="M2370" s="1"/>
  <c r="N2371"/>
  <c r="O2371"/>
  <c r="P2371"/>
  <c r="CJ2371"/>
  <c r="M2371" s="1"/>
  <c r="N2372"/>
  <c r="O2372"/>
  <c r="P2372"/>
  <c r="CJ2372"/>
  <c r="M2372" s="1"/>
  <c r="N2388"/>
  <c r="O2388"/>
  <c r="P2388"/>
  <c r="CJ2388"/>
  <c r="M2388" s="1"/>
  <c r="N2390"/>
  <c r="O2390"/>
  <c r="P2390"/>
  <c r="CJ2390"/>
  <c r="M2390" s="1"/>
  <c r="N2389"/>
  <c r="O2389"/>
  <c r="P2389"/>
  <c r="CJ2389"/>
  <c r="M2389" s="1"/>
  <c r="J2385"/>
  <c r="N2385"/>
  <c r="O2385"/>
  <c r="P2385"/>
  <c r="CJ2385"/>
  <c r="M2385" s="1"/>
  <c r="N2391"/>
  <c r="O2391"/>
  <c r="P2391"/>
  <c r="CJ2391"/>
  <c r="M2391" s="1"/>
  <c r="S2391" s="1"/>
  <c r="N2392"/>
  <c r="O2392"/>
  <c r="P2392"/>
  <c r="CJ2392"/>
  <c r="M2392" s="1"/>
  <c r="S2392" s="1"/>
  <c r="N2393"/>
  <c r="O2393"/>
  <c r="P2393"/>
  <c r="CJ2393"/>
  <c r="M2393" s="1"/>
  <c r="N2397"/>
  <c r="O2397"/>
  <c r="P2397"/>
  <c r="CJ2397"/>
  <c r="M2397" s="1"/>
  <c r="N2394"/>
  <c r="O2394"/>
  <c r="P2394"/>
  <c r="CJ2394"/>
  <c r="M2394" s="1"/>
  <c r="N2395"/>
  <c r="O2395"/>
  <c r="P2395"/>
  <c r="CJ2395"/>
  <c r="M2395" s="1"/>
  <c r="N2396"/>
  <c r="O2396"/>
  <c r="P2396"/>
  <c r="CJ2396"/>
  <c r="M2396" s="1"/>
  <c r="S2396" s="1"/>
  <c r="N2398"/>
  <c r="O2398"/>
  <c r="P2398"/>
  <c r="CJ2398"/>
  <c r="M2398" s="1"/>
  <c r="J2381"/>
  <c r="N2381"/>
  <c r="O2381"/>
  <c r="P2381"/>
  <c r="CJ2381"/>
  <c r="M2381" s="1"/>
  <c r="J2382"/>
  <c r="N2382"/>
  <c r="O2382"/>
  <c r="P2382"/>
  <c r="CJ2382"/>
  <c r="M2382" s="1"/>
  <c r="N2384"/>
  <c r="O2384"/>
  <c r="P2384"/>
  <c r="CJ2384"/>
  <c r="M2384" s="1"/>
  <c r="N2387"/>
  <c r="O2387"/>
  <c r="P2387"/>
  <c r="CJ2387"/>
  <c r="M2387" s="1"/>
  <c r="N2386"/>
  <c r="O2386"/>
  <c r="P2386"/>
  <c r="CJ2386"/>
  <c r="M2386" s="1"/>
  <c r="N2214"/>
  <c r="O2214"/>
  <c r="P2214"/>
  <c r="CJ2214"/>
  <c r="M2214"/>
  <c r="J2373"/>
  <c r="N2373"/>
  <c r="O2373"/>
  <c r="P2373"/>
  <c r="CJ2373"/>
  <c r="M2373" s="1"/>
  <c r="J2374"/>
  <c r="N2374"/>
  <c r="O2374"/>
  <c r="P2374"/>
  <c r="CJ2374"/>
  <c r="M2374" s="1"/>
  <c r="N2375"/>
  <c r="O2375"/>
  <c r="P2375"/>
  <c r="CJ2375"/>
  <c r="M2375" s="1"/>
  <c r="N2376"/>
  <c r="O2376"/>
  <c r="P2376"/>
  <c r="CJ2376"/>
  <c r="M2376" s="1"/>
  <c r="N2377"/>
  <c r="O2377"/>
  <c r="P2377"/>
  <c r="CJ2377"/>
  <c r="M2377" s="1"/>
  <c r="N2378"/>
  <c r="O2378"/>
  <c r="P2378"/>
  <c r="CJ2378"/>
  <c r="M2378" s="1"/>
  <c r="N2379"/>
  <c r="O2379"/>
  <c r="P2379"/>
  <c r="CJ2379"/>
  <c r="M2379" s="1"/>
  <c r="N2380"/>
  <c r="O2380"/>
  <c r="P2380"/>
  <c r="CJ2380"/>
  <c r="M2380" s="1"/>
  <c r="N2383"/>
  <c r="O2383"/>
  <c r="P2383"/>
  <c r="CJ2383"/>
  <c r="M2383" s="1"/>
  <c r="N1840"/>
  <c r="O1840"/>
  <c r="P1840"/>
  <c r="CJ1840"/>
  <c r="M1840" s="1"/>
  <c r="N1726"/>
  <c r="O1726"/>
  <c r="P1726"/>
  <c r="CJ1726"/>
  <c r="M1726" s="1"/>
  <c r="N1727"/>
  <c r="O1727"/>
  <c r="P1727"/>
  <c r="CJ1727"/>
  <c r="M1727" s="1"/>
  <c r="N2199"/>
  <c r="O2199"/>
  <c r="P2199"/>
  <c r="CJ2199"/>
  <c r="M2199" s="1"/>
  <c r="N2278"/>
  <c r="O2278"/>
  <c r="P2278"/>
  <c r="CJ2278"/>
  <c r="M2278" s="1"/>
  <c r="N2201"/>
  <c r="O2201"/>
  <c r="S2201" s="1"/>
  <c r="P2201"/>
  <c r="CJ2201"/>
  <c r="M2201" s="1"/>
  <c r="N1359"/>
  <c r="O1359"/>
  <c r="P1359"/>
  <c r="CJ1359"/>
  <c r="M1359" s="1"/>
  <c r="N2307"/>
  <c r="O2307"/>
  <c r="P2307"/>
  <c r="CJ2307"/>
  <c r="M2307" s="1"/>
  <c r="N1794"/>
  <c r="O1794"/>
  <c r="S1794" s="1"/>
  <c r="P1794"/>
  <c r="CJ1794"/>
  <c r="M1794" s="1"/>
  <c r="N2210"/>
  <c r="O2210"/>
  <c r="P2210"/>
  <c r="CJ2210"/>
  <c r="M2210" s="1"/>
  <c r="N1530"/>
  <c r="O1530"/>
  <c r="S1530" s="1"/>
  <c r="P1530"/>
  <c r="CJ1530"/>
  <c r="M1530" s="1"/>
  <c r="N2212"/>
  <c r="O2212"/>
  <c r="P2212"/>
  <c r="CJ2212"/>
  <c r="M2212" s="1"/>
  <c r="N2277"/>
  <c r="O2277"/>
  <c r="P2277"/>
  <c r="CJ2277"/>
  <c r="M2277" s="1"/>
  <c r="N2275"/>
  <c r="O2275"/>
  <c r="P2275"/>
  <c r="CJ2275"/>
  <c r="M2275" s="1"/>
  <c r="N2276"/>
  <c r="O2276"/>
  <c r="P2276"/>
  <c r="CJ2276"/>
  <c r="M2276" s="1"/>
  <c r="N2224"/>
  <c r="O2224"/>
  <c r="P2224"/>
  <c r="CJ2224"/>
  <c r="M2224" s="1"/>
  <c r="N2225"/>
  <c r="O2225"/>
  <c r="S2225" s="1"/>
  <c r="P2225"/>
  <c r="CJ2225"/>
  <c r="M2225" s="1"/>
  <c r="N2226"/>
  <c r="O2226"/>
  <c r="P2226"/>
  <c r="CJ2226"/>
  <c r="M2226" s="1"/>
  <c r="N2227"/>
  <c r="O2227"/>
  <c r="S2227" s="1"/>
  <c r="P2227"/>
  <c r="CJ2227"/>
  <c r="M2227" s="1"/>
  <c r="N2228"/>
  <c r="O2228"/>
  <c r="P2228"/>
  <c r="CJ2228"/>
  <c r="M2228" s="1"/>
  <c r="N2229"/>
  <c r="O2229"/>
  <c r="P2229"/>
  <c r="CJ2229"/>
  <c r="M2229"/>
  <c r="N2230"/>
  <c r="O2230"/>
  <c r="P2230"/>
  <c r="CJ2230"/>
  <c r="M2230" s="1"/>
  <c r="N2231"/>
  <c r="O2231"/>
  <c r="P2231"/>
  <c r="CJ2231"/>
  <c r="M2231" s="1"/>
  <c r="N2232"/>
  <c r="O2232"/>
  <c r="P2232"/>
  <c r="CJ2232"/>
  <c r="M2232" s="1"/>
  <c r="N2234"/>
  <c r="O2234"/>
  <c r="P2234"/>
  <c r="CJ2234"/>
  <c r="M2234" s="1"/>
  <c r="N2235"/>
  <c r="O2235"/>
  <c r="P2235"/>
  <c r="CJ2235"/>
  <c r="M2235" s="1"/>
  <c r="N2236"/>
  <c r="O2236"/>
  <c r="P2236"/>
  <c r="CJ2236"/>
  <c r="M2236" s="1"/>
  <c r="N2233"/>
  <c r="O2233"/>
  <c r="P2233"/>
  <c r="CJ2233"/>
  <c r="M2233" s="1"/>
  <c r="N2238"/>
  <c r="O2238"/>
  <c r="P2238"/>
  <c r="CJ2238"/>
  <c r="M2238" s="1"/>
  <c r="N2239"/>
  <c r="O2239"/>
  <c r="P2239"/>
  <c r="CJ2239"/>
  <c r="M2239" s="1"/>
  <c r="N2240"/>
  <c r="O2240"/>
  <c r="P2240"/>
  <c r="CJ2240"/>
  <c r="M2240" s="1"/>
  <c r="N2241"/>
  <c r="O2241"/>
  <c r="P2241"/>
  <c r="CJ2241"/>
  <c r="M2241" s="1"/>
  <c r="N2242"/>
  <c r="O2242"/>
  <c r="P2242"/>
  <c r="CJ2242"/>
  <c r="M2242" s="1"/>
  <c r="N2244"/>
  <c r="O2244"/>
  <c r="P2244"/>
  <c r="CJ2244"/>
  <c r="M2244" s="1"/>
  <c r="N2246"/>
  <c r="O2246"/>
  <c r="P2246"/>
  <c r="CJ2246"/>
  <c r="M2246" s="1"/>
  <c r="N2245"/>
  <c r="O2245"/>
  <c r="P2245"/>
  <c r="CJ2245"/>
  <c r="M2245" s="1"/>
  <c r="N2247"/>
  <c r="O2247"/>
  <c r="P2247"/>
  <c r="CJ2247"/>
  <c r="M2247" s="1"/>
  <c r="N2248"/>
  <c r="O2248"/>
  <c r="P2248"/>
  <c r="CJ2248"/>
  <c r="M2248" s="1"/>
  <c r="N2249"/>
  <c r="O2249"/>
  <c r="P2249"/>
  <c r="CJ2249"/>
  <c r="M2249" s="1"/>
  <c r="N2250"/>
  <c r="O2250"/>
  <c r="P2250"/>
  <c r="CJ2250"/>
  <c r="M2250" s="1"/>
  <c r="N2251"/>
  <c r="O2251"/>
  <c r="P2251"/>
  <c r="CJ2251"/>
  <c r="M2251" s="1"/>
  <c r="N2252"/>
  <c r="O2252"/>
  <c r="P2252"/>
  <c r="CJ2252"/>
  <c r="M2252"/>
  <c r="N2253"/>
  <c r="O2253"/>
  <c r="P2253"/>
  <c r="CJ2253"/>
  <c r="M2253" s="1"/>
  <c r="S2253" s="1"/>
  <c r="N2254"/>
  <c r="O2254"/>
  <c r="P2254"/>
  <c r="CJ2254"/>
  <c r="M2254" s="1"/>
  <c r="N2256"/>
  <c r="O2256"/>
  <c r="P2256"/>
  <c r="CJ2256"/>
  <c r="M2256" s="1"/>
  <c r="N2255"/>
  <c r="O2255"/>
  <c r="P2255"/>
  <c r="CJ2255"/>
  <c r="M2255" s="1"/>
  <c r="N2258"/>
  <c r="O2258"/>
  <c r="P2258"/>
  <c r="CJ2258"/>
  <c r="M2258" s="1"/>
  <c r="N2424"/>
  <c r="O2424"/>
  <c r="P2424"/>
  <c r="CJ2424"/>
  <c r="M2424" s="1"/>
  <c r="N2425"/>
  <c r="O2425"/>
  <c r="P2425"/>
  <c r="CJ2425"/>
  <c r="M2425" s="1"/>
  <c r="G2426"/>
  <c r="H2426"/>
  <c r="I2426"/>
  <c r="AB2426"/>
  <c r="AC2426"/>
  <c r="AD2426"/>
  <c r="AE2426"/>
  <c r="AF2426"/>
  <c r="AG2426"/>
  <c r="AH2426"/>
  <c r="AI2426"/>
  <c r="AJ2426"/>
  <c r="AL2426"/>
  <c r="AR2426"/>
  <c r="AS2426"/>
  <c r="AT2426"/>
  <c r="AU2426"/>
  <c r="AV2426"/>
  <c r="AW2426"/>
  <c r="AX2426"/>
  <c r="AY2426"/>
  <c r="BB2426"/>
  <c r="BC2426"/>
  <c r="BD2426"/>
  <c r="BE2426"/>
  <c r="BF2426"/>
  <c r="BG2426"/>
  <c r="BH2426"/>
  <c r="BI2426"/>
  <c r="BJ2426"/>
  <c r="BK2426"/>
  <c r="BL2426"/>
  <c r="BM2426"/>
  <c r="BP2426"/>
  <c r="BR2426"/>
  <c r="BS2426"/>
  <c r="BT2426"/>
  <c r="BU2426"/>
  <c r="BZ2426"/>
  <c r="CA2426"/>
  <c r="CH2426"/>
  <c r="CO2426"/>
  <c r="CJ248"/>
  <c r="M248" s="1"/>
  <c r="CJ33"/>
  <c r="M33" s="1"/>
  <c r="CJ919"/>
  <c r="M919" s="1"/>
  <c r="CJ1590"/>
  <c r="M1590" s="1"/>
  <c r="CJ1157"/>
  <c r="M1157" s="1"/>
  <c r="CJ997"/>
  <c r="M997" s="1"/>
  <c r="S997" s="1"/>
  <c r="CJ964"/>
  <c r="M964" s="1"/>
  <c r="CJ960"/>
  <c r="M960" s="1"/>
  <c r="CJ955"/>
  <c r="M955" s="1"/>
  <c r="CJ945"/>
  <c r="M945" s="1"/>
  <c r="S945" s="1"/>
  <c r="CJ936"/>
  <c r="M936" s="1"/>
  <c r="S936" s="1"/>
  <c r="CJ912"/>
  <c r="M912" s="1"/>
  <c r="S912" s="1"/>
  <c r="CJ875"/>
  <c r="M875" s="1"/>
  <c r="CJ820"/>
  <c r="M820" s="1"/>
  <c r="S820" s="1"/>
  <c r="CJ798"/>
  <c r="M798" s="1"/>
  <c r="CJ1167"/>
  <c r="M1167" s="1"/>
  <c r="CJ1088"/>
  <c r="M1088" s="1"/>
  <c r="S1088" s="1"/>
  <c r="CJ918"/>
  <c r="M918" s="1"/>
  <c r="S918" s="1"/>
  <c r="CJ283"/>
  <c r="M283" s="1"/>
  <c r="CJ216"/>
  <c r="M216" s="1"/>
  <c r="O49"/>
  <c r="CJ968"/>
  <c r="M968" s="1"/>
  <c r="CJ967"/>
  <c r="M967" s="1"/>
  <c r="S967" s="1"/>
  <c r="CJ447"/>
  <c r="M447" s="1"/>
  <c r="S447" s="1"/>
  <c r="CJ232"/>
  <c r="M232" s="1"/>
  <c r="CJ218"/>
  <c r="M218" s="1"/>
  <c r="S218" s="1"/>
  <c r="CJ1903"/>
  <c r="M1903" s="1"/>
  <c r="S1903" s="1"/>
  <c r="CJ1594"/>
  <c r="M1594" s="1"/>
  <c r="CJ1198"/>
  <c r="M1198" s="1"/>
  <c r="CJ1164"/>
  <c r="M1164" s="1"/>
  <c r="S1164" s="1"/>
  <c r="CJ1025"/>
  <c r="M1025" s="1"/>
  <c r="CJ1019"/>
  <c r="M1019" s="1"/>
  <c r="CJ995"/>
  <c r="M995" s="1"/>
  <c r="S995" s="1"/>
  <c r="CJ994"/>
  <c r="M994" s="1"/>
  <c r="S994" s="1"/>
  <c r="CJ943"/>
  <c r="M943" s="1"/>
  <c r="CJ940"/>
  <c r="M940" s="1"/>
  <c r="S940" s="1"/>
  <c r="CJ930"/>
  <c r="M930" s="1"/>
  <c r="S930" s="1"/>
  <c r="CJ773"/>
  <c r="M773" s="1"/>
  <c r="S773" s="1"/>
  <c r="CJ250"/>
  <c r="M250" s="1"/>
  <c r="BX2426"/>
  <c r="CJ363"/>
  <c r="M363" s="1"/>
  <c r="S363" s="1"/>
  <c r="CJ361"/>
  <c r="M361" s="1"/>
  <c r="S361" s="1"/>
  <c r="BQ2426"/>
  <c r="CJ996"/>
  <c r="M996" s="1"/>
  <c r="CJ882"/>
  <c r="M882" s="1"/>
  <c r="S882" s="1"/>
  <c r="CJ563"/>
  <c r="M563" s="1"/>
  <c r="CJ360"/>
  <c r="M360" s="1"/>
  <c r="S360" s="1"/>
  <c r="CJ1789"/>
  <c r="M1789" s="1"/>
  <c r="CJ1506"/>
  <c r="M1506" s="1"/>
  <c r="CJ1307"/>
  <c r="M1307" s="1"/>
  <c r="CJ1223"/>
  <c r="M1223" s="1"/>
  <c r="CJ917"/>
  <c r="M917" s="1"/>
  <c r="CJ300"/>
  <c r="M300" s="1"/>
  <c r="O48"/>
  <c r="S48" s="1"/>
  <c r="CJ986"/>
  <c r="M986" s="1"/>
  <c r="AZ2426"/>
  <c r="CJ630"/>
  <c r="M630" s="1"/>
  <c r="S630" s="1"/>
  <c r="O10"/>
  <c r="S1147"/>
  <c r="S749"/>
  <c r="S94"/>
  <c r="S184"/>
  <c r="S146"/>
  <c r="S2204"/>
  <c r="S479"/>
  <c r="S164"/>
  <c r="S134"/>
  <c r="S110"/>
  <c r="S950"/>
  <c r="S901"/>
  <c r="S622"/>
  <c r="S165"/>
  <c r="S1354"/>
  <c r="S1326"/>
  <c r="S993"/>
  <c r="S864"/>
  <c r="S704"/>
  <c r="S198"/>
  <c r="S172"/>
  <c r="S42"/>
  <c r="S688"/>
  <c r="P1344"/>
  <c r="S761"/>
  <c r="S674"/>
  <c r="S541"/>
  <c r="S1174"/>
  <c r="S1630"/>
  <c r="S20"/>
  <c r="S2171"/>
  <c r="S441"/>
  <c r="S2097"/>
  <c r="S620"/>
  <c r="S2041"/>
  <c r="S1770"/>
  <c r="S1239"/>
  <c r="S732"/>
  <c r="S347"/>
  <c r="S206"/>
  <c r="S1039"/>
  <c r="S633"/>
  <c r="S51"/>
  <c r="S632"/>
  <c r="S628"/>
  <c r="S623"/>
  <c r="S593"/>
  <c r="S592"/>
  <c r="S568"/>
  <c r="S1218"/>
  <c r="S1194"/>
  <c r="S1161"/>
  <c r="S1150"/>
  <c r="S1148"/>
  <c r="S1102"/>
  <c r="S1045"/>
  <c r="S1018"/>
  <c r="S999"/>
  <c r="S927"/>
  <c r="S926"/>
  <c r="S872"/>
  <c r="S769"/>
  <c r="S738"/>
  <c r="S734"/>
  <c r="S730"/>
  <c r="S729"/>
  <c r="S719"/>
  <c r="S711"/>
  <c r="S658"/>
  <c r="S516"/>
  <c r="S512"/>
  <c r="S498"/>
  <c r="S497"/>
  <c r="S475"/>
  <c r="S474"/>
  <c r="S471"/>
  <c r="S454"/>
  <c r="S450"/>
  <c r="S449"/>
  <c r="S445"/>
  <c r="S442"/>
  <c r="S439"/>
  <c r="S408"/>
  <c r="S404"/>
  <c r="S385"/>
  <c r="S376"/>
  <c r="S367"/>
  <c r="S365"/>
  <c r="S359"/>
  <c r="S356"/>
  <c r="S334"/>
  <c r="S296"/>
  <c r="S280"/>
  <c r="S278"/>
  <c r="S259"/>
  <c r="S239"/>
  <c r="S236"/>
  <c r="S231"/>
  <c r="S214"/>
  <c r="S213"/>
  <c r="S208"/>
  <c r="S202"/>
  <c r="S201"/>
  <c r="S193"/>
  <c r="S190"/>
  <c r="S189"/>
  <c r="S183"/>
  <c r="S182"/>
  <c r="S180"/>
  <c r="S177"/>
  <c r="S162"/>
  <c r="S161"/>
  <c r="S160"/>
  <c r="S158"/>
  <c r="S157"/>
  <c r="S156"/>
  <c r="S152"/>
  <c r="S151"/>
  <c r="S154"/>
  <c r="S149"/>
  <c r="S148"/>
  <c r="S147"/>
  <c r="S141"/>
  <c r="S140"/>
  <c r="S139"/>
  <c r="S137"/>
  <c r="S136"/>
  <c r="S133"/>
  <c r="S131"/>
  <c r="S130"/>
  <c r="S129"/>
  <c r="S127"/>
  <c r="S126"/>
  <c r="S120"/>
  <c r="S105"/>
  <c r="S99"/>
  <c r="S98"/>
  <c r="S88"/>
  <c r="S82"/>
  <c r="S66"/>
  <c r="S55"/>
  <c r="S54"/>
  <c r="S44"/>
  <c r="S43"/>
  <c r="S32"/>
  <c r="S2083"/>
  <c r="S1834"/>
  <c r="S1785"/>
  <c r="S1705"/>
  <c r="S1624"/>
  <c r="S1557"/>
  <c r="S1429"/>
  <c r="S1428"/>
  <c r="S1331"/>
  <c r="S1316"/>
  <c r="S2100"/>
  <c r="S1889"/>
  <c r="S1782"/>
  <c r="S1716"/>
  <c r="S1697"/>
  <c r="S1674"/>
  <c r="S1563"/>
  <c r="S1448"/>
  <c r="S1299"/>
  <c r="S1298"/>
  <c r="S1172"/>
  <c r="S1168"/>
  <c r="S1136"/>
  <c r="S1033"/>
  <c r="S1027"/>
  <c r="S1021"/>
  <c r="S866"/>
  <c r="S791"/>
  <c r="S725"/>
  <c r="S682"/>
  <c r="S654"/>
  <c r="S651"/>
  <c r="S648"/>
  <c r="S597"/>
  <c r="S470"/>
  <c r="S465"/>
  <c r="S464"/>
  <c r="S462"/>
  <c r="S455"/>
  <c r="S452"/>
  <c r="S443"/>
  <c r="S383"/>
  <c r="S379"/>
  <c r="S378"/>
  <c r="S346"/>
  <c r="S274"/>
  <c r="S221"/>
  <c r="S181"/>
  <c r="S175"/>
  <c r="S171"/>
  <c r="S169"/>
  <c r="S168"/>
  <c r="S167"/>
  <c r="S100"/>
  <c r="S49"/>
  <c r="S41"/>
  <c r="S36"/>
  <c r="S2296"/>
  <c r="S2186"/>
  <c r="S2211"/>
  <c r="S2197"/>
  <c r="S2207"/>
  <c r="S1309"/>
  <c r="S1209"/>
  <c r="S1208"/>
  <c r="S1187"/>
  <c r="S1022"/>
  <c r="S862"/>
  <c r="S720"/>
  <c r="S649"/>
  <c r="S619"/>
  <c r="S600"/>
  <c r="S598"/>
  <c r="S596"/>
  <c r="S595"/>
  <c r="S459"/>
  <c r="S226"/>
  <c r="S210"/>
  <c r="S185"/>
  <c r="S1709"/>
  <c r="S1251"/>
  <c r="S938"/>
  <c r="S818"/>
  <c r="S665"/>
  <c r="S525"/>
  <c r="S483"/>
  <c r="S377"/>
  <c r="S362"/>
  <c r="S313"/>
  <c r="S344"/>
  <c r="S273"/>
  <c r="S222"/>
  <c r="S220"/>
  <c r="S197"/>
  <c r="S194"/>
  <c r="S178"/>
  <c r="S102"/>
  <c r="S95"/>
  <c r="S91"/>
  <c r="S39"/>
  <c r="S740"/>
  <c r="S337"/>
  <c r="S1231"/>
  <c r="S318"/>
  <c r="S934"/>
  <c r="S2416"/>
  <c r="S2420"/>
  <c r="S2418"/>
  <c r="S2422"/>
  <c r="S502"/>
  <c r="S556"/>
  <c r="S572"/>
  <c r="S583"/>
  <c r="S584"/>
  <c r="S608"/>
  <c r="S775"/>
  <c r="S836"/>
  <c r="S1262"/>
  <c r="S1373"/>
  <c r="S1384"/>
  <c r="S1385"/>
  <c r="S1386"/>
  <c r="S1387"/>
  <c r="S1607"/>
  <c r="S1690"/>
  <c r="S1718"/>
  <c r="S1719"/>
  <c r="S1733"/>
  <c r="S1734"/>
  <c r="S1774"/>
  <c r="S1775"/>
  <c r="S1776"/>
  <c r="S1777"/>
  <c r="S2206"/>
  <c r="S2415"/>
  <c r="S2417"/>
  <c r="S2419"/>
  <c r="S2421"/>
  <c r="S480"/>
  <c r="S2068"/>
  <c r="S2280"/>
  <c r="S349"/>
  <c r="S812"/>
  <c r="S416"/>
  <c r="S380"/>
  <c r="S1205"/>
  <c r="S1078"/>
  <c r="S653"/>
  <c r="S645"/>
  <c r="S641"/>
  <c r="S601"/>
  <c r="S574"/>
  <c r="S45"/>
  <c r="S484"/>
  <c r="S1873"/>
  <c r="S1037"/>
  <c r="S1552"/>
  <c r="S1875"/>
  <c r="S1274"/>
  <c r="S438"/>
  <c r="S1141"/>
  <c r="S2013"/>
  <c r="S1038"/>
  <c r="S1034"/>
  <c r="S865"/>
  <c r="S626"/>
  <c r="S2030"/>
  <c r="S631"/>
  <c r="S488"/>
  <c r="S124"/>
  <c r="S1940"/>
  <c r="S1332"/>
  <c r="S1217"/>
  <c r="S1213"/>
  <c r="S473"/>
  <c r="S209"/>
  <c r="S1599"/>
  <c r="S1341"/>
  <c r="S1154"/>
  <c r="S477"/>
  <c r="S1032"/>
  <c r="S538"/>
  <c r="S2131"/>
  <c r="S458"/>
  <c r="S417"/>
  <c r="S1346"/>
  <c r="S1337"/>
  <c r="S1210"/>
  <c r="S547"/>
  <c r="S490"/>
  <c r="S1446"/>
  <c r="S387"/>
  <c r="S646"/>
  <c r="S494"/>
  <c r="S2355"/>
  <c r="S1294"/>
  <c r="S594"/>
  <c r="S1153"/>
  <c r="S1137"/>
  <c r="S1059"/>
  <c r="S941"/>
  <c r="S163"/>
  <c r="S109"/>
  <c r="S56"/>
  <c r="S27"/>
  <c r="S925"/>
  <c r="S566"/>
  <c r="S718"/>
  <c r="S652"/>
  <c r="S580"/>
  <c r="S575"/>
  <c r="S472"/>
  <c r="S444"/>
  <c r="S384"/>
  <c r="S1679"/>
  <c r="S1526"/>
  <c r="S1498"/>
  <c r="S1473"/>
  <c r="S657"/>
  <c r="S536"/>
  <c r="S500"/>
  <c r="S487"/>
  <c r="S92"/>
  <c r="S2290"/>
  <c r="S1961"/>
  <c r="S1813"/>
  <c r="S1783"/>
  <c r="S795"/>
  <c r="S640"/>
  <c r="S539"/>
  <c r="S535"/>
  <c r="S2226"/>
  <c r="S1159"/>
  <c r="S733"/>
  <c r="S514"/>
  <c r="S461"/>
  <c r="S440"/>
  <c r="S381"/>
  <c r="S174"/>
  <c r="S644"/>
  <c r="S548"/>
  <c r="S204"/>
  <c r="S166"/>
  <c r="S2343"/>
  <c r="S1936"/>
  <c r="S1786"/>
  <c r="S1768"/>
  <c r="S1712"/>
  <c r="S880"/>
  <c r="S643"/>
  <c r="S627"/>
  <c r="S468"/>
  <c r="S358"/>
  <c r="S53"/>
  <c r="S46"/>
  <c r="S2235"/>
  <c r="S2137"/>
  <c r="S2106"/>
  <c r="S1896"/>
  <c r="S1841"/>
  <c r="S1702"/>
  <c r="S1643"/>
  <c r="S1639"/>
  <c r="S1629"/>
  <c r="S1616"/>
  <c r="S2162"/>
  <c r="S1891"/>
  <c r="S1703"/>
  <c r="S1687"/>
  <c r="S1685"/>
  <c r="S1677"/>
  <c r="S1671"/>
  <c r="S1601"/>
  <c r="S1568"/>
  <c r="S467"/>
  <c r="S2252"/>
  <c r="S625"/>
  <c r="S326"/>
  <c r="S405"/>
  <c r="S90"/>
  <c r="S948"/>
  <c r="S790"/>
  <c r="S565"/>
  <c r="S485"/>
  <c r="S1825"/>
  <c r="S1296"/>
  <c r="S2067"/>
  <c r="S1953"/>
  <c r="S1682"/>
  <c r="S1533"/>
  <c r="S737"/>
  <c r="S727"/>
  <c r="S723"/>
  <c r="S621"/>
  <c r="S611"/>
  <c r="S257"/>
  <c r="S195"/>
  <c r="S191"/>
  <c r="S58"/>
  <c r="S2279"/>
  <c r="S2113"/>
  <c r="S2098"/>
  <c r="S1905"/>
  <c r="S1877"/>
  <c r="S1602"/>
  <c r="S1001"/>
  <c r="S676"/>
  <c r="S650"/>
  <c r="S618"/>
  <c r="S599"/>
  <c r="S492"/>
  <c r="S476"/>
  <c r="S453"/>
  <c r="S413"/>
  <c r="S228"/>
  <c r="S196"/>
  <c r="S192"/>
  <c r="S186"/>
  <c r="S170"/>
  <c r="S101"/>
  <c r="S2160"/>
  <c r="S1220"/>
  <c r="S2386"/>
  <c r="S2367"/>
  <c r="S2017"/>
  <c r="S1962"/>
  <c r="S1670"/>
  <c r="S1606"/>
  <c r="S1226"/>
  <c r="S834"/>
  <c r="S750"/>
  <c r="S724"/>
  <c r="S722"/>
  <c r="S629"/>
  <c r="S448"/>
  <c r="S355"/>
  <c r="S233"/>
  <c r="S215"/>
  <c r="S211"/>
  <c r="S142"/>
  <c r="S2364"/>
  <c r="S2281"/>
  <c r="S2369"/>
  <c r="S2365"/>
  <c r="S2140"/>
  <c r="S964" l="1"/>
  <c r="S2398"/>
  <c r="S1927"/>
  <c r="S1743"/>
  <c r="S1742"/>
  <c r="CJ1740"/>
  <c r="M1740" s="1"/>
  <c r="S1740" s="1"/>
  <c r="S1232"/>
  <c r="S1101"/>
  <c r="S1087"/>
  <c r="S1079"/>
  <c r="S1073"/>
  <c r="S1072"/>
  <c r="CJ1070"/>
  <c r="M1070" s="1"/>
  <c r="S1070" s="1"/>
  <c r="S1069"/>
  <c r="S287"/>
  <c r="S986"/>
  <c r="S1307"/>
  <c r="S960"/>
  <c r="S2362"/>
  <c r="S2361"/>
  <c r="S2265"/>
  <c r="S2114"/>
  <c r="S1430"/>
  <c r="S1426"/>
  <c r="S1353"/>
  <c r="S1343"/>
  <c r="S1329"/>
  <c r="S1325"/>
  <c r="S1324"/>
  <c r="S1323"/>
  <c r="S1225"/>
  <c r="CJ1222"/>
  <c r="M1222" s="1"/>
  <c r="S1222" s="1"/>
  <c r="S1206"/>
  <c r="S1181"/>
  <c r="S1180"/>
  <c r="S1178"/>
  <c r="S1177"/>
  <c r="S1173"/>
  <c r="S1171"/>
  <c r="S935"/>
  <c r="CJ931"/>
  <c r="M931" s="1"/>
  <c r="S931" s="1"/>
  <c r="S913"/>
  <c r="S863"/>
  <c r="S860"/>
  <c r="S540"/>
  <c r="S463"/>
  <c r="S460"/>
  <c r="S343"/>
  <c r="S128"/>
  <c r="S125"/>
  <c r="S123"/>
  <c r="S122"/>
  <c r="S121"/>
  <c r="S119"/>
  <c r="S118"/>
  <c r="S117"/>
  <c r="S116"/>
  <c r="S115"/>
  <c r="S114"/>
  <c r="S113"/>
  <c r="S111"/>
  <c r="S108"/>
  <c r="S107"/>
  <c r="S106"/>
  <c r="S97"/>
  <c r="S96"/>
  <c r="S1185"/>
  <c r="S741"/>
  <c r="S1741"/>
  <c r="S1738"/>
  <c r="S1663"/>
  <c r="S1548"/>
  <c r="S1237"/>
  <c r="S1235"/>
  <c r="S1233"/>
  <c r="S1107"/>
  <c r="S1075"/>
  <c r="CJ1071"/>
  <c r="M1071" s="1"/>
  <c r="S1071" s="1"/>
  <c r="S1068"/>
  <c r="S677"/>
  <c r="CJ294"/>
  <c r="M294" s="1"/>
  <c r="S294" s="1"/>
  <c r="S2205"/>
  <c r="S1789"/>
  <c r="S968"/>
  <c r="S1167"/>
  <c r="S875"/>
  <c r="S955"/>
  <c r="S2090"/>
  <c r="S2085"/>
  <c r="S2084"/>
  <c r="S2079"/>
  <c r="S1998"/>
  <c r="S1997"/>
  <c r="CJ1814"/>
  <c r="M1814" s="1"/>
  <c r="S1812"/>
  <c r="S1811"/>
  <c r="S1809"/>
  <c r="S1758"/>
  <c r="S1600"/>
  <c r="S1598"/>
  <c r="S991"/>
  <c r="S984"/>
  <c r="S978"/>
  <c r="CJ965"/>
  <c r="M965" s="1"/>
  <c r="S965" s="1"/>
  <c r="S908"/>
  <c r="S906"/>
  <c r="S905"/>
  <c r="S903"/>
  <c r="S902"/>
  <c r="S826"/>
  <c r="S824"/>
  <c r="S821"/>
  <c r="S816"/>
  <c r="S793"/>
  <c r="S768"/>
  <c r="S765"/>
  <c r="S751"/>
  <c r="S748"/>
  <c r="S746"/>
  <c r="S745"/>
  <c r="S743"/>
  <c r="CJ335"/>
  <c r="M335" s="1"/>
  <c r="S335" s="1"/>
  <c r="S739"/>
  <c r="S717"/>
  <c r="S716"/>
  <c r="S691"/>
  <c r="S690"/>
  <c r="S673"/>
  <c r="AK2426"/>
  <c r="S671"/>
  <c r="S235"/>
  <c r="S234"/>
  <c r="S230"/>
  <c r="S227"/>
  <c r="S2264"/>
  <c r="S917"/>
  <c r="S943"/>
  <c r="S1025"/>
  <c r="S1157"/>
  <c r="S2234"/>
  <c r="S2230"/>
  <c r="S2228"/>
  <c r="S2390"/>
  <c r="S2360"/>
  <c r="S2359"/>
  <c r="S2358"/>
  <c r="S2350"/>
  <c r="S2348"/>
  <c r="CJ2338"/>
  <c r="M2338" s="1"/>
  <c r="S2324"/>
  <c r="S2323"/>
  <c r="S2310"/>
  <c r="S2308"/>
  <c r="S2306"/>
  <c r="S2303"/>
  <c r="S2152"/>
  <c r="S2147"/>
  <c r="S2142"/>
  <c r="S2139"/>
  <c r="S2138"/>
  <c r="S2136"/>
  <c r="S2134"/>
  <c r="S2076"/>
  <c r="S2070"/>
  <c r="S2066"/>
  <c r="S2065"/>
  <c r="S2043"/>
  <c r="S2014"/>
  <c r="S2011"/>
  <c r="S1909"/>
  <c r="S1904"/>
  <c r="S1649"/>
  <c r="S1642"/>
  <c r="S1641"/>
  <c r="S1570"/>
  <c r="S1569"/>
  <c r="CJ1496"/>
  <c r="M1496" s="1"/>
  <c r="S1406"/>
  <c r="S1389"/>
  <c r="CJ1383"/>
  <c r="M1383" s="1"/>
  <c r="S1383" s="1"/>
  <c r="S1382"/>
  <c r="S1379"/>
  <c r="S1284"/>
  <c r="S1283"/>
  <c r="S1282"/>
  <c r="S1281"/>
  <c r="S1201"/>
  <c r="S1146"/>
  <c r="S1145"/>
  <c r="S1144"/>
  <c r="CJ1143"/>
  <c r="M1143" s="1"/>
  <c r="S1143" s="1"/>
  <c r="S1046"/>
  <c r="S1029"/>
  <c r="S1028"/>
  <c r="S1023"/>
  <c r="S1016"/>
  <c r="S1015"/>
  <c r="S1014"/>
  <c r="CJ1011"/>
  <c r="M1011" s="1"/>
  <c r="S1011" s="1"/>
  <c r="S1003"/>
  <c r="S1002"/>
  <c r="S1000"/>
  <c r="S951"/>
  <c r="S656"/>
  <c r="S655"/>
  <c r="S639"/>
  <c r="S638"/>
  <c r="S637"/>
  <c r="S636"/>
  <c r="S635"/>
  <c r="S634"/>
  <c r="S617"/>
  <c r="S616"/>
  <c r="S613"/>
  <c r="S612"/>
  <c r="S605"/>
  <c r="CJ587"/>
  <c r="M587" s="1"/>
  <c r="S587" s="1"/>
  <c r="CJ567"/>
  <c r="M567" s="1"/>
  <c r="S331"/>
  <c r="S414"/>
  <c r="S412"/>
  <c r="S410"/>
  <c r="S207"/>
  <c r="S179"/>
  <c r="S52"/>
  <c r="S15"/>
  <c r="S13"/>
  <c r="S2256"/>
  <c r="S2251"/>
  <c r="S2246"/>
  <c r="S2375"/>
  <c r="S2374"/>
  <c r="S2373"/>
  <c r="S2214"/>
  <c r="S2381"/>
  <c r="S2344"/>
  <c r="S2342"/>
  <c r="S2302"/>
  <c r="S2291"/>
  <c r="S2237"/>
  <c r="S2223"/>
  <c r="S2216"/>
  <c r="S2196"/>
  <c r="S2193"/>
  <c r="S2192"/>
  <c r="S2184"/>
  <c r="S2182"/>
  <c r="S2181"/>
  <c r="S2148"/>
  <c r="S2121"/>
  <c r="S2119"/>
  <c r="CJ2117"/>
  <c r="M2117" s="1"/>
  <c r="S2117" s="1"/>
  <c r="S2115"/>
  <c r="S2112"/>
  <c r="S2110"/>
  <c r="S2109"/>
  <c r="S2094"/>
  <c r="S2082"/>
  <c r="S2080"/>
  <c r="S2078"/>
  <c r="S2077"/>
  <c r="S2075"/>
  <c r="S2069"/>
  <c r="S2049"/>
  <c r="S2047"/>
  <c r="S2037"/>
  <c r="S2035"/>
  <c r="S2033"/>
  <c r="S1952"/>
  <c r="S1950"/>
  <c r="S1948"/>
  <c r="S1947"/>
  <c r="S1942"/>
  <c r="S1941"/>
  <c r="S1937"/>
  <c r="S1935"/>
  <c r="S1933"/>
  <c r="S1932"/>
  <c r="S1931"/>
  <c r="S1929"/>
  <c r="S1926"/>
  <c r="S1925"/>
  <c r="S1924"/>
  <c r="S1923"/>
  <c r="S1922"/>
  <c r="S1921"/>
  <c r="S1920"/>
  <c r="S1917"/>
  <c r="S1916"/>
  <c r="S1902"/>
  <c r="S1901"/>
  <c r="S1895"/>
  <c r="S1892"/>
  <c r="S1888"/>
  <c r="S1836"/>
  <c r="S1835"/>
  <c r="S1831"/>
  <c r="S1801"/>
  <c r="S1800"/>
  <c r="S1781"/>
  <c r="S1780"/>
  <c r="S1773"/>
  <c r="S1769"/>
  <c r="S1767"/>
  <c r="S1765"/>
  <c r="S1737"/>
  <c r="S1713"/>
  <c r="S1711"/>
  <c r="S1710"/>
  <c r="S1701"/>
  <c r="S1698"/>
  <c r="CJ1648"/>
  <c r="M1648" s="1"/>
  <c r="S1648" s="1"/>
  <c r="S1632"/>
  <c r="S1631"/>
  <c r="S1586"/>
  <c r="S1564"/>
  <c r="S1561"/>
  <c r="S1556"/>
  <c r="S1555"/>
  <c r="S1554"/>
  <c r="S1550"/>
  <c r="S1549"/>
  <c r="S1547"/>
  <c r="S1545"/>
  <c r="S1542"/>
  <c r="S1541"/>
  <c r="S1519"/>
  <c r="CJ1493"/>
  <c r="M1493" s="1"/>
  <c r="S1462"/>
  <c r="S1461"/>
  <c r="S1460"/>
  <c r="S1458"/>
  <c r="CJ1438"/>
  <c r="M1438" s="1"/>
  <c r="S1438" s="1"/>
  <c r="S1408"/>
  <c r="S1352"/>
  <c r="S1351"/>
  <c r="S1350"/>
  <c r="S1312"/>
  <c r="S1221"/>
  <c r="S1219"/>
  <c r="S1204"/>
  <c r="S1203"/>
  <c r="S1202"/>
  <c r="S1192"/>
  <c r="CJ1176"/>
  <c r="M1176" s="1"/>
  <c r="S1176" s="1"/>
  <c r="S1151"/>
  <c r="S1139"/>
  <c r="S1138"/>
  <c r="S1131"/>
  <c r="S1127"/>
  <c r="S1010"/>
  <c r="S1009"/>
  <c r="S1008"/>
  <c r="S1007"/>
  <c r="CJ958"/>
  <c r="M958" s="1"/>
  <c r="S958" s="1"/>
  <c r="CJ957"/>
  <c r="M957" s="1"/>
  <c r="S957" s="1"/>
  <c r="CJ956"/>
  <c r="M956" s="1"/>
  <c r="S956" s="1"/>
  <c r="S942"/>
  <c r="S939"/>
  <c r="S857"/>
  <c r="CJ801"/>
  <c r="M801" s="1"/>
  <c r="S792"/>
  <c r="S788"/>
  <c r="CJ785"/>
  <c r="M785" s="1"/>
  <c r="S785" s="1"/>
  <c r="CJ776"/>
  <c r="M776" s="1"/>
  <c r="S776" s="1"/>
  <c r="S712"/>
  <c r="CJ710"/>
  <c r="M710" s="1"/>
  <c r="S710" s="1"/>
  <c r="S642"/>
  <c r="S590"/>
  <c r="S582"/>
  <c r="CJ581"/>
  <c r="M581" s="1"/>
  <c r="CJ579"/>
  <c r="M579" s="1"/>
  <c r="S579" s="1"/>
  <c r="S578"/>
  <c r="S561"/>
  <c r="CJ558"/>
  <c r="M558" s="1"/>
  <c r="S451"/>
  <c r="S332"/>
  <c r="S382"/>
  <c r="CJ330"/>
  <c r="M330" s="1"/>
  <c r="S330" s="1"/>
  <c r="S316"/>
  <c r="S309"/>
  <c r="S305"/>
  <c r="S291"/>
  <c r="S290"/>
  <c r="O283"/>
  <c r="S283" s="1"/>
  <c r="S281"/>
  <c r="S271"/>
  <c r="CJ255"/>
  <c r="M255" s="1"/>
  <c r="S255" s="1"/>
  <c r="CJ249"/>
  <c r="M249" s="1"/>
  <c r="S249" s="1"/>
  <c r="CJ223"/>
  <c r="M223" s="1"/>
  <c r="S223" s="1"/>
  <c r="S219"/>
  <c r="S176"/>
  <c r="S173"/>
  <c r="S143"/>
  <c r="S135"/>
  <c r="CJ64"/>
  <c r="CJ47"/>
  <c r="M47" s="1"/>
  <c r="S3"/>
  <c r="S1778"/>
  <c r="S1779"/>
  <c r="S1866"/>
  <c r="S1867"/>
  <c r="S1868"/>
  <c r="S1883"/>
  <c r="S1910"/>
  <c r="S1928"/>
  <c r="S1949"/>
  <c r="S1990"/>
  <c r="S2032"/>
  <c r="S2048"/>
  <c r="S2056"/>
  <c r="S2057"/>
  <c r="S2399"/>
  <c r="S2400"/>
  <c r="S2244"/>
  <c r="S2233"/>
  <c r="S2210"/>
  <c r="S2199"/>
  <c r="S2377"/>
  <c r="S2393"/>
  <c r="S2385"/>
  <c r="S2389"/>
  <c r="S2372"/>
  <c r="S2331"/>
  <c r="S2330"/>
  <c r="S2329"/>
  <c r="S2327"/>
  <c r="S2179"/>
  <c r="S2176"/>
  <c r="S2158"/>
  <c r="S2156"/>
  <c r="S2155"/>
  <c r="S2154"/>
  <c r="S2153"/>
  <c r="S2151"/>
  <c r="S2149"/>
  <c r="S2103"/>
  <c r="S2029"/>
  <c r="S2006"/>
  <c r="S2005"/>
  <c r="S2004"/>
  <c r="S2003"/>
  <c r="S2001"/>
  <c r="S2000"/>
  <c r="S1999"/>
  <c r="S1967"/>
  <c r="S1966"/>
  <c r="S1965"/>
  <c r="S1964"/>
  <c r="S1945"/>
  <c r="S1944"/>
  <c r="S1943"/>
  <c r="S1914"/>
  <c r="S1913"/>
  <c r="S1762"/>
  <c r="S1759"/>
  <c r="S1750"/>
  <c r="S1735"/>
  <c r="S1730"/>
  <c r="S1729"/>
  <c r="S1708"/>
  <c r="S1688"/>
  <c r="S1686"/>
  <c r="S1684"/>
  <c r="S1683"/>
  <c r="S1582"/>
  <c r="S1581"/>
  <c r="S1579"/>
  <c r="S1578"/>
  <c r="S1540"/>
  <c r="S1538"/>
  <c r="S1537"/>
  <c r="S1512"/>
  <c r="CJ1508"/>
  <c r="M1508" s="1"/>
  <c r="S1507"/>
  <c r="S1505"/>
  <c r="CJ1504"/>
  <c r="M1504" s="1"/>
  <c r="S1504" s="1"/>
  <c r="S1502"/>
  <c r="S1501"/>
  <c r="S1500"/>
  <c r="S1499"/>
  <c r="S1492"/>
  <c r="S1491"/>
  <c r="S1490"/>
  <c r="S1489"/>
  <c r="S1487"/>
  <c r="S1486"/>
  <c r="S1485"/>
  <c r="S1483"/>
  <c r="S1474"/>
  <c r="S1457"/>
  <c r="S1455"/>
  <c r="S1403"/>
  <c r="S1402"/>
  <c r="S1401"/>
  <c r="S1400"/>
  <c r="S1399"/>
  <c r="S1398"/>
  <c r="S1304"/>
  <c r="CJ1301"/>
  <c r="M1301" s="1"/>
  <c r="S1301" s="1"/>
  <c r="CJ1293"/>
  <c r="M1293" s="1"/>
  <c r="S1270"/>
  <c r="S1215"/>
  <c r="S1211"/>
  <c r="CJ1126"/>
  <c r="M1126" s="1"/>
  <c r="S1126" s="1"/>
  <c r="S1121"/>
  <c r="S1120"/>
  <c r="S1118"/>
  <c r="CJ1115"/>
  <c r="M1115" s="1"/>
  <c r="S1096"/>
  <c r="S1095"/>
  <c r="S1094"/>
  <c r="S1091"/>
  <c r="S1004"/>
  <c r="S990"/>
  <c r="CJ989"/>
  <c r="M989" s="1"/>
  <c r="S989" s="1"/>
  <c r="S983"/>
  <c r="CJ954"/>
  <c r="M954" s="1"/>
  <c r="S954" s="1"/>
  <c r="CJ953"/>
  <c r="M953" s="1"/>
  <c r="S937"/>
  <c r="S914"/>
  <c r="S909"/>
  <c r="CJ852"/>
  <c r="M852" s="1"/>
  <c r="S841"/>
  <c r="S839"/>
  <c r="S837"/>
  <c r="S835"/>
  <c r="S833"/>
  <c r="S772"/>
  <c r="S764"/>
  <c r="S763"/>
  <c r="CJ760"/>
  <c r="M760" s="1"/>
  <c r="S760" s="1"/>
  <c r="CJ759"/>
  <c r="M759" s="1"/>
  <c r="S759" s="1"/>
  <c r="S758"/>
  <c r="S2257"/>
  <c r="S753"/>
  <c r="S752"/>
  <c r="S728"/>
  <c r="S726"/>
  <c r="S696"/>
  <c r="S698"/>
  <c r="S680"/>
  <c r="S679"/>
  <c r="S662"/>
  <c r="S603"/>
  <c r="S602"/>
  <c r="S571"/>
  <c r="S570"/>
  <c r="S569"/>
  <c r="S557"/>
  <c r="S555"/>
  <c r="S554"/>
  <c r="S553"/>
  <c r="S551"/>
  <c r="S550"/>
  <c r="CJ532"/>
  <c r="M532" s="1"/>
  <c r="S532" s="1"/>
  <c r="S530"/>
  <c r="S529"/>
  <c r="S528"/>
  <c r="S526"/>
  <c r="S524"/>
  <c r="S523"/>
  <c r="S518"/>
  <c r="S509"/>
  <c r="S508"/>
  <c r="S482"/>
  <c r="CJ386"/>
  <c r="M386" s="1"/>
  <c r="S386" s="1"/>
  <c r="S339"/>
  <c r="CJ311"/>
  <c r="M311" s="1"/>
  <c r="S311" s="1"/>
  <c r="CJ308"/>
  <c r="M308" s="1"/>
  <c r="S304"/>
  <c r="S303"/>
  <c r="CQ2426"/>
  <c r="CJ301"/>
  <c r="M301" s="1"/>
  <c r="S301" s="1"/>
  <c r="S262"/>
  <c r="S261"/>
  <c r="S258"/>
  <c r="S256"/>
  <c r="S93"/>
  <c r="S2259"/>
  <c r="S2260"/>
  <c r="S2261"/>
  <c r="S2262"/>
  <c r="S2263"/>
  <c r="S2266"/>
  <c r="S2267"/>
  <c r="S2270"/>
  <c r="S2273"/>
  <c r="S2213"/>
  <c r="S2221"/>
  <c r="S544"/>
  <c r="S1732"/>
  <c r="S1503"/>
  <c r="S1760"/>
  <c r="S400"/>
  <c r="S425"/>
  <c r="S2413"/>
  <c r="S2414"/>
  <c r="S2357"/>
  <c r="S2356"/>
  <c r="S2351"/>
  <c r="S2340"/>
  <c r="S1465"/>
  <c r="S1464"/>
  <c r="CJ1409"/>
  <c r="M1409" s="1"/>
  <c r="S1409" s="1"/>
  <c r="S581"/>
  <c r="S1469"/>
  <c r="S1506"/>
  <c r="S2363"/>
  <c r="S1097"/>
  <c r="CC2426"/>
  <c r="S697"/>
  <c r="S695"/>
  <c r="S533"/>
  <c r="S517"/>
  <c r="S415"/>
  <c r="S2245"/>
  <c r="S2236"/>
  <c r="S2326"/>
  <c r="S2143"/>
  <c r="CJ1700"/>
  <c r="M1700" s="1"/>
  <c r="S1700" s="1"/>
  <c r="S1358"/>
  <c r="S1024"/>
  <c r="S1017"/>
  <c r="CK2426"/>
  <c r="S403"/>
  <c r="S2401"/>
  <c r="S2405"/>
  <c r="S2183"/>
  <c r="S2128"/>
  <c r="CJ2116"/>
  <c r="M2116" s="1"/>
  <c r="S2116" s="1"/>
  <c r="S2107"/>
  <c r="S2105"/>
  <c r="S2091"/>
  <c r="S2088"/>
  <c r="S2086"/>
  <c r="S1991"/>
  <c r="S1915"/>
  <c r="S1912"/>
  <c r="S1908"/>
  <c r="S1808"/>
  <c r="S1560"/>
  <c r="S1543"/>
  <c r="S1380"/>
  <c r="S1013"/>
  <c r="S549"/>
  <c r="S2404"/>
  <c r="S2406"/>
  <c r="S2408"/>
  <c r="S2410"/>
  <c r="S754"/>
  <c r="S2247"/>
  <c r="S1727"/>
  <c r="S2384"/>
  <c r="S2341"/>
  <c r="S2336"/>
  <c r="S2334"/>
  <c r="S2333"/>
  <c r="S2332"/>
  <c r="S2328"/>
  <c r="S2325"/>
  <c r="S2321"/>
  <c r="S2288"/>
  <c r="S2286"/>
  <c r="S2285"/>
  <c r="S2284"/>
  <c r="S2282"/>
  <c r="S2170"/>
  <c r="S2161"/>
  <c r="S2135"/>
  <c r="S2133"/>
  <c r="S2063"/>
  <c r="S2024"/>
  <c r="S2023"/>
  <c r="S1748"/>
  <c r="S1722"/>
  <c r="S1721"/>
  <c r="S1720"/>
  <c r="S1717"/>
  <c r="S1611"/>
  <c r="S1595"/>
  <c r="S1593"/>
  <c r="S1592"/>
  <c r="S1591"/>
  <c r="CJ1589"/>
  <c r="M1589" s="1"/>
  <c r="S1589" s="1"/>
  <c r="S1588"/>
  <c r="S1583"/>
  <c r="S1216"/>
  <c r="CJ1129"/>
  <c r="M1129" s="1"/>
  <c r="S1129" s="1"/>
  <c r="CJ949"/>
  <c r="M949" s="1"/>
  <c r="S949" s="1"/>
  <c r="S915"/>
  <c r="S807"/>
  <c r="S664"/>
  <c r="S996"/>
  <c r="S1814"/>
  <c r="S969"/>
  <c r="S310"/>
  <c r="S33"/>
  <c r="S2347"/>
  <c r="S2191"/>
  <c r="S2102"/>
  <c r="S2089"/>
  <c r="S2087"/>
  <c r="S2081"/>
  <c r="S1960"/>
  <c r="S1906"/>
  <c r="S1837"/>
  <c r="S1638"/>
  <c r="S1567"/>
  <c r="S1565"/>
  <c r="S1544"/>
  <c r="S308"/>
  <c r="S2403"/>
  <c r="S2407"/>
  <c r="S2409"/>
  <c r="S699"/>
  <c r="S1223"/>
  <c r="S421"/>
  <c r="CJ672"/>
  <c r="M672" s="1"/>
  <c r="S672" s="1"/>
  <c r="S1726"/>
  <c r="S250"/>
  <c r="S1093"/>
  <c r="S1496"/>
  <c r="S992"/>
  <c r="S2254"/>
  <c r="S2212"/>
  <c r="S2383"/>
  <c r="S2388"/>
  <c r="S2370"/>
  <c r="S2366"/>
  <c r="S2317"/>
  <c r="S2220"/>
  <c r="S2219"/>
  <c r="S2217"/>
  <c r="S2120"/>
  <c r="CJ2118"/>
  <c r="M2118" s="1"/>
  <c r="S2118" s="1"/>
  <c r="S2010"/>
  <c r="S1974"/>
  <c r="S1963"/>
  <c r="S1876"/>
  <c r="S1874"/>
  <c r="S1871"/>
  <c r="S1869"/>
  <c r="S1865"/>
  <c r="S1798"/>
  <c r="S1651"/>
  <c r="S1625"/>
  <c r="CJ1497"/>
  <c r="M1497" s="1"/>
  <c r="S1497" s="1"/>
  <c r="S1495"/>
  <c r="S1494"/>
  <c r="S1493"/>
  <c r="S1314"/>
  <c r="S1313"/>
  <c r="S1293"/>
  <c r="S1291"/>
  <c r="S1155"/>
  <c r="S615"/>
  <c r="S610"/>
  <c r="S609"/>
  <c r="S607"/>
  <c r="S606"/>
  <c r="S589"/>
  <c r="S588"/>
  <c r="S586"/>
  <c r="S585"/>
  <c r="R2426"/>
  <c r="S71"/>
  <c r="S1884"/>
  <c r="S2074"/>
  <c r="S2062"/>
  <c r="S2051"/>
  <c r="S2045"/>
  <c r="S2009"/>
  <c r="S2008"/>
  <c r="S2007"/>
  <c r="S1995"/>
  <c r="S1993"/>
  <c r="S1992"/>
  <c r="S1989"/>
  <c r="S1987"/>
  <c r="CJ1930"/>
  <c r="M1930" s="1"/>
  <c r="S1930" s="1"/>
  <c r="S1900"/>
  <c r="S1899"/>
  <c r="S1898"/>
  <c r="S1887"/>
  <c r="CJ1852"/>
  <c r="M1852" s="1"/>
  <c r="S1852" s="1"/>
  <c r="S1829"/>
  <c r="S1805"/>
  <c r="S1804"/>
  <c r="S1803"/>
  <c r="S1802"/>
  <c r="S1799"/>
  <c r="S1797"/>
  <c r="S1796"/>
  <c r="S1795"/>
  <c r="CJ1707"/>
  <c r="M1707" s="1"/>
  <c r="S1707" s="1"/>
  <c r="S1706"/>
  <c r="BW2426"/>
  <c r="S1676"/>
  <c r="S1672"/>
  <c r="S1657"/>
  <c r="S1656"/>
  <c r="S1640"/>
  <c r="S1635"/>
  <c r="S1628"/>
  <c r="S1627"/>
  <c r="S1626"/>
  <c r="CJ1623"/>
  <c r="M1623" s="1"/>
  <c r="S1623" s="1"/>
  <c r="S1587"/>
  <c r="S1585"/>
  <c r="S1531"/>
  <c r="S1529"/>
  <c r="S1442"/>
  <c r="S1439"/>
  <c r="S1349"/>
  <c r="CJ1348"/>
  <c r="M1348" s="1"/>
  <c r="S1348" s="1"/>
  <c r="CJ1347"/>
  <c r="M1347" s="1"/>
  <c r="S1347" s="1"/>
  <c r="S1317"/>
  <c r="S1114"/>
  <c r="S1005"/>
  <c r="CJ929"/>
  <c r="M929" s="1"/>
  <c r="S929" s="1"/>
  <c r="S928"/>
  <c r="S832"/>
  <c r="S774"/>
  <c r="S604"/>
  <c r="S545"/>
  <c r="S543"/>
  <c r="S542"/>
  <c r="S364"/>
  <c r="S29"/>
  <c r="S23"/>
  <c r="N2426"/>
  <c r="S14"/>
  <c r="S12"/>
  <c r="S11"/>
  <c r="S10"/>
  <c r="S9"/>
  <c r="S7"/>
  <c r="S6"/>
  <c r="S5"/>
  <c r="S4"/>
  <c r="S2294"/>
  <c r="S2423"/>
  <c r="S300"/>
  <c r="S1229"/>
  <c r="S966"/>
  <c r="S1175"/>
  <c r="S567"/>
  <c r="S2248"/>
  <c r="S1359"/>
  <c r="S2376"/>
  <c r="S2382"/>
  <c r="S2395"/>
  <c r="S2394"/>
  <c r="S2345"/>
  <c r="S2320"/>
  <c r="S2318"/>
  <c r="S2313"/>
  <c r="S2305"/>
  <c r="S2287"/>
  <c r="S2271"/>
  <c r="S2150"/>
  <c r="S2130"/>
  <c r="S2129"/>
  <c r="S2127"/>
  <c r="S2125"/>
  <c r="S2124"/>
  <c r="S2122"/>
  <c r="S2059"/>
  <c r="S2040"/>
  <c r="S2039"/>
  <c r="S2036"/>
  <c r="S2031"/>
  <c r="S2027"/>
  <c r="S1984"/>
  <c r="S1978"/>
  <c r="S1975"/>
  <c r="S1973"/>
  <c r="S1972"/>
  <c r="CJ1897"/>
  <c r="M1897" s="1"/>
  <c r="S1897" s="1"/>
  <c r="S1893"/>
  <c r="CJ1885"/>
  <c r="M1885" s="1"/>
  <c r="S1885" s="1"/>
  <c r="S1856"/>
  <c r="S1855"/>
  <c r="S1854"/>
  <c r="S1853"/>
  <c r="S1850"/>
  <c r="S1849"/>
  <c r="S1844"/>
  <c r="S1839"/>
  <c r="S1838"/>
  <c r="S1832"/>
  <c r="S1828"/>
  <c r="S1827"/>
  <c r="S1810"/>
  <c r="S1793"/>
  <c r="S1753"/>
  <c r="S1752"/>
  <c r="S1751"/>
  <c r="S1739"/>
  <c r="S1680"/>
  <c r="CJ1667"/>
  <c r="M1667" s="1"/>
  <c r="S1667" s="1"/>
  <c r="CJ1653"/>
  <c r="M1653" s="1"/>
  <c r="S1653" s="1"/>
  <c r="S1647"/>
  <c r="CJ1621"/>
  <c r="M1621" s="1"/>
  <c r="S1621" s="1"/>
  <c r="S1604"/>
  <c r="CJ1571"/>
  <c r="M1571" s="1"/>
  <c r="S1571" s="1"/>
  <c r="S1525"/>
  <c r="S1482"/>
  <c r="S1423"/>
  <c r="S1422"/>
  <c r="S1417"/>
  <c r="S1338"/>
  <c r="S1336"/>
  <c r="S1297"/>
  <c r="S1295"/>
  <c r="CJ1292"/>
  <c r="M1292" s="1"/>
  <c r="S1292" s="1"/>
  <c r="S1257"/>
  <c r="S1256"/>
  <c r="S1255"/>
  <c r="S1254"/>
  <c r="S1245"/>
  <c r="S1228"/>
  <c r="S1227"/>
  <c r="S1197"/>
  <c r="CP2426"/>
  <c r="S1195"/>
  <c r="S1109"/>
  <c r="S1042"/>
  <c r="S972"/>
  <c r="CJ962"/>
  <c r="M962" s="1"/>
  <c r="S962" s="1"/>
  <c r="CJ961"/>
  <c r="M961" s="1"/>
  <c r="S961" s="1"/>
  <c r="S959"/>
  <c r="S921"/>
  <c r="S861"/>
  <c r="CJ814"/>
  <c r="M814" s="1"/>
  <c r="S814" s="1"/>
  <c r="S721"/>
  <c r="S562"/>
  <c r="S560"/>
  <c r="S559"/>
  <c r="S519"/>
  <c r="S513"/>
  <c r="S501"/>
  <c r="S409"/>
  <c r="S265"/>
  <c r="S199"/>
  <c r="S50"/>
  <c r="S47"/>
  <c r="S1520"/>
  <c r="S1518"/>
  <c r="S1517"/>
  <c r="S1516"/>
  <c r="S1515"/>
  <c r="S1514"/>
  <c r="S1513"/>
  <c r="S1511"/>
  <c r="S1510"/>
  <c r="S1481"/>
  <c r="S1436"/>
  <c r="S1432"/>
  <c r="S1415"/>
  <c r="S1413"/>
  <c r="S1412"/>
  <c r="S1405"/>
  <c r="S1404"/>
  <c r="S1396"/>
  <c r="S1388"/>
  <c r="S1381"/>
  <c r="S1377"/>
  <c r="S1376"/>
  <c r="S1320"/>
  <c r="S1319"/>
  <c r="S1272"/>
  <c r="CJ1224"/>
  <c r="M1224" s="1"/>
  <c r="S1224" s="1"/>
  <c r="S1191"/>
  <c r="S1190"/>
  <c r="S1132"/>
  <c r="S1130"/>
  <c r="S1128"/>
  <c r="CJ1117"/>
  <c r="M1117" s="1"/>
  <c r="S1117" s="1"/>
  <c r="CJ1116"/>
  <c r="M1116" s="1"/>
  <c r="S1116" s="1"/>
  <c r="BN2426"/>
  <c r="S1113"/>
  <c r="S1112"/>
  <c r="S1111"/>
  <c r="CJ1110"/>
  <c r="M1110" s="1"/>
  <c r="S1110" s="1"/>
  <c r="CJ1108"/>
  <c r="M1108" s="1"/>
  <c r="S1108" s="1"/>
  <c r="S1106"/>
  <c r="S1105"/>
  <c r="S1053"/>
  <c r="S1050"/>
  <c r="S1049"/>
  <c r="S1048"/>
  <c r="CJ985"/>
  <c r="M985" s="1"/>
  <c r="S985" s="1"/>
  <c r="S924"/>
  <c r="S923"/>
  <c r="S922"/>
  <c r="CJ920"/>
  <c r="M920" s="1"/>
  <c r="S920" s="1"/>
  <c r="S919"/>
  <c r="S899"/>
  <c r="S898"/>
  <c r="CF2426"/>
  <c r="CJ896"/>
  <c r="M896" s="1"/>
  <c r="S896" s="1"/>
  <c r="S894"/>
  <c r="S893"/>
  <c r="CJ892"/>
  <c r="M892" s="1"/>
  <c r="S892" s="1"/>
  <c r="S891"/>
  <c r="S858"/>
  <c r="S856"/>
  <c r="S855"/>
  <c r="S854"/>
  <c r="CJ853"/>
  <c r="M853" s="1"/>
  <c r="S853" s="1"/>
  <c r="S852"/>
  <c r="S851"/>
  <c r="S850"/>
  <c r="S848"/>
  <c r="S847"/>
  <c r="S846"/>
  <c r="S845"/>
  <c r="S844"/>
  <c r="S823"/>
  <c r="S808"/>
  <c r="S806"/>
  <c r="S805"/>
  <c r="S804"/>
  <c r="S802"/>
  <c r="CM2426"/>
  <c r="CJ799"/>
  <c r="M799" s="1"/>
  <c r="S799" s="1"/>
  <c r="S789"/>
  <c r="S786"/>
  <c r="CB2426"/>
  <c r="S784"/>
  <c r="S783"/>
  <c r="S782"/>
  <c r="S781"/>
  <c r="S780"/>
  <c r="S779"/>
  <c r="S778"/>
  <c r="S777"/>
  <c r="CJ675"/>
  <c r="M675" s="1"/>
  <c r="S675" s="1"/>
  <c r="CJ577"/>
  <c r="M577" s="1"/>
  <c r="S577" s="1"/>
  <c r="S576"/>
  <c r="S573"/>
  <c r="S552"/>
  <c r="S503"/>
  <c r="S499"/>
  <c r="CJ496"/>
  <c r="M496" s="1"/>
  <c r="S496" s="1"/>
  <c r="S493"/>
  <c r="S491"/>
  <c r="S411"/>
  <c r="S407"/>
  <c r="S406"/>
  <c r="S375"/>
  <c r="S374"/>
  <c r="S371"/>
  <c r="S370"/>
  <c r="S369"/>
  <c r="S368"/>
  <c r="CJ251"/>
  <c r="M251" s="1"/>
  <c r="S251" s="1"/>
  <c r="O244"/>
  <c r="S244" s="1"/>
  <c r="S31"/>
  <c r="S2268"/>
  <c r="S2300"/>
  <c r="S2189"/>
  <c r="S2292"/>
  <c r="S2293"/>
  <c r="S2274"/>
  <c r="S2215"/>
  <c r="S2283"/>
  <c r="S531"/>
  <c r="S537"/>
  <c r="S2309"/>
  <c r="S1036"/>
  <c r="S1792"/>
  <c r="S1772"/>
  <c r="S1771"/>
  <c r="S1761"/>
  <c r="S1757"/>
  <c r="CJ1715"/>
  <c r="M1715" s="1"/>
  <c r="S1715" s="1"/>
  <c r="S1714"/>
  <c r="S1699"/>
  <c r="S1696"/>
  <c r="S1692"/>
  <c r="S1681"/>
  <c r="S1678"/>
  <c r="S1675"/>
  <c r="S1620"/>
  <c r="CJ1619"/>
  <c r="M1619" s="1"/>
  <c r="S1619" s="1"/>
  <c r="CJ1618"/>
  <c r="M1618" s="1"/>
  <c r="CJ1617"/>
  <c r="M1617" s="1"/>
  <c r="S1617" s="1"/>
  <c r="CJ1615"/>
  <c r="M1615" s="1"/>
  <c r="S1615" s="1"/>
  <c r="S1613"/>
  <c r="CJ1612"/>
  <c r="M1612" s="1"/>
  <c r="CJ1610"/>
  <c r="M1610" s="1"/>
  <c r="S1610" s="1"/>
  <c r="CJ1609"/>
  <c r="M1609" s="1"/>
  <c r="S1609" s="1"/>
  <c r="S1477"/>
  <c r="S1447"/>
  <c r="S1445"/>
  <c r="S1443"/>
  <c r="S1375"/>
  <c r="CJ1374"/>
  <c r="M1374" s="1"/>
  <c r="S1372"/>
  <c r="CJ1362"/>
  <c r="M1362" s="1"/>
  <c r="S1362" s="1"/>
  <c r="CJ1345"/>
  <c r="M1345" s="1"/>
  <c r="S1345" s="1"/>
  <c r="S1318"/>
  <c r="S1305"/>
  <c r="S1303"/>
  <c r="CJ1300"/>
  <c r="M1300" s="1"/>
  <c r="S1300" s="1"/>
  <c r="CJ1261"/>
  <c r="M1261" s="1"/>
  <c r="S1261" s="1"/>
  <c r="S1247"/>
  <c r="S1252"/>
  <c r="S1250"/>
  <c r="S1244"/>
  <c r="S1188"/>
  <c r="S1142"/>
  <c r="S1092"/>
  <c r="S1090"/>
  <c r="CJ1083"/>
  <c r="M1083" s="1"/>
  <c r="S1083" s="1"/>
  <c r="CJ1077"/>
  <c r="M1077" s="1"/>
  <c r="S1077" s="1"/>
  <c r="S1076"/>
  <c r="S1044"/>
  <c r="S1043"/>
  <c r="S1041"/>
  <c r="S1040"/>
  <c r="CJ1035"/>
  <c r="M1035" s="1"/>
  <c r="S1035" s="1"/>
  <c r="S1031"/>
  <c r="CJ1030"/>
  <c r="M1030" s="1"/>
  <c r="S1030" s="1"/>
  <c r="CJ1026"/>
  <c r="M1026" s="1"/>
  <c r="S1026" s="1"/>
  <c r="S1020"/>
  <c r="S973"/>
  <c r="CJ916"/>
  <c r="M916" s="1"/>
  <c r="S916" s="1"/>
  <c r="S888"/>
  <c r="S887"/>
  <c r="S883"/>
  <c r="CJ877"/>
  <c r="M877" s="1"/>
  <c r="S877" s="1"/>
  <c r="S874"/>
  <c r="S842"/>
  <c r="S831"/>
  <c r="S830"/>
  <c r="CJ828"/>
  <c r="M828" s="1"/>
  <c r="S828" s="1"/>
  <c r="S489"/>
  <c r="S366"/>
  <c r="CJ317"/>
  <c r="M317" s="1"/>
  <c r="S317" s="1"/>
  <c r="S345"/>
  <c r="CJ299"/>
  <c r="M299" s="1"/>
  <c r="S299" s="1"/>
  <c r="S297"/>
  <c r="S247"/>
  <c r="O246"/>
  <c r="S246" s="1"/>
  <c r="S242"/>
  <c r="S225"/>
  <c r="S212"/>
  <c r="S205"/>
  <c r="O203"/>
  <c r="S203" s="1"/>
  <c r="S200"/>
  <c r="S188"/>
  <c r="S187"/>
  <c r="S104"/>
  <c r="S103"/>
  <c r="S89"/>
  <c r="S87"/>
  <c r="S86"/>
  <c r="S75"/>
  <c r="S74"/>
  <c r="S68"/>
  <c r="S63"/>
  <c r="S62"/>
  <c r="S59"/>
  <c r="S57"/>
  <c r="S357"/>
  <c r="CJ372"/>
  <c r="M372" s="1"/>
  <c r="S372" s="1"/>
  <c r="CG2426"/>
  <c r="S558"/>
  <c r="J2426"/>
  <c r="S17"/>
  <c r="S1840"/>
  <c r="S1723"/>
  <c r="AO2426"/>
  <c r="O1196"/>
  <c r="S1196" s="1"/>
  <c r="S2242"/>
  <c r="S2194"/>
  <c r="CJ2146"/>
  <c r="M2146" s="1"/>
  <c r="S2146" s="1"/>
  <c r="S2108"/>
  <c r="S1994"/>
  <c r="S1939"/>
  <c r="S1938"/>
  <c r="S1605"/>
  <c r="S1371"/>
  <c r="S1363"/>
  <c r="S1277"/>
  <c r="S2412"/>
  <c r="Q2426"/>
  <c r="S1622"/>
  <c r="S1597"/>
  <c r="S1418"/>
  <c r="S1052"/>
  <c r="CJ1047"/>
  <c r="M1047" s="1"/>
  <c r="S1047" s="1"/>
  <c r="P2426"/>
  <c r="S798"/>
  <c r="S2397"/>
  <c r="S2123"/>
  <c r="S1818"/>
  <c r="S1784"/>
  <c r="S1618"/>
  <c r="S1612"/>
  <c r="CJ1608"/>
  <c r="M1608" s="1"/>
  <c r="S1608" s="1"/>
  <c r="CJ1444"/>
  <c r="M1444" s="1"/>
  <c r="S1444" s="1"/>
  <c r="S1374"/>
  <c r="S224"/>
  <c r="S2218"/>
  <c r="S563"/>
  <c r="S1051"/>
  <c r="S232"/>
  <c r="S216"/>
  <c r="S757"/>
  <c r="S801"/>
  <c r="S2175"/>
  <c r="S2167"/>
  <c r="S2111"/>
  <c r="CJ2092"/>
  <c r="M2092" s="1"/>
  <c r="S2092" s="1"/>
  <c r="CJ1957"/>
  <c r="M1957" s="1"/>
  <c r="S1957" s="1"/>
  <c r="S1645"/>
  <c r="S1523"/>
  <c r="S1522"/>
  <c r="CJ1521"/>
  <c r="M1521" s="1"/>
  <c r="S1521" s="1"/>
  <c r="S1454"/>
  <c r="S1453"/>
  <c r="S1452"/>
  <c r="S1451"/>
  <c r="S1450"/>
  <c r="S803"/>
  <c r="S591"/>
  <c r="S1590"/>
  <c r="S2425"/>
  <c r="S2255"/>
  <c r="S2239"/>
  <c r="S2275"/>
  <c r="S2379"/>
  <c r="S2352"/>
  <c r="S2312"/>
  <c r="S2172"/>
  <c r="S2072"/>
  <c r="S2060"/>
  <c r="S2026"/>
  <c r="S1971"/>
  <c r="S1969"/>
  <c r="S1863"/>
  <c r="S1755"/>
  <c r="S1509"/>
  <c r="S1416"/>
  <c r="S1414"/>
  <c r="CJ971"/>
  <c r="M971" s="1"/>
  <c r="S971" s="1"/>
  <c r="CJ840"/>
  <c r="M840" s="1"/>
  <c r="S840" s="1"/>
  <c r="AQ2426"/>
  <c r="CR2426"/>
  <c r="S1230"/>
  <c r="S1062"/>
  <c r="S2338"/>
  <c r="S884"/>
  <c r="S2316"/>
  <c r="CJ2295"/>
  <c r="M2295" s="1"/>
  <c r="S2295" s="1"/>
  <c r="S2071"/>
  <c r="S1861"/>
  <c r="S1847"/>
  <c r="S1843"/>
  <c r="S1689"/>
  <c r="CD2426"/>
  <c r="S1394"/>
  <c r="S1393"/>
  <c r="CJ1392"/>
  <c r="M1392" s="1"/>
  <c r="S1392" s="1"/>
  <c r="CJ1344"/>
  <c r="M1344" s="1"/>
  <c r="S1344" s="1"/>
  <c r="S953"/>
  <c r="CJ952"/>
  <c r="M952" s="1"/>
  <c r="S952" s="1"/>
  <c r="BY2426"/>
  <c r="S932"/>
  <c r="S1019"/>
  <c r="S1198"/>
  <c r="S1508"/>
  <c r="S1575"/>
  <c r="S248"/>
  <c r="S1695"/>
  <c r="S1693"/>
  <c r="S1691"/>
  <c r="S1646"/>
  <c r="S1644"/>
  <c r="S1459"/>
  <c r="S1397"/>
  <c r="S1395"/>
  <c r="S1378"/>
  <c r="S1260"/>
  <c r="S1259"/>
  <c r="S1258"/>
  <c r="S1200"/>
  <c r="S1199"/>
  <c r="S1165"/>
  <c r="S1081"/>
  <c r="S1080"/>
  <c r="S975"/>
  <c r="S974"/>
  <c r="CJ963"/>
  <c r="M963" s="1"/>
  <c r="S963" s="1"/>
  <c r="S911"/>
  <c r="S910"/>
  <c r="S871"/>
  <c r="S320"/>
  <c r="S669"/>
  <c r="S668"/>
  <c r="S667"/>
  <c r="S666"/>
  <c r="S663"/>
  <c r="S661"/>
  <c r="CJ660"/>
  <c r="M660" s="1"/>
  <c r="S660" s="1"/>
  <c r="K2426"/>
  <c r="S659"/>
  <c r="S624"/>
  <c r="S521"/>
  <c r="S505"/>
  <c r="S1115"/>
  <c r="S1594"/>
  <c r="S217"/>
  <c r="S1851"/>
  <c r="S1580"/>
  <c r="S2424"/>
  <c r="S2258"/>
  <c r="S2250"/>
  <c r="S2249"/>
  <c r="S2241"/>
  <c r="S2240"/>
  <c r="S2238"/>
  <c r="S2232"/>
  <c r="S2231"/>
  <c r="S2229"/>
  <c r="S2224"/>
  <c r="S2276"/>
  <c r="S2277"/>
  <c r="S2307"/>
  <c r="S2278"/>
  <c r="S2380"/>
  <c r="S2378"/>
  <c r="S2387"/>
  <c r="S2371"/>
  <c r="S2368"/>
  <c r="S2354"/>
  <c r="S2353"/>
  <c r="S2337"/>
  <c r="S2335"/>
  <c r="S2319"/>
  <c r="S2314"/>
  <c r="S2311"/>
  <c r="S2289"/>
  <c r="S2222"/>
  <c r="S2180"/>
  <c r="S2174"/>
  <c r="S2173"/>
  <c r="S2157"/>
  <c r="S2141"/>
  <c r="S2104"/>
  <c r="S2093"/>
  <c r="S2073"/>
  <c r="S2061"/>
  <c r="S2055"/>
  <c r="S2028"/>
  <c r="S2012"/>
  <c r="S1996"/>
  <c r="S1980"/>
  <c r="S1951"/>
  <c r="S1919"/>
  <c r="S1911"/>
  <c r="S1907"/>
  <c r="BO2426"/>
  <c r="S1882"/>
  <c r="S1879"/>
  <c r="S1878"/>
  <c r="S1870"/>
  <c r="S1864"/>
  <c r="S1862"/>
  <c r="S1860"/>
  <c r="S1859"/>
  <c r="S1858"/>
  <c r="S1848"/>
  <c r="S1846"/>
  <c r="S1842"/>
  <c r="S1807"/>
  <c r="S1806"/>
  <c r="S1788"/>
  <c r="S1766"/>
  <c r="S1756"/>
  <c r="S1754"/>
  <c r="S1665"/>
  <c r="S1553"/>
  <c r="S1480"/>
  <c r="S1479"/>
  <c r="S1424"/>
  <c r="S1391"/>
  <c r="S1390"/>
  <c r="S1334"/>
  <c r="S1263"/>
  <c r="S527"/>
  <c r="S511"/>
  <c r="S510"/>
  <c r="S506"/>
  <c r="S434"/>
  <c r="CJ709"/>
  <c r="M709" s="1"/>
  <c r="S709" s="1"/>
  <c r="CJ1566"/>
  <c r="M1566" s="1"/>
  <c r="S1566" s="1"/>
  <c r="CJ756"/>
  <c r="M756" s="1"/>
  <c r="S756" s="1"/>
  <c r="CN2426"/>
  <c r="CE2426"/>
  <c r="CJ1886"/>
  <c r="M1886" s="1"/>
  <c r="S1886" s="1"/>
  <c r="CJ933"/>
  <c r="M933" s="1"/>
  <c r="S933" s="1"/>
  <c r="M64"/>
  <c r="S2126"/>
  <c r="S979"/>
  <c r="CJ794"/>
  <c r="M794" s="1"/>
  <c r="S794" s="1"/>
  <c r="BA2426"/>
  <c r="CL2426"/>
  <c r="CJ987"/>
  <c r="M987" s="1"/>
  <c r="S987" s="1"/>
  <c r="S2411"/>
  <c r="O2426" l="1"/>
  <c r="CJ2426"/>
  <c r="S64"/>
  <c r="S2426" s="1"/>
  <c r="M2426"/>
</calcChain>
</file>

<file path=xl/sharedStrings.xml><?xml version="1.0" encoding="utf-8"?>
<sst xmlns="http://schemas.openxmlformats.org/spreadsheetml/2006/main" count="23921" uniqueCount="5439">
  <si>
    <r>
      <t>DESBORDAMIENTO RIO BOGOTA. SECTORES PORVENIR 1 Y 2 PLANADAS, VEREDA SAN FRANCISCO, SANTA ISABEL Y SAN JOSE. REPORTE DEL CREPAD.</t>
    </r>
    <r>
      <rPr>
        <b/>
        <sz val="9"/>
        <rFont val="Arial"/>
        <family val="2"/>
      </rPr>
      <t xml:space="preserve"> APOYO DEL FNC MEDIANTE GIRO DIRECTO AL CLOPAD PARA APOYAR LOS TRABAJOS DE REFORZAMIENTO DE LOS JARILLONES</t>
    </r>
  </si>
  <si>
    <t>SE APOYA DE MANERA COMPLEMENTARIA A LOS ESFUERZOS LOCALES Y REGIONALES.</t>
  </si>
  <si>
    <r>
      <t>BARRIOS MIRADORES DE PIZARIAN, REPORTE DEL CREPAD.</t>
    </r>
    <r>
      <rPr>
        <b/>
        <sz val="9"/>
        <rFont val="Arial"/>
        <family val="2"/>
      </rPr>
      <t xml:space="preserve"> EL VALOR DE OTROS CORRESPONDE A MATERIALES PARA REPARACION DEL ACEUDUCTO</t>
    </r>
  </si>
  <si>
    <r>
      <t xml:space="preserve">CABECERA MUNICIPAL, CORREGIMIENTOS EL TRONCOSO, COCO, SAN RAFAEL, LA PANCHA, TRONCOSITO Y LOS GALVIS. REPORTE DEL CREPAD. </t>
    </r>
    <r>
      <rPr>
        <b/>
        <sz val="10"/>
        <rFont val="Arial"/>
        <family val="2"/>
      </rPr>
      <t>El valor de otrs corresponde a una motobomba de 8"</t>
    </r>
  </si>
  <si>
    <t>BARRIOS FACIOLINCE, LA VALEROSA, SAN MARTIN, PRIMERO E JULIO, VEREDAS LA ISLA, QUIMBAYA, CORREGIMIENTOS SANTA TERESITA, LA LOMA, RINCONADA, ANCON, GUATACA, PUEBLO NUEVO, SAN NICOLAS, GUAIMARCO, BOQUILLAS, CANDELARIA, CALDERA, SAN LUIS, CARMEN DE CICUCO, LOBATA, PIÑONES, SAN IGNACIO, SANTA CRUZ, LA JAGUA, SANTA ROSA, EL ROSARIO, VILLA NUEVA, TRAVESIA, SANTA HELENA, BOMBA. REPORTE DEL CLOPAD Y CREPAD. APOYO EN ALIMENTOS Y TOLDILLOS. EL VALOR DE OTROS CORRESPONDE A UNA MOTOBOMBA DE 8"</t>
  </si>
  <si>
    <t>DESBORDAMIENTOR IO MAGDALENA CABECERA MUNICIPAL CORREGIMEINTOS CAIMITAL, SAN LUIS, EL PROGRESO, CASA DE DIOS, JUAN GABRIEL, BLANCA PALOMA, CANTAGALLO. ALTOS DE LA CRUZ Y PANCOGER, PALMARITO, CAMPO ALEGRE SAN JOSE, SAN LUIS, CASA DE DIOS, BLANCAS PALOMAS, JUAN GABRIEL, HATILLO.
OTROS CORRESPONDE A 500 PARES DE BOTAS
LOS 59,450,000 CORRESPONDE A UNA MOTOBAOMBA DE 8"</t>
  </si>
  <si>
    <t>VEREDAS QUEBRADA GRANDE, APOSENTOS, CHORRERA. SAN CRISTOBAL, REPORTE DEL CREPAD,</t>
  </si>
  <si>
    <t>GUATAQUI</t>
  </si>
  <si>
    <t>CASCO URBANO, REPORTE DEL CREPAD.</t>
  </si>
  <si>
    <t>CORREGIMIENTO OCCIDENTAL, VEREDA NOVILLERO. REPORTE DEL CREPAD.</t>
  </si>
  <si>
    <t>CALLE 9 CARRERA 4, REPORTE DEL CREPAD.</t>
  </si>
  <si>
    <t xml:space="preserve">VEREDA EL CRACOL, REPROTE DEL CREPAD. </t>
  </si>
  <si>
    <t>APOYO ALIMENTARIO PARA EL DEPARTAMENTO SOLICITADO EL 6 DE NOVIEMBRE Y ASISTENCIA HUMANITARIA SOLICITADA POR EL DEPARTAMENTO EL 15 DE DICIEMBRE COMO APOYO A LOS MUNICIPIOS AFECTADOS.</t>
  </si>
  <si>
    <r>
      <t>QUEBRADA LORENA. VEREDA MARINILLA. SECTOR CERRO REDONDO, CUESTA RICA, LAS ADJUNTAS, SOLEDAD, SANTODOMINGO Y LA MORENA. REPORTE DEL CLOPAD..</t>
    </r>
    <r>
      <rPr>
        <b/>
        <sz val="9"/>
        <rFont val="Arial"/>
        <family val="2"/>
      </rPr>
      <t xml:space="preserve"> EL VALOR DE OTROS CORRESPONDE A 15 TANQUES DE 5000 LITROS</t>
    </r>
  </si>
  <si>
    <r>
      <t xml:space="preserve">MUNICIPIO CON RACIONAMIENTO DE AGUA Y/O DESABASTECIMIENTO POR PROBLEMAS DE SEQUIA DEBIDO AL FENOMENO DE EL NIÑO. REPORTE DEL MAVDT. </t>
    </r>
    <r>
      <rPr>
        <b/>
        <sz val="10"/>
        <color indexed="8"/>
        <rFont val="Arial"/>
        <family val="2"/>
      </rPr>
      <t xml:space="preserve">DRAGADO EN ZONA DE CAPTACIÓN.SUMINISTRO E INSTALACIÓN DE MANGUERA PARA EXTENSIÓN DE LA TUBERÍA DE SUCCIÓN Y/O IMPULSIÓN DE AGUA, INCLUIDAS BOYAS DE FLOTACIÓN.ALQUILER PLANTA ELÉCTRICA Y COMBUSTIBLE.SUMINISTRO DE AGUA POR CARROTANQUE.
</t>
    </r>
  </si>
  <si>
    <t>OTROS CORRESPONDE A 100 PARES DE BOTAS</t>
  </si>
  <si>
    <t>PUENTE NACIONAL</t>
  </si>
  <si>
    <t>SE RECIBE COPIA DE OFICIO REMITIDO AL SECRETARIO DEL INTERIOR DE SANTANDER.</t>
  </si>
  <si>
    <t>SE ATENDERA MEDIANTE COLOMBIA HUMANITARIA DE ACUERDO CON LOS CRITERIOS ESTABLECIDOS POR LA GERENCIA</t>
  </si>
  <si>
    <r>
      <t xml:space="preserve">VEREDA MONTEREDONDO Y LA QUIEBRA. REPORTE DEL CREPAD AFECTADAS 1092 FAMILIAS  POR DESABASTECIMIENTO DE AGUA.. </t>
    </r>
    <r>
      <rPr>
        <b/>
        <sz val="9"/>
        <rFont val="Arial"/>
        <family val="2"/>
      </rPr>
      <t>EL VALOR DE OTROS CORRESPONDE A 8 TANQUES DE 1000 LITROS Y 2 TANQUES DE 2000 LITROAS.</t>
    </r>
  </si>
  <si>
    <t>PUEBLO RICO</t>
  </si>
  <si>
    <t>ACUEDUCTO PRINCIPAL Y VEREDAS CIATOCITO, LA SELVA, MARRUECOS, TAIBA, TOTUI.</t>
  </si>
  <si>
    <t>VEREDA TARQUI, SAN CLEMENTE. REPORTE DEL CREPAD. ACUEDUCTOS CORREGIMIENTO SAN CLEMENTE, SANTA ANA, SIRGUIA, VILLA NUEVA, BUENOS AIRES.</t>
  </si>
  <si>
    <t>VEREDA LA TRIBUNA. REPORTE DEL CREPAD. AFECTADO ACUEDUCTO PRINCIPAL Y VEREDAS COLUMBIA, TRIBUNAS, CAUCAYA, EL DIAMANTE, EL PORVENIR, TACHIGUI, SANDIA, LA TERSALIA, PALO REDONDO, PATIO BONITO.</t>
  </si>
  <si>
    <t>PIEDRAS</t>
  </si>
  <si>
    <t>RONCESVALLES</t>
  </si>
  <si>
    <t>ROVIRA</t>
  </si>
  <si>
    <t>VILLAHERMOSA</t>
  </si>
  <si>
    <t>REPORTE DEL CREPAD, ACTUALIZADO EN ENERO DE 2011.</t>
  </si>
  <si>
    <t>REPORTE DEL CREPAD. EL VALOR DE OTROS CORRESPONDE A 500 PARES DE BOTAS.</t>
  </si>
  <si>
    <t>NO HAY SOLICITUD CONCRETA DE APOYO</t>
  </si>
  <si>
    <r>
      <t>DESBOPRDAMIENTO RIO MAGDALENA. CORREGIMIENTO TACAMOCHO .</t>
    </r>
    <r>
      <rPr>
        <b/>
        <sz val="9"/>
        <rFont val="Arial"/>
        <family val="2"/>
      </rPr>
      <t xml:space="preserve"> APOYO DEL FNC MEDIANTE GIRO DIRECTO AL CLOPAD PARA COMBUSTIBLE PARA MOTOBOMBASEN LOS CORREGIMIENTOS DE TACAMOCHO, SAN ADREAS, TACAMOCHITO,. SANTA  LUCIA, Y CABECEA MUNICIPAL (4O MILONES) Y MADERA PARA LA FABRICACION DE ALBERGUES (20 MILONES.</t>
    </r>
  </si>
  <si>
    <r>
      <t>BARRIO LIBANO, EL PUENTE, EL TIGRE SILIO DE LA VIRGEN Y SAN RAFAEL. SECTOR MONTE SAGRADO.</t>
    </r>
    <r>
      <rPr>
        <b/>
        <sz val="9"/>
        <rFont val="Arial"/>
        <family val="2"/>
      </rPr>
      <t xml:space="preserve"> REPROTE DEL CREPAD. APOYO DEL FNC MEDIANTE GIRO DIRECTO AL CLOPAD PARA LA CONSTRUCCION DE ALBERGUES TEMPORALES, DUCHAS, KIT DE ASEO, ALIMENTOS Y HORAS DE MAQUINARIA. SE COORDINO APOYO CON LA FAC.</t>
    </r>
  </si>
  <si>
    <r>
      <t xml:space="preserve">DESBORDAMIENTO CIENAGA GRANDE DEL BAJO SINU. BARRIOS CEDROS, SAN ROQUEL BRISAS DEL RIO, CANDELARIA, Y MORROSQUILLOZONA URBANA BARRIOS  ZARABANDA, LA SUBIDITA, MORROSQUILLO Y SAN ROQUE REPORTE DE LA DEFENSA CIVIL </t>
    </r>
    <r>
      <rPr>
        <b/>
        <sz val="9"/>
        <rFont val="Arial"/>
        <family val="2"/>
      </rPr>
      <t>APOYO DEL FNC MEDIANTE GIRO DIRECTO AL CLOPAD PARA REFORZAMIENTO DEL DIQUE DEL CORREGIMIENTO GOMEZ - PALITO ($49.978.800 LINEA 4) Y COMBUSTIBLE Y MOTOBOMBAS ($60.000.000 LINEA 2)</t>
    </r>
  </si>
  <si>
    <r>
      <t xml:space="preserve">REPORTE DEL CREPAD Y CLOPAD. SE PASA LA GRUPO DE SOPORTE EL TEMA DE VIVENDAS Y AGRICULTURA. </t>
    </r>
    <r>
      <rPr>
        <b/>
        <sz val="9"/>
        <rFont val="Arial"/>
        <family val="2"/>
      </rPr>
      <t>APOYO DEL FNC MEDIANTE GIRO DIRECTO AL CLOPAD PARA LA ADQUISICION DE COMBUSTIBLE PÁRA LA MAQUINARIA PARA LA RECUPERACION DE VIAS</t>
    </r>
  </si>
  <si>
    <r>
      <t xml:space="preserve">VEREDA LA PALMA. PASCOTE, LA CONCEPCION, CERINZA, CARMEN ABAJO, REPORTE DE LA DEFENSA CIVIL </t>
    </r>
    <r>
      <rPr>
        <b/>
        <sz val="9"/>
        <rFont val="Arial"/>
        <family val="2"/>
      </rPr>
      <t>APOYO DEL FNC MEDIANTE GIRO DIRECTO AL CLOPAD PARA LA RECONSTRUCCION EN SITIO DE LAS 20 VIVIENDAS AFECTADAS</t>
    </r>
  </si>
  <si>
    <r>
      <t xml:space="preserve">VEREDAS PESCADORA, EL SOCORRO Y PALMICHAL. REPORTE DEL CREPAD . </t>
    </r>
    <r>
      <rPr>
        <b/>
        <sz val="9"/>
        <rFont val="Arial"/>
        <family val="2"/>
      </rPr>
      <t>APOYO DEL FNC MEDIANTE GIRO DIRECTO AL CLOPAD PARA LA ADQUISICION DE MATERIALES COMPLEMENTARIOS PARA LA REHABILITACION DE LAS VIVIENDAS AFECTADAS.</t>
    </r>
  </si>
  <si>
    <r>
      <t xml:space="preserve">AFECTADO SECTOR DE LA VIRGEN VIA SAN JOSE DEL PALMAR-EL TABOR. EL MUNICIPIO DECLARO LA URGENCIA MANIFIESTA MEDIANTE DECRETO 012 DEL 23 DE FEBRERO DE 2010. </t>
    </r>
    <r>
      <rPr>
        <b/>
        <sz val="9"/>
        <rFont val="Arial"/>
        <family val="2"/>
      </rPr>
      <t>APOYO DEL FNC MEDIANTE GIRO DIRECTO AL CLOPAD PARA EL SUMINISTRO DE GASOLINA Y ACPM PARA REMOCION DE ESCOMBROS EN LA VIA GALAPAGOS - SAN JOSE DEL PALMAR. POR VALOR DE $70.000.000. POSTERIORMENTE EN OCTUBRE SE REALIZA OTRO GIRO POR VALOR E $20.006.640</t>
    </r>
  </si>
  <si>
    <r>
      <t>REPORTE DEL CREPAD. BARRIOS VILLA NUEVA TOLIMA Y BOYACA.</t>
    </r>
    <r>
      <rPr>
        <b/>
        <sz val="9"/>
        <rFont val="Arial"/>
        <family val="2"/>
      </rPr>
      <t xml:space="preserve"> APOYO DEL FNC MEDIANTE GIRO DIRECTO AL CLOPAD, CON EL OBJETO DE QUE SE CONTRATE MANO DE OBRA CALIFICADA QUE APOYE LAS LABORES DE LA ATENCIÓN DE LA EMERGENCIA POR EL VENDAVAL OCURRIDO EL DÍA 02 DE MARZO DEL 2010 Y EN EL CUAL SE AFECTARON 416 FAMILIAS CON SUS RESPECTIVAS VIVIENDAS.
</t>
    </r>
    <r>
      <rPr>
        <sz val="9"/>
        <rFont val="Arial"/>
        <family val="2"/>
      </rPr>
      <t xml:space="preserve">
</t>
    </r>
  </si>
  <si>
    <t>GARZON</t>
  </si>
  <si>
    <t>LOS ANDES</t>
  </si>
  <si>
    <t>FRANCISCO PIZARRO</t>
  </si>
  <si>
    <t>CALIFORNIA</t>
  </si>
  <si>
    <t>CONFINES</t>
  </si>
  <si>
    <t>CHIPATA</t>
  </si>
  <si>
    <t>LA BELLEZA</t>
  </si>
  <si>
    <t>CHINCHINA</t>
  </si>
  <si>
    <t>CRECIENTE RIO LA MIEL VEREDAS ATARRAYA Y LA HABANA, CORREGIMIENTO SAN MIGUEL. BARRIO LAS FERIAS, JARDIN, OBRERO , PITALITO0, SANTA CECILIA, LAS MAGARITAS, VICTORIA REAL.REPORTE DEL SOCORRO NACIONAL</t>
  </si>
  <si>
    <t>NEIRA</t>
  </si>
  <si>
    <t>NORCASIA</t>
  </si>
  <si>
    <t>SAN JOSE</t>
  </si>
  <si>
    <t>VITERBO</t>
  </si>
  <si>
    <t>ATENDIDO POR EL CRAPD</t>
  </si>
  <si>
    <t>LA TOTALIDAD DE LA POBLACION AFECTADA FUE BENEFICIADA CON RECURSOS DEL FNC DURANTE LA TEMPORADA INVERNAL</t>
  </si>
  <si>
    <t>ACTUALIZACION DE LA INFORMACION POR PARTE DEL CREPAD.</t>
  </si>
  <si>
    <t>SOLICITAN MATERIALES DE CONSTRUCCION. SE  ORIENTO A BUSCAR LA POSIBILIDAD DE ATENDER POR COLOMBIA HUMANITARIA ANTE LA LIMITACION DE RECURSOS DEL FNC</t>
  </si>
  <si>
    <t>PARAMO</t>
  </si>
  <si>
    <t>PINCHOTE</t>
  </si>
  <si>
    <t>SAN MIGUEL</t>
  </si>
  <si>
    <t>VETAS</t>
  </si>
  <si>
    <t>REPORTE DEL CREPAD. ACTUALIZACION DE INFORMACION</t>
  </si>
  <si>
    <t>VEREDAS CENTRO, DUARTE, TAUCASI, TAPIAS, APOSENTOS, LA UPA, LLANO DE TABACO, SALADO DEL PUEBLO. ACTUALIZACION DE LA INFORMACION PRO PARTE DEL CREPAD.</t>
  </si>
  <si>
    <t>VALLE DEL CUHCE, LA CRECIENTE, TUNQUAQUITA, CACHAVITA, VEREDA EL SALITRE. ACTUALIZACION DE INFORMACION POR PARTE DEL CREPAD.REPORTE DEL CREPAD.</t>
  </si>
  <si>
    <t>EL ESPINO</t>
  </si>
  <si>
    <t>VEREDAS LA BURRERA, SANTA ANA, LA LAGUNA, PIE DE PEÑA, LLANO LARGO, SALINITAS, SAN RAMON. ACTUALIZACION DE LA INFORMACION POR PARTE DEL CREPAD.</t>
  </si>
  <si>
    <t>SOCOTA</t>
  </si>
  <si>
    <t>VEREDAS EL MORRO, GUAQUIRA, CHISVITA, COSCATIVA, COMEZA, HOYADA, SAN PEDRO, SAN JOSE, EL OPSO, CHIPAVIEJO, PUEBLO VIEJO, LA REFORMA, . ACTUALIZACION DE LA INFORMACION POR PARTE DEL CREPAD.</t>
  </si>
  <si>
    <t>SECTOR SANTA HELENA. REPORTE DEL CREPAD. ACTUALIZACION DE INFORMACION DEL CREPAD.</t>
  </si>
  <si>
    <t>CHOORO DE ORO, TIENTO SIETE, ROSALÑES, SIBATA, PIEDRA PARADA, PUENTE CUATRO, GAUNZA, SUAITOQUE, JUNTAS, POZOS, UBAJUCA, GOTERA, MORTIÑO, CANTORA, TINCACHOQUE, MUNANTA, ACTUALIZACION DE INFORMACION POR PARTE DEL CREPAD.</t>
  </si>
  <si>
    <t>PISBA</t>
  </si>
  <si>
    <t>PAUNA</t>
  </si>
  <si>
    <t>CUBARA</t>
  </si>
  <si>
    <t>ACTUALIZACION DE LA INFORMACION POR PARTE DEL CREPAD. VEREDAS EL CUBUGON, CEDEÑO, MUNDO NUEVO, LA PISTA, UERTO NUEVO PARTE ALTA, LA CAÑAGUATA, LA GAITANA, EL GUAMO, LA ESPERANZA, LA BLANQUITA, EL ROYOTA, BRISAS DEL ARAUCA, EL BOJABA, CAMPO ALICIA.</t>
  </si>
  <si>
    <t>SATIVANORTE</t>
  </si>
  <si>
    <t>ACTUALIZACION DE LA INFORMACION POR PARTE DEL CREPAD. VEREDAS CHAPON, NAPOSAL, PUENTON LA GLORIA, SAN LUIS, TONCANAL, SAN MARTIN, SANTA HELENA, BUENAVISTA, LOS CEDROS, PIAME, RAMAL, LA MESA, CALICHONA, VEREDA CENTRO Y GAMON.</t>
  </si>
  <si>
    <t>SAN ALBERTO</t>
  </si>
  <si>
    <t>ALPUJARRA</t>
  </si>
  <si>
    <t>DOLORES</t>
  </si>
  <si>
    <t>SALDAÑA</t>
  </si>
  <si>
    <t>EL PEÑOL</t>
  </si>
  <si>
    <t>IMUES</t>
  </si>
  <si>
    <t>PUPIALES</t>
  </si>
  <si>
    <t>ILES</t>
  </si>
  <si>
    <t>IPIALES</t>
  </si>
  <si>
    <t>PALERMO</t>
  </si>
  <si>
    <t>AGRADO</t>
  </si>
  <si>
    <t>ELIAS</t>
  </si>
  <si>
    <t>ALTAMIRA</t>
  </si>
  <si>
    <t>OPORAPA</t>
  </si>
  <si>
    <t>CACOTA</t>
  </si>
  <si>
    <t>LA ESPERANZA</t>
  </si>
  <si>
    <t>VEREDAS VANEGA NORTE, VANEGA SUR, RUPAGUATA, PACHAQUIRA, SIRAQUITA, SOCONSAQUE, ORIENTE Y OCCIDENTE, HUERTA GRANDE, HUERTA CHICA, RIQUE, PENA NEGRA Y CASCO URBANO. ACTUALIZACION DEL CLOPAD.</t>
  </si>
  <si>
    <t>COLON</t>
  </si>
  <si>
    <t>CONSACA</t>
  </si>
  <si>
    <t>FUERTES LLUVIAS Y DESBORDAMIENO RIO SATINGASECTORES BOCA DE CANAL, GUABILLARES, SAN JOSE DE LA TRUBIA, ORITAL, VUELTA LARGA, PUERTO BAJITO, LA SOLEDAD. NARANJAL. REPROTE DEL CREPAD.</t>
  </si>
  <si>
    <t>ACTUALIZACION DE INFORMACION POR PARTE DEL CREPAD.</t>
  </si>
  <si>
    <t>BUSBANZA</t>
  </si>
  <si>
    <t>BETEITIVA</t>
  </si>
  <si>
    <t>BOAVITA</t>
  </si>
  <si>
    <t>CHIVATA</t>
  </si>
  <si>
    <t>COPER</t>
  </si>
  <si>
    <t>NUEVO COLON</t>
  </si>
  <si>
    <t>PACHAVITA</t>
  </si>
  <si>
    <t>PANQUEBA</t>
  </si>
  <si>
    <t>SAN JOSE DE PARE</t>
  </si>
  <si>
    <t>VIRACACHA</t>
  </si>
  <si>
    <t>SOLICITADO POR FINANCIERA</t>
  </si>
  <si>
    <r>
      <t>SAN ISIDRO, EL VERGEL, EL GUAYABO, OJO DE AGUA, MORRO ALEGRE, CARRERA SANTANDER, PALESTINA, EL REVENTON EL HELECHAL, ALTO DE LAS HUACS, VERSALLES, DAMASCO.</t>
    </r>
    <r>
      <rPr>
        <b/>
        <sz val="9"/>
        <rFont val="Arial"/>
        <family val="2"/>
      </rPr>
      <t xml:space="preserve"> APOYO DEL FNC MEDIANTE GIRO DIRECTO AL CLOPAD PARA APOYAR TRABAJOS DE REPARACION DE 23 VIVIENDAS URBANAS Y RURALES Y LA CONSTUCCION DE 12 VIVIENDAS URBANAS Y RURALES</t>
    </r>
  </si>
  <si>
    <t>ABEJORRAL</t>
  </si>
  <si>
    <t>ANGELOPOLIS</t>
  </si>
  <si>
    <t>ANZA</t>
  </si>
  <si>
    <t>CACERES</t>
  </si>
  <si>
    <t>CAICEDO</t>
  </si>
  <si>
    <t>CAÑASGORDAS</t>
  </si>
  <si>
    <t>CARAMANTA</t>
  </si>
  <si>
    <t>COCORNA</t>
  </si>
  <si>
    <t>DON MATIAS</t>
  </si>
  <si>
    <t>EBEJICO</t>
  </si>
  <si>
    <t>GIRARDOTA</t>
  </si>
  <si>
    <t>GOMEZ PLATA</t>
  </si>
  <si>
    <t>GUATAPE</t>
  </si>
  <si>
    <t>HELICONIA</t>
  </si>
  <si>
    <t>HISPANIA</t>
  </si>
  <si>
    <t>ITUANGO</t>
  </si>
  <si>
    <t>LA CEJA</t>
  </si>
  <si>
    <t>LIBORINA</t>
  </si>
  <si>
    <t>MARINILLA</t>
  </si>
  <si>
    <t>PEQUE</t>
  </si>
  <si>
    <t>PUEBLORRICO</t>
  </si>
  <si>
    <t>SABANETA</t>
  </si>
  <si>
    <t>SAN JERONIMO</t>
  </si>
  <si>
    <t>SAN JOSE DE LA MONTAÑA</t>
  </si>
  <si>
    <t>SAN JUAN DE URABA</t>
  </si>
  <si>
    <t>SAN ROQUE</t>
  </si>
  <si>
    <t>SOPETRAN</t>
  </si>
  <si>
    <t>TARSO</t>
  </si>
  <si>
    <t>URAMITA</t>
  </si>
  <si>
    <t>VALPARAISO</t>
  </si>
  <si>
    <t>YOLOMBO</t>
  </si>
  <si>
    <t>REPORTE DEL CREPAD ACTUALIZACION DE INFORMACION</t>
  </si>
  <si>
    <t>PUERTO CONCORDIA</t>
  </si>
  <si>
    <t>EL DORADO</t>
  </si>
  <si>
    <t>REPORTE DEL CREPAD ACTUALIZACION DE INFORMACION. VIAS EL SALITRO - PUERTO COLOMBIA Y PUERTO NUEVO - PUERTO CACAO.</t>
  </si>
  <si>
    <t>REPORTE EL CREPAD ACTUALIZACION DE INFORMACION VIAS TROPEZON - LA CRISTALINA -LA ESMERALDA TRAMO II</t>
  </si>
  <si>
    <t>SECTOR SOBRETANA VEREDA LA MESETA VIAS SAN PEDRO, SANTA TERESA - MPNFORTH, ALTO DE SOBRETANA - EL CALVARIO, SAN FRANCISCO.</t>
  </si>
  <si>
    <r>
      <t xml:space="preserve">VIAS URIBE - VERSALLES, LA PISTA - LA AMISTAD - OJO DE AGUA.DESBORDAMIENTO RIO DUDA. REPORTE DEL CREPAD. </t>
    </r>
    <r>
      <rPr>
        <b/>
        <sz val="9"/>
        <rFont val="Arial"/>
        <family val="2"/>
      </rPr>
      <t>APOYO DEL FNC MEDIANTE GIRO DIRECTO AL CLOPAD PARA LA CONSTRUCCION DE MURO EN GAVIONEN LA VEGA DEL RIO DUDASECTOR LA JULIA.</t>
    </r>
  </si>
  <si>
    <t>REPORTE DEL CREPAD ACTUALIZACION DE INFORMACION VIAS MACARENA - SAN VICENTE DEL CAGUAN, MACARENA - GETSEMANI 1</t>
  </si>
  <si>
    <t>INCOMUNICADAS VEREDAS LOS ESTEROS BAJOS, ESTEROS ALTOS, CAÑO JABON, EL SILENCIO, REPORTE DEL CREPAD. PUENTE CAÑO JABON. VIA GUACAMAYAS - LA CUCHARITA.</t>
  </si>
  <si>
    <t>DESBORDAMIENTO CAÑO URICHARE. REPORTE DE LA DEFENSA CIVIL. VIAS LA MARINA - EL ROBLE - EL ROSAL, EL TOPACIO - URICHARE - EL VERGEL</t>
  </si>
  <si>
    <t>VIAS CENTRAL - UERTO LLERAS - PUERTO TRIUNFO, TROCHA 7 - PUERTO NUEVO - LA COOPERATIVA. REPORTE DEL CREPAD, ACTUALIZANDO INFORMACION.</t>
  </si>
  <si>
    <t>REPORTE DEL CREPAD. LA UNION - CAÑO RAYADO - CHACO 13, CHIROSA - CANADA, ALTO LLORONA - ALTO BAQUERO, CENTRAL - PUERTO RICO, MUNDO NUEVO - CASIBARE, CASIBARE - EL ROBLE.</t>
  </si>
  <si>
    <t>ACTUALIZACION DE INFORMACION POR PARTE DEL CREPAD. VEREDAS PIEDRAS GORDAS, CHICANECA, CHUSCAL, SALITRE, PITA Y CHONE, CASA BLANCA, QUEBRADAHONDA Y EL LLANO.</t>
  </si>
  <si>
    <t>CASCO URBANO. REPORTE DEL CREPAD. ARROYO PICHILIN. VEREDAS GUERRERO, EL PALMAR, SAN RAFAEL, CORRGERIEMIENTS PUERTO VIEJO, UIEVA ERA, SANTA LUCIA, PALO BLANCO. LAS PITAS BARRIOS, PLAYA HERMOSA, LOS LAURELES, EL SIMBOLO, LA GRACIA DE DIOS, LAS MARAVILLOS, CIUDALELA EL GOLFO, SANTA CATALINA, EL PALMAR, BETANIA, ZAMORA, LUIAS CARLOS, BRISAS DEL MAR EL EDEN. VILLA NAZARET, MI REFUGIO.</t>
  </si>
  <si>
    <t>RIO QUITO</t>
  </si>
  <si>
    <t>REPORTE DEL CLOPAD PARA ACTUALIZAR INFORMACION Y AVAL DEL CREPAD.</t>
  </si>
  <si>
    <t>ACTUALIZACION DEL CREPAD</t>
  </si>
  <si>
    <t>TERUEL</t>
  </si>
  <si>
    <t>VEREDAS PEDREGAL, LAS DELICIAS, RIO CHIQUITO, LAS AMRIAS, EL RODEO, ALEGIA, LA MARIA. REPORTE DEL CREPAD.</t>
  </si>
  <si>
    <t>EL ROSARIO</t>
  </si>
  <si>
    <t>LA FLORIDA</t>
  </si>
  <si>
    <t>YACUANQUER</t>
  </si>
  <si>
    <t>REPORTE ACTUALIZADO DEL CREPAD</t>
  </si>
  <si>
    <t>VEREDA EL DIAMANTE. REPORTE DEL CREPAD.</t>
  </si>
  <si>
    <t>BELALCAZAR</t>
  </si>
  <si>
    <t>FILADELFIA</t>
  </si>
  <si>
    <r>
      <t xml:space="preserve">SE APOYA DE MANERA COMPLEMENTARIA A LOS ESFUERZOS LOCALES Y REGIONALES.  </t>
    </r>
    <r>
      <rPr>
        <b/>
        <sz val="9"/>
        <rFont val="Arial"/>
        <family val="2"/>
      </rPr>
      <t>GIRO DIRECTO AL CLOPAD PARA LA CORRECCION DEL CAUCE ERRATICO Y LEVANTAMIENTO DE TALUD EN EL RIO TANELA EN LOS SECTORES CAÑO NUEVO Y HOLANDA.
DESBORDAMIENTO RIO TANELA, TIGRE Y ARCIA. AFECTADAS CABECERA MUNICIPAL Y VEREDAS ARQUIA, HOLANDA, CAÑO NUEVO, PATO LARGO, TICOLE. COMUNIDADES INDIGENAS YAQUERA, MOROCA, TUMURULA, SIPARADO. REPORTE DE LA DEFENSA CIVIL. EL MUNICIPIO SE APOYO RECIENTEMENTE CON GIRO DIRECTO PARA TRABAJOS EN EL RIO TANELA.</t>
    </r>
  </si>
  <si>
    <t>UNION PANAMERICANA</t>
  </si>
  <si>
    <t xml:space="preserve">                                                                  </t>
  </si>
  <si>
    <t>ABRIAQUI</t>
  </si>
  <si>
    <t>ALEJANDRIA</t>
  </si>
  <si>
    <t>BURITICA</t>
  </si>
  <si>
    <t>CAMPAMENTO</t>
  </si>
  <si>
    <t>SAN PEDRO DE URABA</t>
  </si>
  <si>
    <t>DESBORDAMIETNO RIO MAGDALENA. Y CIMITARRAVEREDAS PUERTO LOS MANGOS, TOMAS, PLAYAS, BARBACOAS, ROMPEDEROS, CAÑO HUILA, SARDINATA BAJA, REMOLINOS, PUERTO NUEVO, LA FELICIDAD, RINCONADA, TANQUERA, ROTA 1 Y 2 , BELLA VISTA, EL GUAMO, CAMPO SISITARRA, EL BAGRE, EL TAMAR, CAÑO NEGRO. REPORTE DE LA DEFENSA CIVIL.</t>
  </si>
  <si>
    <t>ARENAL</t>
  </si>
  <si>
    <t>EL CARMEN DE BOLIVAR</t>
  </si>
  <si>
    <t>FUERTES LLUVIAS BARRIO SIETE DE AGOSTO, SANTANDER, CENTRO, LA POPA, LAS COLINAS, EL VERGEL, PUEBLO NUEVO. CORREGIMEINTO EL SALADO. REPORTE DEL CREPAD.</t>
  </si>
  <si>
    <t>REPORTE DEL CREPAD. DESBORDAMEINTO QUEBRADA INANEA. REPORTE DEL CREPAD Y CLOPAD. SERRANIA SAN LUCAS, SECTOR LOS CANELOS, VEREDA CAÑOVERAS. MINA LA FORTUNA.</t>
  </si>
  <si>
    <t>EL COCUY</t>
  </si>
  <si>
    <t>VEREDAS LA ESTANCIA, EL CHIRCAL, SECTOR MARRAVITA. VIAS JERCIO - PUEBLO VIEJO Y JERICO -SOCOTA.REPROTE DEL CREPAD. SECTOR PUENTE MAUSA. AFECTADA VIA QUE COMUNICA JERICO - SOCOTA Y JERICO CHITA. REPORTE DE EL CREPAD.</t>
  </si>
  <si>
    <t>RONDON</t>
  </si>
  <si>
    <t>DESBORDAMIENTO RIO JURADO Y APARTADO Y PAMPADO COMUNIDADES DE EYASAQUE, RICHAR, GUAUNANA, AMBAR, PATATO, BUENAVISTA, CEDRAL, JUMARACARRA, DOS BOCAS, SANTA TERESITA, Y DICHARDI - CAIMITO. REPORTE DEL CLOPAD.BARRIOS PUEBLO NUEVO Y PUEBLO VIEJO. REPORTE DE CREPAD Y LA DEFENSA CIVIL.</t>
  </si>
  <si>
    <t>VEREDA SAN JOSE SECTOR AGUAS CLARAS DESBORDAMIENTO QUEBRADA LA PUNA. REPORTE DE LA DCC.</t>
  </si>
  <si>
    <t>NOCAIMA</t>
  </si>
  <si>
    <t>TENA</t>
  </si>
  <si>
    <t>PASCA</t>
  </si>
  <si>
    <t>VIANI</t>
  </si>
  <si>
    <r>
      <t xml:space="preserve">CAÑO PANCEGUITA, QUITASUEÑO, CAMAJON, CAÑO MOJANA. BARRIOS SIETE DE MAYO, VEREDAS GALINDO, EL PEDRO, EL CONGRESO, ISLA GRANDE, ISLA DEL COCO, MOJANITA, MONTERIA, OREJERO, FUNDACION , CAMPO ALEGRE, SAN LUIS, SAN MATEO, CARACUCHA, SOLERA, NUEVO MAMON, CAÑO MUERTO, BUENA VISTA, SAN JOSE, CALZON BLANCO. DESBORDAMIENTO CAÑO LA MOJANA.. REPORTE DE LA DEFENSA CIVIL Y EL CREPAD. </t>
    </r>
    <r>
      <rPr>
        <b/>
        <sz val="9"/>
        <rFont val="Arial"/>
        <family val="2"/>
      </rPr>
      <t>APOYO DEL FNC MEDIANTE GIRO DIRECTO AL CLOPAD PARA EL DRENAJE Y ABERTURA DE LOS CAÑOS PANCEGUITA Y CAMAJON MEDIANTE LA COMPRA DE COMBUSTIBLE Y ALQUILER DE MAQUINARIA.. EL VALOR DE OROS CORRESPONDE A 350 PARES DE BOTAS ´PARA ADULTO Y 150 PARA NIÑO</t>
    </r>
  </si>
  <si>
    <t>229
260</t>
  </si>
  <si>
    <t>VEREDA CARRETAL PACALUA, BETSALDA, DESBORDAMIENTO RIO MAGDALENA. REPORTE DE LA DEFENSA CIVIL.</t>
  </si>
  <si>
    <t>COMITÉ DE GANADEROS DEL META. AFECTADOS PISOS 501 Y 502. REPORTE DEL CREPAD.</t>
  </si>
  <si>
    <t>COLAPSO MINA DE ORO, CORREGIMIENTO DE BARAMA. REPORTE DE LA DEFENSA CIVIL.</t>
  </si>
  <si>
    <t>CORREGIMIENTO RIO FRIO. DESBORDAMIENTO RIO MAGDALENA. REPORTE DE LA DEFENSA CIVIL.</t>
  </si>
  <si>
    <t>MOMIL</t>
  </si>
  <si>
    <t>VEREDA GUACHARACA Y BRISAS DEL CAUCHO. . REPORTE DEL CREPAD. REPORTE DEL SOCORRO NACIONAL.</t>
  </si>
  <si>
    <t>REPORTE DE DEFENSA CIVIL. VEREDAS CASANARITO, PUERTO C0LOMBIA SARRAPIO. DESBORDAMIENTO RIO CASANARE</t>
  </si>
  <si>
    <t>REPORTE DEL CREPAD Y LA DEFENSA CIVIL. AFECTADA ZONA URBANA.</t>
  </si>
  <si>
    <t>REPELON</t>
  </si>
  <si>
    <t>DESBORDAMIENTO DEL CANAL DEL DIQUE. VEREDA LAS COMPUERTAS. REPORTE DE LA DEFENS ACIVIL.</t>
  </si>
  <si>
    <t>CASCO URBANO. REPORTE DE LA DEFENSA CIVIL.</t>
  </si>
  <si>
    <t>TIMBIO</t>
  </si>
  <si>
    <t>BODEGA DE CILINDROS DE GAS PROPANO. REPORTE DE BOMBEROS DE TIMBIO.</t>
  </si>
  <si>
    <t>BARRIOS ROCIO BAJO, ROCIO ALTO, SINAI, EL POBLADO. REPORTE DE LA EFENSA CIVIL.</t>
  </si>
  <si>
    <t>VEREDAS ZARAGOZA Y TAMARINDO REPORTE DEL CREPAD Y LA DEFENSA CIVIL.</t>
  </si>
  <si>
    <t>CABECERA MUNICIPAL</t>
  </si>
  <si>
    <t>PURISIMA</t>
  </si>
  <si>
    <t>BARRIO HORIZONTE. REPORTE DE LA DEFENSA CIVIL.</t>
  </si>
  <si>
    <t>KM 19 VIA SAN ANDRES ITUANGO REPORTE DE LA CRUZ ROJA</t>
  </si>
  <si>
    <t xml:space="preserve">REPORTE DEL CLOPAD. BARRIOS 20 DE JULIO , CARRERA 14 CON CALLE 25. </t>
  </si>
  <si>
    <t>CALLE 12 CARR. 2 Y 3 . REPORTE DEL CREPAD</t>
  </si>
  <si>
    <t>BARRIOS LA ESTANCIA, PRADERA BAJ. DESBORDAMIENTO QUEBRADA LA ESPAÑOLA Y LA VENENOSA</t>
  </si>
  <si>
    <t>DEBORDAMIENTO ARROYO BOSCONIA. REPORTE DEL CREPAD.</t>
  </si>
  <si>
    <t>SECTOR SIETE DE ABRIL Y CENTRO, SAN FELIPE, SECTOR CANTEROS, CANGREJEROS. BARRIO LA ESMERALDA. REPORTE DEL CLOPAD.</t>
  </si>
  <si>
    <t>BARRIOS NUEVO HORIZOPDE, CALDAS, ESPERANZAS, NUEVA ESPERANDZA. SAN JOFE, REPORTE DE DEFENDA CIVIL.</t>
  </si>
  <si>
    <t xml:space="preserve">ROMPIMINETO DEL CANAL DEL DIQUE. REPORTE DE FESA CIVIL. BARRIOS, LA GUAJIRA, VERGEL, MAIZAL. </t>
  </si>
  <si>
    <t>NUEVA GRANADA</t>
  </si>
  <si>
    <t>DESBORDAMIENTO ARROYO LA FERIA BARRIOS LA VICTORIA Y NUEVA GRANADA. REPORTE DE LADEFENSACIVIL</t>
  </si>
  <si>
    <t>ZONA URBABNA ARROYO GRADE DEENSA CIVIL</t>
  </si>
  <si>
    <t>QUEBRADA AGUS PRIETAS, VEREDA MATA DE PLATANO. REPORTE DE DCC,.</t>
  </si>
  <si>
    <t>SECTOR OVEJAS VIA PANAMERICANA KM 51</t>
  </si>
  <si>
    <t>RIO SAN JUAN Y CAÑO CAIMAN.  CORREGIM. SANTA CATALINA Y EL TOMATE.</t>
  </si>
  <si>
    <t>CORREGIMEINTOPAN DE AZUCAR. REPORTE DEL CREPAD.</t>
  </si>
  <si>
    <t>CIENAGA GRANDE DE SANTA MARTA. REPORTE DE LA DEFENSA CIVL</t>
  </si>
  <si>
    <t>PUENTE ARROYO PICHILI</t>
  </si>
  <si>
    <t xml:space="preserve">REPROTE DEL CREPAD CAÑO PICHILI. </t>
  </si>
  <si>
    <t>VEREDA LA ISLITA, PERDIDA DECULTIVOS.</t>
  </si>
  <si>
    <t>VEREDA LIMONES. REPORTE DE LA DEFENSA CIVL</t>
  </si>
  <si>
    <t>SECTOR LAS MARGARITAS. REPORTE DE LA DEFENSA CIVL</t>
  </si>
  <si>
    <t>AFECTADAS VIAS BUCARAMANGA - SAN ALBERTO, BUCARAMANCA - BARRANCABERMEJA.</t>
  </si>
  <si>
    <t>RIOS CALANDAIMA, APULO Y BOGOTA. BARRIO JORGE ELIESER GAITAN Y BOCA CANOA.. VEREDAS SAN ANTONIO Y SANTA ANA. REPORTE DEL CREPAD</t>
  </si>
  <si>
    <t>VEREDA SAN NICOLAS. REPORTE DEL CREPAD.</t>
  </si>
  <si>
    <t>VEREDA NEPTUNA, SAN MARTIN, SAN ANTONIO, RIO LINDO, ALTO GRANDE.. REPORTE DEL CREPAD. DESBORDAMIENTO RIO NEGRO, REPORTE DEL CREPAD.</t>
  </si>
  <si>
    <t>VEREDA LA SELVA. REPORTE DEL CREPAD.</t>
  </si>
  <si>
    <t>REIO HILO. VEREDA CENTRO. REPORTE DEL CREPAD. PEUNTES EL CURAL,LA LIBERTAD</t>
  </si>
  <si>
    <t>CRECIENTE RIO BOGOTA, APULO Y CALANDAIMA. VEREDA E PORTILLO.</t>
  </si>
  <si>
    <t>REPORTE DE BOMBEROS, VEREDA EL CONSUELO Y LA CHICA.</t>
  </si>
  <si>
    <t>SECTOR TAMBORAZ. REPORTE DEL CREPAD.</t>
  </si>
  <si>
    <t>27297
27287</t>
  </si>
  <si>
    <t>24564
27394</t>
  </si>
  <si>
    <t>24569
27394</t>
  </si>
  <si>
    <t>285
24984
27295</t>
  </si>
  <si>
    <t>21211
27295</t>
  </si>
  <si>
    <t>402
27323</t>
  </si>
  <si>
    <t>DESBORDAMIENTO RIO MONO Y QUEBRADA LIBORIA. CASCO URBANO. VEREDA LA SOLEDAD, LA POLONIA, EL TIGRE, CAIMAL, LA CASCADA, SAN EUGENIO, SECTOR AGUA LINDA.. INUNDACION POR FUERTES LLUVIAS. REPORTE DEL CREPAD. EL CLOPAD ENVIA INFORME, PERO SIN PRESUPUESTO NI SOLICITUD CONCRETA DE APOYO. SE REMITE AL CREPAD.</t>
  </si>
  <si>
    <t>LOS CORDOBAS</t>
  </si>
  <si>
    <t>DESBORDAMIENTO QUEBRADA EL EBANO. REPORTE DEDEFENSA CIVIL CORREGIMIENTO EL EBANO</t>
  </si>
  <si>
    <t>REPORTE DEL CLOPAD SECTOR CHAGUALA. VIA CALARCA - ARMENIA KM 2.</t>
  </si>
  <si>
    <t>REPORTE DEL CLOPAD BARRIO LA PAZ Y CORREGIMIENTO LA FLORIDA PORVENIR</t>
  </si>
  <si>
    <t>ROMPIMIENTO DEL JARILLON. REPORTE DELA DEFENSA CIVIL, SECTOR CANAL DEL DIQUE</t>
  </si>
  <si>
    <t>DESBORDAMIENTO RIO ATRATO. REPORTE DE LA DEFENSA CIVIL.</t>
  </si>
  <si>
    <t>BARRIOS MANIZALES, GUAMALITO PARTE ALTA. REPROTE DEL CREPAD. SE HABILITAN DOS ALBERGUES EN EL COLISEO Y COLEGIO.</t>
  </si>
  <si>
    <t>REPORTE DEL CREPAD. VEREDA PRIMAVERA.</t>
  </si>
  <si>
    <t>BUESACO</t>
  </si>
  <si>
    <t>REPORTE DEL CREPAD. CASCO URBANO. VIAS SANTAMARIA - SANTAFE, SANTA FE - LA REPRESA, VERACRUZ - SAN IGNACIO, VILLA MORENO - SAN ANTONIO, SAN ANTONIO - ORTEGA.</t>
  </si>
  <si>
    <t>VIAS SAN LORENZO - SANTA MARTA, SAN LORENZO - PANAMERICANA, SAN GERARDO - SALINAS, SAN LORENZO - LA LAGUNA, SAN LORENZO - SANTA CRUZ, . REPORTE DEL CREPAD.</t>
  </si>
  <si>
    <t>LA CRUZ</t>
  </si>
  <si>
    <t>REPORTE DEL CREPAD. VEREDAS LA GAVILLA, EL PORVENIR LA ESPERANZA, SAN RAFAEL. CORREGIMIENTO DE FATIMA. DESTRUCCION DE DOS PUENTE QUEBRADA GUACARAYACO VIA APONTE -POMPEYA, EL TABLON - BUESACO, EL TABLON - SAN JOSE, EL TABLON - LA VICTORIA, LA VICTORIA - LAS MESAS, LA VICTORIA - LA CUEVA, LA VICTORIA - APONTE, EL PLAN - EL SILENCIO.</t>
  </si>
  <si>
    <t>ALBAN</t>
  </si>
  <si>
    <t>REPORTE DEL CREPAD, CORREGIMIENTOS, GUARANGAL, CEBADERO, CHAPIURCO, CAMPO BELLO.</t>
  </si>
  <si>
    <t>REPORTE DEL CREPAD VIAS LA UNION - CUSILLOS, LA UNION - SAUCE, SAUCE - RINCON CUSILLOS, LA UNION - OLIVOS, LA UNION - CERRITOS, CERRITOS - OJO DE AGUA, LA UNION - EL BRINCO.</t>
  </si>
  <si>
    <t>CHACHAGUI</t>
  </si>
  <si>
    <t>REPORTE DEL CREPAD. CORREGIMIENTO CASABUY, PASISARA, LA TEBAIDA.</t>
  </si>
  <si>
    <t>REPORTE DEL CREPAD. VIAS EL TAMBO - MOTILON, VEREDA EL POCAURCO, VIA EL TAMBO - SAN PEDRO, VIA EL TAMBO - CHUZA.</t>
  </si>
  <si>
    <t>OSPINA</t>
  </si>
  <si>
    <t>REPORTE DEL CREPAD. VIA OCAÑA - CONVENION, VEREDA OCHO.</t>
  </si>
  <si>
    <t>CACHIRA</t>
  </si>
  <si>
    <t>REPORTE DEL CREPAD. SECTOR LOS CACAOS.CAIDA DEAORBOL SOBRE VIVIENDA.</t>
  </si>
  <si>
    <t>REPORTE DEL CREPAD. SECTOR LA VEGA.</t>
  </si>
  <si>
    <t>REPORTE DEL CREPAD. SECTOR EL MIRADOR Y EL LLANITO.</t>
  </si>
  <si>
    <t>DESBORDAMIENTO RIO DAGUA. REPORTE DE DEFENSA CIVIL. CORREGIMIENTO CITONELA.</t>
  </si>
  <si>
    <t>REPORTE DEL CREPAD. VEREDA MERCADILLO.DESBORDAMIENTO QUEBRADA MENDOZA</t>
  </si>
  <si>
    <t>PAIME</t>
  </si>
  <si>
    <t>REPORTE DEL CREPAD. VIA SAN CAYETANO - PAIME Y PAIME - BOQUERON.</t>
  </si>
  <si>
    <t>REPORTE DEL CREPAD. BARRIOS SAN MARTIN, MARIA AUXILIADORA.</t>
  </si>
  <si>
    <t>REPORTE DEL CLOPAD. SECTOR CARACOL LA CURVA, BARRIOS LA PLAYITAY SANTA HELENA.</t>
  </si>
  <si>
    <t>CUMBITARA</t>
  </si>
  <si>
    <t xml:space="preserve">ROMPIMIENTO DEL DIQUE. REPORTE DEL CREPAD. </t>
  </si>
  <si>
    <t>REPORTE DESOCORRO NACIONAL</t>
  </si>
  <si>
    <t>DESBORDAMIENTO QUEBRADA LA SAPOSA, REPORTE DEL CLOPAD. SECTOR LA GAVIOTA. Y SECTOR URIBE URIBE.</t>
  </si>
  <si>
    <t>REPORTE DEL CREPAD. VIA APIA- SANTUARIO, SECTOR CRISTALES.</t>
  </si>
  <si>
    <t>REPORTE DEL CLOPAD. BARRIO SIETE DE ABRIL Y SECTOR CUCHILLA DE VILLATE.</t>
  </si>
  <si>
    <t>REPORTE DEL CREPAD. CASCO URBANO.</t>
  </si>
  <si>
    <t>CRECIENTE SUBITA RIO ANIMITO. REPORTE DEL CREPAD.VEREDA LA UNION 28.</t>
  </si>
  <si>
    <t>DESBORDAMIENTO DE RIO BITACO. REPORTE DEL CREPAD CORREGIMIENTO LA YOLOMBIA. Y SECTOR LA GUINEA VIA CALI - BUENAVENTURA</t>
  </si>
  <si>
    <t>REPORTE DEL CLOPAD BARRIO SABANA VERDE, SAN RAFAEL, LA FLORIDA, ANTONIO SANTOS, LA VICTORIA, SEVILLA, SECTOR CERRO NORTE</t>
  </si>
  <si>
    <t>DESBORDAMIENTO DE LOS RIOS GRITA, ZULIA Y Y PAMPLONITA. REPORTE DEL CREPAD. BARRIOS LA UNION, SAN IGNACIO DEL COCUY, LA ISLA. FAMILIAS EVACUADAS EN DOS ALBERGUES.</t>
  </si>
  <si>
    <t>DESBORDAMIENTO RIO TACHIRA. REPORTE DEL CREPAD. SECTOR LA PARADA. Y DESLIZAMIENTO EN BARRIOS NARIÑI, SAN GREGORIO, 20 DE JULIO, SANTANDER.</t>
  </si>
  <si>
    <t>REPORTE DEL CREPAD. BARRIOS LAUREANO GOMEZ, GREGORIO MONTES.</t>
  </si>
  <si>
    <t>REPROTE DEL CREPAD. SCTOR PRIMERO DE MAYO. CORREGIMIENTO LA SAN JUANA Y CASCO URBANO</t>
  </si>
  <si>
    <t>DESBORDAMIETNO RIO CAUCA, CORREGIMIENTO CALICHE, EL GUARE Y SAN FERNANDO. REPORTE DEL CREPAD.</t>
  </si>
  <si>
    <t>DESBORDAMIENTO RIO JAMUNDI. BARRIOS EL ROSARIO, SACHAMATE, LA PRADERA DESBORDAMIENTO QUEBRADA ROBLES AFECTANDO EL CORREGIMIENTO DE ROBLES..DESBORDAMIEBNTO QUEBRADA QUINAMAYO CORREGIMIENTO QUINAMAYO.  CORREGIMEINTO VILLA PAZ Y BARRIO CIRO VELASCO. . REPORTE DEL CREPAD.</t>
  </si>
  <si>
    <t>AFECTADA VIA JIGUALES - PUENTE TIERRA.Y BARRIO LA PALMA.  REPORTE DEL CREPAD</t>
  </si>
  <si>
    <t>DESBORDAMIENTO QUEBRADA LA SIRENA. REPORTE DEL CREPAD. CORRGIMIENTO SANTA HELENA.</t>
  </si>
  <si>
    <t>REPORTE DEL CRPAD BARRIOS LAS AGUITAS Y SAN PEDRO Y CARRETERO Y VEREDA GUAYABAL.</t>
  </si>
  <si>
    <t>BARRIO ALAMOS, GRAN COLOMBIA, PATIO BONITO Y CORREGIMIENTO LOBOGUERRERO. Y VIAS A LOS CORREGIMIENTOS EL PALMAR Y CISNEROS. REPORTE DEL CREPAD.</t>
  </si>
  <si>
    <t xml:space="preserve">DEBORDAMIENTO RIOS FRALE, PALMIRA, BOLO Y TIMBIQUE. CORREGIMIENTO ROZO SECTOR LA ACEQUIA. REPORTE DE LA DEFENSA CIVIL. </t>
  </si>
  <si>
    <t>ALBANIA</t>
  </si>
  <si>
    <t>MUNICIPIO CON RACIONAMIENTO DE AGUA Y/O DESABASTECIMIENTO POR PROBLEMAS DE SEQUI DEBIDO AL FENOMENO DE EL NIÑO. REPORTE DEL MAVDT. MEDIDA PREVENTIVA PARA FORZAR AHORRONO EXISTE PLAN DE CONTIGENCIA FORMAL. EN CASO DE DESABASTECIMIENTO SE CONTEMPLA EL ALQUILER DE CARROTANQUES. ADICIONALMENTE SE PROYECTA LA RECUPERACIÓN DE LA LINEA DE LA CARZADA.</t>
  </si>
  <si>
    <t>MUNICIPIO CON RACIONAMIENTO DE AGUA Y/O DESABASTECIMIENTO POR PROBLEMAS DE SEQUI DEBIDO AL FENOMENO DE EL NIÑO. REPORTE DEL MAVDT. ESTAS VEREDAS CAPTAN DE ESCORRENTIAS, PORQUE LA LINEA DE LA PTAP AL TANQUE DE ALMACENAMIENTO NO ESTA EN FUNCIONAMIENTO.</t>
  </si>
  <si>
    <t>SOLANO</t>
  </si>
  <si>
    <t>MUNICIPIO CON RACIONAMIENTO DE AGUA Y/O DESABASTECIMIENTO POR PROBLEMAS DE SEQUI DEBIDO AL FENOMENO DE EL NIÑO. REPORTE DEL MAVDT. EL MUNICIPIO TIENE LA SITUACIÓN CONTROLADA. SE ESTÁN REALIZANDO CONTROLES PARA RETIRAR CONEXIONES ILEGALES PARA QUE  EN LA CAPTACIÓN SE INCREMENTE EL CAUDAL.</t>
  </si>
  <si>
    <t>LA SITUACION FUE TRATADA EN CONSEJO COMUNITARIO DEL 31 DE ENERO Y LA SOLICITUD FUE APROBADA POR EL PRESIDENTE DE LA REPUBLICA. REVISADO EL PRESUPUESTO SE TRAMITA EL APOYO.</t>
  </si>
  <si>
    <t>REPORTE DEL CREPAD Y CLOPAD. APOYO DEL FNC EN ALIMENTOS</t>
  </si>
  <si>
    <t>VEREDAS CARRAPAL ALTO, MONTAÑA NEGRA, SAN GIL,  Y ESCUELAS DE LAS VEREDAS SAN GIL, SANTIAGO Y REMOLINO. REPORTE DEL CREPAD Y CLOPAD.. APOYO DEL FNC EN LAMINAS DE ZINC (100)</t>
  </si>
  <si>
    <t>VEREDAS CHOPRRILLO, PUEBLO NUEVO Y SAN GIL . REPORTE DEL CREPAD Y CLOPAD.  APOYO DEL FNC EN LAMINAS DE ZINC (100).</t>
  </si>
  <si>
    <t xml:space="preserve">REPORTE DEL CLOPAD. </t>
  </si>
  <si>
    <t>TUBARA</t>
  </si>
  <si>
    <t>APOYO DEL FNC MEDIANTE GIRO AL CLOPAD PARA PAGO DE SUBSIDIO DE ARRIENDO PARA LAS 24 FAMILIAS AFECTADAS DURANTE LOS MESES DE FEBRERO DE 2009 A ENERO DE 2010.</t>
  </si>
  <si>
    <t>SE APOYA TENIENDO EN CUENTA LA MAGNITUD DE LA EMERGENCIA POR DESAVASTECIMIENTO DE AGUA.</t>
  </si>
  <si>
    <t>SE APOYA TENIENDO EN CUENTA LA NECESIDAD DE MEJORAR LA VIA COMO MECANISMO DE TRANSPORTE DE LA COMUNIDAD.</t>
  </si>
  <si>
    <r>
      <t xml:space="preserve">CORREGIMIENTO SANTA RITA DEL OPON. </t>
    </r>
    <r>
      <rPr>
        <b/>
        <sz val="9"/>
        <rFont val="Arial"/>
        <family val="2"/>
      </rPr>
      <t>APOYO DEL FNC MEDIANTE GIRO DIRECTO AL CLOPAD PARA ALQUILER DE MOTONIVELADORA, RETROEXCAVADORA Y MALLA DE GAVION.</t>
    </r>
  </si>
  <si>
    <r>
      <t xml:space="preserve">VEREDA LA LAGUNA Y LA LOMA. </t>
    </r>
    <r>
      <rPr>
        <b/>
        <sz val="9"/>
        <rFont val="Arial"/>
        <family val="2"/>
      </rPr>
      <t>APOYO DEL FNC MEDIANTE GIRO DIRECTO AL CLOPAD PARA LA ADQUISICION DE 150 TANQUES DE 500 LITROS Y 2 VEJIGAS POR VALOR DE $46,000,000.</t>
    </r>
  </si>
  <si>
    <t>ABREGO</t>
  </si>
  <si>
    <t>252
153</t>
  </si>
  <si>
    <t>153
142</t>
  </si>
  <si>
    <t>AYAPEL</t>
  </si>
  <si>
    <t>VEREDA ALTO MIRA. REPORTE DEL CREPAD</t>
  </si>
  <si>
    <t>VEREDA PEÑAS BLANCAS. REPORTE DEL CREPAD .</t>
  </si>
  <si>
    <t>COTORRA</t>
  </si>
  <si>
    <t>PUERTO COLOMBIA</t>
  </si>
  <si>
    <t>227
247
266</t>
  </si>
  <si>
    <t>SE APOYA DE MANERA COMPLEMENTARIA A LOS ESFUERZOZ LOCALES Y REGIONALES</t>
  </si>
  <si>
    <t>TALAIGUA NUEVO</t>
  </si>
  <si>
    <t>APOYO GLOPAL PARA LOS MUNICIPIOS DE PUERTO WILCHES, BARRANCABERMEJA, CIMITARRA, PUERTO PARRA, SIMACOTA, JESUS MARIA, BUCARAMANGA, GALAN OALMAS DEL SOCORRO.</t>
  </si>
  <si>
    <t>SE APOYA TENINEDO EN CUENTA LA MAGNITUD DE LA EMERGENCIA</t>
  </si>
  <si>
    <t>APOYO MEDIANTE 70000 SACOS</t>
  </si>
  <si>
    <r>
      <t xml:space="preserve">AFECTACION POR EL FENOMENO DEL NIÑO. </t>
    </r>
    <r>
      <rPr>
        <b/>
        <sz val="9"/>
        <rFont val="Arial"/>
        <family val="2"/>
      </rPr>
      <t>SE DEVUELVE YA QUE LA SOLICITUD LLEGO EXTEMPORANEA EN TEMPORADA INVERNAL</t>
    </r>
  </si>
  <si>
    <r>
      <t>AFECTACION POR EL FENOMENO DEL NIÑO</t>
    </r>
    <r>
      <rPr>
        <b/>
        <sz val="9"/>
        <rFont val="Arial"/>
        <family val="2"/>
      </rPr>
      <t>. SE DEVUELVE YA QUE LA SOLICITUD LLEGO EXTEMPORANEA EN TEMPORADA INVERNAL</t>
    </r>
  </si>
  <si>
    <t>DIBULLA</t>
  </si>
  <si>
    <t>ERUPCION VOLCANICA</t>
  </si>
  <si>
    <t>VEREDA LAS VEGAS, SECTOR EL VOLCAN, REPORTE DE LA DEFENSA CIVIL Y EL CREPAD.</t>
  </si>
  <si>
    <t>EL TAMBO</t>
  </si>
  <si>
    <t>270
274</t>
  </si>
  <si>
    <t>270
279</t>
  </si>
  <si>
    <t>ACANDI</t>
  </si>
  <si>
    <r>
      <t>PEÑALOSA, SAN MIGUEL, CHUGANDI, SANTA CRUZ CALETA. REPORTE DEL CLOPAD.</t>
    </r>
    <r>
      <rPr>
        <b/>
        <sz val="9"/>
        <rFont val="Arial"/>
        <family val="2"/>
      </rPr>
      <t xml:space="preserve"> APOYO DEL FNC MEDIANTE GIRO DIRECTO AL CLOPAD PARAM CNSTRUCCION ESTRUCTURA DE DICIPACION TEMPORAL RIO TOLO, CORREGIMIENTO DE PEÑALOZA</t>
    </r>
  </si>
  <si>
    <t>CRECIENTE RIO ATRATO. APOYO MEDIANTE GIRO DIRECTO AL CLOAPD PARA ADQUISICON DE MACHETES, HACHAS Y GASOLINA PARA APOYAR OPERATIVOS DE EMERGENCIA.</t>
  </si>
  <si>
    <t>266
270
271</t>
  </si>
  <si>
    <t>GONZALEZ</t>
  </si>
  <si>
    <t>BARRIO GUCAMAYA SECTOR DE LOS CUROS. REPORTE DEL CLOPAD.</t>
  </si>
  <si>
    <t>INUNDACION POR FUERTES LLUVIAS Y DESBORDAMIENTO DEL RIO MANZANARES. BARRIOS SIMON BOLIVAR LAS VEGAS, LOS ALPES, CENTRO Y ALMENDROS EN TOTAL 30 BARRIOS AFECTADOS. REPORTE DE CREPAD Y CLOPAD</t>
  </si>
  <si>
    <t>SECTORES NAZARETH PROTECHO 1 Y 2, URBANIZACION VILLA CLARA Y MODELIA 1 Y 2. REPORTE DEL CREPAD</t>
  </si>
  <si>
    <t>VEREDA CARACOLI. REPORTE DEL CREPAD.</t>
  </si>
  <si>
    <r>
      <t>VIA QUE CONDUCE A LA VEREDA JABONERA Y SAN ROQUE. SOLICTAN RECURSOS PARA LA VIA.</t>
    </r>
    <r>
      <rPr>
        <b/>
        <sz val="9"/>
        <rFont val="Arial"/>
        <family val="2"/>
      </rPr>
      <t xml:space="preserve"> PASA A EVALUACION POR PROYECTO.</t>
    </r>
  </si>
  <si>
    <r>
      <t>DESBORDAMIENTO ARROYO EL TIGRE. REPORTE DE LA DEFENSA CIVIL</t>
    </r>
    <r>
      <rPr>
        <b/>
        <sz val="9"/>
        <rFont val="Arial"/>
        <family val="2"/>
      </rPr>
      <t>. PASA AL GRUPO DE SOPORTE  LA GESTION YA QUE LA SOLICITUD ES PARA BANCO DE MATERIALES PARA VIVIENDA</t>
    </r>
  </si>
  <si>
    <r>
      <t xml:space="preserve">CORREGIMIENTO SAN JOSE DE SACO. </t>
    </r>
    <r>
      <rPr>
        <b/>
        <sz val="9"/>
        <rFont val="Arial"/>
        <family val="2"/>
      </rPr>
      <t>PASA A EVALUACION DE SOPORTE A LA GESTION POR SER TEMA DE VIVIENDA.</t>
    </r>
  </si>
  <si>
    <t>SOLICITUD PARA BANCO DE MATERIALES VIVIENDA</t>
  </si>
  <si>
    <t>96629
98122</t>
  </si>
  <si>
    <t>EL VALOR DE OTROS CORRESPONDE DOS MOTORES FUERA DE BORDA Y DOS MOTOBOMBAS</t>
  </si>
  <si>
    <t>281
283</t>
  </si>
  <si>
    <t>39301
38422
35157</t>
  </si>
  <si>
    <t>CHIMICHAGUA</t>
  </si>
  <si>
    <t>PUEBLO BELLO</t>
  </si>
  <si>
    <t>RIO DE ORO</t>
  </si>
  <si>
    <t>PELAYA</t>
  </si>
  <si>
    <t>EL PASO</t>
  </si>
  <si>
    <t>SIN CENSOS</t>
  </si>
  <si>
    <t>SE APOYA TENIENDO EN CUENTA LA IMPORTANCIA DE LA LIMPIEZA DE LOS RIOS</t>
  </si>
  <si>
    <r>
      <t xml:space="preserve">COMUNIDADES INDIGENAS DE SAN JOSE LA MANSA, Y CHURICHI. DESBORDAMIENTO DEL RIO BUEY. REPORTE DEL CLOPAD AVAL EL CREPAD. </t>
    </r>
    <r>
      <rPr>
        <b/>
        <sz val="9"/>
        <rFont val="Arial"/>
        <family val="2"/>
      </rPr>
      <t>GIRO DIRECTO PARA LA ADQUISICION DE 233 MACHETES Y 5790 GALONES DE COMBUSTIBLE PARA LABORES OPERATIVAS</t>
    </r>
  </si>
  <si>
    <r>
      <t>CABECERA MUNICIPAL Y CORREGIMIENTO PUERTO NIÑO.</t>
    </r>
    <r>
      <rPr>
        <b/>
        <sz val="9"/>
        <rFont val="Arial"/>
        <family val="2"/>
      </rPr>
      <t xml:space="preserve"> APOYO ADICIONAL DEL FNC MEDIANTE GIRO DIRECTO AL CLOPAD PARA APOYAR LA RECONSTRUCCION Y REALCEDEL DIQUE MARGUINALEN EL CORREGIMEINTO DE PUERTO NIÑO</t>
    </r>
  </si>
  <si>
    <t>APOYO DEL FNC MEDIANTE GIRO DIRECTO AL CLOPAD PARA LA ADQUISICION DE MACHETES  Y GASOLINA PARA APOYAR LOS OPERATIVOS DE EMERGENCIA.</t>
  </si>
  <si>
    <t>REPORTE DEL CREPAD Y CLOPAD. APOYO DEL FNC MEDIANTE GIRO DIRECTO AL CLOPAD PARA LA ADQUISICION DE MACHETES Y GASOLINA PARA APOYAR LOS OPERATIVOS DE EMERGENCIA.</t>
  </si>
  <si>
    <t>APOYO EN SACOS</t>
  </si>
  <si>
    <t>SE APOYA COMO MEDIDA DE MITIGACION FRENTE A INUNDCIONES</t>
  </si>
  <si>
    <t>EXPLOSION DE FABRICA CLANDESTINA DE POLVORA. BARRIO LOS SAUCES. CR.1 CALLE 17 REPORTE DEL CLOPAD</t>
  </si>
  <si>
    <t>BARRIO POZO LLANO Y PINZON VEREDAS SAN EMGDIO SAN JUAN SAN ISISDRO, VIA PUWEBLITO BOYACENSE Y VEREDA EL CHORRITO. REPROTE DEL CREPAD</t>
  </si>
  <si>
    <t>267
266
275
271
284</t>
  </si>
  <si>
    <t>GENOVA</t>
  </si>
  <si>
    <t>REPORTE DEL CLOPAD Y AVAL DE CLOPAD. VIAS:VUELTA DE LA OREJA- VEREDA TOPACITA ALTA, TOPACITA ALTA- FINCA EL JARDIN, FINCA EL JARDIN - BATALLON ALTA MONTAÑA, VEREDA GUACAS - FINCA LAS MIRLAS, SECTOR ALTO DE LA CRUZ, VIA EL SEDAL - BATALLON ALTA MONTAÑA - ALTOS DE LAS PALOMAS, RIO ROJO - VEREDA EL PENCIL, LA COQUETA- LA PRIMAVERA - PEDREGALES, RIO GRIZ - SAN JUAN,M RIO GRIS - EL PINO, SAN JUAN - LAS COLINAS - COSTA RICA, CUMARAL - LA PLAYITA, CUMARAL - LA MIRANDA, CUMARAL - EL CAIRO, EL DORADO - LA CASCADA.</t>
  </si>
  <si>
    <t>APOYO DEL FNC MEDIANTE GIRO DIRECTO AL CLOPAD PARA LA CONSTRUCCION DE DOCE VIVIENDAS, OCHO EN EL CENTRO DE AFLUENCIA PUERTO EUGENIO Y CUATRO EN LA ZONA URBANA.</t>
  </si>
  <si>
    <t>VEREDA LOS CORALES CORREGIMIENTOS EL CHINO, NUEVO MILENIO,VILLA NUEVA, SAN FRANCISCO, LAS LOMAS. REPORTE DE LA EFENSA CIVIL. DESBORDAMIENTO DE  LA CIÉNAGA GRANDE DE PURÍSIMA Y SE AFECTARON DIVERSOS BARRIOS: TALES SAN FRANCISCO SAN FERNANDO, EL POZO, EL CORREGIMIENTO DE LOS CORRALES Y ZONAS ALEDAÑAS.</t>
  </si>
  <si>
    <t>REPORTE DE LA CRUZ ROJA. EL COMITÉ LOCAL DEL MUNICIPIO INFORMÓ  QUE SE PRESENTARON EMERGENCIAS TALES COMO DESLIZAMIENTOS, REPRESAMIENTOS, CRECIENTES SÚBITAS, DESPLOME Y DESTECHAMIENTO DE VIVIENDA Y AVENIDAS TORRENCIALES DEBIDO A LAS FUERTES LLUVIAS QUE OCASIONARON EL DESBORDAMIENTO DEL CAÑO DE AGUAS PRIETAS DE CIENAGA DE ORO, AFECTANDO  SECTOR URBANO Y RURAL  :  B. WINTONG LORA, B. SAN MARTÍN, B. 13 DE MAYO, CASERÍO SUAREZ, BEL MILAGRO, B. FÁTIMA, B. SEIS DE ENERO, VEREDA SOLEDAD, CORREGIMIENTO LOS MIMBRES,-LAS PALOMAS, VEREDA BOCA DE CATABRE, VEREDA CHARCO AJÍ, CORREGIMIENTO PUNTA DE YÁNEZ, VEREDA EL HIGAL PARA UN TOTAL  DE 890 FAMILIAS.</t>
  </si>
  <si>
    <t xml:space="preserve">DESBORDAMIENTO CAÑO AGUAS PRIETAS Y CIENAGA CHARCO GRANDE. BARRIOS CASTILLERAL, COREA, LOS ABETOS, SAN NICOLÁS, REMEDIA, POBRE, SANTA TERESITA,,  VEREDAS GUAYABAL Y CANTARANA. REPORYTE DE DEFENSA CIVIL. Y DEL CLOPAD-COMITÉ LOCAL </t>
  </si>
  <si>
    <t>DESBORDAMIENTO RIO SAN JORGE. AFECTADOS TRES BARRIOS. VEREDAS BOCAS DE MANUELITA, ARAÑA Y PICA PICA. REPORTE DE CREPAD. EN ATENCIÓN AL REPORTE DEL COMITÉ LOCAL DEL MUNICIPIO DEBIDO A LAS FUERTES LLUVIAS ACOMPAÑADOS DE VIENTOS HURACANADOS, OCASIONARON DESBORDAMIENTO DEL RIO SAN JORGE, CAÑO BURGOS Y QUEBRADA MUCHA JAGUA AFECTADO A LA MENCIONADA POBLACIÓN EN LAS VEREDAS  EL ONCE, BOCA DE LA MANUELITA, DESBORDAMIENTO DEL SAN JORGE,  BARRIO VILLA CLEMEN-DESBORDAMIENTO DE LA QUEBRADA MUCHAJAGUA. PARA UN TOTAL DE 530 FAMILIAS.</t>
  </si>
  <si>
    <t>DE ACUERDO A LOS REPORTES DEL COMITÉ LOCAL DE PREVENCIÓN Y ATENCIÓN DE DESASTRE LAS CONTINUAS LLUVIAS Y CON EL FENÓMENO  CONOCIDO COMO CRECIENTE DE MONTE POR DESBORDAMIENTO DE ARROYO EL DILUVIO, SE PRESENTARON INUNDACIONES EN LOS CORREGIMIENTOS DE SABANA  Y EN LAS VEREDAS : CAÑOELAR, NAPAL, LA TRAMPA, LATAL OCASIONANDO PERDIDA DE CULTIVOS PARA UN TOTAL DE 129 FAMILIAS</t>
  </si>
  <si>
    <r>
      <t>DE ACUERDO A LA INFORMACIÓN DEL COMITÉ LOCAL Y DEBIDO A LAS INTENSAS LLUVIAS SE PRESENTARON INUNDACIONES POR CAUSA DE LA CRECIENTE DE LOS RIOS SAN PEDRO, SAN JORGE Y SUS AFLUENTES AFECTADO A LOS HABITANTES DE LOS</t>
    </r>
    <r>
      <rPr>
        <b/>
        <sz val="9"/>
        <rFont val="Arial"/>
        <family val="2"/>
      </rPr>
      <t>–</t>
    </r>
    <r>
      <rPr>
        <sz val="9"/>
        <rFont val="Arial"/>
        <family val="2"/>
      </rPr>
      <t>CORREGIMIENTOS TORNO ROJO,  PUERTO CAREPA,  JUAN JOSE, CORREGIMIENTO PICA PICA, VEREDAS: SALAO, SANTA FE, BETULIA, EL CAMPANO, UCRANIA , PLAYA RICA.</t>
    </r>
  </si>
  <si>
    <t>DEBIDO A LAS FUERTES LLUVIAS  SE PRODUJO DESBORDAMIENTO DEL ARROYO CAROLINA  Y LA REPRESA DEL BARRIO. PALMASORIANA OCASIONANDO AFECTACIONES A  110 FAMILIAS  DE LA  ZONA URBANA BARRIOS PALMA SORIANA, LA PAZ, CENTENARIO Y  LAURELES - 10 DAMNIFICADAS..</t>
  </si>
  <si>
    <t>DEBIDO A LAS TEMPORADA INVERNAL SE PRESENTARON EMERGENCIAS POR DESBORDAMIENTO DE LA CIÉNAGA  GRANDE AFECTANDO A LOS MORADORES DEL SECTOR URBANO: BARRIOS EL ROBLE, LAS LAMAS, EL BOLSILLO, VILLA CECILIA, EL MAMÒN, EL RINCÓN, PARA UN TOTAL DE 588 FAMILIAS AFECTADAS ZONA URBANA  DESBORDAMIENTO CIÉNAGA GRANDE.</t>
  </si>
  <si>
    <t>DE ACUERDO AL INFORME  POR EL COMITÉ LOCAL SE PRESENTARON EMERGENCIAS DEBIDO A LAS INTENSAS LLUVIAS Y AUMENTO DEL NIVEL DEL RIO SINU EN LOS CORREGIMIENTOS DE LOS GÓMEZ, MATA DE CAÑA, COTOCA ARRIBA, PALO DE AGUA, NARIÑO Y COTOCA ABAJO OCASIONANDO INUNDACIONES EN LA POBLACIÓN   FAMILIAS AFECTADAS.  VEREDA MOMPOX Y MARACAYO  PARA UN TOTAL DE 690 FAMILIAS AFECTADAS.</t>
  </si>
  <si>
    <t xml:space="preserve">SE PRESENTARON EMERGENCIAS DEBIDO A LAS CONTINUAS LLUVIAS Y  A QUE LA QUEBRADA CHAPINERO DESEMBOCA EN EL RIO SINÙ  OCASIONANDO AFECTACIONES A LA POBLACIÓN DEL SECTOR URBANO Y RURAL TALES COMO : BARIOS : AMAURY, PARAISO, RECREO, LA PAZ, MONTEVIDEO,, VILLA VERDE, ALFONSO LOPEZ, SANTA FE, VILLA VERDE, LA UNIÒN, L A PALMA, VILLA NAZARET GALAN Y ESMERALDA, LAS VEREDAS DE JUAN LEÓN ARRIBA, NUEVA UNIÓ, NUEVO ORIENTE PASACABALLO, TUIS TUIS, NUEVO TAY  </t>
  </si>
  <si>
    <t>AUMENTO DEL NIVEL DEL RIO SAN JORGE –DESBORDAMIENTO DE LA CIENGA DE CINTURA AFECTANDO LOS CORREGIMIENTOS  DE CINTURA, PUERTO LETICIA, NUEVA ESPERANZA Y EL PORRO SANTA ROSA DE ARCIAL, EL CHISPAL, EL DESEO PARA UN TOTAL DE FAMILIAS AFECTADAS 301</t>
  </si>
  <si>
    <t>PUEBLO NUEVO</t>
  </si>
  <si>
    <t xml:space="preserve">DESBORDAMIENTO RIO RANCHERIA PUENTE EN RIOHACHA. REPORTE DE CRUZ ROJA </t>
  </si>
  <si>
    <t>APOYO A PERSONAL DE LA DGR EN LOS TURNOS EN LA SALA DE ESTRATEGIA Y LA DGR EN EL MONITOREO DE INCENDIOS FORESTALES (100 RACIONES, 48 ATUNES, 48 JUGOS, 48 TACOS DE GALLETAS, BOCADILLOS, UNAS PASAS Y REFRESCO)</t>
  </si>
  <si>
    <t>SAN LORENZO</t>
  </si>
  <si>
    <t>REPORTE DEL CLOPAD. SOLICITAN RECONSTRUCCION DE LA BOCATOMA Y DEL DISTRITO DE RIEGO.</t>
  </si>
  <si>
    <t>PALMAR DE VARELA</t>
  </si>
  <si>
    <t>SANTA LUCIA</t>
  </si>
  <si>
    <t>SE APOYA TENIENDO EN CUENTA LA MAGNITUD DE LAS PERDIDAS Y EL ESFUERZO LOCAL.</t>
  </si>
  <si>
    <t>185
62
61</t>
  </si>
  <si>
    <t>DESBORDAMEINTO RIO PURNIO. VEREDA CHOCHAL.</t>
  </si>
  <si>
    <t>DESABASTECIMIENTO DE AGUA. INSPECCION SALAMINA Y PUERTO VALDIVIA... REPORTE DEL CREPAD. EN EVALUACION SOLICITUD DE MANGUERA EN ESPERA DE ESPECIFICACIONES</t>
  </si>
  <si>
    <t>CIENAGA DE ORO</t>
  </si>
  <si>
    <t>MUNICIPIO CON DESABASTECIMIENTO POR PROBLEMAS DE SEQUIA DEBIDO AL FENOMENO DE EL NIÑO. REPORTE DEL MAVDT</t>
  </si>
  <si>
    <t>COROZAL</t>
  </si>
  <si>
    <t>DESABASTECIMIENTO DE NUEVE CORREGIMIENTOS DE ZONA RURAL REPORTE DEL ALCALDE MUNICIPAL</t>
  </si>
  <si>
    <t>META</t>
  </si>
  <si>
    <t>EL CASTILLO</t>
  </si>
  <si>
    <t>REPORTE DE LA CRUZ ROJA. PRELIMINAR.</t>
  </si>
  <si>
    <t>MANIZALES</t>
  </si>
  <si>
    <t>REPORTE DE LA DEFENSA CIVIL PRELIMINAR</t>
  </si>
  <si>
    <t>HATO COROZAL</t>
  </si>
  <si>
    <t>VEREDAS EL CACAO, PAPAYAL, EL LOBO, CAJAMBRE, SECADERO, CUMBA, ISLA PLADA, PERDIDA DE ENSERES. REPORTE DEL CREPAD.</t>
  </si>
  <si>
    <t>SE APOYA TENIENDO EN CUENTA LA AFECTACION A NIVEL MUNICIPAL Y DEPARTAMENTAL QUE HA DESBORDADO LAS CAPACIDADES DE RESPUESTA</t>
  </si>
  <si>
    <t>BARRIO CHAMBACU. REPORTE DE LA DEFENSA CIVIL.</t>
  </si>
  <si>
    <t>MINA DE ORO POR ACUMULACION DE GASES. MINA DE ORO EL SOCABON REPORTE DE LA DEFENSA CIVIL.</t>
  </si>
  <si>
    <t>TOPAGA</t>
  </si>
  <si>
    <t>DESPRENDIMIENTO DE ROCA EN LA MINA DE CARBON.  EUSTAQUIO 2. VEREDA TRAVIESA. REPORTE DEL CREPAD.</t>
  </si>
  <si>
    <t>REPORTE DEL CREPAD. INUNDACION POR DESBORDAMIENTO DEL RIO MAGDALENA. BARRIOS LA BONGA, PATIO LARGO, QUINCE DE AGOSTO, SIETE DE AGOSTO, EL PASITO, DOCE DE OCTUBRE, EL MERCADO, EL PORVENIR NUEVO TRIUNGFO.</t>
  </si>
  <si>
    <t>EREPORTE DEL CREPAD</t>
  </si>
  <si>
    <t>DESBORDAMIENTO RIO PAZ DE ARIPORO. REPORTE DE DEFENSA CIVIL</t>
  </si>
  <si>
    <t xml:space="preserve">DESBORDAMIENTO ARROYO GRANDE. PENDIENTE AFECTACION REPORTE DEL CREPAD. BARRIOS SANC ARLOS, AMERICAS, EL CORCHO, CENTRO, NORTE 1 Y 2, EL SILENCIO Y LAS MARGARITAS. </t>
  </si>
  <si>
    <t>DESBORDAMIENTO RIO RANCHERIA CORREGIMIENTO CUCURUMANA Y MANTECAI. REPORTE DE LA DEFENSA CIVIL. PENDIENTE AFECTACION.</t>
  </si>
  <si>
    <r>
      <t xml:space="preserve">TODA LA CABECERA MUNICIPA Y DOCE CORREGIMIENTOS. REPROTE DE LA DEFENSA CIVIL. </t>
    </r>
    <r>
      <rPr>
        <b/>
        <sz val="9"/>
        <rFont val="Arial"/>
        <family val="2"/>
      </rPr>
      <t>El VALOR DE OTROS CORRESPONDE AL SUMINSITRO DE UNA MOTOBOMBA DE 10"</t>
    </r>
  </si>
  <si>
    <t>PUERTO LLERAS</t>
  </si>
  <si>
    <t>ERUPCION VOLCAN DE LODO. CORREGIMIENTO DE SANTA FE DE LAS PLATAS. EVACUADAS 40 VIVIENDA SPREVENTIVAMENTE. REPORTE DEL CREPAD.</t>
  </si>
  <si>
    <t>BARRIO LAS BRISAS REPORTE DEL CREPAD.</t>
  </si>
  <si>
    <t>DESBORDAMIENTO RIO MAGDALENA. REPORTE DEL CREPAD</t>
  </si>
  <si>
    <t>DESBORDAMIENTO RIO MAGDALENA ZONA URBANA Y VEREDA CAIMITAL. REPORTE DEL CLOPAD Y SOCORRO NACIONAL</t>
  </si>
  <si>
    <t>DESBORDAMIENTO RIO MAGDALENA. REPORTE DEL SOCORRO NACIONAL</t>
  </si>
  <si>
    <t>VIA EL AGUILA - CARTAGO REPORTE DELCREPAD.</t>
  </si>
  <si>
    <t>ENVIGADO</t>
  </si>
  <si>
    <t>VEREDA GUAYACANES SECTOR ARENALES. REPORTE DEL CREPAD.</t>
  </si>
  <si>
    <t>CALOTO</t>
  </si>
  <si>
    <t>SECTOR URBANO. REPORTE DEL CREPAD</t>
  </si>
  <si>
    <t>BOSCONIA</t>
  </si>
  <si>
    <t>EXPLOSION DE MINA DE ORO DE NOMBRE EL CHOCO. REPORTE DEL CREPAD.</t>
  </si>
  <si>
    <t>REPORTE DEL CREPAD Y LA DEFENSA CIVIL. AFECTADA ZONA URBANA. EL 8 DE OCTUBRE EL CREAD ENVIA OFICIO COLICITANDO EN REGISTRO DE LA INFORMACION EN LA BASE DE DATOS, NO HAY SOLICITUD CONCRETA DE APOYO PASA A VIVIENDA Y AGRICULT.</t>
  </si>
  <si>
    <t>DESLIZAMIENTO EN LA VEREDA BARRAGAN.  REQUIEREN LA DEMOLICION DE 160 M3 DE CONCRETO Y SUBSIDIO PARA 20 FAMILIAS. REPOROTE DEL CLOPAD. PASA A COORDINACION REGIONAL. EL CREPAD ENVIO OFICIO EL 8 DE OCTUBRE SOLICITANDO REGISTRO EN EL SISTEMA. NO HAY SOLICITUD DE APOYO PASA A VIVIENDA Y AGRICULT.</t>
  </si>
  <si>
    <t>MEDIANTE OFICIO DEL 8 DE OCTUBRE EL CREPAD ENVIA OFICIO SOLICITANDO EL REGISTRO EN EL SISTEMA DE LA INFORMACION. NO HAY SOLICITUD DE APOYO PASA A VIVIENDA Y AGRICULT.</t>
  </si>
  <si>
    <t>DESBORDAMIENTO RIO SALAQUI. AFECTADAS LAS COMUNIDADES DE PLAYA BONITA, CAÑO SECO, SALAQUISITO, TAMBORAL, VILLANUEVA, PLAYA AGUIRRE, REGADERO Y PUEBLO NUEVO.  REPORTE DE LA CRUZ ROJA.</t>
  </si>
  <si>
    <t>FECHA</t>
  </si>
  <si>
    <t>SE APOYA DE MANERA COMPLEMENTARIA A LOS ESFUERZOS LOCALES Y REGIONALES. LA TOTALIDAD DE LA POBLACION AFECTADA FUEBENEFICIADA CON RECURSOS DEL FNC DURANTE A TEMPORADA INVERNAL</t>
  </si>
  <si>
    <t>GUACHENE</t>
  </si>
  <si>
    <t>PUERTO TEJADA</t>
  </si>
  <si>
    <t>SANTANDER DE QUILICHAO</t>
  </si>
  <si>
    <t>TORIBIO</t>
  </si>
  <si>
    <t>270
24557
388</t>
  </si>
  <si>
    <t>389
391</t>
  </si>
  <si>
    <t>27430
390
391</t>
  </si>
  <si>
    <t>INCENDIO EN IGLESIA SAN PIO X, BARRIO LA ENEA, REPORTE DE LA CRUZ ROJA</t>
  </si>
  <si>
    <t>ACUEDUCTOS AFECTADOS DE FELICIANA, VERGEL, BELLA VIATA, BOLIVAR, PORTO VIEJO, SECTORES DE BELLA VISTA, BOLIVAR Y VERGEL. REPROTE DEL CREPAD.</t>
  </si>
  <si>
    <t>CORREGIMIENTO LAS MESAS, VEREDA EL CARMELO. REPORTE DEL CREPAD. VIA APONTE - POMPEYA.</t>
  </si>
  <si>
    <t>VIAS TAMINANGO - CHANGUAYACO, TAMINANGO - CUTACO, TAMINANGO - EL CHICAL. VEREDAS PARAMO, JUNTAS, LA COCHA, PALO, BOBO, EL HUECO, CUMBAL, SAN ISIDRO, BAJO GUAYACANAL, MEXICO.</t>
  </si>
  <si>
    <t>VIA LA CHORRERA - CARTAGO - EL SALADO. VEREDA ACACIAS, LA CHORRERA.</t>
  </si>
  <si>
    <t>VIA EL TAMBO MOTILON KM 10 REPORTE DEL CREPAD.</t>
  </si>
  <si>
    <t>DESBORDAMIENTO QUEBRADA LA LINEA Y EL RIO BURITACA. REPORTE DE LA DEFENSA CIVIL. CORREGIMIENTO GUACHACA, SECTOR CABAÑAS DE BURITACA.</t>
  </si>
  <si>
    <t>FUERTES LLUVIAS REPORTE DE LA CRUZ ROJA CORREGIMIENTO DEL TOTUMO BARRIO LA MADERA.</t>
  </si>
  <si>
    <t>RIO ARIGUANICITO. REPORTE DEL CREPAD. AFECTADO PUENTE QUEMADO. CORREGIMIENTOS CHIMILA Y SAN FRANCISCO., VEREA PUENTE QUEMADO.</t>
  </si>
  <si>
    <t>CRECIENTE SUBITA. KM 14 VIA ACACIAS. REPORTE DE LA DEFENSA CIVIL</t>
  </si>
  <si>
    <t>CRECIENTE SUBITA RIO CESAR. CORREGIMEINTO LOS BRASILES. REPORTE DEL CREPAD.</t>
  </si>
  <si>
    <t>REPORTE DEL CLOPAD BARRIO 7 DE ABRIL.</t>
  </si>
  <si>
    <t>AFECTADA UNA BODEGA. REPORTE DE LA DEFENSA CIVIL BARRIO TOBERIN</t>
  </si>
  <si>
    <t>REPORTE DEL CREPAD. SECTOR LA JABONERA</t>
  </si>
  <si>
    <t>VIA TUNJA MONIQUIRA. REPORTE DEL CLOPAD.</t>
  </si>
  <si>
    <t>REPORTE DEL CLOPAD. BARRIO MARCO FIDEL SUAREZ. MANZANA C CASA 16.</t>
  </si>
  <si>
    <t>AVALANCHA RIO PLAYONERO. REPORTE DEL CRPAD. VEREDAS BAMBU, PEÑAS NEGRAS, TRINCHERA.</t>
  </si>
  <si>
    <t>SITIO LA Y VEREDA CABALLITO, SECTOR CAMPOLLO, VEREDAS PEÑAS NEGRAS. REPORTE DEL CREPAD.</t>
  </si>
  <si>
    <t>SECTOR INVASION DE ESPUMAS. APOYO DEL FNC MEDIANTE GIRO DIRECTO AL CLOPAD PARA ALQUILER DE MAQUINARIA PARA RECTIFICACION DE CAUCES</t>
  </si>
  <si>
    <t>CRECIENTE RIO ATRATO CORREGIMIENTO SAMURINDO, VETREDA LA MOLANA</t>
  </si>
  <si>
    <t>APOYADO A TRAVES DEL DEPARTAMENTO</t>
  </si>
  <si>
    <t>MAPIRIPAN</t>
  </si>
  <si>
    <t>BARRIO BUENOS AIRES. REPORTE DEL CREPAD.</t>
  </si>
  <si>
    <t>BARRIO LLERAS. REPORTE DEL CREPAD Y LA DCC.</t>
  </si>
  <si>
    <t xml:space="preserve">DESBORDAMIENTO CIENAGA LA CAIMANERA. Y RIO SINU. REPORTE DE LA DEFENSA CIVIL. BARRIOS EL DORADO, EL POBLADO, EL NISPERO, LA PALMA, LA VID. SUCRE, NUEVO MILENIO, MOCARI, PLAYA BRIGIDA, LOS COLORES, CORREGIMIENTOS MARTINICA, LETICIA, LAS PALOMAS, LOS GARZONES. </t>
  </si>
  <si>
    <t>AMBALEMA</t>
  </si>
  <si>
    <t>REPROTE DEL CREPAD. VEREDAS PLAYA VERDE, BELTRANCITO, SAN MARTIN, GAMBA, RASTROJO, GAJO MEDIO, EL DANUVIO.</t>
  </si>
  <si>
    <t>VEREDAS SAN ISIDRO, LA BATEA, CAUCASISA, LA ESTRELLA, PRO VIDENCIA, SAN ANTONIO, SAN BERNARDO, LAS BRISAS Y AGUADITA.  REPORTE DEL CREPAD.</t>
  </si>
  <si>
    <t>REPORTE DEL CREPAD. AFECTANDO BOCATOMA DEL ACUEDUCTO. BARRIOS PORVENIR, LAS BRISASS, MONTTELORO, LA CRUZ, VEREDAS PAUJIL, LAS CRUCES, MESA DE POLE, ANAPE Y EL VISO.</t>
  </si>
  <si>
    <t>CASCO URBANO Y ZONA RURAL. REPORTE DEL CREPAD.</t>
  </si>
  <si>
    <t>QUEBRADAS EL SALADO   AGUAS CALIENTES. REPORTE DEL CREPASD. AFECTADO CENTRO TURISTICO.TERMALES DE RIVERA.</t>
  </si>
  <si>
    <t>CASCO URBANO CENTROSA EDUCATIVOS DE ROSAFLORIDA NORTE, TIERRAS BLANCAS, SEDESARROLLOR RURAL.</t>
  </si>
  <si>
    <t>VIAS SECTOR TAMBILLO - SAN MARTIN - MIRAFLORES, REPORTE DEL CREPAD. CORREGIMIENTO MIRAFLORES SECTOR TAMBILLO</t>
  </si>
  <si>
    <t>AFECTADAS VIAS A LOS SECTORES CHILICAL, LAS CRECES, LA FRANCIA, YUNGUILLA, LUCITANIA, EL AGRADO. REPORTE DEL CREPAD SECTORES LA FRANCIA, EL AGRADO, LA CAÑADA.</t>
  </si>
  <si>
    <t>REPORTE DEL CREPAD. BARRIOS BUENOS AIRES, LAS MALVAS, OBRERO, SAN MIGUEL DE JONJOVITO Y ALAMEDA.</t>
  </si>
  <si>
    <t>VIA SAN JOSE - EL SOCORRO, SAN JOSE - LA VIAÑA, AFECTADOS CENTROS EDUCATIVOS GUARANGAL, SAN BOSCO Y CHIPLURCO.</t>
  </si>
  <si>
    <t>AFECTADO PUENTE EL TABLAZO SOBRE EL RIO SOGAMOSO.INFORMAN DE LA SITUACION PERO NO CONCRETAN SOLICITUD DE APOYO.</t>
  </si>
  <si>
    <r>
      <t>REPORTE DEL CREPAD..</t>
    </r>
    <r>
      <rPr>
        <b/>
        <sz val="9"/>
        <rFont val="Arial"/>
        <family val="2"/>
      </rPr>
      <t xml:space="preserve"> APOYO DEL FNC MEDIANMTE GIRO DIRECTO AL CLOPAD PARA LA COMPRA DE COMBUSTIBLE PARA LAS MOTOBOMBAS QUE APOYAN LA EVACUACION DE LAS AGUAS. EL VALOR DE OTROS CORRESPONDE A 500 PARES DE BOTAS.</t>
    </r>
  </si>
  <si>
    <t>233
362
235
249
259
403</t>
  </si>
  <si>
    <t>FUERTES LLUVIAS BARRIOS SIERRA GRANDE, RINCON DE SANTA FE, CENTRO COPMERCIAL MERCURIO. REPORTE DEL CREPAD,</t>
  </si>
  <si>
    <t>DESEMBOCADURA RIO BOGOTA EN EL MAGDALENA. REPORTE DEL CREPAD. BARRIOS SAN MIGUEL, SANTA HELENA, PUERTO CABRERA, LA VICTORIA, DIEZ DE MAYO CARRERA 15.</t>
  </si>
  <si>
    <t>REPORTE DEL CREPAD. VEREDAS EL CONSUELO, LA CHICA, GOLGONDA, PATIO BONITO, PANAMA, ROSARIO, SANTA ANA.</t>
  </si>
  <si>
    <t>REPORTE DEL CREPADEL MUNICIPIO DECLARO URGENCIA MANIFIESTA PARA LA EJECUCION DE LAS OBRAS QUE MITIGUEN LOS EFECTOS DE INUNDACION , EROSION Y SOCAVACION CAUSADOS POR LA QUEBRADA LA PERCHIQUEZ Y EL RIO CHICAMOCHA.</t>
  </si>
  <si>
    <t>VEREDA LA TRINCHERA. BUS ESCALERA QUE CAYO A LA QUEBRADA ESMERALDAS DEBIDO AL MAL ESTADO DE LA VIA. REPORTE DEL CLOPAD Y CREPAD.</t>
  </si>
  <si>
    <r>
      <t xml:space="preserve">AFECTADAS VIAS COCORA, CAMINO NACIONAL, CANAAN, BOQUIA, EL ROBLE, EL AGRADO, PALESTINA, LOS PINOS, LLANO GRANDE, SAN JUAN DE CAROLINA. </t>
    </r>
    <r>
      <rPr>
        <b/>
        <sz val="9"/>
        <rFont val="Arial"/>
        <family val="2"/>
      </rPr>
      <t>APOYO DEL FNC MEDIANTE GIRO DIRECTO AL CLOPAD PARA LA COMPRA DE COMBUSTIBLES Y LUBRICANTES PARA LA RECUPERACION DE LA INFRAESTRUCTURA VIAL.</t>
    </r>
  </si>
  <si>
    <t>20218
23239</t>
  </si>
  <si>
    <r>
      <t>DESBORDAMIENTO RIO MAGDALENA. REPORTE DE LA DEFENSA CIVIL. ENVIAN CENSO AGROPECUARIO PARA ENVIO A MINAGRICULTURA.</t>
    </r>
    <r>
      <rPr>
        <b/>
        <sz val="9"/>
        <rFont val="Arial"/>
        <family val="2"/>
      </rPr>
      <t xml:space="preserve"> EL VALOR DE OTROS CORRESPONDE A UNA MOTOBOMBA MOTOS DIESEL DE 10"</t>
    </r>
  </si>
  <si>
    <t>DESBORDAMIENTO ARROYO AMANZAGUAPOS. BARRIO ISLA GALLINAZO. REPORTE DE CREPAD. AFECTADO CENTRO DE SALUD DE COVEÑAS, SOLICITAN AYUDA EN REPARACIONES LOCATIVAS, EQUIPOS MEDICOS Y EQUIPOS DE OFICINA Y SE REMITE AL MINISTERIO DE LA PROTECCION SOCIAL.</t>
  </si>
  <si>
    <t>DESBORDAMIENTO QUEBRADA TIBANICA. BARRIOS LA DESPENSA, LOS OLIVOS Y LEON XIII. REPORTE DEL CREPAD Y DEFENSA CIVIL.</t>
  </si>
  <si>
    <t>CARRERA13 CALLE 6 REPORTE DEL CREPAD</t>
  </si>
  <si>
    <t>SECTOR EL PESCADOR. REPORTE DEL CREPAD VIA ARMENIA - CALARCA</t>
  </si>
  <si>
    <t>BARRIO VILLA DANIELA. REPORTE DEL CREPAD</t>
  </si>
  <si>
    <t>SECTOR EL MILAGRO DE DIOS REPORTE DEL CLOPAD VIA MIRAFLORES LA UNION</t>
  </si>
  <si>
    <t>TIMBIQUI</t>
  </si>
  <si>
    <t>ZONA RURAL REPORTE DEL CREPAD</t>
  </si>
  <si>
    <t>BARRIOS LAS DELICIAS SEGUNDO SECTOR MANZANA F CASA 19. REPORTE DE CLOPAD</t>
  </si>
  <si>
    <t>BARRIO SANTANDER REPORTE DEL CREPAD META.</t>
  </si>
  <si>
    <t>DESBORDAMIENTO RIO GRIS. REPORTE DEL CREPAD</t>
  </si>
  <si>
    <t>EXPLOSION DE MINA DE CARBON VEREDA VIJAGUAL. REPORTE DEL CREPAD VIA RADIOCOMUNICACIONES</t>
  </si>
  <si>
    <t>BARRIO EL PLUMON MANZANA 1. REPORTE DEL CREPAD VIA AVANTEL.</t>
  </si>
  <si>
    <t>MUNICIPIO CON RACIONAMIENTO DE AGUA Y/O DESABASTECIMIENTO POR PROBLEMAS DE SEQUI DEBIDO AL FENOMENO DE EL NIÑO. REPORTE DEL MAVDT. ESTAN SUMINISTRANDO AGUA POR CARRO TANQUES DE LA SECRETARIA DE SALUD Y CORPOGUAJIRA. SE APROBARON RECURSOS EN EL MARCO DEL PDA POR $500 MILLONES PARA LA ATENCIÓN DE LAS EMERGENCIAS. ($205 MILLONES PARA ATENDER EL PRIMER MES).</t>
  </si>
  <si>
    <t>MUNICIPIO CON RACIONAMIENTO DE AGUA Y/O DESABASTECIMIENTO POR PROBLEMAS DE SEQUI DEBIDO AL FENOMENO DE EL NIÑO. REPORTE DEL MAVDT. SE PRACTICARÁ VISITA POR PARTE DEL GESTOR  PARA EVALUAR  LA SITUACIÓN.</t>
  </si>
  <si>
    <t>FLORESTA</t>
  </si>
  <si>
    <t xml:space="preserve">CORREGIMIENTO MALVASA. REPORTE TELEFONICO DEL CREPAD PRELIMINAR Y POSTERIORMENTE LLEGA SOLICITUD DE APOYO. APOYO DEL FNC EN ALIMENTOS </t>
  </si>
  <si>
    <t>SAN PEDRO</t>
  </si>
  <si>
    <t>SE APOYA DE MANERA COMPLEMENTARIA DEBIDO A LOS PROBLEMAS Y EL RIESGO QUE PRESENTA EL COLEGIO</t>
  </si>
  <si>
    <t>SE APOYA TENIENDO EN CUENTA LA AFECTACION POR SEQUIA EN LA POBLACION CAMPESINA.</t>
  </si>
  <si>
    <t>AFECTADO EL CASO URBANO: LOS ALPES, VEREDA LA GRANJA Y LA VICTORIA. ESCUELA HOYOS</t>
  </si>
  <si>
    <t>BARRIO PORVENIR. UN MOTOCICLISTA FALLECIDO. REPORTE DEL CREPAD Y SOCORRO NACIONAL.</t>
  </si>
  <si>
    <t>BARRIOS PORVENIR Y ALTOS DE LA CRUZ EN EVALUACION. FAMILIAS INDIGENAS. REPORTE DE DEFENSA CIVIL.</t>
  </si>
  <si>
    <t>INSPECCION LA SIERRA.</t>
  </si>
  <si>
    <t>LA LLANADA</t>
  </si>
  <si>
    <t>APOYO MEDIANTE EL SUMINISTRO DE HERRAMIENTA BASICA ASI 300 BATEFUEGOS, 300 CASCOS, 300 MONOGAFAS Y 500 RACIONES DE CAMPAÑA Y 1000 SOBRE HIDRATANTES</t>
  </si>
  <si>
    <t>SE APOYA MEDIANTE EL SUMINISTRO DE HERRAMIENTA BASICA ASI 30 BOMBAS DE ESPALDA, 30 RASTRILLOS, 30 PULASKI, 80 BATEFUEGOS, 88 CASCOS, 88 MONOGAFAS, 88 PARES DE GUANTES.</t>
  </si>
  <si>
    <t>LA UNION</t>
  </si>
  <si>
    <t>DESBORDAMIENTO RIO GUABAS Y QUEBRADA LA MARIA. CORREMIENTO COSTARICA, VEREDA CAMPO ALEGRE, EL JARDIN Y PORTUGAL, CORREGIMEINTO RREGADEROS Y VEREDA VILLAVANEGAS. REPORTE DEL CREPAD</t>
  </si>
  <si>
    <t>DESBORDAMIENTO RIO CAUCA, CORREGIMIENTO VILLA PAZ, BOCAS DEL PALO. REPORTE DE LA DEFENSA CIVIL</t>
  </si>
  <si>
    <t>BARRIO VIENTO DE LIBRE. REPORTE DE LA DEFENSA CIVIL.</t>
  </si>
  <si>
    <t>CASCO URBANO, REPORTE DE LA DEFENSA CIVIL</t>
  </si>
  <si>
    <t>CAREPA</t>
  </si>
  <si>
    <t>CASCO URBANO. DESBORDAMIENTO RIOS CAREPA Y LEOPN. REPROTE DE LA DEFENSA CIVIL</t>
  </si>
  <si>
    <t xml:space="preserve">REPORTE DE LA DEFENSA CIVIL. DESBORDAMIENTO RIO LOS CORDOBAS BARRIOS EL MAMEY, EL OASIS, LAS FLORES, VEREDA GALILEA. </t>
  </si>
  <si>
    <t>REPORTE EL CREPAD.</t>
  </si>
  <si>
    <t>CRECIENTE RIO ATRATO REPORTE DE CRUZ ROJA</t>
  </si>
  <si>
    <t xml:space="preserve">VEREDA SICUETA. RIO SAN JAUN AFECTADA COMUNIDAD INDIGENA Y AVALANCHA QUEBRADA PLAYA BONITA. </t>
  </si>
  <si>
    <r>
      <t>DESBORDAMIENTO RIO CULEBRAS. REPORTE DEL CREPAD..</t>
    </r>
    <r>
      <rPr>
        <b/>
        <sz val="9"/>
        <rFont val="Arial"/>
        <family val="2"/>
      </rPr>
      <t xml:space="preserve"> APOYO DEL FNC MEDIANTE GIRO DIRECTO AL CLOPAD PARA LA ADQUISICION DE COMBUSTIBLE PARA TRABAJOS DE MANTENIMIENTO DE VIAS.</t>
    </r>
  </si>
  <si>
    <r>
      <t>APOYO GLOBAL PARA LOS MUNICIPIOS DE LA VIRGINIA, QUINCHIA, LA CELIA, SANTUARIO, MARSELLA.</t>
    </r>
    <r>
      <rPr>
        <b/>
        <sz val="9"/>
        <rFont val="Arial"/>
        <family val="2"/>
      </rPr>
      <t xml:space="preserve"> APOYO DEL FNC MEDIANTE GIRO DIRECTO AL CREPAD PARA ADQUISICION DE ALIMENTOS NO PERECEDEROS (30.000.000) Y COMBUISTIBLE (10.000.000)</t>
    </r>
  </si>
  <si>
    <t>25678
47296</t>
  </si>
  <si>
    <r>
      <t>DESBORDAMIENTO RIO ATRATO. REPORTE DEL CREPAD.</t>
    </r>
    <r>
      <rPr>
        <b/>
        <sz val="9"/>
        <rFont val="Arial"/>
        <family val="2"/>
      </rPr>
      <t>GIRO DIRECTO A TRAVES DEL CLOPAD PARA LA ADQUISICION DE MADERA PARA LA CONSTRUCCION DE TAMBOS (63,100,000) Y LA ADQUISICION DE COMBUSTIBLE (46,800,000).</t>
    </r>
  </si>
  <si>
    <t>APOYO DEL FNC MEDIANTE GIRO DIRECTO ALCREPAD PARA LOS MUNICIPIOS DE GUAMAL (30,000,000), SAN SEBASTIAN (18,000,000), SANTA ANA (30,000,000), PLATO (50,000,000), PEDRAZA (5,000,000), CERRO DE SAN ANTONIO (51,840,000), EL PIÑOS (50.000.000), SITIONUEVO (30.000.000), REPOMINO (70.000.000), 2L RETEN (150.000.000), DEPARTAMENTO (100,000,000)</t>
  </si>
  <si>
    <t>BARRIOS UMARIZAL, GAITAN, CENTRO, ONCE DE NOVIEMBRE, PLAZA DE MERCADO, COLOMBIA. REPORTE DE LA DDC</t>
  </si>
  <si>
    <t>BARRIO DE LA INDEPENDENCIA. REPORTE DE LA DEFENSA CIVIL</t>
  </si>
  <si>
    <t>SE APOYA TENIEDNO EN CUENTA LA MAGNITUD DE LA EMERGENCIA</t>
  </si>
  <si>
    <t>APOYO DEL FNC MEDIANTE GIR DIRECTO AL CLOPAD PARA LAA ADQUISICION DE COMBUESTIBLE, ARREGLOE DE UNA TRACTO BOMBA, ALQUILER DE MAQUINARIA Y MEDIDAS DE PROTECCION</t>
  </si>
  <si>
    <t>266
269
270
23554
23795
26474</t>
  </si>
  <si>
    <t>293
23928
24652
23931
26476
26473</t>
  </si>
  <si>
    <t>BARRIO VERSALLES. REPORTE DE LA DEFENSA CIVIL.</t>
  </si>
  <si>
    <t>BARAYA</t>
  </si>
  <si>
    <t>KM 12 VEREDA GARRAPISO. REPROTE DEL CREPAD.</t>
  </si>
  <si>
    <t>AFECTADA VIA DE GUACAYO SALODOBLANCO</t>
  </si>
  <si>
    <t>VIA LOS FARALLONES. VEREDA GALILEA. REPORTE DEL CREPAD.</t>
  </si>
  <si>
    <t>PAICOL</t>
  </si>
  <si>
    <t>VEREDA PEÑA NEGRA SECTORES CALOTO Y CALOTO ALTO.-</t>
  </si>
  <si>
    <t>BARRIO LA CRUZ Y LA FERIA CARRERA PRIMERA CALLE 13, REPORTE DEL CREPAD. VIA TMANA - PITALITO.</t>
  </si>
  <si>
    <t>REPORTE DEL CREPAD. VEREDAS HUEVITA Y CAITAL Y LOS PINOS. AFECTADA VIA QUE COMUNICA EL CASCO URBANO CON LA VEREDAS HUEVITA Y CAITAL Y VIA TARQUI - PITAL E LA VEREDA CHORRILLO.</t>
  </si>
  <si>
    <t>VEREDAS LA CABAÑA, ÑAGRANJA, LA UNION.</t>
  </si>
  <si>
    <t>VEREDA EL VERGEL. HM 1.5 CASCO URBANO REPORTE DEL CREPAD.</t>
  </si>
  <si>
    <r>
      <t xml:space="preserve">MUNICIPIO CON RACIONAMIENTO DE AGUA Y/O DESABASTECIMIENTO POR PROBLEMAS DE SEQUI DEBIDO AL FENOMENO DE EL NIÑO. REPORTE DEL MAVDT. </t>
    </r>
    <r>
      <rPr>
        <b/>
        <sz val="9"/>
        <color indexed="8"/>
        <rFont val="Arial"/>
        <family val="2"/>
      </rPr>
      <t>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</si>
  <si>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r>
      <t xml:space="preserve">MUNICIPIO CON RACIONAMIENTO DE AGUA Y/O DESABASTECIMIENTO POR PROBLEMAS DE SEQUI DEBIDO AL FENOMENO DE EL NIÑO. REPORTE DEL MAVDT. OPERADOR EMPUCOL ESP HA INICIADO RACIONAMIENTO Y MANTIENE </t>
    </r>
    <r>
      <rPr>
        <b/>
        <sz val="9"/>
        <color indexed="8"/>
        <rFont val="Arial"/>
        <family val="2"/>
      </rPr>
      <t xml:space="preserve">LA SITUACIÓN BAJO CONTROL.EL SISTEMA CUENTA CON UN EMBALSE DE APOYO DE 103,000 M3 </t>
    </r>
  </si>
  <si>
    <r>
      <t>MUNICIPIO CON RACIONAMIENTO DE AGUA Y/O DESABASTECIMIENTO POR PROBLEMAS DE SEQUI DEBIDO AL FENOMENO DE EL NIÑO. REPORTE DEL MAVDT. DRAGADO EN ZONA DE CAPTACIÓN.</t>
    </r>
    <r>
      <rPr>
        <b/>
        <sz val="10"/>
        <color indexed="8"/>
        <rFont val="Arial"/>
        <family val="2"/>
      </rPr>
      <t>SUMINISTRO E INSTALACIÓN DE MANGUERA PARA EXTENSIÓN DE LA TUBERÍA DE SUCCIÓN Y/O IMPULSIÓN DE AGUA, INCLUIDAS BOYAS DE FLOTACIÓN.ALQUILER PLANTA ELÉCTRICA Y COMBUSTIBLE.SUMINISTRO DE AGUA POR CARROTANQUE.</t>
    </r>
  </si>
  <si>
    <t>VEREDA EL PLACER, TOPACIO, LEONORA, TORRE 6 Y AGUILA. REPORTE DEL CREPAD</t>
  </si>
  <si>
    <t>VENDAVAL EN REPRESA DE BETANIA, AFECTADO SECTOR PESQUERO, JAULAS CRIADERO DE PECES, MOTONAVES Y BODEGAS. SITUACION CONTROLADA. REPORTE DEL CREPAD.</t>
  </si>
  <si>
    <t>BRICEÑO</t>
  </si>
  <si>
    <t>CORREGIMIENTO DE PUEBLO NUEVO. COLAPSO EN MINA DE ORO.</t>
  </si>
  <si>
    <t>BARRIO EL JARDIN, SECTOR EL JAZMIN. REPORTE DE LA DEFENSA CIVIL.</t>
  </si>
  <si>
    <t>BARRIO SANTANDER. REPORTE DE LA DEFENSA CIVIL</t>
  </si>
  <si>
    <t>BARRIO SANTA ANA. REPORTE DEL CREPAD.</t>
  </si>
  <si>
    <t>VEREDA LA QUIEBRA. REPORTE DEL CREPAD.</t>
  </si>
  <si>
    <t xml:space="preserve">VEREDAS LA CABAÑA, BUENAVISTA Y EL BRILLANTE. AFECTADA ESCUELA BUENAVISTA Y EL COLEGIO ALTO CAUCA. REPORTE DE LA DEFENSA CIVIL. </t>
  </si>
  <si>
    <t>ANGOSTURA</t>
  </si>
  <si>
    <t>BESLIZAMIENTO BARRIO OBRARO.</t>
  </si>
  <si>
    <t>TELLO</t>
  </si>
  <si>
    <t>SE APOYA TENIENDO EN CUENTA LA URGENCIA EXPRESADA POR EL COMITÉ PARA LA RELAIZACION DE LAS OBRAS.</t>
  </si>
  <si>
    <t>APOYO DEL FNC MEDIANTE GIRO DIRECTO AL CLOPAD PARA LA CONSTRUCCION DE VARIANTE Y BOX COULVERT EN LA VEREDA EL CADILLO Y CONSTRUCCION DE ESTRIBO, ALETA Y GAVIONES EN PUENTE DE LA VEREA BARRANQUILLA.</t>
  </si>
  <si>
    <t>REPORTE PRELIMINAR DEL CREPAD. ESTAN CONSOLIDANDO INFORMACION. APOYO DEL FNC EN LAMINAS DE ZINC (100) Y CEMENTO (50 BULTOS)</t>
  </si>
  <si>
    <t>REPORTE PRELIMINAR DEL CREPAD. ESTAN CONSOLIDANDO INFORMACION. APOYO DEL FNC EN LAMINAS DE ZINC (150) Y CEMENTO (50 BUILTOS)</t>
  </si>
  <si>
    <t>VEREDA EL CAFÉ. REPORTE PRELIMINAR DE CASANARE. APOYO DEL FNC EN LAMINAS DE ZINC (50) Y CEMENTO (25)</t>
  </si>
  <si>
    <t xml:space="preserve">SE APOYA TENIENDO EN CUENTA EL DAÑO EN EL SECTOR PRODUCTIVO AGROPECUARIO </t>
  </si>
  <si>
    <r>
      <t xml:space="preserve">MUNICIPIO CON RACIONAMIENTO DE AGUA Y/O DESABASTECIMIENTO POR PROBLEMAS DE SEQUI DEBIDO AL FENOMENO DE EL NIÑO. REPORTE DEL MAVDT. </t>
    </r>
    <r>
      <rPr>
        <b/>
        <sz val="10"/>
        <color indexed="8"/>
        <rFont val="Arial"/>
        <family val="2"/>
      </rPr>
      <t>ESTÁ EN PROCESO UNA CONEXIÓN CON EL ACUEDUCTO DE SABANALARGA.</t>
    </r>
    <r>
      <rPr>
        <sz val="9"/>
        <color indexed="8"/>
        <rFont val="Arial"/>
        <family val="2"/>
      </rPr>
      <t xml:space="preserve"> LA GOBERNACION DECLARO URGENCIA MANIFIESTA POR EL FENOMENO DE EL NIÑO.MEDIANTE RESOLUCION 005 DEL 18 DE ENERO DE 2010</t>
    </r>
  </si>
  <si>
    <r>
      <t xml:space="preserve">LA GOBERNACION DECLARO URGENCIA MANIFIESTA POR EL FENOMENO DE EL NIÑO.MEDIANTE RESOLUCION 005 DEL 18 DE ENERO DE 2010. </t>
    </r>
    <r>
      <rPr>
        <b/>
        <sz val="10"/>
        <rFont val="Arial"/>
        <family val="2"/>
      </rPr>
      <t>SE ESTA ABASTECIENDO CON CARROTANQUES CON EL APOYO DE LA GOBERNACION</t>
    </r>
  </si>
  <si>
    <t>REPORTE TELEFONICO DEL CREPAD.</t>
  </si>
  <si>
    <t>91354
97221</t>
  </si>
  <si>
    <t xml:space="preserve">MUNICIPIO CON RACIONAMIENTO DE AGUA Y/O DESABASTECIMIENTO POR PROBLEMAS DE SEQUI DEBIDO AL FENOMENO DE EL NIÑO. REPORTE DEL MAVDT. EL MUNICPIO ESTA APOYANDO EL DESABASTECIMIENTO EN EL ÁREA RURAL CON LA VOLQUETA Y UN TANQUE. </t>
  </si>
  <si>
    <t>MUNICIPIO CON RACIONAMIENTO DE AGUA Y/O DESABASTECIMIENTO POR PROBLEMAS DE SEQUI DEBIDO AL FENOMENO DE EL NIÑO. REPORTE DEL MAVDT. DEBEN ESPERAR A QUE EL TANQUE SE ENCUENTRE TOTALMENTE LLENO PARA SU REBOMBEO.</t>
  </si>
  <si>
    <t>MUNICIPIO CON RACIONAMIENTO DE AGUA Y/O DESABASTECIMIENTO POR PROBLEMAS DE SEQUI DEBIDO AL FENOMENO DE EL NIÑO. REPORTE DEL MAVDT. OPERADOR INICIÓ RACIONAMIENTO Y MANTIENE MONITOREO SOBRE LAS FUENTES DE ABASTECIMIENTO.</t>
  </si>
  <si>
    <t>MUNICIPIO CON RACIONAMIENTO DE AGUA Y/O DESABASTECIMIENTO POR PROBLEMAS DE SEQUI DEBIDO AL FENOMENO DE EL NIÑO. REPORTE DEL MAVDT. RACIONAMIENTO DE 2 PM A 5 PM, Y DE 8 PM A  5 AM.</t>
  </si>
  <si>
    <t xml:space="preserve">SE APOYA LA SOLICITUD, TENIENDO EN CUENTA LA AFECTACION EN VARIOS MUNICIPIOS DEL DEPARTAMENTO Y LA GESTION ADELANTADA POR EL CREPAD </t>
  </si>
  <si>
    <t>SE APOYA TENIENDO EN CUENTA LA MAGNITUD DE LA EMERGENCIA EN EL  DEPARTAMENTO</t>
  </si>
  <si>
    <t>APOYO CON 50000 SACOS DE POLIPROPILENO</t>
  </si>
  <si>
    <r>
      <t>EL CLOPAD REPORTA PERDIDA DE CULTIVOS Y MANGUERAS DE ACUEDUCTOS,.</t>
    </r>
    <r>
      <rPr>
        <b/>
        <sz val="9"/>
        <rFont val="Arial"/>
        <family val="2"/>
      </rPr>
      <t xml:space="preserve"> NO CONCRETAN SOLICITUD DE APOYO.</t>
    </r>
  </si>
  <si>
    <r>
      <t xml:space="preserve">AFECTADAS INSTITUCIONES EDUCATIVAS DE LLANO GRANDE Y CORTADERA GRANDE. EL CLOPAD SOLICITA APOYO PARA REPARACION DE CUBIERTAS POR $58.859.663, EL CREPAD QUEDO DE REVISAR Y AVALAR. </t>
    </r>
    <r>
      <rPr>
        <b/>
        <sz val="9"/>
        <rFont val="Arial"/>
        <family val="2"/>
      </rPr>
      <t>SE REMITE LA SOLICITUD AL CREPAD PARA VERIFICACION. NO SE RECIBE AVAL DEL CREPAD.</t>
    </r>
  </si>
  <si>
    <r>
      <t>DESBORDAMIENTO RIO BUEY. AFECTADAS COMUNIDADES INDIGENAS. REPORTE DEL SOCORRO NACIONAL. COMUNIDADES DE AURO BUEY, SAN ANTONIO, CIRICHI, LA VUELTA, CHIBUGA, LA MANZA, SAN JOSE DE BUEY, RESGUARDO INDIGENA. APOYO DEL FNC EN ALIMENTOS, COLCHONETAS Y KIT ASEO.</t>
    </r>
    <r>
      <rPr>
        <b/>
        <sz val="9"/>
        <rFont val="Arial"/>
        <family val="2"/>
      </rPr>
      <t xml:space="preserve">APOYO DEL FNC MEDIANTE GIRO DIRECO AL CLOPAD PARA LA COMPRA DE COMBUSTIBLE A FIN DE ATENDE RLA SITUACION DE EMERGENCIA VIA FLUVIAL </t>
    </r>
  </si>
  <si>
    <t>SABANA DE TORRES</t>
  </si>
  <si>
    <t>MUNICIPIO CON RACIONAMIENTO DE AGUA Y/O DESABASTECIMIENTO POR PROBLEMAS DE SEQUI DEBIDO AL FENOMENO DE EL NIÑO. REPORTE DEL MAVDT. COSIDERAN QUE CON EL COMPORTAMIENTO DE LA CUENCA PODRÁN ABASTECER TODO ESTE PERIODO 12 HORAS DÍA; EN CASO DE EMERGENCIA SE PODRÍAN REDUCIR LOS CUNSUMOS; COMO MEDIDAS DE CONTINGENCIA SE HA CONSIDERADO LA RESTRICCIÓN DE USOS Y CAMPAÑAS DE SENSIBILIZACIÓN. ENVIO DE UN TANQUE DE 15000 LITROS DE MEDICOS SIN FRONTERAS</t>
  </si>
  <si>
    <t>SOLICITUD DE LA DEFENSA CIVIL DE CUNDINAMARCA. EL VALOR DE OTROS CORRESPONDE A 600 RACIONES DE CAMPAÑA</t>
  </si>
  <si>
    <t>DESBORDAMIENTO QUEBRADA LA OCA. VEREDA TOSNOBAN, QUINIENTOSCINCO, LA OCTAVA, CAÑO LA TERCERA, CORREGIMIENTOS DE BUENOS AIRES Y EL PATO. REPORTE DEL CREPAD.</t>
  </si>
  <si>
    <t>CORREGIMIENTO ZARAGOZA, REPORTE EDL CREPAD.</t>
  </si>
  <si>
    <t>BARRIO EL PARAISO, SECTOR LAS COCAS. REPORTE DEL CREPAD</t>
  </si>
  <si>
    <t>SONSON</t>
  </si>
  <si>
    <t>REPORTE DE DEFENS ACIVIL.</t>
  </si>
  <si>
    <t>SE APOYA DE ACUERDO CON EL PLAN DE CONTINGENCIA POR ERUPCION DEL VOLCAN NEVADO DEL HUILA Y TENIENDO EN CUENTA QUE EL DIA 15 DE JUNIO SUBIO EL NIVEL DE ALERTA A NARANJA</t>
  </si>
  <si>
    <t>APOYO DEL FNC MEDIANTE GIRO DIRECTO AL CLOPAD PARA LA CONSTRUCCION DE ALOJAMIENTO TEMPORAL PARA LA ZONA DE INFLUENCIA DEL VOLCAN NEVADO DEL HUILA QUE COMPRENDE LAS VEREDAS DE CANSARROCINES, LADERASY PATICO.</t>
  </si>
  <si>
    <t>SE APOYA TENIENDO EN CUENTA LA IMPORATANCIA DE LA OBRA</t>
  </si>
  <si>
    <t>APOYO DEL FNC AL CLOPADLA LA REALIZACION DE PROTECCION Y RELLENOS EN LA VIA CHALAN - LA CEIBA - Y CHALAN MANZANARES</t>
  </si>
  <si>
    <t>LA CALERA</t>
  </si>
  <si>
    <t>VALLEDUPAR</t>
  </si>
  <si>
    <t>DESBORDAMIENTO CAÑO LA AHUYAMA. BARRIOS LA PRADERA, LOS ANGELES, LA PLAYA, LA CRUZ CHINA, Y PINAR DEL RIO Y EL GOLFO. REPORTE DEL CLOPAD</t>
  </si>
  <si>
    <t>SECTOR URBANO BARRIOS JUAN 23, POLICARPA, GENEQUEN, CARACOLI Y CORREGIMIENTO DE APURE. DESBPORDAMIENTO ARROYO CAMARGO. REPORTE DEL CREPAD.</t>
  </si>
  <si>
    <t>LOCALIDAD RAFAEL URIBE URIBE BARRIO EL PORTAL.</t>
  </si>
  <si>
    <t>NEIVA</t>
  </si>
  <si>
    <t>CRECIENTE SUBITA DE LA QUEBRADA SAN JOSE. VEREDAS PIEDRAS NEGRAS, SECTOR PUERTO BOGOTA. REPORTE DEL CREPAD.</t>
  </si>
  <si>
    <t>BECERRIL</t>
  </si>
  <si>
    <t>GUARANDA</t>
  </si>
  <si>
    <t>VEREDA EL SOCORRO. ROMPIMIENTO DE BARRERAS DE CONTENCION MARGEN IZQUIERDA RIO CAUCA. REPORTE DE LA CRUZ ROJA.</t>
  </si>
  <si>
    <t>ARJONA</t>
  </si>
  <si>
    <t>DESBORDAMIENTO CAÑO LIMETA AFECTADAS VEREDAS SAN ISIDRO, VERDE, MATA LARGA Y EL BANCO REPORTE DE LA DEFENSA CIVIL</t>
  </si>
  <si>
    <t>REPORTE DE LA DEFENSA CIVIL VEREDAS LA HOYA, LA ENFADOSA Y TARRAPUJA.</t>
  </si>
  <si>
    <t>AMAZONAS</t>
  </si>
  <si>
    <t>LETICIA</t>
  </si>
  <si>
    <t>FINCA EL MUELLE. REPORTE DEL CREPAD</t>
  </si>
  <si>
    <t>BARRIOS LA FLORIDA Y EL LAGUITO. FUERTES LLUVIAS. REPORTE DE DEFENSA CIVIL.</t>
  </si>
  <si>
    <t>MONTENEGRO</t>
  </si>
  <si>
    <t>BARRIOS VILLA MARLY, SANTA HELENA, PARQUEADERO GORETI, JESUS MAESTRE, BALANTRERA, RAMIREZ FRANCO, ISABELA, MARCONI. REPORTE DEL CREPAD.</t>
  </si>
  <si>
    <t>FECHA RECIBO</t>
  </si>
  <si>
    <t>TOTAL</t>
  </si>
  <si>
    <t>-</t>
  </si>
  <si>
    <t>GIRO DIRECTO</t>
  </si>
  <si>
    <t>APOYOS EN TRAMITE</t>
  </si>
  <si>
    <t>GRANIZADA</t>
  </si>
  <si>
    <t>MATERIALES CONSTRUCCION</t>
  </si>
  <si>
    <t>VARIOS</t>
  </si>
  <si>
    <t xml:space="preserve"> A F E C T A C I Ó N</t>
  </si>
  <si>
    <t>.</t>
  </si>
  <si>
    <t>HERIDOS</t>
  </si>
  <si>
    <t>DESAPA.</t>
  </si>
  <si>
    <t>NUMERO DE RADICADO</t>
  </si>
  <si>
    <t>NUMERO DE MEMORANDO / OFICIO</t>
  </si>
  <si>
    <t>SE APOYA LA SOLICITUD CONSIDERANDO LA GESTION REA&lt;LIZADA POR LA ADMINISTRACION MUNICIPAL Y LOS ESFUERZOS REALIZADOS POR EL DEPARTAMENTO EN EL TEMA DE LA GESTION DEL RIESGO</t>
  </si>
  <si>
    <t>CAPARRAPI</t>
  </si>
  <si>
    <t>SE APOYA TENIENDO EN CUENTA QUE EN LA MISMA FECHA RESULTARON VARIOS MUNICIPIOS AFECTADOS EN EL DEPARTAMENTO DEL TOLIMA, POR LO CUAL REQUIEREN DEL APOYO COMPLEMENTARIO DEL NIVEL NACIONAL.</t>
  </si>
  <si>
    <t>GUAMO</t>
  </si>
  <si>
    <t>REPORTE DEL CREPAD. PRELIMINAR</t>
  </si>
  <si>
    <t>17
132</t>
  </si>
  <si>
    <r>
      <t>AVALANCHA DEL RIO MUNGUIDO, AFECTADAS 16 COMUNIDADES NEGRAS E INDIGENAS, PERDIDA DE CULTIVOS.</t>
    </r>
    <r>
      <rPr>
        <b/>
        <sz val="9"/>
        <rFont val="Arial"/>
        <family val="2"/>
      </rPr>
      <t xml:space="preserve"> APOYO DEL FNC MEDIANTE GIRO DIRECTO AL CLOPAD  PARA ADQUISICION DE EQUIPO LOGISTICO: HERRAMIENTAS Y EQUIPO MENOR $20.000.000; COMBUSTIBLE $10.000.000 Y BANCO DE MATERIALES PARA LA RECONSTRUCCIÓN $50,000,000</t>
    </r>
  </si>
  <si>
    <t xml:space="preserve">SE APOYA TENIENDO EN CUENTA LA AFECTACION EN VIVIENDAS Y TANQUES D EALMACENAMIENTO DE AGUA Y LOS ESFUERZOS LOCALES. </t>
  </si>
  <si>
    <t>EL VALOR DE OTROS CORRESPODE A 25 TANQUES DE AGUA DE 500 LITROS</t>
  </si>
  <si>
    <t>AMAGA</t>
  </si>
  <si>
    <t>LA APARTADA</t>
  </si>
  <si>
    <t>BARRIOS VILLA VICTORIA, TIERRA SANTA, 24 DE NOVIEMBRE, DIVINO NIÑO, EL ORIENTE, SAN MATEO, MONTELIBANO Y EL RETORNO. INUNDACION POR AGUAS LLUVIAS.</t>
  </si>
  <si>
    <t>MONTELIBANO</t>
  </si>
  <si>
    <r>
      <t xml:space="preserve">INUNDACION POR FUERTES LLUVIAS  DIEZ BARRIOS AFECTADOS. REPORTE DEL CREPAD. </t>
    </r>
    <r>
      <rPr>
        <b/>
        <sz val="9"/>
        <rFont val="Arial"/>
        <family val="2"/>
      </rPr>
      <t>APOYO DEL FNC MEDIANTE GIRO DIRECTO AL CLOPAD PARA APOYAR LA REHABILITACION DE LAS VIAS A VILLA DEL RIO Y FILANDIA POR VALOR TOTAL DE $194,373,600.</t>
    </r>
  </si>
  <si>
    <t>97899
98301</t>
  </si>
  <si>
    <t>AFECTACION EN EL SECTOR AGRICOLA. REPORTE DEL CREPAD. SOLICITAN APOYO ALIMENTARIO</t>
  </si>
  <si>
    <t>SE APOYA TENIENDO EN CUENTA LA SITUACION GRAVE DE SEQUIA</t>
  </si>
  <si>
    <t>APOYO DEL FNC MEDIANTE EL SUMINISTRO DE 50 BOMBAS DE ESPALDA 50 BATEFUEGOS, 250 MONOGAFAS, 250 PARES DE GUANTES, 250 CASCOS, 25 HACHAS, 25 PALAS PLANAS, 50 PULASKY, 50 RASTRILLOS MCLEOD, 250 TAPABOCAS CON FILTRO.</t>
  </si>
  <si>
    <t xml:space="preserve">VEREDA SAN RAFAEL. SITUACION EN EVALUACION </t>
  </si>
  <si>
    <t>CALDONO</t>
  </si>
  <si>
    <t>REPORTE DEL CREPAD</t>
  </si>
  <si>
    <t>APOYO PARA LOS MUNICIPIOS DE PALMIRA, FLORIDA, JAMUNDI, BOLIVAR, DAGUA, VIGES, LA CUMBRE EL AGUILA, ANSERMANUEVO, ZARZAL, ARGELIA, SAN PEDRO, OBANDO, CARTAGO, SEVILLA.</t>
  </si>
  <si>
    <t>AGUAZUL</t>
  </si>
  <si>
    <t>TRINIDAD</t>
  </si>
  <si>
    <t>SOTAQUIRA</t>
  </si>
  <si>
    <t>VEREDAS EL PLACER, EL PLAN, LA ESPERANZA, LA PICOLA, TORRE 6, EL AGUILA,ANGULO VEL TULCAN Y EL ARENILLO. BARRIOS, SANTANDER, PASTRANA, CALLE REAL, GALERIAS, SAN VICENTE, AVENIDA EL CABLE, LA PLAZUELA, EL TEJAR. REPORTE DE LA SALA DE RADIO DEL CREPAD.</t>
  </si>
  <si>
    <t>CALDAS</t>
  </si>
  <si>
    <t>SE APOYA TENIENDO EN CUENTA LA TEMPORADA SECA</t>
  </si>
  <si>
    <t>SE APOYA ENIENDO EN CUENTA LA TEMPORADA SECA Y LA AMENAZA DE INCENDIOS FORESTALES EN EL PAIS</t>
  </si>
  <si>
    <t>FUERTES LLUVIAS. REPORTE DEL CREPAD APOYO DEL FNC CON MATERIALES PARA RECONSTRUCCION DE VIVIENDAS: 600 TEJAS DE ZINC, 2000 AMARRES, 200 BULTOS DE CEMENTO, 120 TUBOS, 100 VARILLAS CORRUGADAS.</t>
  </si>
  <si>
    <t>INUNDACION POR FUERTES LLUVIAS. BARRIOS EL TRIUNFO, CENTRO, PUEBLO NUEVO, LA CALLEJA, ALFONSO LOPEZ, COLINAS DEL ZULIA, LA MILAGROSA, ASOAVIS, REPORTE DEL CREPAD, APOYO DEL FNC MEDIANTE SUMINISTRO DE MATERIALES PARA RECONSTRUCCION DE VIVIENDAS: 400 TEJAS, 500 BULTOS DE CEMENTO, 75 MALLAS DEGAVION, 3000 BLOQUES.</t>
  </si>
  <si>
    <t>24654
25056</t>
  </si>
  <si>
    <t xml:space="preserve">ENDIETNE AFECTACION REPORTE DEL CREPAD.APOYO CON MATERIALES DE CONSTRUCCION PARA LA REPARACION DE VIVIENDAS: 620 TEJAS DE ZINC, 2500 AMARRES Y 6 ROLLOS DE ALAMBRE DE PUA. </t>
  </si>
  <si>
    <r>
      <t xml:space="preserve">DESBORDAMIENT0 QUEBRADA LA YUCA,  VEREDAS SAN LUIS, LAS MINAS EL PRADO, LA PRIMAVERA Y PUEBLO NUEVO. CORREGIMIENTO SANTO DOMINGO. AFECTADO CLUB DEL COMERCIO. REPORTE DEL CREPAD. </t>
    </r>
    <r>
      <rPr>
        <b/>
        <sz val="9"/>
        <rFont val="Arial"/>
        <family val="2"/>
      </rPr>
      <t>APOYO DEL FNC MEDIANTE GIRO DIRECTO AL CLOPAD CON EL OBJETO DE APOYAR EL ALQUILER DE MAQUINARIA, LA ADQUISICIÓN DE COMBUSTIBLE Y LA MANO DE OBRA A FIN DE ATENDER LA REHABILITACIÓN DE LAS VÍAS CROACREFAL – DAMAS ARRIBA – VILLA HERMOSA – VILLA DEL RIO, VIA CENTRAL – BAJO CALDAS – TRAVESIA, VIA CENTRAL - SANTO DOMINGO – LA ARENOSA Y VIA CENTRAL – COSTA RICA – BAJO SAN GIL – ALTO SAN GIL, AFECTADAS POR LA AVALANCHA DE LA QUEBRADA LA YUCA OCURRIDA EL PASADO 10 DE MARZO.  EL VALOR DE OTROS CORRESPONDE A 320 LAMINAS DE ALFAJOR PARA LA RECONSTRUCCION DE PUENTES PEATONALES.</t>
    </r>
  </si>
  <si>
    <t>DESBORDAMIENTO DE LA CIÉNAGA GRANDE Y RIO SINU. COMO QUIERA QUE EL MUNICIPIO DE CHIMA SE ENCUENTRA UBICADO A ORILLA DE LA CIÉNAGA GRANDE, DEL CAÑO DE AGUAS PRIETAS Y RODEADO DE NUMEROSOS ARROYOS SE ENCUENTRA AFECTADO, SE OCASIONARON INUNDACIONES A LA POBLACIÓN  EN LOS CORREGIMIENTOS DE PIMENTAL, PUNTA VERDE, CAROLINA, COROZALITO, BOCA CATABRE, ARACHE, SITIO VIEJO, BARRIOS LA GRANJA, SANTO DOMINGO, CALLE LA CRUZ, LAS FLORES, CALLE DEL COMERCIO, CALLE LA PUNTA, LA CAMPANERA, 20 DE JULIO, MALEBA.</t>
  </si>
  <si>
    <t>FLORIDABLANCA</t>
  </si>
  <si>
    <t>SECTORES LA PLANADA, EL PLACER, SAN ANTONIO, LA AGUADA, PALMAR, PUERTO BOYACA, ESPERANZA, JUNIN, LA SIERRITA, EL CORZO, LAS BRISAS, LA HONDA. PENDIENTE INFORMACION. REPORTE DEL CREPAD. ALCALDE CESAR SANCHEZ.</t>
  </si>
  <si>
    <t>LA JAGUA DE IBIRICO</t>
  </si>
  <si>
    <t>SE APOYA TENIENDO EN CUENTA LA GRAVE AFECTACION COMO PRODUCTO DEL FENOMENO DE EL NIÑO</t>
  </si>
  <si>
    <t>MUNICIPIO CON RACIONAMIENTO DE AGUA Y/O DESABASTECIMIENTO POR PROBLEMAS DE SEQUIA DEBIDO AL FENOMENO DE EL NIÑO. REPORTE DEL MAVDT. DRAGADO EN ZONA DE CAPTACIÓN.SUMINISTRO E INSTALACIÓN DE MANGUERA PARA EXTENSIÓN DE LA TUBERÍA DE SUCCIÓN Y/O IMPULSIÓN DE AGUA, INCLUIDAS BOYAS DE FLOTACIÓN.ALQUILER PLANTA ELÉCTRICA Y COMBUSTIBLE.SUMINISTRO DE AGUA POR CARROTANQUE.</t>
  </si>
  <si>
    <r>
      <t xml:space="preserve">MUNICIPIO CON RACIONAMIENTO DE AGUA Y/O DESABASTECIMIENTO POR PROBLEMAS DE SEQUIA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</si>
  <si>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r>
      <t xml:space="preserve">MUNICIPIO CON RACIONAMIENTO DE AGUA Y/O DESABASTECIMIENTO POR PROBLEMAS DE SEQUIA DEBIDO AL FENOMENO DE EL NIÑO. REPORTE DEL MAVDT. </t>
    </r>
    <r>
      <rPr>
        <b/>
        <sz val="10"/>
        <color indexed="8"/>
        <rFont val="Arial"/>
        <family val="2"/>
      </rPr>
      <t>ACTUALMENTE EL AGUA POTABLE SE OBTIENE DE CARROTANQUES QUE LA TRANSPORTAN TRATADA DESDE EL SISTEMA DE ACUEDUCTO DE CARTAGENA.</t>
    </r>
  </si>
  <si>
    <r>
      <t xml:space="preserve">VEREDA LA SALADA, VEREDA LA LINDA, SANTA GERTRUDIZ, LA ARBOLEDA. VERDUN Y CASCO URBANO. </t>
    </r>
    <r>
      <rPr>
        <b/>
        <sz val="9"/>
        <rFont val="Arial"/>
        <family val="2"/>
      </rPr>
      <t>APOYO DEL FNC MEDIANTE GIRO DIRECTO AL CLOPAD PARA LA REMOCION DE DERRUMBES  Y RECONFORMACION DE LA BANCA ($45,341,395 LINEA 2), , EXPLOSION DE ROCA DE DERRUMBE (833,910 LINEA 2) Y BANCO DE MATERIALES PARA EL MEJORAMIENTO DE VIVIENDA ($21,675,628 LINEA 8).</t>
    </r>
  </si>
  <si>
    <t xml:space="preserve">SISMO DE 5.4 DE MAGNITUD, PROFUNDIDAD SUPERFICIAL 4 KM UBICADO EN ORTEGA TOLIMA. </t>
  </si>
  <si>
    <t>COLEGIOS PUERTO RICO Y EL DIVISO. POBLACIONES CERCANAS AL RIO SAN JUAN DEL MICAY.</t>
  </si>
  <si>
    <t>194
224</t>
  </si>
  <si>
    <t>CALARCA</t>
  </si>
  <si>
    <t>VIA LA LINEA KM 20. SITIO EL OASIS.TRES VEHICULOS ATRAPADOS.  REPROTE DEL CREPAD</t>
  </si>
  <si>
    <t>CALLO 35 CON CARRERA 16. CENTRO COMERCIAL LA HORMIGA. REPORTE DEL CREPAD Y BOMBEROS.</t>
  </si>
  <si>
    <t>DESBORDAMIENTO RIO GUAGUATI EN LA INSPECCION DE PUERTO ROMERO. REPORTE DEL CREPAD.</t>
  </si>
  <si>
    <t>DESBORDAMIENTO QUEBRADA SANTA ROSA. SECTOR ALTO SIMACOTA. AFECTADO CENTRO TURISTICA SIMACOTA.  REPORTE DEL CREPAD.</t>
  </si>
  <si>
    <t>SANTAFE DE ANTIOQUIA</t>
  </si>
  <si>
    <t>INUNDACION POR FUERTES LLUVIAS KM 2 VIA CAÑASGORDAS.  REPORTE DEL CREPAD.</t>
  </si>
  <si>
    <t>PUERTO TRIUNFO</t>
  </si>
  <si>
    <t>INUNDACION POR LLUVIAS Y REBOSE DE CAÑOS CORREGIMIENTO DORADAL. REPORTE DEL CREPAD.</t>
  </si>
  <si>
    <t>30000 SACOS UBICADOS EN CORMAGDALENA BARRANQUILLA (8000 SACOS) Y BARRANCABERMEJA (22,000).</t>
  </si>
  <si>
    <t>202
227</t>
  </si>
  <si>
    <t>TIERRALTA</t>
  </si>
  <si>
    <t>CERETE</t>
  </si>
  <si>
    <t>CORREGIMEINTO SAN PABLO, VEREDAS PIEDRAMOLER Y LAS PEÑAS, EL TREN . REPORTE DEL CREPAD.</t>
  </si>
  <si>
    <t>DESBORDAMENTO QUEBRADA MENDOZA BARRIOS CARMEN, GABRIEL, BLANCA MARTINEZ.VEEDA LA NOVEDAD, PALMARITO, POTRERO GRANDE, LOS SANJONES, FINCA PENJAMO,  FINCA EL RECREO, FINCA VILLA CLARA, FINCA EL ROSAL,  REPORTE DE LA DEFENSA CIVI Y EDL CREPAD.</t>
  </si>
  <si>
    <t>BARRIO CRISTO REY SECTOR URBA|NO Y SECTOR RURAL SITIO NUEVO, EL HATICO, EL CONFUSO</t>
  </si>
  <si>
    <t>VERSALLES</t>
  </si>
  <si>
    <t>158
182
216</t>
  </si>
  <si>
    <t>DESBORDAMIENTO RIO MURRI. REPORTE DEL CREPAD.</t>
  </si>
  <si>
    <t>BARRIO EL AGUACATE. REPORTE DE LA DEFENSA CIVIL.</t>
  </si>
  <si>
    <t>DESBORDAMIENTO CAÑOS SECO Y PALITOS. BARRIOS CENTRO, PUEBLO NUEVO, LA CEIBA, EL LIBERTADOR. PENDIENTE AFECTACION.</t>
  </si>
  <si>
    <t>BARIOS LAS AMERICAS, LA AMANDA, CARRIZAL, LA PLAYA, SANTODOMINGO, SIETE DE ABRIL. REPORTE DEL CLOPAD.</t>
  </si>
  <si>
    <t>TEORAMA</t>
  </si>
  <si>
    <t>HACARI</t>
  </si>
  <si>
    <t>DESBORDAMIENTO QUEBRADA AGUABLANCA VEREDA LAS JUNTAS Y AGUABLANCA. REPORTE DEL CREPAD.</t>
  </si>
  <si>
    <t>CRECIENTE SUBITA DE ARROYOS, BARRIOS CENTRO Y VALLADOLID ZONA RURAL PITURUMANA, MATITAS..</t>
  </si>
  <si>
    <t>RIOHACHA</t>
  </si>
  <si>
    <t>ZONAS DE CUCURUMANA Y MATITAS. REPORTE DEL CREPAD.</t>
  </si>
  <si>
    <t>REGIDOR</t>
  </si>
  <si>
    <t>SIMITI</t>
  </si>
  <si>
    <t xml:space="preserve">BARRIOS LA TRINIDAD, LOS OLIVOS, BELENCITO, GARCIA ECHEVERRY, PALMERAS, LA CUMBRE, SANTA ANA, VILLA HELENA SUR, VILLA CAROLINA, SANTA INES, ASENTAMIENTOS DE LA CUMBRE, EL REPOSO, ZAPAMANGA, LA CASTELLANA, LAURELES BAJO, VEREDAS LOS CAUHCOS,  GUAYANA, ALZACIA MALABAR, CASIANO, VERICUTE, HELECHALES, LA JUDÍA, RUITOQUE BAJO, SAN IGNACIO, ALTOS DE MANTILLA, SANTA BARBARA. </t>
  </si>
  <si>
    <t>DESBORDAMIENTO RIO MAGDALENA.Y QUEBRADA CHIMICUICA, COROZAL Y LA MOCHA. CORREGIMIENTOS SAN FERNANDO Y JABARA. REPORTE DE LA DEFENSA CIVIL</t>
  </si>
  <si>
    <t>ISLA PENSILVANIA, ISLA ROSA MARIA, VEREDA CARMONA, VEREDA SAN ANTONIO , VILLA CLARIN KM 2, KM7, LA PLAYITA, CAÑO VALLE, RODEO, ZARCITA, ISLA SAN JOSE. DESBORDAMIENTO RIO MAGDALENA, CAÑO AGUAS NEGRAS Y CLARIN.</t>
  </si>
  <si>
    <t>CABECERA MUNICIPAL Y CORREGIMIENTOS CAPUCHO, PUNTA DE PIEDRAS, PIEDRA DE MOLER, PIEDRAS PINTADAS, CAÑO DE AGUA, CERRITOS Y BONGO. DESBORDAMIENTO R IO MAGDALENA</t>
  </si>
  <si>
    <t>CABECERA MUNICIPAL Y CORREGIMIENTOS AVIANCA, VEREDAS LA BODEGA Y LOS GENIOS Y PIÑUELA. CRECIENTE DEL RIO FUNDACION Y VENDAVALES.</t>
  </si>
  <si>
    <t>ROMPIMIENTO DE DIQUE SECTORES PINTO VIEJO, BARRO BLANCO. REPORTE DEL CREPAD.</t>
  </si>
  <si>
    <t>CABECERA MUNICIPAL Y DIFERENTES CORREGIMIENTOS: EL CERRITO, SAN FELIPE, LA CURVA, BELEN, AGUAESTRADA, LOS NEGRITOS, ALGARROBAL, BARRANCO DE CHILLOA, CAÑO DE PALMA FLORIDA, . DESBORDAMIENTO RIO MAGDALENA.</t>
  </si>
  <si>
    <t>CABECERA MUNICIPAL CORREGIMEINTOS DE CABRERA Y FILADELFIA. REPROTE DEL CREPAD.</t>
  </si>
  <si>
    <r>
      <t>CABECERA MUNICIPAL Y CORREGIMIENTOS PALMIRA, TASAJERA E ISLA DEL ROSARIO. DESBORDAMIENTO RIO ARACATACA. VEREDA LA ISLA REPORTE DEL CLOPAD.</t>
    </r>
    <r>
      <rPr>
        <b/>
        <sz val="9"/>
        <rFont val="Arial"/>
        <family val="2"/>
      </rPr>
      <t>APOYO DEL FNC MEDIANTE GIRO DIRECTO AL CLOPAD PARA LA CONSTRUCCION DE PISOS DE MADERA EN EL CORREGIMIENTO DE PALMIRA, Y LA CONSTRUCCION DE TAMBOS.</t>
    </r>
  </si>
  <si>
    <t>BARRIOS LAS TABLITAS, ARIGUANI, CHIMILA, MAGDALENA, PAZ DEL RIO, BRISAS DEL RIO, SAN CARLOS, LA ESMERALDA, LA ESPERANZA, EL PROGRESO, DIVINO NIÑO, 16 DE JULIO, HAWAI, GIMNASIO, 23 DE FEBRERO, SAN BERNARDO Y SAN FERNANDO. REPORTE DEL CREPAD.</t>
  </si>
  <si>
    <t>DESBORDAMIENTO RIO ARACATACA, BARRIOS SIETE DE AGOSTO, 20 DE JULIO, LOMA FRESCA, LA CASITA Y VILLA DEL RIO 1 y 2 VAYANVIENDO YUCURA, SUICHE, LA ESPERANZA, SACAPITAS, TEOROMINA, EL TIGRE, EL CARMEN, DOS DE FEBRERO. CORREGENIENTOS BUENOS AIRES. EL RUBI, SANPUECITO, VILLA MARIA,  Y SANPUES. REPORTE DE LA DEFENSA CIVIL.</t>
  </si>
  <si>
    <t>LA PLAYA</t>
  </si>
  <si>
    <t>LOURDES</t>
  </si>
  <si>
    <t>EL PLAYON</t>
  </si>
  <si>
    <t>DESBORDAMIENTO QUEBRADA LA VULGARITA. REPORTE DEL CREPAD</t>
  </si>
  <si>
    <t>BARRIO SANTANDER REPORTE DEL CREPAD.</t>
  </si>
  <si>
    <t>VEREDA LA PRIMAVERA SECTOR LA CARRILERA REPORTE DEL CREPAD.</t>
  </si>
  <si>
    <t>DESBORDAMIENTO RIO CAUCA REPORTE DEL CREPAD</t>
  </si>
  <si>
    <t>VEREDA SAN ANDRES. REPORTE DEL CREPAD</t>
  </si>
  <si>
    <t>CORREGIMIENTO LA DANTA SECTOR SAN FRANCISCO BARRIOS LA MIRA, Y SAN FRANCISCO. REPORTE DEL CREPAD.</t>
  </si>
  <si>
    <t>MINA DE CARBON. CORREGIMEINTO LA DONJUANA. REPORTE DEL CREPAD</t>
  </si>
  <si>
    <t>EXPLOSION POR MANIPULACION DE POLVORA VEREDACERRO GONZALEZ. REPORTE DEL CREPAD</t>
  </si>
  <si>
    <t>HACIENDA EL PORVENIR. REPORTE DEL CLOPAD</t>
  </si>
  <si>
    <t xml:space="preserve">CORREGIMINTO QUEBRADA NEGRA. REPORTE DEL CREPAD </t>
  </si>
  <si>
    <t>CORREGIMIENTO PELECHUA, REPORTE DEL CLOPAD</t>
  </si>
  <si>
    <t>CHOACHI</t>
  </si>
  <si>
    <t>VIA BOGOTA - CHOACHI.</t>
  </si>
  <si>
    <t>DESBORDAMIENTO QUEBRADA GUANENTA. VEREDA GUANENETA (1 MUERTO). VEREDA EL PINO (2 MUERTOS). REPORTE DEL CREPAD Y CLOPAD.</t>
  </si>
  <si>
    <t>CIUDAD BOLIVAR</t>
  </si>
  <si>
    <t>FUERTES LLUVIAS. REPORTE DE LA DEFENSA CIVIL.</t>
  </si>
  <si>
    <t>PUERTO BERRIO</t>
  </si>
  <si>
    <t>VENADILLO</t>
  </si>
  <si>
    <t>PAZ DE ARIPORO</t>
  </si>
  <si>
    <t>CASABIANCA</t>
  </si>
  <si>
    <t>MARIQUITA</t>
  </si>
  <si>
    <t>FRESNO</t>
  </si>
  <si>
    <t>GUADUAS</t>
  </si>
  <si>
    <t>REPORDE DE LA DEFENSA CIVIL. AFECTADO ALÑMACEN COMERCIAL.</t>
  </si>
  <si>
    <t>DESLIZAMIENTO SOBRE PUENTE DEL RIO CONSOTA.</t>
  </si>
  <si>
    <t>BALBOA</t>
  </si>
  <si>
    <t>VEREDA LA ESPRIELLA. REPORTE DE LA DEFENSA CIVIL.</t>
  </si>
  <si>
    <t>ASTREA</t>
  </si>
  <si>
    <t>DESBORDAMIENTO RIO CUSIANA VEREDAS MATA DE PIÑA Y LAS ISLAS.</t>
  </si>
  <si>
    <t>BARRIO VILLA LOREN CORREGIMIENTO DE ARJONA</t>
  </si>
  <si>
    <t>BARRIOS 10 DE ENERO, PALMAR Y SIETE DE JULIO. PENDIENTE AFECTACION. REPORTE DEL CREPAD.</t>
  </si>
  <si>
    <t>VEREDAS ZAPAUA, UCUENGA, UCUACA, NAZARETH, GUAQUIRA, CHAMEZA, VIA NOBSA.</t>
  </si>
  <si>
    <t>TIBASOSA</t>
  </si>
  <si>
    <t>MONIQUIRA</t>
  </si>
  <si>
    <t>BARRIO COLINAS BAJO</t>
  </si>
  <si>
    <t>ANCIANATO AFECTADO DAÑOS EN ENSERES.</t>
  </si>
  <si>
    <t>274
26468</t>
  </si>
  <si>
    <t xml:space="preserve">                                 </t>
  </si>
  <si>
    <t>CASCO URBANO.</t>
  </si>
  <si>
    <t xml:space="preserve">SECTOR DE LOMA LINDA. </t>
  </si>
  <si>
    <t>DESBORDAMIENTO RIOS JURADO Y APARTADO. AFCTO COMUNIDADES INDIGENAS. SANTA RITA, CUMARACARA, PAPATO, BUENAVISTA, DOS BOCAS, CEDRAL.</t>
  </si>
  <si>
    <t>SITIO VEREDA EL PALMAR.</t>
  </si>
  <si>
    <t>REPORTE DE LA DEFENSA CIVIL. SE EVACUARON 7 FAMILIAS.</t>
  </si>
  <si>
    <t>EL CAIRO</t>
  </si>
  <si>
    <t>VIJES</t>
  </si>
  <si>
    <t>PAMPLONITA</t>
  </si>
  <si>
    <t>SANTIAGO</t>
  </si>
  <si>
    <t>SILOS</t>
  </si>
  <si>
    <t>BAJO BAUDO</t>
  </si>
  <si>
    <t>REPORTE DE MAVDT</t>
  </si>
  <si>
    <t>REPROTE DE LA DEFENSA CIVIL</t>
  </si>
  <si>
    <t>SOTARA</t>
  </si>
  <si>
    <t>42927
46940</t>
  </si>
  <si>
    <t xml:space="preserve">APOYO DEL FNC MEDIANTE GIRO DIRECTO AL CLOAPD PARA LA ADQUISICON DE COMBUSTIBLEPARA LOS TRABAJOS DE PROTECCION Y REALCE DEL DIQUE QUE PROTEGE EL DISTRITO DE RIEGO.- SEGUNDO GIRO DIRECTO APOYO DEL FNC MEDIANTE GIRO DIRECTO AL CLOPAD PARA RECUPERACION DE VIAS,CON ALQUILER DE  MAQUINARIA Y COMBUSTIBLE </t>
  </si>
  <si>
    <t>EL MOLINO</t>
  </si>
  <si>
    <t>REPROTE DEL CLOPAD</t>
  </si>
  <si>
    <t>PACORA</t>
  </si>
  <si>
    <t>CRECIENTE SUBITA</t>
  </si>
  <si>
    <r>
      <t>COLAPSO EN MINA DE CARBON VEREDA CANELAS, LA ESPERANZA. REPORTE DEL CREPAD</t>
    </r>
    <r>
      <rPr>
        <b/>
        <sz val="9"/>
        <rFont val="Arial"/>
        <family val="2"/>
      </rPr>
      <t xml:space="preserve"> APOYO DEL FNC MEDIANTE GIRO DIRECTO AL CLOPADPARA APOYAR LAS LABORES DE RESCATE.</t>
    </r>
  </si>
  <si>
    <t>22145
22705
26762</t>
  </si>
  <si>
    <t>APOYO DEL FNC MEDIANTE GIRO DIRECTO AL CLOPAD PARA ADQUISICION DE COMBUSTIBLE, ACEITE Y MANENIMIENTO DE TRES MOTOBOMBAS.</t>
  </si>
  <si>
    <t>266
25673</t>
  </si>
  <si>
    <t xml:space="preserve">DESBORDAMIENTO QUEBRADA LAS CAMELIAS, REPORTE DE LA DEFENSA CIVIL, BARRIO LAS CAMELIAS </t>
  </si>
  <si>
    <t>EVACUADA LA POBLACION</t>
  </si>
  <si>
    <t>SUAN</t>
  </si>
  <si>
    <t xml:space="preserve">ROMPIMIENTO CANAL DEL DIQUE. </t>
  </si>
  <si>
    <t>APARTADO</t>
  </si>
  <si>
    <t xml:space="preserve">REPROTE DE LA DEFENSA CIVIL CORREGIMEINTO EL REPOSO.DESBORDAMIENTO RIO VIJAGUAL. </t>
  </si>
  <si>
    <t>MONTEBELLO</t>
  </si>
  <si>
    <t>CORREGIMIENTO VERSALLES, REPORTE DE LA DEFENSA CIVIL</t>
  </si>
  <si>
    <t>CORREGIMIENTO GAMBOTE. REPORTE DE LA DEFENSA CIVIL. DESBORDAMIENTO CANAL DEL DIQUE.</t>
  </si>
  <si>
    <t>CRECIENTE ARROYOS JAGUEY, HEBILLA, SAN ANTONIO Y PRIMERO DE DICIEMBRE, BARRIOS PRIMERO DE DICIEMBRE, KENNEDY, SIETE DE AGOSTO, ISABEL CRISTINA, EVARISTO SOURDIS, SAN JOSE, VILLAVICENCION Y CORREGIMIENTO DE COLOMBISA. REPORTE DE DEFENSA CIVIL</t>
  </si>
  <si>
    <t>CORREGIMIENTO SAN LUIS Y SECTOR URBANO. REPROTE DEL CREPAD.</t>
  </si>
  <si>
    <t>SECTOR URBANO. REPORTE DEL REPAD.</t>
  </si>
  <si>
    <t>VEREDA SABANA. FINCA EL MANGO. REPORTE DELC REPAD.</t>
  </si>
  <si>
    <t>DESBORDAMIENTO RIO LEBRIJA A LA ALTURA DEL SITIO PUENTE ARTURO. REPROTE DEL CREPAD.</t>
  </si>
  <si>
    <t>BARRIO CIUDADELA REAL DE MINAS. REPORTE DE L CREPAD.</t>
  </si>
  <si>
    <t>QUEBRADA LA CABUYA. BARRIO OBRERO, REPROTE DEL CREPAD.</t>
  </si>
  <si>
    <t>CRECIENTE RIO CAUCA. VEREDA SAN FRANCISCO, SECTOR PASO DE LOS TUERTOS. REPORTE DEL CREPAD.</t>
  </si>
  <si>
    <t>DESBORDAMIENTO QUEBRADA TASCARENA, SECTOR LA GARITA, REPORTE DEL CREPAD.</t>
  </si>
  <si>
    <t xml:space="preserve">BARRIO DIVINA PASTORA. REPROTE DEL CLOPAD. </t>
  </si>
  <si>
    <t>VEREDA SAN VICENTE BAJO Y EL DARIEN. REPORTE DEL CREPAD.</t>
  </si>
  <si>
    <t>APOYO DEL FNC MEDIANTE GIRO DIRECTO AL CLOPAD PARA LA CONSTRUCCION DE UN MODULO SANITARIO PARA LA INSTITUCION EDUCATIVA VENECIA DEL CORREGIMIENTO DE VENECIA, LA CUAL AMENAZA CON COLAPSAR.</t>
  </si>
  <si>
    <t>22122
45127</t>
  </si>
  <si>
    <t>CORREGIMEINTO SAN ANDRES DE PISIMBALA. APOYO DEL FNC MEDIANTE GIRO DIRECTO AL CLOPAD PARA LA RECUPERACION DE LAS VIASSAN ANDRES TUMBICHUCUE,, SAN ANDRES - SANTA ROSA Y SAN FRANCISCO - VIBORA.</t>
  </si>
  <si>
    <t>DESBORDAMEINTO RIO SARDINATA, TIBU, NUEVO PRESIDENTE. VEREDAS LA COLINA, LA ROCHELA, VEGAS DEL RIO NUEVO, EL PORVENIR, LA SOLEDAD, J 10, LLANO GRANDE, TRES BOCAS, PUERTA DE PALO, BRISAS DE RIO NUEVO, PLAYA RICA, CAÑO VICTORIA. REPORTE DEL CREPAD.</t>
  </si>
  <si>
    <t xml:space="preserve">REPORTE DEL CREPAD BARRIO ALTOS DEL POBLADO. ETAPA 2, </t>
  </si>
  <si>
    <t xml:space="preserve">RE PORTE DEL CREPAD. CORREGIMIENTO LA GALLERA. </t>
  </si>
  <si>
    <t>SECTOR SAN JUAN A SEIS KM DE LA UNION.REPORTE DEL CREPAD.</t>
  </si>
  <si>
    <t>CRECIENTE SUBITA RIO MUNGUIDO, REPORTE DEL CLOPAD.</t>
  </si>
  <si>
    <t>FUERTES LLUVIAS. BARRIOS GALILEA, LA VICTORIA, EL PARAISO, LAURELES, LA FLORESTA. REPORTE DE LA DEFENSA CIVIL.</t>
  </si>
  <si>
    <t>DESBORDAMIENTO CAÑOS LA CUERERA, CAÑO MAIZAROI, RIO OCOA. BARRIOS LA RELIQUIA, RECE DE MAYO, JUAN PABLO SEGUNDO Y LA CECILIA. REPORTE DE DEFENSA CIVIL Y CREPAD</t>
  </si>
  <si>
    <t>BARRIO PETECUY. REPORTE DE LA DEFENSA CIVIL Y BOMBEROS.</t>
  </si>
  <si>
    <t>ACCIDENTE DE AVION DE AIRES BOING 737 MATRICULA HK 4682 VUELO 8250. BOGOTA - SAN ANDRES ISLAS. 127 PASAJEROS Y TRIPULANTES.</t>
  </si>
  <si>
    <t>8000 SACOS PUESTOS EN CORMAGDALENA MAGANGUE</t>
  </si>
  <si>
    <t>SE APOYA TENIENDO EN CUENTA LA MAGNITUDE LA EMERGENCIA</t>
  </si>
  <si>
    <t>SE APOYA TENIENDO EN CUENTA LA MAGNITUD DE LA EMERENCIA</t>
  </si>
  <si>
    <t>DESBORDAMIENTO RIO MAGDALENACORREGIMIENTO DE LAS PAILASEL DIQUE Y CHAPARRAL</t>
  </si>
  <si>
    <t>389389
38019</t>
  </si>
  <si>
    <t>38939
37190</t>
  </si>
  <si>
    <t>38939
33583</t>
  </si>
  <si>
    <t>38939
36639</t>
  </si>
  <si>
    <t>SE BRINDO APOYO GLOBAL AL DEPARTAMENTO</t>
  </si>
  <si>
    <t>SE BRINDO APOYO GLOBAL PARA LOS 22 MUNICIPIOS AFECTADOS</t>
  </si>
  <si>
    <t>39941
40418</t>
  </si>
  <si>
    <t>SE APOYO A TRAVES DEL DEPARTAMENTO</t>
  </si>
  <si>
    <t>39941
41154</t>
  </si>
  <si>
    <t xml:space="preserve">SE APOYA DE MANERA COMPLEMENTARIA A LOS ESFUERZOS LOCALES Y REGIONALES. </t>
  </si>
  <si>
    <t>BARRIO SAN ISIDRO. REPORTE DEL CREPAD Y SOCORRO NACIONAL</t>
  </si>
  <si>
    <t>VENECIA</t>
  </si>
  <si>
    <t>VEREDA LA CHORRERA. QUEBRADA LA CHORRERA. REPORTE DE LA DEFENSA CIVIL.</t>
  </si>
  <si>
    <t>PUERTO SANTANDER</t>
  </si>
  <si>
    <t>PENDIENTE AFECTACION</t>
  </si>
  <si>
    <t>SE APOYO DE MANERA GLOBAL A TRAVES DEL CREPAD</t>
  </si>
  <si>
    <r>
      <t xml:space="preserve">BARRIOS FERROCARIL, ARBOLEDA, 20 DE JULIO, CABRERA, ORIENTAL, OASIS, COSTA HERMOSA, VISTA HERMOSA, HIPODROMO, SAN ANTONIO, PORVENIR, LA MARIA, VILLA CARMEN, VILLA MUTIZ, FLORESTA, NUEVO HORIZONTE, LA ILUSION, PRIMERO DE MAYO, FERIAS, MANUELA BELTRAN VILLA MUBDI, DESBORDAMIENTO DE LOS ARROYOS EL SALADO Y PLATANAL. REPORTE DEL ALCALDE MUNICIPAL. </t>
    </r>
    <r>
      <rPr>
        <b/>
        <sz val="9"/>
        <rFont val="Arial"/>
        <family val="2"/>
      </rPr>
      <t>SE APOYO A TRAVES DEL CREPAD.</t>
    </r>
  </si>
  <si>
    <t>PENDIENTE AFECTACION.  REPORTE DEL CREPAD.</t>
  </si>
  <si>
    <t>CORREGIMIENTO LAS COMPUERTAS DESBORDAMIENTO DEL CANAL DEL DIQUE. REPORTE DEL CREPAD</t>
  </si>
  <si>
    <t>CAJAMARCA</t>
  </si>
  <si>
    <t>VEREDA LA JULIA VIA LA LINEA. REPORTE DEL CREPAD.</t>
  </si>
  <si>
    <t>DESBORDAMIENTO QUEBRADA TAMACA. BARRIOS EL PANDO, LUZ DEL MUNDO, 19 DE ABRIL, EL PARQUE, CHIMILA I, BASTIDAS, ONDAS DEL CARIBE. REPORTE DEL CLOPAD.</t>
  </si>
  <si>
    <t>NUNCHIA</t>
  </si>
  <si>
    <r>
      <t xml:space="preserve">DESBORDAMIENTO RIO CAUCA. REPORTE DE LA DEFENSA CIVIL. </t>
    </r>
    <r>
      <rPr>
        <b/>
        <sz val="9"/>
        <rFont val="Arial"/>
        <family val="2"/>
      </rPr>
      <t>EL VALOR DE OTROS CORRESPONDE A 350 PARES DE BOTAS PARA ADULTO Y 150 PARA NIÑO</t>
    </r>
  </si>
  <si>
    <t>INSPECCION PUERTO UMBRIA. CRECIENTE DEL RIO GUINEO.. REPORTE DE LA DEFENSA CIVIL.</t>
  </si>
  <si>
    <t>RICAURTE</t>
  </si>
  <si>
    <t>PASTO</t>
  </si>
  <si>
    <t>BARRIOS SAN MARTIN, SANTA CLARA Y EL PILAR. REPORTE DEL CLOPAD.</t>
  </si>
  <si>
    <t>REPORTE DE LA DEFENSA CIVIL</t>
  </si>
  <si>
    <r>
      <t>LA GOBERNACION DECLARO URGENCIA MANIFIESTA POR EL FENOMENO DE EL NIÑO.MEDIANTE RESOLUCION 005 DEL 18 DE ENERO DE 2010.</t>
    </r>
    <r>
      <rPr>
        <b/>
        <sz val="10"/>
        <rFont val="Arial"/>
        <family val="2"/>
      </rPr>
      <t xml:space="preserve"> SE ESTA ABASTECIENDO CON CARROTANQUES CON EL APOYO DE LA GOBERNACION</t>
    </r>
  </si>
  <si>
    <r>
      <t xml:space="preserve">MUNICIPIO CON RACIONAMIENTO DE AGUA Y/O DESABASTECIMIENTO POR PROBLEMAS DE SEQUI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</si>
  <si>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t>MUNICIPIO CON RACIONAMIENTO DE AGUA Y/O DESABASTECIMIENTO POR PROBLEMAS DE SEQUI DEBIDO AL FENOMENO DE EL NIÑO. REPORTE DEL MAVDT. ES NECESARIO APOYO TÉCNICO, EL CUAL SE PRESTARÁ POR PARTE DEL PDA       SE PRACTICARÁ VISITA TÉCNICA POR PARTE DEL GESTOR EL 4 DE FEBRERO PARA VERIFICAR NECESIDADES, EL TAPONAMIENTO DE LA RED (3 KM) Y LA VIABILIDAD DE LA CONSTRUCCIÓN DE UN VIADUCTO DE APROXIMADAMENTE 320 M, PARA PRESENTAR PROYECTO DE REPOSICIÓN DE CONDUCCIÓN.</t>
  </si>
  <si>
    <t>DESABASTECIMIENTO DE AGUA. REPORTE DE LA ALCALDIA Y EL MAVDT</t>
  </si>
  <si>
    <t>SIBATE</t>
  </si>
  <si>
    <t>RACIONAMIENTO DE AGUA POR REDUCCION EN LA FUENTE ABASTECEDORA, SE HAN ENCONTRADO CAPTACIONES NO AUTORIZADAS AGUAS ARRIBA DE LA BOCATOMA . SE REALIZO VISITA CON LA CAR Y LAS AUTORIDADES, PERO LA POBLACION CONTINUA CON LAS CAPTACIONES PARA RIEGO. REPORTE DE LAS EMPRESAS PUBLICAS DE SIBATE Y EL MAVDT.</t>
  </si>
  <si>
    <t>SE APOYA TENIENDO EN CUENTA EL PROBLEMA DE DESABASTECIMIENTO DE AGUA Y SEGÚN LO ACORDADO CON EL MAVDT.</t>
  </si>
  <si>
    <t>COLAPSO DE CUPULA DE LA IGLESIA CRISTO REY</t>
  </si>
  <si>
    <t>CERINZA</t>
  </si>
  <si>
    <t>142
185</t>
  </si>
  <si>
    <t>137
158
318
161
162
181
185</t>
  </si>
  <si>
    <t>DESBORDAMIENTO DEL RIO ZULIA. REPROTE DEL CREPAD. VEREDA PALMARITO</t>
  </si>
  <si>
    <t xml:space="preserve">REPORTE DEL CLOAPD. BARRIOS VILLA MAGDALENA Y LA GAVIOTA. </t>
  </si>
  <si>
    <t>REPROTE DEL CREPAD.. VEREDAS LA SILLA, MICHAGUA, SANTA TERESA</t>
  </si>
  <si>
    <t xml:space="preserve">DESBORDAMIENTO RIO UBATE, REPORTE DEL CREPAD. VEREDAS SUCUCHOQUE, SECTOR SAN LUIS. </t>
  </si>
  <si>
    <t>REPORTE DEL CREPAD. VEREDA CERCA DE PIEDRA Y BARRIOS RIOFRIO E IBARO.</t>
  </si>
  <si>
    <t>DESBORDAMIENTO RIO NEUSA. REPROTE DEL CREPAD VEREDA CASCAJAL.</t>
  </si>
  <si>
    <t>SUBACHOQUE</t>
  </si>
  <si>
    <t>DESBORDAMIENTO RIO SUBACHOQUE. REPORTE DEL CREPAD.</t>
  </si>
  <si>
    <t>REPORTE DEL CLOPAD. CORREGIMIENTOS PUERTO CALDAS, BARRIOS CHICO RESTREPO Y HERNANDO VELEZ.</t>
  </si>
  <si>
    <t>CASCO URBANO, VEREDAS LAS PIEDRAS Y LAS TORTUGAS, REPORTE DEL CREPAD,.</t>
  </si>
  <si>
    <t>REPORTE DEL CREPAD.  VEREDA LLANO GRANDE FINCA  ALFONSO BALCONES</t>
  </si>
  <si>
    <t xml:space="preserve">REPORTE DE DEFENSA CIVIL. VEREDA CIRIA. </t>
  </si>
  <si>
    <t>DESBORDAMEINTO RIO SABALETAS. REPORTE DE LA DEFENSA CIVIL.. ZONA URBANA.</t>
  </si>
  <si>
    <t>DEFENSA CIVIL. SECTORES CABECERA MUNICIPAL, EREDAS SANTA ROSA, PINDAZA, AGUASUCIA, PLAYA DEL ROPSARIO Y CORREGIMIENTO SAN LORENZA.</t>
  </si>
  <si>
    <t xml:space="preserve">REPORTE DEL CREPAD. VEREDA OROMAZO, </t>
  </si>
  <si>
    <t>DESBORDAMIENTO RIO CAUCA. AFECTANDO LOS BARRIOS LA VICTORIA, LA ESPERANZA, LA APLAYA EL ROBLE, PRIMERO DE MAYO, CASTILLA, LAS PARCELAS DEL CARACOL, EL PRADO LA PAZ Y CORREGIMIENTOS MAGENTA, PALOMAR, LOS MEDIOS, ILUSION, PALANCA, ESMERALDA, BARRIO CHINO, ISLA DE LAS CALANDRIAS, BUENOS AIRES. REPORTE DE LA DEFENSA CIVIL. EL CLOPAD ENVIA INFOREM EL 16 DE NOVIEMBRE QUE SE REMITE AL CREPAD PARA EVALUACION DE SITUACION .</t>
  </si>
  <si>
    <t>DESBORDAMIENTO QUEBRADA HILMALAYA. CASCO URBANO. REPORTE DEL CREPAD. EL CLÑOPAD ENVIA INFORME SOBRE SITUACION DEL MUNICIPIO POR DESLIZAMIENTOS, FALLAS GEOLOGICAS, QUE AMERITAN INTERVENCION EN OBRAS. PASA A COORD. REGIONAL</t>
  </si>
  <si>
    <r>
      <t xml:space="preserve">CEBECERA MUNICIPAL Y VARIOS CORREGIMIENTOS. REPORTE DEL CREPAD. </t>
    </r>
    <r>
      <rPr>
        <b/>
        <sz val="9"/>
        <rFont val="Arial"/>
        <family val="2"/>
      </rPr>
      <t>APOYO DEL FNC MEDIANTE GIRO DIRECTO AL CLOPAD PARA LA OBRA DE CIERRE DEL CHOORO ROMPEDEROS SOBRE EL DIQUE DEL PIÑON - CERRO DE SAN ANTONIO</t>
    </r>
  </si>
  <si>
    <t>50562
58953</t>
  </si>
  <si>
    <t>20729
25690</t>
  </si>
  <si>
    <t>294
19878
25687</t>
  </si>
  <si>
    <r>
      <t xml:space="preserve">DESBORDAMEINTO RIO MAGDALENA EN CORREGIMIENTOS LOMA CORREDOR, CAMPO AMALIA, PUERTO PATIÑO, BARRANCA LEBRIJA, REPORTE DE LA CRUZ ROJA. SE REMITE SOLICITU DE LA VEREDA SANTA ROSA DE CARACOL PARA REVISAR TEMA DE REUBICACION DE VIVIENDAS A SOPORTE A LA GESTION Y TEMA DE AGUA POTALE A COORD. REGIONAL. </t>
    </r>
    <r>
      <rPr>
        <b/>
        <sz val="9"/>
        <rFont val="Arial"/>
        <family val="2"/>
      </rPr>
      <t>APOYO DEL FNC MEDIANTE MATERIALES (MANGUERA) PARA LA RECONSTRUCCION DEL ACUEDUCTO.</t>
    </r>
  </si>
  <si>
    <t>VIAS CARRIZAL-ZISAVITA, CUCUTILLA-MORALES, ALTO DE LA MESA-TIERRAGRATA, LOS CUROS - SAN JOSE DE LA MPNTAÑA, SAN JKOSE DE LA MONTAÑA - SANTA TERESITA, CUCUTILLA - CARACOLI. REPORTE DEL CREPAD. PERDIDA SOBRE PUENTE QUEBRADA CARACOLI, ACUEDUCTO VEREDA AGUADAS BAJO, ACUEDICTO CUCUTILLA. REPORTE DEL CREPAD.SE APOYA CON MAETRIARE S DE CONSTRUCCION PARA REPARACION DE VIVENDAS AFECTADAS.</t>
  </si>
  <si>
    <t>106
278
25666</t>
  </si>
  <si>
    <t>270
23792</t>
  </si>
  <si>
    <t>25693
25696</t>
  </si>
  <si>
    <t>0,,</t>
  </si>
  <si>
    <t>AFECTADA ZONA RURAL EN EVALUACION.</t>
  </si>
  <si>
    <t>DEBORDAMIENTO RIO MAICERO BARRIO TRECE D E MAYO Y RELIQUIAS . PENDIENTE EVALUACION.</t>
  </si>
  <si>
    <t>GRANJA SANTA RITA. DESBORDAMIENTO RIO CHICAMOCHA.</t>
  </si>
  <si>
    <t>SAN PABLO DE BORBUR</t>
  </si>
  <si>
    <t>REPORTE DE LA CRUZ ROJA</t>
  </si>
  <si>
    <t>COLAPSO DE GRADERIA EN CORRIDA DE TOROS. REPORTE DEL MINISTERIO DE LA PROTECCION SOCIAL.</t>
  </si>
  <si>
    <t>VIA SUBA - COTA.VEREDA CHIRRILLOS.</t>
  </si>
  <si>
    <t>CHIA</t>
  </si>
  <si>
    <t>NECHI</t>
  </si>
  <si>
    <t xml:space="preserve">INFORME DEL CREPAD NARIÑO, AFECTACION EN EL SECTOR LA PLAYA BASAN POR EFECTOS DE MAREA ALTA. </t>
  </si>
  <si>
    <t>INFORME DEL CREPAD NARIÑO, AFECTACION POR MAREA ALTA EN EL SECTOR EL MORRITO, BARRIOS ONCE DE NOVIEMBRE, NUEVO MILENIO, MARIA AUXILIADORA Y PUERTAS DEL SOL Y BOCAS DE CURA.</t>
  </si>
  <si>
    <t>SE APOYA TENIENDO EN CUENTA EL NIVEL DE AFECTACION EN VIVIENDAS Y PERSONAS Y UNA VEZ REVISADA LA DISPONIBILIDAD FINANCIERA.</t>
  </si>
  <si>
    <t>NO HAY SOLICITUD DE APOYO</t>
  </si>
  <si>
    <t>LA SIERRA</t>
  </si>
  <si>
    <t>MERCADERES</t>
  </si>
  <si>
    <t>LOCALIDAD URIBE URIBE. BARRIO EL PESEBRE.</t>
  </si>
  <si>
    <t>LOCALIDAD DE BOSA BARRIO POTRERITOS</t>
  </si>
  <si>
    <t>23 VEREDAS AFECTADAS POR PERDIDA DE CULTIVOS DEBIDO A LA SEQUIA: CORREGIMIENTO DE SANTA LETICIA: PATIO BONITO, LA PLAYA, LA PALMA, EL TREBOL, BAJA PLAYA, YARUMAL, EL PORVENIR, SAN JOSE, DOS QUEBRADAS, CORREGIMIENTO COCONUCO:EL TREBOL,  LOS LAGOS DE SAN MIGUEL, PISANRRABO, SAN BARTOLO, ALTO LA LAGUNA, ALTO CALAGUALA, CHILINGO, CORREGIMIENTO PALETARA: EL MARQUEZ, RIO CLARO, EL MOLINO, cORREGIMIENTO PURACE: EL CRUCERO, AMBIRO, PATICO Y ALTO ANANBIO.</t>
  </si>
  <si>
    <t>BARRIO SANTA ANA. REPORTE TELEFONICO DEL CREPAD</t>
  </si>
  <si>
    <t>TULUA</t>
  </si>
  <si>
    <t>REPORTE DEL CREPAD.</t>
  </si>
  <si>
    <t>VEREDA PUERT SAN SALVADOR. REPOTE DEL CREPAD</t>
  </si>
  <si>
    <t xml:space="preserve">CASCO URBANO Y VEREDA MONSERRATE. </t>
  </si>
  <si>
    <t>CONTRATACION</t>
  </si>
  <si>
    <t>SAN VICENTE DE CHUCURI</t>
  </si>
  <si>
    <t>SIMACOTA</t>
  </si>
  <si>
    <t>CARCASI</t>
  </si>
  <si>
    <t>SE APOYA E MANERA COMPLEMENTARIA TENIENDO EN CUENTA LA AFECTACION EN VIVIENDAS Y CENTROS EDUCATIVOS</t>
  </si>
  <si>
    <t>SE APOYA TENIENDO EN CUENTA EL APOYO LOCAL Y LA GRAVE AFECTACION DEL DEPARTAMENTO</t>
  </si>
  <si>
    <t>REPORTE DE LA DEFENSA CIVIL Y CONFIRMO CREPAD</t>
  </si>
  <si>
    <t>LOS APOYOS EN TRAMITE CORRESPONDEN A ASISTENCIA HUMANITARIA ENTREGADA, PERO QUE SE ENCUENTRA EN TRAMITE ADMINISTRATIVO EN LA DGR</t>
  </si>
  <si>
    <t>MENAJES</t>
  </si>
  <si>
    <t>JABON BAÑO</t>
  </si>
  <si>
    <t>AP.ALIMENT.</t>
  </si>
  <si>
    <t>OTROS</t>
  </si>
  <si>
    <t>CANTIDAD</t>
  </si>
  <si>
    <t>VALOR</t>
  </si>
  <si>
    <t>CEPILLO ADULTO</t>
  </si>
  <si>
    <t>KIT ASEO</t>
  </si>
  <si>
    <r>
      <t xml:space="preserve">MUNICIPIO CON RACIONAMIENTO DE AGUA Y/O DESABASTECIMIENTO POR PROBLEMAS DE SEQUI DEBIDO AL FENOMENO DE EL NIÑO. REPORTE DEL MAVDT. </t>
    </r>
    <r>
      <rPr>
        <b/>
        <sz val="9"/>
        <color indexed="8"/>
        <rFont val="Arial"/>
        <family val="2"/>
      </rPr>
      <t>SUMINISTRO A TRAVÉS DE CARROTANQUES CON APOYO DEL DEPARTAMENTO. APOYO DEL FNC MEDIANTE GIRO DIRECTO AL CLOPAD PARA EL ALQUILER DE DOS CARROTANQUES PARA PRESTAR SEVICIO POR 45 DIAS.</t>
    </r>
  </si>
  <si>
    <t>SE APOYA TENIENDO EN CUENTA LA AFECTACION CONSIDERABLE EN CULTIVOS Y EL SECTOR PRODUCTIVO.</t>
  </si>
  <si>
    <t>SE APOYA TENIENDO EN CUENTA LAS CONSECUENCIAS SOBRE LAS VIVIENDAS.</t>
  </si>
  <si>
    <t>96835
96822</t>
  </si>
  <si>
    <t>DESBORDAMIENTO QUEBRADA EL SALADO. COMUNIDADES EL CARMEN Y SAN ANTONIO, BARRIOS LAS AMERICAS Y EL JARDIN. ZONA URBANA. REPORTE DEL CREPAD.</t>
  </si>
  <si>
    <t>DESBORDAMIENTO QUEBRADA EL SALADO. ZONA RURAL REPORTE DE LA DEFENSA CIVIL Y DEL CREPAD.</t>
  </si>
  <si>
    <t>CAIDA DE MURO COLEGIO GUSTAVO ROJAS Y SECRETARIA DE SALUD.</t>
  </si>
  <si>
    <t>SECTOR PARROQUIA Y TOLOSA. REPORTE DEL CREPAD.</t>
  </si>
  <si>
    <t>LAS FAMILIAS FUERON REUBICADAS. SECTOR LA CARRERA. REPORTE DEL CREPAD..</t>
  </si>
  <si>
    <t>VEREDA CENTRO, SECTOR EL PARAISO. REPORTE DEL CREPAD</t>
  </si>
  <si>
    <t>REPRTE DEL CREPAD.</t>
  </si>
  <si>
    <t>GAMBITA</t>
  </si>
  <si>
    <t>SAN RAFAEL</t>
  </si>
  <si>
    <t>SECTOR EL BISCOCHO. REPORTE DEL CREPAD.</t>
  </si>
  <si>
    <t>INUNDACION POR FUERTES LLUVIAS</t>
  </si>
  <si>
    <t>CORREGIMIENTO PALMARITO,. REPORTE TELEFONICO DEL CREPAD.</t>
  </si>
  <si>
    <t>CORREGIMIENTO DE BOCAS DE GUAMAL Y COYONGAL</t>
  </si>
  <si>
    <t>UNGUIA</t>
  </si>
  <si>
    <t>NOVITA</t>
  </si>
  <si>
    <t>ATRATO</t>
  </si>
  <si>
    <t>RIO IRO</t>
  </si>
  <si>
    <t>REGION DEL MARGUA.  A RAIZ DEL INCENDIO SE QUEMO LA MANGUERA QUE SERVIA DE CONDUCCION DEL AGUA. EN LA VEREDA PEDRAZA CORREGIMIENTO DE GIBRALTAR.EL VALOR DE OTROS CORRESPONDE A 900 METROS DE MANGUERA DE 1 1/2 Y 900 METROS DE MANGUERA DE 2 1/2.</t>
  </si>
  <si>
    <t>61
66</t>
  </si>
  <si>
    <t>AIPE</t>
  </si>
  <si>
    <t>SE APOYA TEIENDO EN CUENTA LA GRAVEDAD DEL EVENTO.</t>
  </si>
  <si>
    <t>APOYO DEL FNC MEDIANTE GIRO DIRECTO AL CLOPAD PARA LA ADQUISICION DE COMBUSTIBLE PARA APOYAR LAS ENTIDADES OPERATIVAS EN LA ATENCION DE DIFERENTES EMERGENCIAS QUE SE PRESENTEN EN EL DEPARTAMENTO.</t>
  </si>
  <si>
    <t>MEDIO BAUDO</t>
  </si>
  <si>
    <t>APOYO DEL FNC MEDIANTE GIRO DIRECTO AL CLOPAD PARA LA ADQUISICION DE COMBUSTIBLE PARA LABORES DE MONITOREO Y TRASLADO DEL PERSONAL ENCARGADO DEL CONTROL DE INCENDIOS FORESTALES.</t>
  </si>
  <si>
    <t>PANDI</t>
  </si>
  <si>
    <t>PARATEBUENO</t>
  </si>
  <si>
    <t>PUERTO SALGAR</t>
  </si>
  <si>
    <t>PULI</t>
  </si>
  <si>
    <t>QUETAME</t>
  </si>
  <si>
    <t>SAN BERNARDO</t>
  </si>
  <si>
    <t>VERGARA</t>
  </si>
  <si>
    <t>VILLETA</t>
  </si>
  <si>
    <t>VIOTA</t>
  </si>
  <si>
    <t>YACOPI</t>
  </si>
  <si>
    <t>ZIPACON</t>
  </si>
  <si>
    <t>ZIPAQUIRA</t>
  </si>
  <si>
    <t>URIBIA</t>
  </si>
  <si>
    <t>HUILA</t>
  </si>
  <si>
    <t>NATAGA</t>
  </si>
  <si>
    <t>SAN AGUSTIN</t>
  </si>
  <si>
    <t>NORTE DE SANTANDER</t>
  </si>
  <si>
    <t>SAN BERNARDO DEL VIENTO</t>
  </si>
  <si>
    <t>BARRIO EL PARAISO, CORREGIMIENTOS DE TREMENTINO ISLA GRANDE DE MARIN, CISIRA, Y LIMON</t>
  </si>
  <si>
    <t>BARRIO CASUCA, SECTOR LA CAPILLA.</t>
  </si>
  <si>
    <t>BARRIO LA GLORIA SECTOR CASIMIRO. REPORTE DE LA DEFENSA CIVIL</t>
  </si>
  <si>
    <t>BARRIOS SIETE DE ABRIL, Y SURTIZ. REPORTE DEL CLOPAD</t>
  </si>
  <si>
    <t>GALAPA</t>
  </si>
  <si>
    <t>REPORTE DE DEFENSA CIVIL.</t>
  </si>
  <si>
    <t>AFECTADA BODEGA DE LA CADENA OLIMPICA. REPORTO DEFENSA CIVIL</t>
  </si>
  <si>
    <t>VEREDA EL CHARCON, FINCA LLANO GRANDE REPORTE DE LCREPAD.</t>
  </si>
  <si>
    <t>VEREDA LA CIMA,CRECIENTE SUBITA RIO LA CAL. REPORTE DEL CREPAD</t>
  </si>
  <si>
    <t>CASTILLA LA NUEVA</t>
  </si>
  <si>
    <t>ZONA BANANERA</t>
  </si>
  <si>
    <t>CUCUTILLA</t>
  </si>
  <si>
    <t>CORREGIMIENTO DE SAN JOSE DE LA MONTAÑA, VEREDA ALREDEDOR, SITIO QUEBRADA SECA.</t>
  </si>
  <si>
    <t>FINCA LA MARINA VEREDA LA ALEMANIA. REPORTE DEL CREPAD. MUERTE DE UN TRABAJADOR POR CAIDA DE ARBOL.</t>
  </si>
  <si>
    <t>BARRIOS CALLE 14 Y BOLIVAR SEGUNDO SECTOR.</t>
  </si>
  <si>
    <t>TOCAIMA</t>
  </si>
  <si>
    <t>DESBORDAMIENTO QUEBRADA LA PUMA</t>
  </si>
  <si>
    <t>APULO</t>
  </si>
  <si>
    <r>
      <t xml:space="preserve">SECTOR URBANO Y VEREDAS FUNZA, PROVIDENCIA, APOSENTOS BAJO Y ALTO, </t>
    </r>
    <r>
      <rPr>
        <b/>
        <sz val="9"/>
        <rFont val="Arial"/>
        <family val="2"/>
      </rPr>
      <t>APOYO DEL FNC MEDIANTE GIRO DIRECTO AL CLOPAD PARA LA ADQUISICION DE TEJAS ($7.000.000) Y ABONO PARA REACTIVAR EL SECTOR AGRICOLA($8,000,000)</t>
    </r>
  </si>
  <si>
    <t>AREA URBANA Y SECTOR MATACANDELA. REPORTE DEL CREPAD.</t>
  </si>
  <si>
    <t>BARRIOS SURDIS Y AMERICAS</t>
  </si>
  <si>
    <t>BOCHALEMA</t>
  </si>
  <si>
    <t xml:space="preserve">SECTOR LA BUITRERA REPORTE DE LA CRUZ ROJA </t>
  </si>
  <si>
    <t>DESLIZAMIENTO SOBRE LA BOCATOMA QUEBRADA LOS VALLECITOS. POBLACION SIN SUMINSTRO EAGUA, REPORTA LA DEFENSA CIVIL.</t>
  </si>
  <si>
    <t>SANTA ISABEL</t>
  </si>
  <si>
    <t>DAÑOS EN LA BOCATOMA, REPORTA DEFENSA CIVIL.</t>
  </si>
  <si>
    <t>JAMUNDI</t>
  </si>
  <si>
    <t>PALMIRA</t>
  </si>
  <si>
    <t>CORREGIMEINTO PALMA SECA. REPORTE DEL CREPAD</t>
  </si>
  <si>
    <t>REPORTE DEL CLOPAD. BARRIOS FATIMA, PATIO BONITO, PRIMERO DE MAYO, MINUTO DE DIOS BELEN. CONFIRMO CREPAD Y DCC</t>
  </si>
  <si>
    <t>YAGUARA</t>
  </si>
  <si>
    <t>DESCARGA ELERCTRICA EN LA COMUNA 21. REPORTE DEL CREPAD</t>
  </si>
  <si>
    <t>SECTOR PLUMON ALTO</t>
  </si>
  <si>
    <t>MURILLO</t>
  </si>
  <si>
    <t>QUEBRADA VALLECITOS. REPORTE DEL CREPAD</t>
  </si>
  <si>
    <t>TAME</t>
  </si>
  <si>
    <t>96704
96608</t>
  </si>
  <si>
    <t>TUNJA</t>
  </si>
  <si>
    <t xml:space="preserve">DESLIZAMIENTO EN LA VIA CUCUTA - SALAZAR DE LAS PALMAS. </t>
  </si>
  <si>
    <t>MUNICIPIO CON RACIONAMIENTO DE AGUA Y/O DESABASTECIMIENTO POR PROBLEMAS DE SEQUI DEBIDO AL FENOMENO DE EL NIÑO. REPORTE DEL MAVDT. CON ESTE RACIONAMIENTO TIENEN BAJO CONTROL LA SITUACION</t>
  </si>
  <si>
    <t>BARRIOS EL BAJITO, TOLMO Y LA VUELTA. FAMILIAS EVACUADAS PREVENTVAMENTE.REPORTE DEL CREPAD.</t>
  </si>
  <si>
    <t>MEDINA</t>
  </si>
  <si>
    <t>FUSAGASUGA</t>
  </si>
  <si>
    <t>BARRIOS GAITAN, FLORIDA, SANTANDER, LA ESMERALDA, BALMORAL, SANTA ANITA, MANDALAY, SAN JORGE.  INUNDACIONES POR SATURACION DE ALCANTARILLAS.. REPORTE DEL CREPAD.</t>
  </si>
  <si>
    <t>BUCARAMANGA</t>
  </si>
  <si>
    <t xml:space="preserve">SUMINISTRO DE AGUA A TRAVES DE CARROTANQUE CON EL APOYO DEL NIVEL DEPARTAMENTAL.APOYO DEL FNC MEDIANTE GIRO DIRECTO ALCLOPAD PARA ALQUILER DE CARROTANQUE PARA EFECTUAR 5 VIAJES DIARIOS DURANTE 40 DIAS. </t>
  </si>
  <si>
    <t>FUERTES LLUVIAS CON FUERTES VIENTOS. BARRIO BELEN, VILLA PAZ, NACIONAL, SUCRE, SAUCEGAL Y GUASIMAL</t>
  </si>
  <si>
    <t>MIRADOR DE CORINTOS Y SECTOR LOS OLIVOS</t>
  </si>
  <si>
    <t>VEREDA LAS GUALAS. REPORTE DELA DEFENSA CIVIL.</t>
  </si>
  <si>
    <t>DESBORDAMIENTO RIO GUINEO. CASO URBANO.  REPORTE DE LA DEFENSA CIVIL.</t>
  </si>
  <si>
    <t>DESBORDAMIENTO QUEBRADAS GUADUAL Y LISA. SECTOR RURAL GARZAS, VEREDAS LA LUISA. PRINGAMOZAL, CENTRO, GUACAMAYAS, CAÑADAS, CERRO GORDO, EL SAMAN, SERREZUELA, PRIMAVERA, SAN CAYETANO, TOVASR, PUEBLO NUEVO, RINCON SANTO, BOCAS DEL LEMAYA, CHIPUELO ORIENTE, BARRIO EL CARMEN, SAN PABÑLO, LAS `PALMERAS, PABLO SEXTO, SAN MARTIN SANTA ANA, IFA.REPORTE DEL CREPAD.</t>
  </si>
  <si>
    <t>ICONONZO</t>
  </si>
  <si>
    <t>PERDIDA POR EFECTOS DEL FENOMENO DE EL NIÑO VEREDAS BALCONES, MUNDO NUEVO, LA ESPERANZA, LA FILA, BALCONCITOS, EL TRIUNFO, LA GEORGINA LA PEPINA.</t>
  </si>
  <si>
    <t>DESBORDAMIENTO RIO CHIQUITO BARRIOS SAN ANTONIO, PIÑUELAS, TOCOLOA, LAGOS TERCERA ETAPA Y SANTA CRUZ.</t>
  </si>
  <si>
    <t>BARRIO LA MANGA. AFECTADA UNA IGLESIA.</t>
  </si>
  <si>
    <t>TRES BARRIOS LA CANDELARIA, SAN ANTONIO Y SANTO TOMAS.</t>
  </si>
  <si>
    <t>BARRIOS BRISAS, NUEVA ESPERANZA, JARDINES DE PAZ, LA ARBOLEDA Y SAN ISIDRO. REPORTE DEL CREPAD.</t>
  </si>
  <si>
    <t>DESBORDAMIENTO RIO LUISA Y QUEBRADA LEMAYA. BARRIOS SANTA ANA, PABLO SEXTO, LAS PALMAS, Y EL CARMEN.</t>
  </si>
  <si>
    <t>HONDA</t>
  </si>
  <si>
    <t>DESBORDAMIENTO RIO MAGDALENA BARIOS PACHO Y CARACOLI</t>
  </si>
  <si>
    <t>LA DORADA</t>
  </si>
  <si>
    <t>BUCARASICA</t>
  </si>
  <si>
    <t>AFECTADA VIA SAN JUANA - BUCARASICA</t>
  </si>
  <si>
    <t>DESBORDAMIENTO QUEBRA EL PALMAR CORREGIMIENTOS PUEBLO NUEVO, EL PALMAR Y MUNDO AL REVES.</t>
  </si>
  <si>
    <t>SE APOYA TENIENDO EN CUENTA LA MAGNITUD DE LA EMEREGENCIA</t>
  </si>
  <si>
    <t>BARRIOS SEA, DORADO, VILLA HELENA, VEREAS LA VOLADURA ALTA, Y CUBA REPORTE DEL CLOPAD</t>
  </si>
  <si>
    <t>FENOMENO ATMOSFERICO</t>
  </si>
  <si>
    <t>BUCARAMANGA, LOS SANTOS, SAN ANDRES, SAN JIOAQUIN, MOGOTES, ONZAGA, PINCHOTE</t>
  </si>
  <si>
    <t>DESBORDAMIENTO ARROYO GRANDE. BARRIOS SAN JOSE, LA JOSEFINA, EL OASIS, DAJER CHADID, SAN FRANCISCO, LAS FAROLAS, LOS ALPES, REPORTE DEL CREPAD. Y CRUZ ROJA</t>
  </si>
  <si>
    <t>INUNDACION POR FUERTES LLUVIAS BARRIOS BACHELIN Y MIRADOR. REPORTE DEL CREPAD.</t>
  </si>
  <si>
    <t>SANTA ROSA</t>
  </si>
  <si>
    <t>REPORTE DEL CREPAD Y SOCORRO NACIONAL. VEREDA LOS CALLITOS TOLUCA Y EL MAMON.</t>
  </si>
  <si>
    <t>FENOMENO REGIRTRADO CON  EXPLOSION Y PASO DE BOLA DE FUEGO POR EL ESPACIO EN ESTUDIO. REPORTE DE ENTIDAES OPERATIVAS, CREPAD CIOMUNIDAD. INGEOMINAD, CLOPAD. AL MOMENTO SIN REGISTRO DE PERDIDAS. LOS SOBREVUELOS NO HAN IDENTIFICADO EL SITIO DE CAIDA.</t>
  </si>
  <si>
    <t>EL CARMEN</t>
  </si>
  <si>
    <t>CORREGIMIENTO GUAMALITO, VEREDAS EL PARAMO, EL LIMONAL, SAN VICENTE, PUEBLO NUEVO, EL LIBANO, PIQUETIERRA, LA CONEJERA.  PENDIETNE INFORMACION POR PARTE DEL CLOPAD Y CREPAD.</t>
  </si>
  <si>
    <t>AFECTADO SECTOR URBANO. REPORTE DEL CREPAD.</t>
  </si>
  <si>
    <t>BARRIOS MORICHAL Y LA RELIQUIA. REPROTE DEL CREPAD.</t>
  </si>
  <si>
    <t>AFECTADA VIA PEREIRA - BELEN DE UMBRIA. REPORTE DEL CREPAD.</t>
  </si>
  <si>
    <t>DESBORDAMIENTO QUEBRADA PUEBLILLO. REPORTE DEL CLOPAD. VEREDA PUEBLILLO.</t>
  </si>
  <si>
    <t>EL CAIRO, LA UNION, ROLDANILLO, ZARZAL, VERSALLES, TORO, ARGELIA</t>
  </si>
  <si>
    <t>FENOMENO ASOCIADO A EXPLOSION REPORTADO POR CREPAD Y EJERCITO, Y COPADS.</t>
  </si>
  <si>
    <t>PARQUE LOS FLAMENCOS. REPORTE DE PARQUES NACIONALES Y CREPAD.</t>
  </si>
  <si>
    <t>SE APOYA DE MANERA COMPLEMENTARIA A LOS ESFUERZOS LOCALES Y REGIONALES TENIENDO EN CUENTA LA MAGNITUD DE LA EMERGENCIA</t>
  </si>
  <si>
    <t>SE APOYA TENIENDO EN CUENTA LA MAGNITUD DE LA EMERGENCIA.</t>
  </si>
  <si>
    <t>33303
34013
42058
40999
42442</t>
  </si>
  <si>
    <t>25867
232
266
272
273
286
283
296</t>
  </si>
  <si>
    <t>COLAPSO MURO ZONA URBANA. REPORTE DEL CREPAD.</t>
  </si>
  <si>
    <t>CAMBIO EN EL NIVEL DE ACTIVIDAD A LAS 4:00 A.M. DE CARÁCTER NO EXPLOSIVO. Ql 31 DE AGOSTO REPORTARON 407 FAMILIAS EN ALBERGUES, CORRESPONDIETNES A 1712 PERSONAS. AL 9 DE SEPTIEMBRE SE ENCONTRABAN 570 FAMILIAS, 2.409 PERSONAS EN LOS ALBERGUES.</t>
  </si>
  <si>
    <t>BARRIO LAS DELICIAS SEGUNDO SECTOR. REPORTE DEL CREPAD.</t>
  </si>
  <si>
    <t>DESBORDAMIENTO ARROYO EL LEON. REPORTE DE LA DEFENSA CIVIL. BARRIO LOS ANGELES SEGUNDA ETAPA.</t>
  </si>
  <si>
    <t>SABANALARGA</t>
  </si>
  <si>
    <t>REPORTE DEL CREPAD. COMUNA TRECE.</t>
  </si>
  <si>
    <t>BARRIOS LAS GRANJAS, EL PRADAO Y SIETE DE ABRIL REPORTE CLOPAD.</t>
  </si>
  <si>
    <t>EXPLOSION EN MINA DE CARBON POR ACUMULACION DE GASES SECTOR MORRETO. REPORTE DEL CEPAD.</t>
  </si>
  <si>
    <t>SOLEDAD</t>
  </si>
  <si>
    <t>AFECTADO COLEGIO JOHN F KENNEDY.</t>
  </si>
  <si>
    <t>98500
31484</t>
  </si>
  <si>
    <t>APOYO CON 500 RACIONES DE CAMPAÑA. GIRO DIRECTO AL CLOPAD PARA HOSPEDAJE Y ALIMENTACION DE ORGANISMOS DE SOCORRO ($10.000.000), ALQUILER DE VEHICULOS PARA DESPLAZAMIENTO ($7,000,000), COMBUSTIBLE ($5,000,000), EQUIPOS DE COMUNICACIONES ($3,000,000), MERCADO PARA ELABORACION DE ALIMENTOS ($ 11,000,000), COMPRA DE EQUIPO Y HERRAMIENTA ($12,000,000), PERSONAL PARA LA PREPARACION DE ALIMENTOS ($1,000,000), PAPELERIA Y UTILES DE ASEO $1,000,000)</t>
  </si>
  <si>
    <t>MUNICIPIO CON RACIONAMIENTO DE AGUA Y/O DESABASTECIMIENTO POR PROBLEMAS DE SEQUI DEBIDO AL FENOMENO DE EL NIÑO. REPORTE DEL MAVDT. LA DISPONIBILIDAD DE AGUA SE ENCUENTRA RESTRINGDA POR EL USO PARA CONSUMO HUMANO Y RIEGO SIMULTÁNEAMENTE.</t>
  </si>
  <si>
    <t>MUNICIPIO CON RACIONAMIENTO DE AGUA Y/O DESABASTECIMIENTO POR PROBLEMAS DE SEQUI DEBIDO AL FENOMENO DE EL NIÑO. REPORTE DEL MAVDT. SE REQUIERE TRASLADAR LAS BOCATOMAS (100 ROLLOS DE MANGUERA DE 1 PULGADA).</t>
  </si>
  <si>
    <t>MUNICIPIO CON RACIONAMIENTO DE AGUA Y/O DESABASTECIMIENTO POR PROBLEMAS DE SEQUI DEBIDO AL FENOMENO DE EL NIÑO. REPORTE DEL MAVDT. SE ESTÁ ABASTECIENDO CON CARROTANQUE 1/SEMANA.CON EL PDA SE REALIZARÁ UNA VISITA TÉCNICA EL JUEVES 4 FEBRERO PARA DEFINIR ALTERNATIVADE ABASTECIMIENTO.</t>
  </si>
  <si>
    <r>
      <t xml:space="preserve">MUNICIPIO CON RACIONAMIENTO DE AGUA Y/O DESABASTECIMIENTO POR PROBLEMAS DE SEQUI DEBIDO AL FENOMENO DE EL NIÑO. REPORTE DEL MAVDT. </t>
    </r>
    <r>
      <rPr>
        <b/>
        <sz val="10"/>
        <color indexed="8"/>
        <rFont val="Arial"/>
        <family val="2"/>
      </rPr>
      <t xml:space="preserve">SE ESTÁ ABASTECIENDO A TRAVÉS DE CARROTANQUES CON EL APOYO DE LA GOBERNACIÓN. </t>
    </r>
    <r>
      <rPr>
        <sz val="9"/>
        <color indexed="8"/>
        <rFont val="Arial"/>
        <family val="2"/>
      </rPr>
      <t>LA SOLUCIÓN PLANTEADA INCLUYE ACCIONES DE DRAGADO. LA GOBERNACION DECLARO URGENCIA MANIFIESTA POR EL FENOMENO DE EL NIÑO.MEDIANTE RESOLUCION 005 DEL 18 DE ENERO DE 2010</t>
    </r>
  </si>
  <si>
    <r>
      <t xml:space="preserve">MUNICIPIO CON RACIONAMIENTO DE AGUA Y/O DESABASTECIMIENTO POR PROBLEMAS DE SEQUIA DEBIDO AL FENOMENO DE EL NIÑO. REPORTE DEL MAVDT. </t>
    </r>
    <r>
      <rPr>
        <b/>
        <sz val="10"/>
        <color indexed="8"/>
        <rFont val="Arial"/>
        <family val="2"/>
      </rPr>
      <t xml:space="preserve">SE ESTÁ ABASTECIENDO A TRAVÉS DE CARROTANQUES CON EL APOYO DE LA GOBERNACIÓN. </t>
    </r>
    <r>
      <rPr>
        <sz val="9"/>
        <color indexed="8"/>
        <rFont val="Arial"/>
        <family val="2"/>
      </rPr>
      <t>LA SOLUCIÓN PLANTEADA INCLUYE ACCIONES DE DRAGADO. LA GOBERNACION DECLARO URGENCIA MANIFIESTA POR EL FENOMENO DE EL NIÑO.MEDIANTE RESOLUCION 005 DEL 18 DE ENERO DE 2010</t>
    </r>
  </si>
  <si>
    <t>DESBORDAMIENTO QUEBRADA LA LAGUNA. VEREDA ROMERO ALTO, Y CENTRO AFUERA.REPORTE DE LA DEFENSA CIVIL.</t>
  </si>
  <si>
    <t>BARRIOS LA CEIBITA Y MODELIA. REPORTE DEL CREPAD.</t>
  </si>
  <si>
    <t>BARRIO LA MANGA. REPORTE DE LA DEFENSA CIVIL. PENDIENTE AFECTACION.</t>
  </si>
  <si>
    <t>DESBORDAMIENTO RIO ARAUCA VEREDA PUERTO CONTRERAS. REPONTE DEL CREPAD. EN EVALUACION. UNA PERSONA DESAPARECIDA POR NAUFRAGIO DE EMBARCACION.</t>
  </si>
  <si>
    <t>CRECIENTE DE ARROYOS.</t>
  </si>
  <si>
    <t>COPACABANA</t>
  </si>
  <si>
    <t>SECTOR EL SALADO</t>
  </si>
  <si>
    <t>SECTOR SAN JAVIER, ALTOS DE LA VIRGEN.</t>
  </si>
  <si>
    <t xml:space="preserve">SOLICITUD DEL CREPAD. </t>
  </si>
  <si>
    <t>SE APOYA TENIENDO EN CUENTA LAS PERDIDAS DE CULTIVOS DE LOS CAMPESINOS POR LAS HELADAS Y LA NECESIDAD DE RECUPERAR EL SECTOR PRODUCTIVO</t>
  </si>
  <si>
    <t>SE APOYA EVALUANDO LAS PERDIDAS DE CULTIVOS Y ENSERES</t>
  </si>
  <si>
    <t>SAN JOSE DEL PALMAR</t>
  </si>
  <si>
    <t>VILLAMARIA</t>
  </si>
  <si>
    <t>BARRANCABERMEJA</t>
  </si>
  <si>
    <t>EL CARMEN SANT ANA, SAN MARTIN Y PABLO SEXTO.</t>
  </si>
  <si>
    <r>
      <t>MUNICIPIO CON RACIONAMIENTO DE AGUA Y/O DESABASTECIMIENTO POR PROBLEMAS DE SEQUIA DEBIDO AL FENOMENO DE EL NIÑO. REPORTE DEL MAVDT.</t>
    </r>
    <r>
      <rPr>
        <b/>
        <sz val="10"/>
        <color indexed="8"/>
        <rFont val="Arial"/>
        <family val="2"/>
      </rPr>
      <t xml:space="preserve"> DRAGADO EN ZONA DE CAPTACIÓN.SUMINISTRO E INSTALACIÓN DE MANGUERA PARA EXTENSIÓN DE LA TUBERÍA DE SUCCIÓN Y/O IMPULSIÓN DE AGUA, INCLUIDAS BOYAS DE FLOTACIÓN.ALQUILER PLANTA ELÉCTRICA Y COMBUSTIBLE.SUMINISTRO DE AGUA POR CARROTANQUE.</t>
    </r>
  </si>
  <si>
    <t>SE APOYA TENIENDO EN CUENTA LAS PERDIDAS DE CULTIVOS DE LOS CAMPESINOS POR SEQUIA Y LA NECESIDAD DE RECUPERAR EL SECTOR PRODUCTIVO</t>
  </si>
  <si>
    <t>INFORME DE INGEOMINAS Y CREPAD ANTIOQUIA, EVENTO DE 3.1 GRADOS CON PROFUNDIDAD DE 30 KMS, SIN DAÑOS</t>
  </si>
  <si>
    <t>VALLE DEL CAUCA</t>
  </si>
  <si>
    <t>OBANDO</t>
  </si>
  <si>
    <t>BARRIOS LA LUZ Y BAJO MEISEN. INUNDAION POR FUERTES LLUVIAS. REPORTE DEL CLOPAD VIA AVANTEL</t>
  </si>
  <si>
    <r>
      <t xml:space="preserve">MUNICIPIO CON RACIONAMIENTO DE AGUA Y/O DESABASTECIMIENTO POR PROBLEMAS DE SEQUI DEBIDO AL FENOMENO DE EL NIÑO. REPORTE DEL MAVDT. SE ADELANTÓ UNA VISITA TÉCNICA POR PARTE DE LA GERENCIA TÉCNICA DEL PDA, DE LA CUAL SE CONCLUYE QUE EL PROBLEMA ACTUAL DE DESABASTECIMIENTO OBEDECE EN GRAN PARTE  A LA OPERACIÓN DEL SISTEMA. SE PROPONE QUE SE AUMENTE EL BOMBEO DEL RÍO CHICAMOCHA, Y QUE EN LAS NOCHES SE CIERRE LA DERIVACIÓN A LA ZONA RURAL, </t>
    </r>
    <r>
      <rPr>
        <b/>
        <sz val="9"/>
        <color indexed="8"/>
        <rFont val="Arial"/>
        <family val="2"/>
      </rPr>
      <t xml:space="preserve">Y A LA POBLACIÓN QUE CUENTA CON SUMINISTRO CONSTANTE, DURANTE UNAS 8 HORAS. LOS CAUDALES CAPTADOS SE LLEVARAN A LA PTAP EXISTENTE Y QUE PERMITE LLEVAR AGUA POR INFRAESTRUCTURA A LA POBLACIÓN ABASTECIDA CON CARROTANQUES.EL ALCALDE SE COMPROMETIÓ A EVALUAR ESTA ALTERNATIVA Y EVALUAR SU PUESTA EN MARCHA. LA DGR APOYO CON 7 TONELADAS DE AGUA. </t>
    </r>
    <r>
      <rPr>
        <sz val="9"/>
        <color indexed="8"/>
        <rFont val="Arial"/>
        <family val="2"/>
      </rPr>
      <t>EL MUNCIPIO DEBE PRESNTAR PROYECTO EN FECBRERO PARA CAMBIAR LAS DOS MOTOBOMBAS DE 100 LT/S LAS CUALES FUNCIONAN EN UN 50% ALTERNAS POR TRES NUEVAS DE 50 LT/S. TRABAJANDO DOS Y UNA EN STAND BY. O INCREMENTAR EL SISTEMA EXISTENTE CON UNA BOBA DE 80LT//S.</t>
    </r>
  </si>
  <si>
    <t>DESBORDAMENTO QUEBRADA LA GARCIA. BARRIO EL HUECO, SAN  NICOLAS, EL CHISPERO, PLAYA RICA, LA PRIMAVERA.</t>
  </si>
  <si>
    <t>BARRIO EL TEMPLETE, LA FLORESTA Y EL MATADERO.</t>
  </si>
  <si>
    <t>CRECIENTE QUEBRADA EL TRIGAL.BARRIOS LA FRONTERA, TAPETES, EL ROTO, LA CALZADA Y LLANITOS</t>
  </si>
  <si>
    <t>SAN PELAYO</t>
  </si>
  <si>
    <t>VEREDAS LA PROVINCIA, LAURA, SAN ISIDRO, PUERTO NUEVO. REPORTE DE DEFENSA CIVIL.</t>
  </si>
  <si>
    <t>VEREDAS LA ESTANCIA, EL HOYO, LLANO ALTO.</t>
  </si>
  <si>
    <t>REPORTE DEL CLOPAD.</t>
  </si>
  <si>
    <t>270
271
22659</t>
  </si>
  <si>
    <t>SE APOYA DE MANERA COMPLEMENTARIA A LOS ESFUERZOS LOCAL Y REGIONAL</t>
  </si>
  <si>
    <t>CORINTO</t>
  </si>
  <si>
    <t>CASCO URBANO REPORTE DEL CREPAD.</t>
  </si>
  <si>
    <t>DESBORDAMIENTO ARROYO TURBANA. REPORTE DEL CREPAD.</t>
  </si>
  <si>
    <t>INUNDACION POR FUERTES LLUVIAS. REPORTE DEL CREPAD.</t>
  </si>
  <si>
    <t>HATILLO DE LOBA</t>
  </si>
  <si>
    <t>DESBORDAMIENTO QUEBRADA LA CHIQUITA. CORREGIMIENTO LA BUITRERA. REPORTE DEL CREPAD.</t>
  </si>
  <si>
    <t>SEVILLA</t>
  </si>
  <si>
    <t>CORREGIMIENTOS ALTO COLORADO, MANZANILLO, LA CUCHILLA, SAN ANTONIO REPORTE DEL CREPAD.</t>
  </si>
  <si>
    <t>DESBORDAMIENTO RIO MARIANELA, REPORTE DEL CREPAD.</t>
  </si>
  <si>
    <t>DESBORDAMIENTO RIOS JOLI, NAYA, CHUARE ,  AGUACLARA Y MICAY. CORREGIMIENTOS YUCAL, SAN ANTONIO, Y PLAYA GRANDE. REPORTE DEL CREPAD. Y CLOPAD.</t>
  </si>
  <si>
    <t>DESBORDAMIENTO RIOS CURRULAO Y GUAPALEON. REPORTE DEL CREPAD</t>
  </si>
  <si>
    <t>BARRIOS BENDICION DE DIOS, Y VILLA NUEVA. REPORTE DEL CLOAPD.</t>
  </si>
  <si>
    <t>DESBORDAMIENTO CAÑO MAMON DE LECHE. CORREGIMIENTO BADILLO. REPORTE DEL CLOPAD</t>
  </si>
  <si>
    <t>BARRIO LA GRANJA. REPORTE DEL CLOPAD AFECTADA FABRICA DE MUEBLES</t>
  </si>
  <si>
    <t>CORREGIMEINTOS GUAYABAL. SAN JOSE Y BARRIOS LA PLATA, Y JARDIN REPORTE DEL CREPAD.</t>
  </si>
  <si>
    <t>SAN MARTIN DE LOBA</t>
  </si>
  <si>
    <r>
      <t xml:space="preserve">REPORTE DEL CREPAD. </t>
    </r>
    <r>
      <rPr>
        <b/>
        <sz val="9"/>
        <rFont val="Arial"/>
        <family val="2"/>
      </rPr>
      <t>APOYO DEL FNC MEDIANTE GIRO DIRECTO AL CLOPAD PARA COMPRA DE MATERIALES PARA CONSTRUCCION DE ALBERGUES TEMPORALES</t>
    </r>
  </si>
  <si>
    <t>BARRIOS LA LINEA, CINCO DE NOVIEMBRE, EL LIMONAL, LA PIEDRA BOLIVAR, LAS CABRAS, EL OESTE, EL CEIBAL, LA MARIA, CALLE REAL, CHAMBACU, TURBAQUITO, LAS PARCELAS, SUEÑO DE LA LIBERTAD Y LA PEÑA. CORREGIMIENTO GAMBOTE REPORTE DE LA DEFENSA CIVIL</t>
  </si>
  <si>
    <t>DESBORDAMIENTO CANAL DEL DIQUE. SECTOR URBANO BARRIOS ARROYO BAJO, MONTECARLO, PUERTO SANTANDER, EL PORVENIR Y EL SILENCIO. SECTOR RURAL, CORREGIMIENTO CORREA, REPORTE DEL CREPAD.</t>
  </si>
  <si>
    <t>APOYO ALIMENTARIO PARA LAS PERSONAS DE LOS MUNICIPIOS DE SUCRE Y MAJAGUAL DESPLAZADAS POR LAS INUNDACIONES AL MUNICIPIO DE SINCELEJO</t>
  </si>
  <si>
    <t>25690
26016</t>
  </si>
  <si>
    <r>
      <t xml:space="preserve">DESBORDAMIENTO RIO CESAR SECTORES VEREDAS ARENAS BLANCAS, ZELEDON, LOS MOSQUITOS, RANCHO CLARO, NUEVA LUZ, POPONTE, MUCHILA ALTO. REPROTE DEL CREPAD. </t>
    </r>
    <r>
      <rPr>
        <b/>
        <sz val="9"/>
        <rFont val="Arial"/>
        <family val="2"/>
      </rPr>
      <t>EL VALOR DE OTROS CORRESPONDE A 300 PARES DE BOTAS (200 ADULTO 100 NIÑO)</t>
    </r>
  </si>
  <si>
    <r>
      <t xml:space="preserve">REPORTE DEL CREPAD. DESBORDAMIENTO RIO MAGDALENA. </t>
    </r>
    <r>
      <rPr>
        <b/>
        <sz val="9"/>
        <rFont val="Arial"/>
        <family val="2"/>
      </rPr>
      <t>EL VALOR DE OTROS CORRESPONDE A 100 PALAS, 100 PICAS, 100 PARES DE BOTAS ADULTO Y 50 PARES DE BOTAS NIÑO.</t>
    </r>
  </si>
  <si>
    <r>
      <t xml:space="preserve">DESBORDAMIENTO RIO ARIGUANI. BARRIOS 12 DE OCTUBRE, EL PESCAITO, EL BOLSILLO. CORREGIMIENTO DE RABO LARGO. AFECTADA VIA EL PASO - ASTREA. REPROTE DEL CREPAD. </t>
    </r>
    <r>
      <rPr>
        <b/>
        <sz val="9"/>
        <rFont val="Arial"/>
        <family val="2"/>
      </rPr>
      <t>EL VALOR DE OTROS CORRESPONDE A 70 PARES DE BOTAS ADULTO Y 30 PARA NIÑOS</t>
    </r>
  </si>
  <si>
    <r>
      <t>DESBORDAMIENTO QUEBRADA ARJONA. CORREGIMIENTO ARJONA. REPORTO EL CREPAD.</t>
    </r>
    <r>
      <rPr>
        <b/>
        <sz val="9"/>
        <rFont val="Arial"/>
        <family val="2"/>
      </rPr>
      <t>EL VALOR DE OTROS CORREPONDE A 100 PARES DE BOTAS ADULTO Y 50 PARA NIÑO.</t>
    </r>
  </si>
  <si>
    <t>21045
22245
22705
23530
23551
23555
26016</t>
  </si>
  <si>
    <r>
      <t>DESBORDAMIENTO RIO SINU, CAÑO CHIMILITO Y CIENAGA GRANDE DEL BAJO SINU. REPORTE DE LA DEFENSA CIVIL.</t>
    </r>
    <r>
      <rPr>
        <b/>
        <sz val="9"/>
        <rFont val="Arial"/>
        <family val="2"/>
      </rPr>
      <t>EL VALOR DE OTROS CORRESPONDE A DOS MOTOBOMBAS DE 4X4-</t>
    </r>
  </si>
  <si>
    <t>25061
25991</t>
  </si>
  <si>
    <t>23997
26014</t>
  </si>
  <si>
    <t>SE ENTREGA UN KIT DE COCINA ESPECIAL.</t>
  </si>
  <si>
    <r>
      <t xml:space="preserve">REPORTE DEL CREPAD Y LA DEFENSA CIVIL. BARRIOS DIVIDIVI, LA LUCHA, LA LUCHITA, LAS TUNAS, LOS MANGOS, VILLA ZIRUMA, JOSE ANTONI GALAN, LA UNION, SAN MARTIN, MARIA EUGENIA, CAMILO TORRES, CAMPO ALEGRE, NUWEVO HORIZONTE, LAS MERCEDES, 31 DE OCTUBRE, NUEVA ESPERANZA, COMUNITARIO, LUIS EDUARDO CUELLA, 7 DE AGOSTO, VILLA FATIMA, RANCHERIA LOS OLIVOS MANO DE DIOS.  EN ESPERA DE CENSOS. </t>
    </r>
    <r>
      <rPr>
        <b/>
        <sz val="9"/>
        <rFont val="Arial"/>
        <family val="2"/>
      </rPr>
      <t>EL VALOR DE OTROS CORRESPONDE A UNA MOTOBOMBA DIESEL DE 8"</t>
    </r>
  </si>
  <si>
    <t>261
276
22777</t>
  </si>
  <si>
    <r>
      <t>DESBORDAMIENTO RIO SAN JORGE. CORREGIMIENTOS POTOSI, MUCURA, SANTA ROSA. REPORTE TELEFONICO DEL CREPAD. ZONA URBANO : CAÑO CALDAS, CALLEJON FAISAN, DIVINO NIÑO, LOS HOYOS, B. OSPINA PEREZ, CALLE BOGOTA, CALLE LAS FLORES, CALLE SAN ISIDRO MERCADO, CALLE SANTA BARBARA, CALLE EL POZON, LAS BRISAS, EL CASTILLO, SAN JOSE, LOMA LINDA. 
RURAL: VEREDA BOCA DE PINTO, VEREDA SEHEBE, VEREDA PESCAO 1, CAÑO PESCADO 2, VEREDA CARACOLI, VEREDA AGUAS CLARA, VEREDA ALFONSO LOPEZ, VEREDA LOS NIDOS, VEREDA EL CAIRO, VEREDA GAMBA, VEREDA CAÑO PRIETO, VEREDA CAÑO MUÑOZ, VEREDA CAÑO HONDO,VEREDA CAÑO BARRO, VEREDA BARBA MONO, VEREDA PARCELAS DE LA GLORIAS, VEREDA PAPAYO,VEREDA LAS PALMAS, VEREDA SANTA ROSA, TOTUMO MEDIO, VEREDA LA LUCHA, VEREDA LA VALSA, VEREDA EL ORIENTE, VEREDA KOREA,VEREDA CAÑO PRIETO,VEREDA CECILIA  para un total de 2.250 familias afectadas.</t>
    </r>
    <r>
      <rPr>
        <b/>
        <sz val="9"/>
        <rFont val="Arial"/>
        <family val="2"/>
      </rPr>
      <t xml:space="preserve"> EL VALOR DE OTROS CORRESPONDE A 200 CHALECOS SALVAVIDAS PARA LOS COLEGIOS</t>
    </r>
    <r>
      <rPr>
        <sz val="9"/>
        <rFont val="Arial"/>
        <family val="2"/>
      </rPr>
      <t xml:space="preserve">
</t>
    </r>
  </si>
  <si>
    <t>SE APOYA TENIENDO EN CUENTA LA MAGNITUD DE LA EMERGENICA.</t>
  </si>
  <si>
    <t>PUERTO CAICEDO</t>
  </si>
  <si>
    <t>BARRIOS PALERMO, CENTRO, SANTA BARBARA, MODELO DE PAZ, REPORTE DE LA DEFESNA CIVIL.</t>
  </si>
  <si>
    <t>ORITO</t>
  </si>
  <si>
    <t>VEREDA EL AZUL, REPROTE DE LA DEFENSA CIVIL.</t>
  </si>
  <si>
    <t>VEREDA LA ARGENTINA, FINCA LAS BRISAS REPROTE DEL CREPAD.</t>
  </si>
  <si>
    <t>SECTOR URBANO REPORTE DEL CREPAD.</t>
  </si>
  <si>
    <r>
      <t>DESBORDAMEINTO RIO MANZANARES. BARRIOS MALVINAS, SIMON BOLIVAR, LAS VEGAS, VILLA UP, SALAMANCA, 8 DE FEBRERO, TAYRONA ALTA, TAYRONA BAJA, BULEVAR EDL RIO, MARIA EUGENIA, LA ESMERALDA, VILLA DEL CARMEN, SANTA ANA, PAMPLONITA, REPORTE DEL CLOPAD Y LA DEFENSA CIVIL.</t>
    </r>
    <r>
      <rPr>
        <b/>
        <sz val="9"/>
        <rFont val="Arial"/>
        <family val="2"/>
      </rPr>
      <t xml:space="preserve"> EL VALOR DE OTROS CORREPONDE A 1 MOTOBOMBA DE 4"X4" Y UNA MOTOBOMBA DE 6"X6"</t>
    </r>
  </si>
  <si>
    <t>REPORTE DE CLOPAD Y CREPAD.</t>
  </si>
  <si>
    <t>AFECTADA COMUNIDAD DEL CARMELO.. REPORTE DEL CLOPAD Y CREPAD,</t>
  </si>
  <si>
    <t>PACHO</t>
  </si>
  <si>
    <t>VEREDA LA CUESTA. REPROTE DEL CREPAD.</t>
  </si>
  <si>
    <t>BARRIOS ALASKA Y GRANADA. REPORTE DEL CLOPAD.</t>
  </si>
  <si>
    <t>BARRIOS BOSQUES DE GIBRALTAR Y LA MARIELA. REPROTE DEL CREPAD. AFECTACION VIA AL BARRIO LA MARIELA.</t>
  </si>
  <si>
    <t>PLAGA</t>
  </si>
  <si>
    <t>SALENTO</t>
  </si>
  <si>
    <t>DESBORDAMIENTO RIO VILLANUEVA. REPORTE DEL CLOPAD</t>
  </si>
  <si>
    <t>22249
22249
22777</t>
  </si>
  <si>
    <t>DESBORDAMIENTO RIO CAUCA  Y CAÑOS EL SILENCIO, TASCOSO, Y SANTA HELENA. AFECTADA ZONA RIVEREÑA Y BARRIOS LA ESPERANZA, LA VICTORIA, BRISAS DEL CAUCA, PRIMERO DE MAYO, LA PLAYA, LAS VEGAS, PUEBLO NUEVO, EL PRADO, CASTILLO DIVINO NIÑO, LA PAZ, EL POBLADO, SAN RAFAEL, NUEVA ESTRELLA, EL CAMELLO, ASO VIVIENDA Y EN LA ZONA RURAL CORREGIMIENTOS MARGENTO, PALOMAR, LOS MEDIOS, BUENOS AIRES, BARRIO CHINO, PALANCA LA ESMERALDA, LA ILUSION, GOLONDRINAS Y PUERTO ESPAÑA. AFECTADA ZONA RURAL. PENDIENTE INFORMACION.</t>
  </si>
  <si>
    <t>SECTORES SANTIAGO APOSTOL, DOÑA ANA, PUNTA DEBLANCO, GEGUA, GUAYABAL, CIENAGA NUEVA, EL LIMON, LAS CHISPAS, LAS DELICIAS, CUIVAS, AL CAUCHAL, LA CEIBA, MONGUAN, SAN MATIAS, SAN JUAN, PARCELAS DE GUYABAL, GUANACA, CALLE NUEVA, EL CHUPO, LA ISLA, LAS MALVINAS, CAÑO VIEJO, PALO ALTO, LAS POSAS, PARCELAS DE SANTA FE, LA PLAZA, REMOLINO, EL CHOINCHIRRO, CAÑO CAIMAN, VENEZUELA, TOSNOVAN, PASIOJUERE, SAN JOSE DE LAS MELLAS. REPORTE DEL CREPAD.</t>
  </si>
  <si>
    <t>DESBORDAMIENTO RIO CAUCA. ZONA RURAL VEREDAS EL SOCORRO, SAN RAFAEL, LAS MOCHILAS, EL AGUACATE, CHUIRA, LOS ARRASTRES, SAN MATIAS, LOS HUMOS ARRIBA Y ABAJO, LAS PARCELAS, NUEVA ESPERANZA. Y CABECERA MUNICIPAL. . REPORTE DE LA DEFENSA CIVIL  REPORTE DEL CREPAD.</t>
  </si>
  <si>
    <t>SE APOYA TENIENDO EN CUENTA LA IMPORTANCIA DE APOYAR LA LOGISTICA DE LA FAC EN LA ATENCION DE EMERGENCIAS EN EL TERRITORIO NACIONAL</t>
  </si>
  <si>
    <t>APOYO PARA LA FAC MEDIANTE EL SUMINISTRO DE 5 ROLLOS DE PLASTICO COMO LOGISTICA PARA EL MANEJO DE CARGA PARA EMERGENCIAS EN  CATAM</t>
  </si>
  <si>
    <t>MUNICIPIO CON RACIONAMIENTO DE AGUA Y/O DESABASTECIMIENTO POR PROBLEMAS DE SEQUI DEBIDO AL FENOMENO DE EL NIÑO. REPORTE DEL MAVDT. CON BASE EN RESULTADOS DE CONSULTA A MUNICIPIO, SE PRACTICARÁ VISITA POR PARTE DEL GESTOR  PARA EVALUAR  LA SITUACIÓN.</t>
  </si>
  <si>
    <t>FLORENCIA</t>
  </si>
  <si>
    <t>SANTA BARBARA</t>
  </si>
  <si>
    <t>MUNICIPIO CON RACIONAMIENTO DE AGUA Y/O DESABASTECIMIENTO POR PROBLEMAS DE SEQUI DEBIDO AL FENOMENO DE EL NIÑO. REPORTE DEL MAVDT. SE PRACTICARÁ VISITA POR PARTE DEL GESTOR  PARA EVALUAR  LA SITUACIÓN</t>
  </si>
  <si>
    <t>LA PLATA</t>
  </si>
  <si>
    <t>ERUPCION</t>
  </si>
  <si>
    <t>173
39336</t>
  </si>
  <si>
    <t>2
2</t>
  </si>
  <si>
    <t>PENDIENTE AFECTACION. REPORTE PRELIMINAR DEL CREPAD.</t>
  </si>
  <si>
    <t>BETULIA</t>
  </si>
  <si>
    <t>APOYO A LA DIRECCION DE PARQUES NACIONALES NATURALES. 1000 RACIONES DE CAMPAÑA</t>
  </si>
  <si>
    <t>VILLA DE LEYVA</t>
  </si>
  <si>
    <t>MAREJADA</t>
  </si>
  <si>
    <t>VEREDA YARUMAL, DESBORDAMIENTO RIO TURBO</t>
  </si>
  <si>
    <t xml:space="preserve">RIO PAGUEY. HERIDOS POR ROMPIMIENTO DE  ESTANQUE VEREDA CASABLANCA. </t>
  </si>
  <si>
    <t>DEBORDAMIENTO RIO SUMAPAZ SECTORES DE SAN MARTIN Y EL PASO.</t>
  </si>
  <si>
    <t>VEREDA SAN ANDRES, ALTA ESTRELLA Y LA NUBIA, VALLADOLID, GUARNE, LA SOMBRA, LAS CABAÑAS, AGUA LINDA.REPORTE DEL CREPAD.</t>
  </si>
  <si>
    <t>VALDIVIA</t>
  </si>
  <si>
    <t>BARRIO LA FLORIDA. REPORTE DEL CREPAD.</t>
  </si>
  <si>
    <t>TADO</t>
  </si>
  <si>
    <t>DESLIZAMIENTO EN MINA DE ORO. REPORTE DE LA DEFENSA CIVIL.</t>
  </si>
  <si>
    <t>SE APOYA TENIENDO EN CUENTA LA GRAVE AFECTACION</t>
  </si>
  <si>
    <t>DESBORDAMIENTO RIOSBACHUE Y AIPE. PERDIDA DE CULTIVOS</t>
  </si>
  <si>
    <t>SUAREZ</t>
  </si>
  <si>
    <t>DEBORDAMIENTO QUEBRADA TIBANICA. PENDIENTE EVALUACION, BARRIO QUINTANARES, LA FLORIDA PRIMER SECTOR, MIRADOR, CONJUNTO SAN IGNACIO. MERCURIO , ISLA DEL SOL Y SAN MATEO. REPORTE DEL CREPAD</t>
  </si>
  <si>
    <t>GUTIERREZ</t>
  </si>
  <si>
    <t>AFECTADA VIA ZIPAQUIRA - PACHO. REPORTE DE LA DEFENSA CIVIL</t>
  </si>
  <si>
    <t>CORREGIMIENTO LA DON JUANA Y BARRIOS PEPITA Y CENTRO. REPORTE DEL CREPAD.</t>
  </si>
  <si>
    <t xml:space="preserve">ENVIAN COPIA DE OFICIO DIRIGIDO AL CREPAD, INSTANCIA ANTE LA CUAL ELEVAN SOLICITUD DE APOYO. </t>
  </si>
  <si>
    <t>REPORTE TELEFONICO DE LA DPAE. BARRIO GIBRALTAR, LOCALIDAD SIMON BOLIVAR</t>
  </si>
  <si>
    <t>MUNICIPIO CON RACIONAMIENTO DE AGUA Y/O DESABASTECIMIENTO POR PROBLEMAS DE SEQUI DEBIDO AL FENOMENO DE EL NIÑO. REPORTE DEL MAVDT. OPERADOR ESP INICIÒ RACIONAMIENTO. ESP MANTIENE MONITOREO SOBRE LAS FUENTES Y REPORTA SITUACIÓN CONTROLADA</t>
  </si>
  <si>
    <t>MUNICIPIO CON RACIONAMIENTO DE AGUA Y/O DESABASTECIMIENTO POR PROBLEMAS DE SEQUI DEBIDO AL FENOMENO DE EL NIÑO. REPORTE DEL MAVDT. (15% CASCO URBANO). SE ENCUENTRA EN RACIONAMIENTO POR DISMINUCIÓN EN UN 50% DEL CAUDAL DE LAS QUEBRADAS QUE LA ABASTECEN. SIN EMBARGO LA SITUACIÓN ES CONTROLADA POR LA ESP Y EL MUNICIPIO</t>
  </si>
  <si>
    <t>SAN MATEO</t>
  </si>
  <si>
    <t>REPORTE DEL CLOPAD PEREIRA, SE AFECTO LA VEREDA SAN VICENTE</t>
  </si>
  <si>
    <t>INFORME DEL CLOPAD PEREIRA, AFECTADA LA VEREDA EL GUAYABO</t>
  </si>
  <si>
    <t>BOYACA</t>
  </si>
  <si>
    <t>SAN LUIS DE GACENO</t>
  </si>
  <si>
    <t>PUERTO LIBERTADOR</t>
  </si>
  <si>
    <t>SECTORES SAN JUAN MEDIO, ALTO SAN JUAN Y LA MULATA. REPORTE PRELIMINAR DE LA DEFENSA CIVIL</t>
  </si>
  <si>
    <t>PUTUMAYO</t>
  </si>
  <si>
    <t>APOYA PARA EL FORTALECIMIENTO DE LOS CUERPOS OPERATIVOS. EL VALOR DE OTROS CORRESPONDE A 50 MACHETES CON FUNDA, 10 BOLSAS DE ESPALDA. 5 BOMBAS DE ESPALDA, 10 FUMIGADORAS, 3 MOTOSIERRAS, 6 GUADAÑAS,. 500 RACIONES DE CAMPAÑA Y 600 SOBRES HIDRATANTES</t>
  </si>
  <si>
    <t>SOPLAVIENTO</t>
  </si>
  <si>
    <t>DESABASTECIMIENTO POR REDUCCION DEL NIVEL DEL CANAL DEL DIQUE. ACUEDUCTO REGIONAL DE LA LINEA. SE INCREENTO EL SISTEMA DE BOMBEO.</t>
  </si>
  <si>
    <t>DESBORDAMIENTO RIO CHAGUI. VEREDA LA BRISAS, EL CEIBO, CUARASANGA, SALISDI, SN PEDRO, BELLA VISTA, LA HONDA, BOCAS DE SILVI Y CALABASAL.</t>
  </si>
  <si>
    <t>INUNDACION</t>
  </si>
  <si>
    <t xml:space="preserve"> </t>
  </si>
  <si>
    <t>VEREDAS MIRAFLORES, LA DESPENSA, LA BALASTRERA, LA GLORIETA. DESBORDAMIENTO RIO GUEJAR. AFECTADA VIA PUENTE AMARILLO - NUEVO PROGRESO Y LA GLORIETA-MIRAFLORES</t>
  </si>
  <si>
    <t>DESBORDAMIENTO RIO GUEJAR. ONCE VEREDAS AFECTADAS.</t>
  </si>
  <si>
    <t>URBANIZACION PANAMERICANA. REPORTE DEL CREPAD.</t>
  </si>
  <si>
    <t>REPORTE DE  LA CRUZ ROJA</t>
  </si>
  <si>
    <t>2
8</t>
  </si>
  <si>
    <r>
      <t xml:space="preserve">VEREDAS EL SILENCIO, LA ESTRELLA, LA CABAÑA Y LA ESPERANZA. </t>
    </r>
    <r>
      <rPr>
        <b/>
        <sz val="9"/>
        <rFont val="Arial"/>
        <family val="2"/>
      </rPr>
      <t>EL VALOR DE OTROS CORRESPONDE A 46 ROLLOS DE MANGUERA DE 1/2, 14 ROLLOS DE 1", 30 ROLLOS DE ALAMBRE DE PUA, 30 BULTOS DE CEMENTO, 10 TANQUES DE 500 LTS.</t>
    </r>
  </si>
  <si>
    <r>
      <t xml:space="preserve">VEREDAS SAN LUIS, LAS MINAS, EL PRADO, LA PRIMAVERA Y PUEBLO NUEVO LOS AGELES. AFECTADOS CULTIVOS DE LOS SECTORES LA SOLEDAD, LA PRIMAVERA, LA ONDINA, LA UNION. EL MIRADOS LAS VENTANAS. </t>
    </r>
    <r>
      <rPr>
        <b/>
        <sz val="9"/>
        <rFont val="Arial"/>
        <family val="2"/>
      </rPr>
      <t>EL VALOR DE OTROS CORRESPONDE A 500 TEJAS DE ZINC, 70 METROS DE CABLE DE 1.5" PARA PUENTE, 8 PERROS DE 1 1/2, 30 BULTOS DE CEMENTO, 80 LIBRAS DE PUNTILLA, 130 ROLLOS DE MANGUERA DE 1/2, 25 ROLLOS DE ALAMBRE DE PUA.</t>
    </r>
  </si>
  <si>
    <t>PERSONAS REUBICADAS EN LA ESCUELA URBANA. REPORTE PRELIMINAR DEL CREPAD.</t>
  </si>
  <si>
    <t>117
121</t>
  </si>
  <si>
    <t>115
123</t>
  </si>
  <si>
    <r>
      <t xml:space="preserve">REPORTE DEL CLOPAD: 429 FAMILIAS AFECTADAS POR PERDIDA DE CULTIVOS. LOS CENSOS SE REMITEN A MINAGRICULTURA. </t>
    </r>
    <r>
      <rPr>
        <b/>
        <sz val="9"/>
        <rFont val="Arial"/>
        <family val="2"/>
      </rPr>
      <t>APOYO DEL FNC MEDIANTE GIRO DIRECTO AL CLOPAD PARA LA COMPREA DE TANQUES DE ALMACENAMIENTO DE AGUAY ALQUILER DE CARROTANQUES.</t>
    </r>
  </si>
  <si>
    <t>BARRIO FATIMA RAMAL 2. REPORTE DE LA DEFENSA CIVIL</t>
  </si>
  <si>
    <t>LOCALIDAD 10 BARRIO LAS PALMAS</t>
  </si>
  <si>
    <t>REPORTE DE L CREPAD.</t>
  </si>
  <si>
    <t>MONTECRISTO</t>
  </si>
  <si>
    <t>BELLO</t>
  </si>
  <si>
    <t>SAN ANTERO</t>
  </si>
  <si>
    <t>DESBORDAMIENTO CAÑO LOS LOBOS. REPORTE DE LA DEFENSA CIVL.</t>
  </si>
  <si>
    <t>DESBORDAMIENTO RIO MARACAS. REPORTE DE LA CRUZ ROJA.</t>
  </si>
  <si>
    <t>BARRIO LA ESMERALDA, QUEBRADA LA YESCA.  REPORTE PRELIMINAR DE LA DEFENSA CIVIL VIA AVANTEL</t>
  </si>
  <si>
    <t>SILVIA</t>
  </si>
  <si>
    <t>SE APOYA TENIENDO EN CUENTA LA IMPORTANCIA DE LA OBRA PARA LA REGION</t>
  </si>
  <si>
    <t>APOYO DEL FNC MEDIANTE GIRO DIRECTO AL CLOPAD PARA APOYAR LA TERMINACION DEL PUENTE LA CAPILLA, VEREDA MIRAFLORES, RESGUARDO INDIGENA DE AMBALO.</t>
  </si>
  <si>
    <t>COLAPSO POR COLMATACION DE ALCANTARILLADO</t>
  </si>
  <si>
    <t>EL AGUILA</t>
  </si>
  <si>
    <t>AFECTADA VIA EL AGUILA AL CORREGIMIENTO DE VILLANUEVA. CORREGIMIENTO VILLANUEVA</t>
  </si>
  <si>
    <t>PEINILLA</t>
  </si>
  <si>
    <t>PLATO HONDO</t>
  </si>
  <si>
    <t>PLATO PANDO</t>
  </si>
  <si>
    <t>VALLE DE SAN JUAN</t>
  </si>
  <si>
    <t>SORA</t>
  </si>
  <si>
    <t>PURACE</t>
  </si>
  <si>
    <t>SIMIJACA</t>
  </si>
  <si>
    <t>MAICAO</t>
  </si>
  <si>
    <t>REPORTE DE LA GOBERNACION Y EL MAVDT. DESABASTECIMIENTO DE AGUA. EL NIVEL DE LOS POZOS ESTA DISMINUYENDO</t>
  </si>
  <si>
    <t>SANTA ROSA DE VITERBO</t>
  </si>
  <si>
    <t>REPORTE DE LA GOBERNACION Y EL MAVDT. DESABASTECIMIENTO DE AGUA POR MAL USO DE LA MISMA</t>
  </si>
  <si>
    <t>RACIONAMIENTO. REPORTE DEL MAVDT. DESABASTECIMIENTO DE AGUA</t>
  </si>
  <si>
    <t>REPORTE DE LA ALCALDIA Y EL MAVDT. DESABASTECIMIENTO DE AGUA. RACIONAMIENTO DE AGUA A PARTIR DEL 9 DE FEBRERO.</t>
  </si>
  <si>
    <t>CAIMITO</t>
  </si>
  <si>
    <t>SAN BENITO ABAD</t>
  </si>
  <si>
    <t>EROSION</t>
  </si>
  <si>
    <t xml:space="preserve">SOLICITAN APOYO CON ALIMENTOS LOS CUALES SERVIRAN PARA APOYAR A LAS PERSONAS QUE TRABJESN EN EL REFORZAMIENTO DE LO JARILLON ALEDAÑO AL RIO SAN JORGE, CORREGIMIENTOS DE DOÑA ANA, PUNTA DE BLANCO, EL LIMON, LA CEIBA, GEGUA Y SANTIAGO APOSTOL. </t>
  </si>
  <si>
    <t>BUGALAGRANDE</t>
  </si>
  <si>
    <t>CASUCA. REPORTE DEL CREPAD.</t>
  </si>
  <si>
    <t>SE APOYA TENIENDO E CUENTA LA GRAVE AFECTACION VIALQUE TIENE INCOMUNICADO EL CORREGIMIENTO Y LAS ACCIONES ADELANTADAS A NIVEL LOCAL Y REGIONAL.</t>
  </si>
  <si>
    <t>EN CONVERSACION CON EL CREPAD INFORMA QUE LOS MUNICIPIOS NO PRESENTARON ACTAS, NI EL INFORME DE LA EMPRESA PRESTADORA DEL SERVICIO NI LA SOLICITUD CONCRETA DE APOYO.</t>
  </si>
  <si>
    <t>COYAIMA</t>
  </si>
  <si>
    <t>DESBORDAMIENTO CAÑO MASATO BARRIO LAS BRISAS. REPORTE DE LA DEFENSA CIVIL.</t>
  </si>
  <si>
    <t>BARRIO BOSQUE IZQUIERDO CALLE 24 NO. 1 - 45. REPORTE DE LA DPAE</t>
  </si>
  <si>
    <t>PUERTO NARE</t>
  </si>
  <si>
    <t>REPORTE DEL CREPAD PRELIMINAR.</t>
  </si>
  <si>
    <t>BARBACOAS</t>
  </si>
  <si>
    <t>CORREGIMIENTO BADILLO. DESBORDAMIENTO RIO BADILLOY Y SUS AFLUENTES. REPORTE DEL CLOPAD.</t>
  </si>
  <si>
    <t>INUNDACION POR FUERTES LLUVIAS. CORREGIMIENTO QUINAMAYO, SECTORES EL AVISPAL Y BAHIA AMARILLA.  REPORTE DEL CREPAD.</t>
  </si>
  <si>
    <t>UBAQUE</t>
  </si>
  <si>
    <t>REPORTE DEL CREPAD.APOYO DEL FNC EN MENAJES, ALIMENTOS Y LAMINAS DE ZINC</t>
  </si>
  <si>
    <t>REPORTE DEL CREPAD. APOYO DEL FNC EN MENAJES, ALIMENTOS Y LAMINAS DE ZINCÇ</t>
  </si>
  <si>
    <t xml:space="preserve">AFECTADA UNA VIVIENDA POR LA CAIDA DE UN ARBOL. REPORTE DE LA DEFENSA CIVIL COLOMBIANA. </t>
  </si>
  <si>
    <r>
      <t>MUNICIPIO CON RACIONAMIENTO DE AGUA Y/O DESABASTECIMIENTO POR PROBLEMAS DE SEQUI DEBIDO AL FENOMENO DE EL NIÑO. REPORTE DEL MAVDT.</t>
    </r>
    <r>
      <rPr>
        <b/>
        <sz val="9"/>
        <color indexed="8"/>
        <rFont val="Arial"/>
        <family val="2"/>
      </rPr>
      <t xml:space="preserve"> 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</si>
  <si>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r>
      <t xml:space="preserve">ZONA URBANA Y RURAL. AQFECTADOS ALCALDIA, COLISEO, ANCIANATO, EDIFICIO MICROEMPRESARIAL Y VARIAS SEDES EDUCATIVAS Y UNICIENCIAS. BARRIOS PUERTO TEJADA, LA TRINIDAD, PUEBLO NUEVO, VIENTO LIBRE, LUIS CARLOS GALAN, FUNDADORES, EL ALTO, LA INMACULADA, ALTO DE LOS ALPES, LUS CARLOS GALAN ETAPAS 1,2,3,4,5 EL CENTRO, VEREDAS SANTA ROSA Y CAI MIO. REPORTE DEL CREPAD.. </t>
    </r>
    <r>
      <rPr>
        <b/>
        <sz val="11"/>
        <rFont val="Arial"/>
        <family val="2"/>
      </rPr>
      <t>solicitan ademas recursos para reparacion de vivienda, lo cual pasa a grupo de soporte para la gestion</t>
    </r>
  </si>
  <si>
    <t>REPORTE DE SOCORRO NACIONAL ´RELIMINAR</t>
  </si>
  <si>
    <t>TORNADO</t>
  </si>
  <si>
    <t>SAN DIEGO</t>
  </si>
  <si>
    <t>SE AOYA DE MANERA COMPLEMENTARIA</t>
  </si>
  <si>
    <t>MOÑITOS</t>
  </si>
  <si>
    <t>APOYO PARA LOS MUNICIPIOS DE ARAUCA, ARAUQUITA, SARAVENA, TAME, CRAVO NORTE, PUERTO RENDON.</t>
  </si>
  <si>
    <t xml:space="preserve">SE APOYO A TRAVES DEL CREPAD </t>
  </si>
  <si>
    <t>SE APOYA TENIENDO EN CUENTA LA MAGNITUD DE LA EMERGENCIA E EL DEPARAMENTO</t>
  </si>
  <si>
    <t>SE APOYA DE MANERA COMPLEMENTARIA A LOS ESFUERZOS LOCALES Y REGIONAL</t>
  </si>
  <si>
    <t>APOYO CON SACOS DE POPIPROPILENO</t>
  </si>
  <si>
    <t>SER APOYA A TRAVES DEL CREPAD</t>
  </si>
  <si>
    <t>SE APOYA TENIENDO EN CUENTA LA MAGNITUD DE LA EMERGNEICA</t>
  </si>
  <si>
    <t>SE APOYA A LAS FAMILIAS AFECTADAS A  TRAVES DE LA FUNDACION OBRA SOCIAL UNIDA EN LOS DEPARTAMENTOS DE ANTIOQUIA, VALLE, CAQUETA , BOLIVAR Y CAUCA</t>
  </si>
  <si>
    <t>289
20195
20203</t>
  </si>
  <si>
    <t>307
20213</t>
  </si>
  <si>
    <t>ZONA URBANA Y VEREDAS MORAL - EL TORO, NARANJO, GUAYABETAL, CORREGIMIENTO EL VALLE, BARRANCAS, TAQUE HELECHALES. REPORTE EL CREPAD. SOLICITAN APOYO PERO NO ENVIAN CENSOS NI AVAL.</t>
  </si>
  <si>
    <t>ENVIAN SOLICITUD DE APOYO EN EL MES DE SEPTIEMBRE. EN EVALUACION TENIENDO EN CUENTA QUE LA SOLICITUD ES EXTEMPORANEA.</t>
  </si>
  <si>
    <t>CORREGIMIENTO CARMELO, DEASBORDAMIENTO RIOS CARMELIT0, PURETO, MUERTO, PIÑA. REPORTE DEL CLOPAD Y CREPAD.</t>
  </si>
  <si>
    <t>BARRIO RODELO, DON BOSCO 2 Y 3 SAN FELIPE, NUEVO COLOMBIA Y COLEGIO FE Y ALEGRIA. REPORTE DE LA DEFENSA CIVIL.</t>
  </si>
  <si>
    <t>CRECIENTE RIO LA MIEL. VEREDA ATARRAYA Y LA HABANA.  REPORTE DEL CREPAD.</t>
  </si>
  <si>
    <t>CRECIENTE RIO LA MIEL, COREGIMIENTO SAN MIGUEL, REPORTE DEL CREPAD.</t>
  </si>
  <si>
    <t>REPRESAMIENTO RIO ZULIA. PUERTO ELON, PUERTO VILLAMIZAR Y AGUA CLARA. REPROTE DEL CREPAD</t>
  </si>
  <si>
    <t>COLAPSO DE PLACA EN EL TUNEL.</t>
  </si>
  <si>
    <t>AFECTDAO UN JARDIN INFANTL, EL COLISEO DEL CAFÉ, UN CENTRO COMERCIAL Y UN CASINO. REPORTE EL CLOPAD.</t>
  </si>
  <si>
    <t>REPRESAMIENTO DE LOS RIOS ZULIA, PAMPLONITA Y BRITA REPORTE DEL CREPAD.Y DEFENSA CIVIL.</t>
  </si>
  <si>
    <t>ASENTAMIENTO VOCES DE ESPERANZA. REPORTE DEL CRPAD.</t>
  </si>
  <si>
    <t>COMUNA 14, BUENAVISTA, MIRAFLORES Y ALBANIA. REPORTE DEL CLOPAD</t>
  </si>
  <si>
    <t>VEREDA SANTA ROSA. REPORTE DEL CREPAD.</t>
  </si>
  <si>
    <t>DESBORDAMEITNO RIO ZULIA. REPORTE DEL CREPAD.</t>
  </si>
  <si>
    <t>SOLICITUD DE 500 RACIONES DE CAMPAÑA  Y 1000 SOBRE HIDRATANTES PARA APOYAR LAS LABORES DE CONTROL DE INCENDIOS FORESTALES REALIZADA POR PARQUES NACIONALES NATURALES</t>
  </si>
  <si>
    <t>16
30</t>
  </si>
  <si>
    <t>CORDOBA</t>
  </si>
  <si>
    <t>DESBORDAMIENTO RIO LA VEGA. BARRIOS DOÑA LIMBANIA, LA MARIA, POZO DE DONATO, LAS QUINTAS, AVENIDA NORTE, AVENIDA UNIVERSITARIA, AVENIDA OLIMPICA. REPORTE DEL CLOPAD.</t>
  </si>
  <si>
    <t>CORREGIMIENTOS SANTIAGO APOSTOL Y LA VENTURA. REPORTE DEL CLOPAD Y CREPAD.</t>
  </si>
  <si>
    <t>927 teja ruralit no. 8</t>
  </si>
  <si>
    <t>REPORTE DE LA ALCALDIA Y EL MAVDT. DESABASTECIMIENTO DE AGUA. RACIONAMIENTO POR DESECACIO DE FUENTES ABASTECEDORAS.. SE ESTA ABASTECIENDO CON DOS POZOS EN OPERACIÓN.</t>
  </si>
  <si>
    <t>ESTUFAS</t>
  </si>
  <si>
    <t>MERCADOS</t>
  </si>
  <si>
    <t>HAMACAS</t>
  </si>
  <si>
    <t>CEPILLO NIÑO</t>
  </si>
  <si>
    <t>CINTA EMPALMAR</t>
  </si>
  <si>
    <t>COBIJA</t>
  </si>
  <si>
    <t>COLCHONETA</t>
  </si>
  <si>
    <t>CREMA DESOD.</t>
  </si>
  <si>
    <t>SISMO</t>
  </si>
  <si>
    <t>MUERTOS</t>
  </si>
  <si>
    <t>DEPTO</t>
  </si>
  <si>
    <t>TEJAS</t>
  </si>
  <si>
    <t>TRAMITE ANTE DGR</t>
  </si>
  <si>
    <t>SEGUIMIENTO Y CONTROL A LA EMERGENCIA</t>
  </si>
  <si>
    <t>CAUCA</t>
  </si>
  <si>
    <t>POPAYAN</t>
  </si>
  <si>
    <t>INCENDIO ESTRUCTURAL</t>
  </si>
  <si>
    <r>
      <t xml:space="preserve">DESBORDAMIENTO QUEBRADA LA PERDIZ. BARRIOS EL RAICERO Y SAN JUDAS BAJO.. REPORTE DE DEFENSA CIVIL. </t>
    </r>
    <r>
      <rPr>
        <b/>
        <sz val="9"/>
        <rFont val="Arial"/>
        <family val="2"/>
      </rPr>
      <t>EL VALOR DE OTROS CORRESPONDE A  2000 MTS DE CABLE CON ALMA DE ACERO DE 1 3/4, 200 BULTOS DE CEMENTO, 80 PERROS DE 1 1/2, 1200 ROLLOS DE MANGUERA DE 1/2, 300 ROLLOS DE MANGUERA DE 3/4.</t>
    </r>
  </si>
  <si>
    <t>DESBORDAMIENTO RIO CASANARE. VEREDA CASANARITO Y SARRADIO. REPORTE DE DEFENSA CIVIL</t>
  </si>
  <si>
    <t>DESBORDAMIENTO QUEBRADA  LA GARCIA.Y RIO BOCHELLI.  BARRIO LAS GRANJAS Y LOS ALPES. REPORTE DEL CREPAD.</t>
  </si>
  <si>
    <t>BARRIO SIGLO 20. REPORTE DEL CREPAD.,</t>
  </si>
  <si>
    <t>BARRIO EL TEMPLETE. REPORTE DEL CREPAD.</t>
  </si>
  <si>
    <t>APOYO GLOBAL PARA LOS TRES MUNICIPIOS.</t>
  </si>
  <si>
    <t>DESBORDAMIENTO QUEBRADA EL REVES</t>
  </si>
  <si>
    <t xml:space="preserve">SE APOYA TENIENDO EN CUENTA LA NECESIDAD DE FORTALECER LAS ENTIDADES OPERATIVAS FRENTE A LAS EMERGENCIAS QUE PUEDAN SUCEDER </t>
  </si>
  <si>
    <t>COMPROMISO DE LA DGR FRENTE A PROCESO DE RECUPERACIO</t>
  </si>
  <si>
    <t>APOYO DEL FNC MEDIANTE GIRO DIRECTO AL CLOPAD PARA APOYAR LA RECUPERACION DE LOS ACUEDUCTOS DE EL MANZANO, CERRO DAMIAN, LAS BRISAS, PURETO, SENDERITO, LAS BADEAS Y MATECAÑA. ($300.000.000).</t>
  </si>
  <si>
    <t>CUCUTA</t>
  </si>
  <si>
    <t>VILLA DEL ROSARIO</t>
  </si>
  <si>
    <t>LOS PATIOS</t>
  </si>
  <si>
    <t>VEREDA SARRAPIDO. REPORTE PRELIMINAR DE LA DEFENSA CIVIL.</t>
  </si>
  <si>
    <t>REPORTE DE LA DEFENSA CIVIL. BARRIOS ESPERANZA Y ESMERLDA. DESBORDAMIENTO RIO NABOYACO.-</t>
  </si>
  <si>
    <t>LEJANIAS</t>
  </si>
  <si>
    <t>SE APOYA TENINEDO EN CUENTA EL DESABASTECIMIENTO DE AGUA Y SEGÚN LO ACORDADO CON EL MAVDT</t>
  </si>
  <si>
    <t>SORACA</t>
  </si>
  <si>
    <t>TENZA</t>
  </si>
  <si>
    <t>SE PRESENTO EXPLOSION EN LA CALDERA DEL HOSPITAL FEDERICO LLERAS, FUE NECESARIA LA EVACUACION DEL HOSPITAL.. REPORTE DEL CREPAD VIA AVANTEL.</t>
  </si>
  <si>
    <t>POLICARPA</t>
  </si>
  <si>
    <t>TAMINANGO</t>
  </si>
  <si>
    <r>
      <t xml:space="preserve">MUNICIPIO CON RACIONAMIENTO DE AGUA Y/O DESABASTECIMIENTO POR PROBLEMAS DE SEQUIA DEBIDO AL FENOMENO DE EL NIÑO. REPORTE DEL MAVDT. ES NECESARIO APOYO TÉCNICO, EL CUAL SE PRESTARÁ POR PARTE DEL PDA.EL SNPAD GESTIONARÁ UNAS VEJIGAS PARA EL MUNICIPIO. SE PRACTICARÁ VISITA POR PARTE DEL GESTOR EL DÍA 4 DE FEBRERO PARA EVALUAR CON MÁS DETALLE LA SITUACIÓN. </t>
    </r>
    <r>
      <rPr>
        <b/>
        <sz val="9"/>
        <color indexed="8"/>
        <rFont val="Arial"/>
        <family val="2"/>
      </rPr>
      <t>EL 17 DE FEBRERO SE ENTREGA AL ALCALDE MUNICIPAL TANQUE 2.000 LT PARA DISTRIBUCIÓN PRESTADO POR MEDICOS SIN FRONTERAS POR DOS MESES. EL MUNICIPIO PRESENTARA PROYECTO PARA MANTENIMIENTO DE POZO.</t>
    </r>
  </si>
  <si>
    <t>DESBORDAMIENTO CAÑO SAN MATEO. BARRIOS LA VICTORIA, TIERRA SANTA, 24 DE NOVIEMBRE, DIVINO NIÑO, SAN MATEO, MONTELIBANO, LA FLORIDA, EL RETORNO, ORIENTE, DNIEL ALFONSO, LA RAYA, SAN CARLOS, VEREDAS LA BALSA Y PUENTE DE SAN JORGE.</t>
  </si>
  <si>
    <t>DESBORDAMIENTO CAÑO DE LOBOS. REPORTE DE LA DEFENSA CIVIL.</t>
  </si>
  <si>
    <t>BARRIO GERMAN HUERTA. INUNDACION POR FUERTES LLUVIAS. REPORTE DEL CREPAD.</t>
  </si>
  <si>
    <t>DESBORDAMIENTO RIO URICHARE. VEREDA EL ROSAL. REPORTE DEL CREPAD.</t>
  </si>
  <si>
    <t>MUZO</t>
  </si>
  <si>
    <t>SECTOR EL BASA. REPORTE DEL CREPAD.</t>
  </si>
  <si>
    <t>BARRIO EL BOSQUE. REPORTE EL CLOPAD.</t>
  </si>
  <si>
    <t>AFECTADA BOCATOMA DE LA VEREDA SANTA EMILIA. REPORTE DEL CREPAD.</t>
  </si>
  <si>
    <t>VEREDA SANDIA. REPORTE DEL CREPAD.</t>
  </si>
  <si>
    <t>SE APOYA TENIENDO EN CUENTA LAS PERDIDAS EN CULTIVOS EN EL MUNICIPIO. ESTAMOS A LA ESPERA DE QUE EL CREPAD CONCRETE LA SOLICITUD DE APOYO.</t>
  </si>
  <si>
    <t>BARRANCA DE UPIA</t>
  </si>
  <si>
    <t>DESBORDAMIENTO RIO UPIA. REPORTE DEL CREPAD.</t>
  </si>
  <si>
    <t>DESBORDAMIENTO QUEBRADA EL CARBONERO. AFECTADO CORREGIMIENTO CAIMALITO, BARRIOS EL CARBONERO NUEVO REPORTE DEL CLOPAD.</t>
  </si>
  <si>
    <t>VEREDA LA ALMERIA. REPORTE DEL CREPAD.</t>
  </si>
  <si>
    <t>MONGUA</t>
  </si>
  <si>
    <t>VEREDA MONGUI SECTOR MATA REDONDO CAIDA DE ROCA SOBRE VIVIENDA.REPORTE DEL CREPAD.</t>
  </si>
  <si>
    <t>SE APOYA TENIENDO EN CUENTA LA URGENCIA EXPRESADA POR EL COMITÉ PARA LA RELIZACION DE LAS OBRAS.</t>
  </si>
  <si>
    <t>GIRO DIRECTO AL CLOPAD PARA APOYAR LA OBRA COMPLEMENTARIA PARA LA REUBICACION DE LA INSTITUCION EDUCATIVA MARMATO (ZONA DE ADN¡MINISTRACION Y RESTAURANTE ESCOLAR Y LA CONSTRUCCION DE 15 VIVIENDAS AFECTADAS.</t>
  </si>
  <si>
    <t>SE APOYA TENIENDO EN CUENTA  EL NUMERO DE VIVIENDAS AFECTADAS.</t>
  </si>
  <si>
    <t>REPORTE DEL CREPAD Y DE LA CRUZ ROJA.. SE BRINDA APOYO CON MENAJES Y LAMINAS DE ZINC.</t>
  </si>
  <si>
    <t>95988
96104</t>
  </si>
  <si>
    <t>REPORTE DEL CREPAD POR AVANTEL. AFECTADA ZONA DE INVASION CERCA AL AEROPUERTO CAMILO DAZA.</t>
  </si>
  <si>
    <t>SECTORES DE SEMANA SANTA, ALGODÓN ARRIBA, ALGODÓN ABAJO, CULEBRADA, VILLA SONIA, ECUADOR, SANTA ROSA, CURIBIA, MULATOS, LIMONCITO E ISLITA.</t>
  </si>
  <si>
    <t>PLANADAS</t>
  </si>
  <si>
    <t>REPORTE DEL CLOPAD. ALEXANDRA CUELLAR CUELLAR 3106899770</t>
  </si>
  <si>
    <t>250 ZINC, 150 AC NO. 6, 75 CABALLETES Y 1000 AMARRES.</t>
  </si>
  <si>
    <t>VEREDA LA LINDA. REPORTE DEL CREPAD</t>
  </si>
  <si>
    <t>BARRIO BAJO ANDES. REPORTE DE DEFENSA CIVIL.</t>
  </si>
  <si>
    <t>DESLIZAMIENTO E INUNDACION POR DESBORDAMIENTO ARROYO MATUTE BARRIOS CERRO DE LA POPA, VILLA ROSITA, REPORSON, SINAI, SAN BERNARDO, PARAISO 2 LA TORRE Y LA PAZ.</t>
  </si>
  <si>
    <t>BARRIO SANTA FE SECTOR BAJAMAR. REPORTE DEL CLOPAD.</t>
  </si>
  <si>
    <t>DESBORDAMIENTO QUEBRADAS FRAILES Y LA VIBORA. BARRIO COMUNEROS. REPORTE DEL CLOPAD.</t>
  </si>
  <si>
    <t>BARRIO CARACOL. REPORTE DE LA DEFENSA CIVIL.</t>
  </si>
  <si>
    <t>DESBORDAMIENTO DE LOS RIOS SAN JORGE Y SINU. BARRIOS SAN JOSE, PUERTO COLON, PUERTO REAL, SAN RAFAEL, LA PAZ, MARIAN, CADELARIA, VERACRUZ, 19 CORREGIMIENTOS. REPORTE DE DEFENSA CIVIL.</t>
  </si>
  <si>
    <t>BARRIO SANTA HELENA, CASAS 8 Y 9. REPORTE DEL CLOPAD</t>
  </si>
  <si>
    <t>MALAMBO</t>
  </si>
  <si>
    <t>REPORTE PRELIMINAR DE LA DEFENSA CIVIL.</t>
  </si>
  <si>
    <t>AFECTADA ZONA URBANA BARRIO SAN CRISTOBAL, SAN RAFAEL, VILLA CARMENZA, LA ESPERANZA Y EL CENTRO. VEREDAS ARRAYAN BAJO, SAN MIGUEL.0. REPORTE DE LA DEFENSA CIVIL.</t>
  </si>
  <si>
    <t>BARRIO LA ESNEDA. REPORTE DE LA DEFENSA CIVIL.</t>
  </si>
  <si>
    <t>CORREGIMIENTO LA JUANA. REPORTE DEL CREPAD.</t>
  </si>
  <si>
    <t>MUNICIPIO CON RACIONAMIENTO DE AGUA Y/O DESABASTECIMIENTO POR PROBLEMAS DE SEQUIA DEBIDO AL FENOMENO DE EL NIÑO. REPORTE DEL MAVDT. DE CONTINUAR SEQUÍA SE EMPRENDERÁN MEDIDAS DE RACIONAMIENTO, CAMPAÑA DE AHORRO E IMPOSICIÓN DE COMPARENDOS. NO SE TIENEN ALTERNATIVAS POR LO QUE SE PROGRAMARÁ VISITA TÉCNICA.</t>
  </si>
  <si>
    <t>COLAPSO MINA DE ORO. REPORTE DE DEFENSA CIVIL.</t>
  </si>
  <si>
    <t>AFECTADA FABRICA DE ELEMENTOS DE ASEO FULLER. AFECTADA UNA BODEGA DAÑOS MATERIALES POR ESTABLECER. REPORTE DE LA DEFENSA CIVIL.</t>
  </si>
  <si>
    <t>AFECTADO TALLER DEPARTAMENTAL. REPORTE DEL CLOPAD ARMENIA.</t>
  </si>
  <si>
    <t>CORREGIMIENTO BILBAO, QUEBRADA LA LOMA.</t>
  </si>
  <si>
    <t>MUNICIPIO CON RACIONAMIENTO DE AGUA Y/O DESABASTECIMIENTO POR PROBLEMAS DE SEQUI DEBIDO AL FENOMENO DE EL NIÑO. REPORTE DEL MAVDT. SE DISTRIBUYE 1 ON DIA CADA 2 SEMANAS</t>
  </si>
  <si>
    <t>MORALES</t>
  </si>
  <si>
    <t>VEREDAS EL PORVENIR Y LA ESTRELLA. REPORTE PRELIMINAR DEL CREPAD.</t>
  </si>
  <si>
    <t>ARATOCA</t>
  </si>
  <si>
    <r>
      <t xml:space="preserve">MUNICIPIO CON RACIONAMIENTO DE AGUA Y/O DESABASTECIMIENTO POR PROBLEMAS DE SEQUI DEBIDO AL FENOMENO DE EL NIÑO. REPORTE DEL MAVDT. </t>
    </r>
    <r>
      <rPr>
        <b/>
        <sz val="9"/>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</si>
  <si>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t>DESBORDAMIENTO QUEBRADA GIGANTE, BARRIO SESIMO SUAREZ. REPORTE DEL CREPAD.</t>
  </si>
  <si>
    <t>BARRIO BRISAS DEL MAYO Y SILOE. REPORTE DEL CREPAD.</t>
  </si>
  <si>
    <t>PAJARITO</t>
  </si>
  <si>
    <t>PENDIENTE INFORMACION.</t>
  </si>
  <si>
    <t>FUNDACION</t>
  </si>
  <si>
    <t>PLATO</t>
  </si>
  <si>
    <t>ARIGUANI</t>
  </si>
  <si>
    <t>CORREGIMIENTO LA PUNTA DE LOS REMEDIOS. REPORTE DEL CREPAD</t>
  </si>
  <si>
    <t>SE APOYA TENIENDO EN CUENTA LA NECESIDAD DE LA OBRA DEBIDO AL RIESGO DE LA COMUNIDAD EDUATIVA.</t>
  </si>
  <si>
    <r>
      <t>REPORTE DEL CREPAD.</t>
    </r>
    <r>
      <rPr>
        <b/>
        <sz val="9"/>
        <rFont val="Arial"/>
        <family val="2"/>
      </rPr>
      <t xml:space="preserve"> APOYO DEL FNC MEDIANTE GIRO DIRECTO AL CLOPAD PARA APOYAR LA CONSTRUCCION DE MUROS DE CONTENCION COMO OBRA DE PROTECCION DE LA INSTITUCION EDUCATIVA MARIANO DE JESUS EUSSE Y LA VIA CARRERA 10 DEL MUNICIPIO.</t>
    </r>
  </si>
  <si>
    <t>BARRIOS TEBAIDA, CANTARITO, LOS SAUCES, CENTRO. REPORTE DEL CREPAD,</t>
  </si>
  <si>
    <t xml:space="preserve">VEREDAS LAS GUASCAS, LOS CAFES, EL DANUBIO, SANTA ROSA, LA ESTRELLA CARPINTERO, EL ROSARIO. </t>
  </si>
  <si>
    <t>BARRIO ALTOS DE LA UNION. REPORTE DEL CLOPAD.</t>
  </si>
  <si>
    <t>607 TEJAS DE AC NO. 8, 600 NO. 6, 507 NO. 4, 3528 GANCHOS PARA AC, 2100 PARA TEJA DE ZINC, 373 TEJAS DE ZINC, 1027 CABALLETES.</t>
  </si>
  <si>
    <t>SE APOYA TENIENDO EN CUENTA LA GRAVE AFECTACION EN VIVIENDA Y PERDIDA DE ENSERES.</t>
  </si>
  <si>
    <r>
      <t xml:space="preserve">AVALANCHA QUEBRADA PEÑAS BLANCAS VEREDA PEÑAS BLANCAS (BALBOA), CORREGIMIENTO PERALONSO (SANTUARIO) Y CORREGIMIENTO PATIO BONITO (LA CELIA). </t>
    </r>
    <r>
      <rPr>
        <b/>
        <sz val="9"/>
        <rFont val="Arial"/>
        <family val="2"/>
      </rPr>
      <t>APOYO DEL FNC MEDIANTE GIRO DIRECTO AL CLOPAD PARA APOYAR LA REHABILITACION DEL ACUEDUCTO DE PEÑAS BLANCAS, AFECTADO EN SU BOCATOMA.</t>
    </r>
  </si>
  <si>
    <t>CURITI</t>
  </si>
  <si>
    <t>BARRIOS EL ENSUEÑO Y NEUVOHORIZONTE. REPORTE DE LA CRUZ ROJA Y EL CREPAD.</t>
  </si>
  <si>
    <t>REPRESAMIENTO DE AGUS LLUVIAS. BARRIOS SAN ANTONIO, EL LAZARO Y SAN JOSE. REPORTE DEL CREPAD.</t>
  </si>
  <si>
    <t>204
25428</t>
  </si>
  <si>
    <t>JARDIN</t>
  </si>
  <si>
    <t>SE APOYA TENIENDO EN CUENTA LA URGENCIA DE ADELANTAR OBRAS DE MITIGACION.</t>
  </si>
  <si>
    <t>DESABASTECIMIENTO DE AGUA. VEREDAS DE ALTO GUADUALITO, PORVENIR LA ESTRELLA, INSPECCION VERSALLES , BOLIVIA, LA CRISTALINA, LA PROVIDENCIA, PUJILITO, NIÑA DEL CARMEN. REPORTE DEL CREPAD. EN EVALUACION SOLICITUD DE MANGUERA EN ESPERA DE ESPECIFICACIONES</t>
  </si>
  <si>
    <t>DESBORDAMIENTO CAÑOS MAIZARO, RODAS Y CUERERA. BARRIOS VILLA DEL SOL, MAIZARO, TOPACIO, 13 DE MAYO, CIUDAD PORFIA, MORICHAL, RELIQUIA, CAÑO PENDEJO, PORTALES DEL LLANO, LA ESPERANZA, SAN CARLOS. REPORTE DE LA CRUZ ROJA Y LA DEFENSA CIVIL.</t>
  </si>
  <si>
    <t>VIA BOGOTA - META. REPORTE DEL CREPAD.</t>
  </si>
  <si>
    <t>COLAPSO MINA DE CARBON. REPORTE DEL CREPAD.</t>
  </si>
  <si>
    <t>BARRIO LOS ROBLES. REPORTE DE LA DEFENSA CIVIL.</t>
  </si>
  <si>
    <t>DESBORDAMIENTO QUEBRADA CHACUA. BARRIO PABLO NERUDA Y VEREDA CHACUA. REPORTE DEL CREPAD.</t>
  </si>
  <si>
    <t>SECTOR URBANO. REPORTE DEL SOCORRO NACIONAL.</t>
  </si>
  <si>
    <t>SANTA MARTA</t>
  </si>
  <si>
    <t>BARRIO MARIA CECILIA, REPORTE DEL CREPAD.</t>
  </si>
  <si>
    <t>AFECATADA VIA VILLA RESTREPO - JUNTAS-. EVACUADAS 60 FAMILIAS POR PREVENCION. VEREDA EL RESBALON. REPORTE DEL CLOPAD.</t>
  </si>
  <si>
    <t>BARRIOS EL SILO, EL CARDAL, LLANO GRANDE, LA DESPENSA, LEON XIII, SAN MATEO, CIUDAD SUCRE, TERRA GRANDE, FLORIDA 1 Y 2, ISIS, RINCON Y EL PORTAL, EUGENIO DIAZ, PANAMA, ALTOS DE PINO,. VILLA MERCEDES, LA UNION, EL PROGRESO, OLIVARES. DESBORDAMIENTO RIO SOACHA Y QUEBRADA TIBANICA.</t>
  </si>
  <si>
    <t>USIACURI</t>
  </si>
  <si>
    <t>BARRIO LA ARBOLEDA Y ALQUERIA CASA NO. 27. REPORTE DEL CLOPAD.</t>
  </si>
  <si>
    <t xml:space="preserve">DESBORDAMIENTO RIO GAVIOTA.  VEREDA GAVIOTA. AFECTADA VIA GAVIOTA - GAVIOTA ALTA. REPORTE DEL CREPAD. </t>
  </si>
  <si>
    <t>BARRIOS EL ALTO, VILLA CONSUELO, MARIA AUXILIADORA, DANUBIO, SANTA BARBARA, MATADERO, PESCADOR, CENTRO. VEREDAS HINCHE, IMURCA, ALPUJARRA, LA ENFADOSA, EL ELEGIDO, LA LAGUNA, TENERIFE, SARRAPURA, TANCURIN, LA APUESTA Y CASTILLO. REPORTE DEL CLOPAD Y CREPAD.</t>
  </si>
  <si>
    <t>PUERTO PARRA</t>
  </si>
  <si>
    <t xml:space="preserve">BARRIOS CENTRO, LA CUMBRE, KENNEDY Y FERROCARRIL. REPORTE DE DEFENSA CIVIL </t>
  </si>
  <si>
    <t>TAMESIS</t>
  </si>
  <si>
    <t>PUENTE VEHICULAR SOBRE LOS CAÑOS TOCUY Y SARAPIEL. INCOMUNICADAS LAS VEREDAS SAN ISIDRO, ALTO DE LAS FLORES, AQUITANIA NORTE Y SUR, 1000 FAMILAS INCOMUNICADAS. REPORTE DEL CRREPAD Y LA DEFENSA CIVIL.</t>
  </si>
  <si>
    <t>SAN JACINTO DEL CAUCA</t>
  </si>
  <si>
    <t>CORREGIMIENTO DE SAN ANTONIO DEL PANCHO. COMUNIDAD CHIVOLO. REPORTE DEL CREPAD.</t>
  </si>
  <si>
    <t>248 TEJAS DE AC NO. 6, 8 TEJAS DE AC NO. 8, 127 TEJAS DE ZINC Y 1786 AMARRES.</t>
  </si>
  <si>
    <t>570 TEJAS DE ZINC Y 4275 AMARRES</t>
  </si>
  <si>
    <t>520 TEJAS DE ZINC, 275 DE AC NO. 6 Y 3915 AMARRES</t>
  </si>
  <si>
    <t>SE APOYA TENIENDO EN CUENTA LA MAGNITUD DE LA EMERGENCIA</t>
  </si>
  <si>
    <r>
      <t xml:space="preserve">MUNICIPIO CON RACIONAMIENTO DE AGUA Y/O DESABASTECIMIENTO POR PROBLEMAS DE SEQUIA DEBIDO AL FENOMENO DE EL NIÑO. REPORTE DEL MAVDT. EL SISTEMA ANTERIOR FUE ABANDONADO Y </t>
    </r>
    <r>
      <rPr>
        <b/>
        <sz val="10"/>
        <color indexed="8"/>
        <rFont val="Arial"/>
        <family val="2"/>
      </rPr>
      <t xml:space="preserve">ACTUALMENTE SE ESTÁ DESARROLLANDO UN PROYECTO PARA TRAER AGUA TRATADA DESDE LA PLANTA DE PERICO DE SAN JUAN NEPOMUCENO PARA DE ESTA MANERA CONSTITUIR UN SISTEMA REGIONAL. </t>
    </r>
    <r>
      <rPr>
        <sz val="9"/>
        <color indexed="8"/>
        <rFont val="Arial"/>
        <family val="2"/>
      </rPr>
      <t>ESTE NUEVO SISTEMA SOLO APROVECHARÍA LA ACTUAL CONDUCCIÓN DESDE LA PLANTA DE REGENERACIÓN HASTA LOS TANQUES DE ALMACENAMIENTO DE SAN JACINTO.</t>
    </r>
  </si>
  <si>
    <r>
      <t xml:space="preserve">MUNICIPIO CON RACIONAMIENTO DE AGUA Y/O DESABASTECIMIENTO POR PROBLEMAS DE SEQUIA DEBIDO AL FENOMENO DE EL NIÑO. REPORTE DEL MAVDT.  </t>
    </r>
    <r>
      <rPr>
        <b/>
        <sz val="10"/>
        <color indexed="8"/>
        <rFont val="Arial"/>
        <family val="2"/>
      </rPr>
      <t>SE ESTÁ ABASTECIENDO A TRAVÉS DE CARROTANQUES CON EL APOYO DE LA GOBERNACIÓN.</t>
    </r>
    <r>
      <rPr>
        <sz val="9"/>
        <color indexed="8"/>
        <rFont val="Arial"/>
        <family val="2"/>
      </rPr>
      <t xml:space="preserve"> LA SOLUCIÓN PLANTEADA INCLUYE ACCIONES DE DRAGADO.. LA GOBERNACION DECLARO URGENCIA MANIFIESTA POR EL FENOMENO DE EL NIÑO.MEDIANTE RESOLUCION 005 DEL 18 DE ENERO DE 2010</t>
    </r>
  </si>
  <si>
    <r>
      <t>MUNICIPIO CON RACIONAMIENTO DE AGUA Y/O DESABASTECIMIENTO POR PROBLEMAS DE SEQUIA DEBIDO AL FENOMENO DE EL NIÑO. REPORTE DEL MAVDT.</t>
    </r>
    <r>
      <rPr>
        <b/>
        <sz val="9"/>
        <color indexed="8"/>
        <rFont val="Arial"/>
        <family val="2"/>
      </rPr>
      <t xml:space="preserve"> SE ESTA SUMINISTRANDO 2 HORAS/DIA POR SECTORES.SE ESTAN EMPLEANDO CARROTANQUES PARA CABECERA.EN 2 VEREDAS DE LA ZONA RURAL SE ESTAN LLEVANDO TANQUES EN CAMIONES POR PARTE DEL MUNICIPIO. NO HAY SOLICITUD CONCRETA DE APOYO DEL NIVEL NACIONAL MALAGA TIENE PENDIENTE RECURSOS POR LEGALIZAR.</t>
    </r>
  </si>
  <si>
    <t>INFORME DE INGEOMINAS, EVENTO DE 3,1 GRADOS CON PROFUNDIDAD SUPERFICIAL A 27.3 KMS DE LA CABECERA DE GUAPI, SIN CONSECUENCIAS</t>
  </si>
  <si>
    <t>MAGDALENA</t>
  </si>
  <si>
    <t>EL BANCO</t>
  </si>
  <si>
    <r>
      <t>MUNICIPIO CON RACIONAMIENTO DE AGUA Y/O DESABASTECIMIENTO POR PROBLEMAS DE SEQUI DEBIDO AL FENOMENO DE EL NIÑO. REPORTE DEL MAVDT.</t>
    </r>
    <r>
      <rPr>
        <b/>
        <sz val="9"/>
        <color indexed="8"/>
        <rFont val="Arial"/>
        <family val="2"/>
      </rPr>
      <t xml:space="preserve"> LA QUEBRADA CORALES NO ES UNA FUENTE PERMANENTE DE SUMINISTRO, SE TOMÓ COMO PLAN DE CONTINGENCIA</t>
    </r>
  </si>
  <si>
    <t>DESBORDAMIENTO RIO TIMBA Y QUEBRADA QUINAMAYU. REPORTE DEL CREPAD.</t>
  </si>
  <si>
    <t>EL PEÑON</t>
  </si>
  <si>
    <t>ZAMBRANO</t>
  </si>
  <si>
    <t>SAN FERNANDO</t>
  </si>
  <si>
    <t>QUEBRADA SANTA LUCIA. VEREDA CECILIA, VALVULA Y CORREGIMIENTO ASERRIO SECTOR LA BATEA. REPORTE DEL CREPAD.</t>
  </si>
  <si>
    <t>CONVENCION</t>
  </si>
  <si>
    <t>AVALANCHA QUEBRADA CULEBRITAS. CORREGIMIENTO GUAMAL VEREDA CULEBRITAS. AFECTADA LA VIA CONVENCION - CULEBRITAS Y VIA CONVENCION - GUAMAL. REPORTE DEL CREPAD.</t>
  </si>
  <si>
    <t>COVEÑAS</t>
  </si>
  <si>
    <t>NOBSA/FIRAVITOVA/ PAIPA/PUERTO BOYACA</t>
  </si>
  <si>
    <t>SE APOYA TENIENDO EN CUETNA LA MAGNITUD DE LA EMERGENCIA</t>
  </si>
  <si>
    <t>224
227
233</t>
  </si>
  <si>
    <t>VEREDA LA SELVA REPORTE DEL CREPAD.</t>
  </si>
  <si>
    <t>GUATICA</t>
  </si>
  <si>
    <t xml:space="preserve">VEREDAS MURRAPAL, LAS LOMAS, CORREGIMIENTO SANTA ANA, VEREDA BOLIVAR, BARRIO BERLIN VEREDA MILAS, CORREGIMIENTO SAN CLEMENTE, VEREDA OSPIRMA BAJA, </t>
  </si>
  <si>
    <t>BARRIO LOS NARANJOS, REPORTE DEL CREPAD.</t>
  </si>
  <si>
    <t>VEREDA CAIMAL</t>
  </si>
  <si>
    <t>DESBORDAMIENTO CIENAGA PUERTO FRANCO.REPORTE DEL CREPAD.</t>
  </si>
  <si>
    <t>SISMO DE 5.4 DE MAGNITUD, PROFUNDIDAD SUPERFICIAL 4 KM UBICADO EN ORTEGA TOLIMA. AGRIETAMIENTO DE LA IGLESIA SANTA ANA, LA PLAZA DE MERCADO, EL PARQUE, LA ALCALDIA Y LA CASA DE LA CULTURA Y EL PALACIO DE JUSTICIA.</t>
  </si>
  <si>
    <t>SAN ZENON</t>
  </si>
  <si>
    <t>SANTA ANA</t>
  </si>
  <si>
    <t xml:space="preserve">INCOMUNICADA LA COMUNIDAD DEL BARRIO EL TIGRE CON LOS BARRIOS CANTAGALLO, RABOLARGO GARDENIAS. </t>
  </si>
  <si>
    <t>BARRIO HORIZONTE SECTOR LA ESPERANZA. REPORTE DE LA DEFENSA CIVIL.</t>
  </si>
  <si>
    <t>JUAN DE ACOSTA</t>
  </si>
  <si>
    <t>CRECIENTE SUBITA DEL RIO FRIO. CORREGIMIENTOS DE GUACAMAYAL, SEVILLA Y CASERIO CARITAL.  VEREDAS EL PUYO, EL MAMON, LA BARCA, LA ESTACION, PRADITO, 116 DE JULIO, LA BALSA, MACONDO, CAÑO MOCHO. REPORTE DEL CREPAD Y DEFENSA CIVIL.- DESBORDAMIENTO RIO MANZANARES. BARRIOS FUNDADORES, SIMON BOLIVAR, GALAN, Y BASTIDAS. REPORTE DEL CLOPAD, CREPAD Y DEFENSA CIVIL</t>
  </si>
  <si>
    <t>CABECERA MUNICIPAL CORREGIMIENTO SAN SEBASTIAN DEL BONGO. Y VEREDAS PUNTO FIJO, BONGO, HONDURAS, PARATE BIEN Y LA COLOMBIA</t>
  </si>
  <si>
    <t>SABANAS DE SAN ANGEL</t>
  </si>
  <si>
    <t>AFECTACION EN CORREGIMIENTOPS DE SAN ROQUE, CESPEDES, FLORES DE AMRIA, MONTRUBIO. REPORTE DEL CREPAD.</t>
  </si>
  <si>
    <t>DESBORDAMEITNO QUEBRADA LA CHINIHUICA. CORREGIMIENTO LA CHINA. EN EVALUACION DE LA SITUACION REPORTE DE LA DEFENSA CIVIL.</t>
  </si>
  <si>
    <t>AFECTACION EN TODO EL MUNICIPIO. REPORTE DEL CREPAD.</t>
  </si>
  <si>
    <t>SE APOYA TWEMIENDO EN CUETNA LA MAGNITUD DE LA EMERGENCIA</t>
  </si>
  <si>
    <t>DESBORDAMIENTO RIO CAUCA. SECTOR PUNTABRAVA, REPORTE DEL CREPAD. AFECTACION VIAS EL DORADO - MUÑECOS, CALIMITA - EL JARDIN, PLAS DE LAS VACAS - EL JARDIN, JIGUALES EL JARDIN - PALO NEGRO, JARDIN - CANEY - LA COLONIA - SAN JUAN ALTO, MIRAVALLE - LA RIVIERA - EL BOSQUE, IRAVALLE - RAYITO - LA NEGRA, MIRAVALLE - EL DELIRIO, MEDIACANOAS - LAS DELICIAS MEDIACANOA - LOS CHORROS.</t>
  </si>
  <si>
    <t>GIRO DIRECTO AL CREPAD PARA APOYAR LA RECONSTRUCCION DE 16 VIVIENDAS DE LA COMUNIDAD EMBERA KATIA DEL RESGUARDO JAIDEZABI LAS CUALES SE DESTRUYERON POR LA AVALNACHA DEL 19 DE MAYO DE 2007.</t>
  </si>
  <si>
    <t>ZAPAYAN</t>
  </si>
  <si>
    <t>EL PIÑON</t>
  </si>
  <si>
    <t>PIVIJAY</t>
  </si>
  <si>
    <t>SANTA BARBARA DE PINTO</t>
  </si>
  <si>
    <t xml:space="preserve">CABECERA MUNICIPAL, CORREGIMIENTOS DE CARRETAL, SAN PEDRO Y VELADERO. </t>
  </si>
  <si>
    <t>PIJIÑO DEL CARMEN</t>
  </si>
  <si>
    <t>TENERIFE</t>
  </si>
  <si>
    <t>EL RETEN</t>
  </si>
  <si>
    <t>GUAMAL</t>
  </si>
  <si>
    <t>PEDRAZA</t>
  </si>
  <si>
    <t>221
224
238</t>
  </si>
  <si>
    <t>REPORTE DEL CLOPAD Y CREPAD</t>
  </si>
  <si>
    <t>CIENAGA</t>
  </si>
  <si>
    <t>MAICAO/VILLANUEVA/URIBIA/FONSECA/ALBANIA/RIOHACHA</t>
  </si>
  <si>
    <t>SE APOYA TENIENDO EN CUENTA LA SITUACION DEL DEPARTAMENTO</t>
  </si>
  <si>
    <t>APOYO GLOBAL PARA LOS SEIS MUNICIPIOS.</t>
  </si>
  <si>
    <t>GALAN</t>
  </si>
  <si>
    <t>PALMAS DEL SOCORRO</t>
  </si>
  <si>
    <t>SECTOR DE CALLEJAS, VEREDAS TWIS TWIS, EL BANQUITO, NUEVO CALI, MAZAMORRA, REPORTE DE LA DEFENSA CIVIL.</t>
  </si>
  <si>
    <t>BARRIO NUEVO. REPORTE DEL CREPAD.</t>
  </si>
  <si>
    <t>REPORTE DE MINPROTECION SOCICIAL.</t>
  </si>
  <si>
    <t>MINA DE CARBON. REPORTE DE LA CRUZ ROJA.</t>
  </si>
  <si>
    <t>MOCOA</t>
  </si>
  <si>
    <t>ZONA URBANA Y VEREDA CONDAGUA. REPORTE DE LA DEFENSA CIVIL.</t>
  </si>
  <si>
    <t>URRAO</t>
  </si>
  <si>
    <t>REPORTE DEL CREPAD. ZONA RURAL.</t>
  </si>
  <si>
    <t>REPROTE DEL CREPAD.</t>
  </si>
  <si>
    <t>NORTE DE CARTAGENA VIA A BARRANQUILLA. BARRIOS FREDONIA, PALMERAS OLAYA, SECTOR LA MAGDALENA. DESBORDAMIENTO CAÑO FREDONIA.  REPORTE DEL CLOPAD</t>
  </si>
  <si>
    <t>DESBORDAMIETNO ARROYO CATAMALA. BARRIO LOS PARTIOS. REPORTE DE LA DEFENSA CIVIL.</t>
  </si>
  <si>
    <t>BARRIO MORAVIA. REPORTE DEL CREPAD.</t>
  </si>
  <si>
    <t>CRECIENTE SUBITA RIO BAUDO SECTOR PLAYA DE LOS MICOS. REPORTE DE LA DEFENSA CIVIL.</t>
  </si>
  <si>
    <t>213
231
246</t>
  </si>
  <si>
    <r>
      <t xml:space="preserve">DEBORDAMIENTO QUEBRADA MARIA RAMOS.. CUATRO  BARRIOS. REPORTE DEL CREPAD. </t>
    </r>
    <r>
      <rPr>
        <b/>
        <sz val="9"/>
        <rFont val="Arial"/>
        <family val="2"/>
      </rPr>
      <t>EL VALOR DE OTROS COPRRESPONDE A MOTOBOMBA DE 10 PULGADAS MONTADA SOBRE TRAILER</t>
    </r>
  </si>
  <si>
    <t>233
232
249</t>
  </si>
  <si>
    <t>DESBORDAMIENTO DE ARROYOS. REPORTE DE CRUZ ROJA.</t>
  </si>
  <si>
    <t xml:space="preserve">AVALANCHA RIO LA ANASTASIA Y RIO ARGELIA. </t>
  </si>
  <si>
    <t>SE TRATA DE UN DESLIZAMIENTO PUNTUAL EN LA VIAS</t>
  </si>
  <si>
    <t>VIA SAN BERNAR DE BATA - SAN LUIS CHUCARIMA.. REPORTE DEL CLOPAD Y CREPAD.</t>
  </si>
  <si>
    <t>BARRIOS EL PARAISO, SAN PEDRO, EL RECREO, VILLA LAYDY, EL TALON, LA LINEA Y URBANIZACION SANTA CATLINA. REPORTE DE LA DEFENSA CIVIL.</t>
  </si>
  <si>
    <t>SAN CRISTOBAL</t>
  </si>
  <si>
    <t>MARGARITA</t>
  </si>
  <si>
    <t>DESBORDAMIENTO CIENAGA SANGUREA CORREGIMIENTO BOHORQUEZ. REPORTO DEL CREPAD.</t>
  </si>
  <si>
    <t>DEBORDAMIENTO DE LOS CANALES RECOLECTORES DEL DISTRITO DE RIEGO. BARRIOS TIO MOLINA, SENA, LOS PATOS, LA FLORESTA, VILLA MANATI, VILLA FELICIDAD. REPORTE DEL CREPAD.</t>
  </si>
  <si>
    <t>INCENDIO EDIFICIO HERNANDO MORALES MOLINA JUZGADOS. DAÑOS MATERIALES PISOS 22 Y 23. EXTINGUIDO.</t>
  </si>
  <si>
    <t>RIO FRIO, QUEBNRADA MATEA, CORREGIMIENTOS JULIO ZAWADY, MAMON, CARITAL, CUYO,C CEIBALES CAÑO MOCHO.</t>
  </si>
  <si>
    <t>REMOLINO</t>
  </si>
  <si>
    <t>DESBORDAMEIONTO RIO MAGDALENA CABECERA MUNICIPAL Y CORREGIMEINTO DE LAS CASITAS Y VEREDA EL SALAO. REPORTE DEL CREPAD,</t>
  </si>
  <si>
    <t>CONCORDIA</t>
  </si>
  <si>
    <t>DESBORDAMIENTO RIO MAGDALENA CORREGIMIENTOS DEL BALSAMO ROSARIO DE CHENGUE BELLAVISTA.</t>
  </si>
  <si>
    <t>TARAZA</t>
  </si>
  <si>
    <t>SE APOYA TENIENDO EN CUENTA EL COMPROMISO CON EL MUNICIPIO</t>
  </si>
  <si>
    <t>MUNICIPIO CON RACIONAMIENTO DE AGUA Y/O DESABASTECIMIENTO POR PROBLEMAS DE SEQUI DEBIDO AL FENOMENO DE EL NIÑO. REPORTE DEL MAVDT. SE PRACTICARÁ VISITA POR PARTE DEL GESTOR  PARA EVALUAR  LA SITUACIÓN Y REVISAR EL PROYECTO PROPUESTO.</t>
  </si>
  <si>
    <t xml:space="preserve">MUNICIPIO CON RACIONAMIENTO DE AGUA Y/O DESABASTECIMIENTO POR PROBLEMAS DE SEQUI DEBIDO AL FENOMENO DE EL NIÑO. REPORTE DEL MAVDT. REQUIEREN APOYO TÉCNICO QUE SE PRESTARÁ A TRAVÉS DEL PDA E INTERVENCIÓN DE CORPOBOYACÁ PARA CONTROL DE DEMANDA AGUAS ARRIBA.                </t>
  </si>
  <si>
    <t>APOYO PARA LOS MUNICIPIOS DE CAPITANEJO, GALAN, HATO Y CARMEN DE CHUCURI.</t>
  </si>
  <si>
    <t>BARRIO EL BOSQUE PARTE ALTA. REPORTE DEL CREPAD.</t>
  </si>
  <si>
    <t>AGUACHICA</t>
  </si>
  <si>
    <t>SECTOR COMERCIAL ZONA CENTRO. BARRIOS EL CABLE, EL COMERCIO, EL ACEITUNO, OESQUERA, PALOMERA Y CORREGIMIENTOS DE PUERTO CAPULCO, CASCAJAL, Y CONTENTO.</t>
  </si>
  <si>
    <t>REPORTE DEL SOCORRO NACIONAL.</t>
  </si>
  <si>
    <t>TIQUISIO</t>
  </si>
  <si>
    <t>PINILLOS</t>
  </si>
  <si>
    <t>CAÑO DE LA LATA,S LAS PAVITAS, EL DIQUE, PUEBLO BUHO, EL MAMON, LAS OSAS, PUMPUMA, LA SOLERA, CABECERA MUNICIPAL, NUEVA ESTRELLA, NUEVA FE, BARRO BLANCO, LA MEJIA Y AGUILASR. REPORTE DEL CREPAD.</t>
  </si>
  <si>
    <t>TRUJILLO</t>
  </si>
  <si>
    <t>COLAPSO DE MURO POR FUERTES LLUVIAS.SECTOR INMACULADA. REPORTE DE CREPAD.</t>
  </si>
  <si>
    <t>SANTUARIO</t>
  </si>
  <si>
    <t>DESBORDAMIENTO RIO MAPA.</t>
  </si>
  <si>
    <r>
      <t xml:space="preserve">MUNICIPIO CON RACIONAMIENTO DE AGUA Y/O DESABASTECIMIENTO POR PROBLEMAS DE SEQUI DEBIDO AL FENOMENO DE EL NIÑO. REPORTE DEL MAVDT. </t>
    </r>
    <r>
      <rPr>
        <b/>
        <sz val="9"/>
        <color indexed="8"/>
        <rFont val="Arial"/>
        <family val="2"/>
      </rPr>
      <t>SE HA REHABILITADO TOTALMENTE EL SISTEMA DE BOMBEO QUE PERMITE ABASTECER EL SISTEMA A PARTIR DEL TANQUE DE DISTRIBUCIÓN DE LAS DELICIAS Y DISTRIBUIR POR GRAVEDAD.UN CARROTANQUE DE AGUAS DEL TEQUENDAMA QUEDO APOYANDO LA DISTRIBUCIÓN.</t>
    </r>
  </si>
  <si>
    <t>REPORTE TELEFONICO DE LA DPAE. BARRIO GRANJAS DE SAN PABLO, LOCALIDAD RAFAEL URIBE URIBE</t>
  </si>
  <si>
    <t>SARAVENA</t>
  </si>
  <si>
    <t xml:space="preserve">REPORTE DE LA DEFENSA CIVIL. VIA RADIO. </t>
  </si>
  <si>
    <t>BUENAVENTURA</t>
  </si>
  <si>
    <t>IBAGUE</t>
  </si>
  <si>
    <t>REPORTE DE LA DEFENSA CIVIL VIA RADIOCOMUNICACIONES</t>
  </si>
  <si>
    <t>CAMPO DE LA CRUZ</t>
  </si>
  <si>
    <t>CANDELARIA</t>
  </si>
  <si>
    <t>MANATI</t>
  </si>
  <si>
    <t>PONEDERA</t>
  </si>
  <si>
    <t>ATLANTICO</t>
  </si>
  <si>
    <t>CLEMENCIA</t>
  </si>
  <si>
    <t>VILLANUEVA</t>
  </si>
  <si>
    <t>SANTA CATALINA</t>
  </si>
  <si>
    <t>MAHATES</t>
  </si>
  <si>
    <t>TURBACO</t>
  </si>
  <si>
    <t>TURBANA</t>
  </si>
  <si>
    <t>CALAMAR</t>
  </si>
  <si>
    <t>EL GUAMO</t>
  </si>
  <si>
    <t>SAN ESTANISLAO</t>
  </si>
  <si>
    <t>MARIA LA BAJA</t>
  </si>
  <si>
    <t>MAGANGUE</t>
  </si>
  <si>
    <t>CICUCO</t>
  </si>
  <si>
    <t>BARRANCO DE LOBA</t>
  </si>
  <si>
    <t>NOROSI</t>
  </si>
  <si>
    <t>CUITIVA</t>
  </si>
  <si>
    <t>SE APOYA TENIENDO EN CUENTA LA GEAVE AFECTACION POR DESAVASTECIMIENTO DE AGUA EN EL MUNIICPIO.</t>
  </si>
  <si>
    <t>APOYO DEL FNC MEDIANTE GIRO DIRECTO AL CLOPAD PARA ATENDER LA EMERGENCIA POR DESABASTECIMIENTO DE AGUA EN LAS VEREDAS TROCHAS (UNA BOMBA HIDRAULICA, UN TANQUE DE 5000 LTRS Y 1500 METROS DE TUBERIS), LA LINTERENA ( 170 METROS DE GUAYA, DADOS EN CONCRETO Y 1712 METROS DE TUBERIA DE 3") Y EL TIGRE (22 TANQUES DE 1000 LITROS, Y TORRES PARA LOS TANQUES).</t>
  </si>
  <si>
    <t>CAPITANEJO</t>
  </si>
  <si>
    <t>OIBA</t>
  </si>
  <si>
    <t>BETANIA</t>
  </si>
  <si>
    <t>SAN ANDRES</t>
  </si>
  <si>
    <t>BARRIO SAN LUIS. REPORTE DE DEFENSA CIVIL Y DEL CREPAD.</t>
  </si>
  <si>
    <t>BARRIO PUEBLO VIEJO. REPORTE DE BOMBEROS PROVIDENCIA. AFECTADO LOCAL COMERCIAL.</t>
  </si>
  <si>
    <t>GINEBRA</t>
  </si>
  <si>
    <t>TAURAMENA</t>
  </si>
  <si>
    <t>AFECTADA VIA TAURAMENA - ARAUCA. REPORTE DE LA CRUZ ROJA</t>
  </si>
  <si>
    <t>QUIMBAYA</t>
  </si>
  <si>
    <t>ESPINAL</t>
  </si>
  <si>
    <t>COBIJA TERMICA</t>
  </si>
  <si>
    <t>SOBRECAMAS</t>
  </si>
  <si>
    <t>PAPEL H.</t>
  </si>
  <si>
    <r>
      <t xml:space="preserve">MUNICIPIO CON RACIONAMIENTO DE AGUA Y/O DESABASTECIMIENTO POR PROBLEMAS DE SEQUIA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 SUMINSITRO DE AGUA POR CARROTANQUE</t>
    </r>
  </si>
  <si>
    <r>
      <t>MUNICIPIO CON RACIONAMIENTO DE AGUA Y/O DESABASTECIMIENTO POR PROBLEMAS DE SEQUIA DEBIDO AL FENOMENO DE EL NIÑO. REPORTE DEL MAVDT.</t>
    </r>
    <r>
      <rPr>
        <b/>
        <sz val="10"/>
        <color indexed="8"/>
        <rFont val="Arial"/>
        <family val="2"/>
      </rPr>
      <t xml:space="preserve"> SUMINISTRO DE AGUA A TRAVÉS DE CARROTANQUE CON APOYO DEL CREPAD</t>
    </r>
  </si>
  <si>
    <t>INFORMACION</t>
  </si>
  <si>
    <t>NO</t>
  </si>
  <si>
    <t>REPORTE TELEFONICO DEL CREPAD</t>
  </si>
  <si>
    <t>SAN SEBASTIAN</t>
  </si>
  <si>
    <t>HELADA</t>
  </si>
  <si>
    <t>BARRANQUILLA</t>
  </si>
  <si>
    <t>APOYO DEL FNC MEDIANTE GIRO DIRECTO AL CLOPAD PARA LA CONSTRUCCION DE ESPOLONES EN LA MARGEN DERECHA  DEL RIO GUAPE EN EL CASCO URBANO PARA LA PROTECCION DEL COLEGIO ADVENTISTA Y VARIAS MANZANAS COMO PROTECCION DE LA MARGEN IZQUIERDA DEL CAÑO URICHARARE EN LA MANZANA 94.</t>
  </si>
  <si>
    <t>SAN VICENTE, AURORA , LA CABAÑALA RIOJA, BOLIVAR, MATADERO,LAS COLINAS, LA CIUDADELA, CEMENTERIO, LA PISTA, BUENOS AIRES, EL EDEN VILLA RICA, LA BOMBA, BOSQUES DE LA ARQUIAGALAN Y SUCRE.</t>
  </si>
  <si>
    <t>LA TEBAIDA</t>
  </si>
  <si>
    <t>TORMENTA ELECTRICA</t>
  </si>
  <si>
    <t>VEREDA PISANAL. REPORTE DE MINPROTECCION SOCIAL</t>
  </si>
  <si>
    <t>REPORTE DEL CLOPAD, SITUACION CONTROLADA.</t>
  </si>
  <si>
    <t>RIOBLANCO</t>
  </si>
  <si>
    <t>TOTORO</t>
  </si>
  <si>
    <t>CORREGIMIENTO DE VALENCIA. REPORTE TELEFONICO DEL CREPAD</t>
  </si>
  <si>
    <t>PAEZ</t>
  </si>
  <si>
    <t>30
38</t>
  </si>
  <si>
    <t>INFORMACION DEL CREPAD Y LA DEFENSA CIVIL.</t>
  </si>
  <si>
    <t>ANALISIS Y EVALUACION DE LA SOLICITUD</t>
  </si>
  <si>
    <t>CUNDINAMARCA</t>
  </si>
  <si>
    <t>DEPARTAMENTO</t>
  </si>
  <si>
    <t>SOLICITUD</t>
  </si>
  <si>
    <t>SI</t>
  </si>
  <si>
    <t>SE APOYA TENIENDO EN CUENTA LA TEMPORADA SECA Y LA DECLARATORIA DE DESASTRE (DECRETO 023)</t>
  </si>
  <si>
    <t>RISARALDA</t>
  </si>
  <si>
    <t>BOGOTA</t>
  </si>
  <si>
    <t>NACION</t>
  </si>
  <si>
    <t>QUINDIO</t>
  </si>
  <si>
    <t>ARMENIA</t>
  </si>
  <si>
    <t>INFORME CUERPO BOMBEROS TTE MELVIN LECHUGA, ASENTAMIENTO SINAI</t>
  </si>
  <si>
    <t>BOLIVAR</t>
  </si>
  <si>
    <t>INFORME MINISTERIO PROTECCION SOCIAL, AFECTADO EL HOSPITAL EN 60%, EVACUADOS 20 PACIENTES.</t>
  </si>
  <si>
    <t>CASANARE</t>
  </si>
  <si>
    <t>OROCUE</t>
  </si>
  <si>
    <t>SOLICITUD DEL CREPAD. EL VALOR DE OTROS CORRESPONDE A 294 RACIONES DE CAMPAÑA Y UN MERCADO ESPECIAL PARA LA ALIMENTACION DE LOS EQUIPOS DE RESPUESTA</t>
  </si>
  <si>
    <t>SOLICITUD DE BOMBEROS BOGOTA. EL VALOR DE OTROS CORRESPONDE A 300 RACIONES DE CAMPAÑA</t>
  </si>
  <si>
    <t>SOLICITUD DE LA CRUZ ROJA. EL VALOR DE OTROS CORRESPONDE A 500 RACIONES DE CAMPAÑA</t>
  </si>
  <si>
    <t>APOYO DEL FNC MEDIANTE EL SUMINISTRO DE 4 BOMBAS, 2 MCLEOD, 2 PULASKI, 6 BATEFUEGOS, 9 MONOGAFAS, 9 GUANTES, 9 MACHETES, 9 BOTAS, 3 AZADONES, 3 PALAS, 2 RASTRILLOS, 1 GUADAÑADORA, 1 MOTOSIERRA, 9 TAPABOCAS, 1GPS</t>
  </si>
  <si>
    <t>DESBORDAMIENTO RIO LIMONAR Y SAN FRANCISCO. BARRIOS CENTRO SAN JOSE, BENJAMIN HERRERA, CAMINO REAL, CIUDADELA, PARAMILLO, POLICARPA, LOS VIRREYES, TOMAS CIPRIANO Y EL VALLADO. MEDIANTE OFICIO DEL 18 DE JUNIO EL CREPAD INFORMA QUE LA EMERGENCIA FUE ATENDIDA CON APOYO DEL CREPAD.</t>
  </si>
  <si>
    <t>PENDIENTE</t>
  </si>
  <si>
    <t>SOLICITAN APOYO COMPLEMENTARIO</t>
  </si>
  <si>
    <t>BARRIO RODRIGO TURBAY, CALLE DE LOS INDIOS, MAICERO Y RODRIGO TURBAY PARTE BAJA.</t>
  </si>
  <si>
    <t>DESBORDAMIENTO RIO TEUSACA. BARRIOS MANATIAL, TOGA , POPA, SAUCES, PORTADA Y EL CEMENTERIO</t>
  </si>
  <si>
    <t>CRECIENTE ARROYO MEIMAI SECTOR PUERTO ESTRELLA.</t>
  </si>
  <si>
    <t>VEGACHI</t>
  </si>
  <si>
    <t>DESBORDAMIENTO QUEBRADA LA CRUZ</t>
  </si>
  <si>
    <t>AMALFI</t>
  </si>
  <si>
    <t>DESBORDAMIENTO QUEBRADAS EL PALACIO, GUAYABITO Y VIBORA</t>
  </si>
  <si>
    <t>ANORI</t>
  </si>
  <si>
    <t>FUERTES LLUVIAS</t>
  </si>
  <si>
    <t>VEREDAS LOURDES, EL CARMELO, VARGAS, POTRERITO. PENDIENTE AFECTACION.</t>
  </si>
  <si>
    <t>CANTAGALLO</t>
  </si>
  <si>
    <t>BARRIOS LAS QUINTAS, ALAMEDA DEL BOSQUE, SANTA INES, MESOPOTAMIA</t>
  </si>
  <si>
    <t>DESBORDAMIENTO RIO MAGDALENA BARRIOS PRIMERO DE MAYO</t>
  </si>
  <si>
    <t>MUNICIPIO CON RACIONAMIENTO DE AGUA Y/O DESABASTECIMIENTO POR PROBLEMAS DE SEQUI DEBIDO AL FENOMENO DE EL NIÑO. REPORTE DEL MAVDT. EN EL TRANSCURSO DE LA SEMANA REPORTO LLUVIAS Y LOS CAUDALES AUMENTARON. CONTINUA EN RACIONAMIENTO SE REPORTA SITUACIÓN BAJO CONTROL. SE REPORTA DAÑO DE LA BOMBA EN LA ESTACIÓN DE BOMBEO, EL MUNICIPIO REALIZARÁ LA COMPRA DE UNA NUEVA QUE TARDARÁ EN SER INSTALADA 40 DÍAS.</t>
  </si>
  <si>
    <t>TAMALAMEQUE</t>
  </si>
  <si>
    <t>REPORTE DEL CREPAD Y DE SOCORRO NACIONAL</t>
  </si>
  <si>
    <t>CARTAGENA</t>
  </si>
  <si>
    <t>BARRIO OLAYA HERRERA SECTOR CENTRAL, CALLE CONCEPCION. REPORTE DEL SOCORRO NACIONAL</t>
  </si>
  <si>
    <t>DESABASTECIMIENTO DE AGUA POR FALTA EL RECURSO Y MAL MANEJO DEL MISMO. MEDIANTE DECRETO 010 DEL 9 DE FEBRERO DE 2010 SE DECLARO EL ESTADO DE EMERGENCIA SANITARIA.</t>
  </si>
  <si>
    <t>ALTO BAUDO</t>
  </si>
  <si>
    <t>BARRIO COLOMBO ANDINO. REPORTE PRELIMINAR DE LA DEFENSA CIVIL.</t>
  </si>
  <si>
    <t>169
51
56</t>
  </si>
  <si>
    <t xml:space="preserve">EL CLOPAD REPORTA MORTANDAD DE PECES Y POR LO TANTO PROBLEMAS ALIMENTARIOS. SOBRE TODO EN COMUNIDADES INDOGENAS DE SANTA MARIA DE CONDOTO, MIACORA, MOAMIA, LA DIVISA, CHIVIGUIDO, LA FELICIA, LA ESPERANZA, PUESTO INDIO, TAXI, JENGADO, PAVARNADO, MOJAUDO, Y AFRODESCENIENTES: PASCUITA, SAN FRANCISCO, PUERTO ANGEL, MOJAUDO, PUERTO LUIS, CHACHAJO, PUREZA, PUERTO PALACIO, SANTA RITA, YUCAL, BELLA CECILIA, PIE DE PATO, </t>
  </si>
  <si>
    <t>DESBORDAMIENTO DEL RIO  MIRA. CORREGIMIENTO CANDELILLA, IMBILI. VEREDAS MAGUI PARTE BAJA, AL AZUCAR PARTE BAJA, EL COCO PARTE BAJA, LA DUANA PARTE BAJA, ALTO PLAYON , EL VALLENATO Y JARDIN PARTE BAJA., CASA VIEJA, ALCUAN, LA PLAYA, LA HONDA, PLAYA BAJA, SAN JUAN, RIO MIRA, HACHOTAL, VUIELTA DE CANDELILLAS, CANDELILLA RIO MIRA PARTE BAJA, LA PLAYITA, PANAL TULMO, MIRASPALMAS PARTE BAJA, EL GUABO, IMBILI LA LOMA BAJA, CARRETERA, IMBILI LA VEGA, PEÑA COLORADA, HIGUARAL, GUACHAL BRISAS, GUACHAL BARRANCO, GUACHAL LA VEGA, VUELTA DE CAJAPI, BOCAS DE CAJAPI, ALTOP JAGUA, BAJO JAGUA, ALTO SAN ISIDRO, MEDIO SAN ISIDRO, BAJOI SAN ISIDRO, BELLA VISTA, DESCOLGADERO, BRISAS DEL ACUEDUCTO, NUEVA REFORMA, INGUAPI DEL GUADUAL, INGUAPI DEL GUAYABO, EL PLAYON BAJO, CARLO SAMA, PUEBLO NUEVO, ISLA GRANDE, LA UNION, NUEVA INDEPENDENCIA, NUEVA BRISA, EL NARANJO Y LAS CARGAS.</t>
  </si>
  <si>
    <t>SECTORES PETECUY 1, 2 Y 3, DC PAZ, NAPOLES, ALTOS DE SILOE, CALIMIO, BELEN, LOS CHORROS, PAMPAS DEL MIRADOR, CALIMA NORTE. PENDIENTE EVALUACION.</t>
  </si>
  <si>
    <t>DESBORDAMIENTO RIO PIRI. REPORTE DEL CREPAD. AFECTADA VIA MONTEREDONDO - EL CALVARIO.</t>
  </si>
  <si>
    <r>
      <t>MUNICIPIO CON RACIONAMIENTO DE AGUA Y/O DESABASTECIMIENTO POR PROBLEMAS DE SEQUIA DEBIDO AL FENOMENO DE EL NIÑO. REPORTE DEL MAVDT.</t>
    </r>
    <r>
      <rPr>
        <b/>
        <sz val="9"/>
        <color indexed="8"/>
        <rFont val="Arial"/>
        <family val="2"/>
      </rPr>
      <t xml:space="preserve"> SUMINISTRO A TRAVÉS DE CARROTANQUES CON APOYO DEL DEPARTAMENTO.  APOYO DEL FNC MEDIANTE GIRO DIRECTO AL CLOPAD PARA ALQUILER DE DOS VOLQUETAS, INSTALACION DE DOS TANQUES DE 5000 LITROS Y DOS FLAUTAS PARA DISTRIBUCION VALOR TOTAL $27,900,000</t>
    </r>
  </si>
  <si>
    <t>LA PAZ</t>
  </si>
  <si>
    <t xml:space="preserve">CAIDA DE ARBOLES SOBRE COLEGIOS DE LAS COMUNIDADES INDIGENAS MARI RANKIRO, GUANAPAREPO, MARIA AUXILIADORA DE CUESTECITAS. </t>
  </si>
  <si>
    <t>FUERTES LLUVIAS, DESBORDAMIENTO ARROYO LIMON. AFECTADA COMUNIDAD DE PAJARAO. REPORTE DE CRUZ ROJA. PERROULIA, TUCAOPAO, PIRRITAMA, OVEJOMANA, URRAICHI, PANCHO, HOLLITO DE MONO, GUASIMO, INSHISHON, AMAMANA,, POPOMANA, POTRERO, JURUREN.BARRIOS CRISPIN LOPEZ, CHORZIMANA Y MANAURE BAJO. VEREDAS BELEN SANTA ROSA MULAMANA, PANCHO PIPAMANA, FLOR DE OLIVOS, COMUNINIDADES DE CHISPANA, QUIPAMANA, BUENAVISTA, HOYITO DE MONO Y PUNTA DE VELA.</t>
  </si>
  <si>
    <t>DESBORDAMIENTO RIO SAN IGNACIO Y VENDAVAL. BARRIO BUENOS AIRES.  REPORTE DE SOCORRO NACIONAL.</t>
  </si>
  <si>
    <t>CIENAGA DE ZAPATOSA CORREGIMIENTO GUAIMARAL. REPORTE DEL CREPAD Y SOCORRO NACIONAL,.</t>
  </si>
  <si>
    <t>REPORTE DEL CREPAD. DESBORDAMIENTO RIO TUCUY</t>
  </si>
  <si>
    <t>CHIRIGUANA</t>
  </si>
  <si>
    <t>CRECIENTO RIO MAGDALENA Y QUEBRADA LA FLORESTA. VEREDAS MATEGUADUA, NUEVO TRIUNFO, ISLA HERMISA Y CORREGIMIENTOS PUERTO NUEVO, PUERTO BOCA, LAS PALMAS REPORTE DE LA CRUZ ROJA. AFECTADO PUENTE VEHICULAR EN LA VIA BRISAS - LAS PALMAS.</t>
  </si>
  <si>
    <t>AGUSTIN CODAZZI</t>
  </si>
  <si>
    <t>VEREDA EL PLATANAL.DESBORDAMIENTO RIO PLATANAL.</t>
  </si>
  <si>
    <t>REPORTE DEL CREPAD. VEREDAS TEUQENDAMA Y PARAMILLO. AFECTACION EN VIA CULEBRITA - PARAMILLO</t>
  </si>
  <si>
    <t>AFECTADA VIA CARRIZAL - LA LEGIA. REPORTE DEL CREPAD.</t>
  </si>
  <si>
    <t>DESBORDAMIENTO RIO ARIGUANI, VEREDA EL TROPEZON. AFECTADAS VIAS VEREDA LOMA LINDA, PUERTO LAJAS Y CHIMILAIMA, SAGARRIGA. REPORTE DEL CREPAD.</t>
  </si>
  <si>
    <t>REPORTE DEL CREPAD. AFECTADAS VIAS MARGARITA - PEÑONCITO, SANIN VILLA - SANTAMARIA, SUMARE - HOBO</t>
  </si>
  <si>
    <t>DESBORDAMIENTO RIOS CESAR, CAÑO LA MIEL Y RIO GARUPAL. REPROTE DEL CREPAD.</t>
  </si>
  <si>
    <t>SE APOYA DE MANERA COMPLEMENTARIA A LOS ESFUERZOS LOCLAES Y REGIONALES.</t>
  </si>
  <si>
    <t>LINEA NO.</t>
  </si>
  <si>
    <t>SECTORES EL BOSQUE Y SAN JOSE. REPRTE DEL CREPAD.</t>
  </si>
  <si>
    <t>PAZ DE RIO</t>
  </si>
  <si>
    <t>SECTORES PAZ VIEJA, SOCOTACITO, CHAPA. REPORTE DEL CREPAD.</t>
  </si>
  <si>
    <t>INUNDACION POR FUERTES LLUVIAS. BARRIOS MARCO FIDEL SUAREZ Y LA PAZ. REPORTE DEL CREPAD.</t>
  </si>
  <si>
    <t>DESBORDAMIENTO RIO SAN JUAN. COMUNIDAD INDIGENA DE SANTA MARIA DE PANGALA. REPORTE DEL CREPAD.</t>
  </si>
  <si>
    <t>COLAPSO DE MINA DE ORO. REPORTE DEL CREPAD.</t>
  </si>
  <si>
    <t>BARRIOS LA PLAYA, Y VALLE DE LLANO GRANDE. REPORTE DEL CREPAD.</t>
  </si>
  <si>
    <t>FUERTES LLUVIAS SECTORES LA GABRIELA, LA CAMILA. REPORTE DEL CREPAD.</t>
  </si>
  <si>
    <t>BARRIOS PUENTE TABLA, GUAMAL, PIZARRA. REPORTE DEL CREPAD.</t>
  </si>
  <si>
    <t>CRECIENTE SUBITA RIO EL ROBLE VEREDA LA FRONTERA. FINCA VILLA NATALIA. REPORTE DEL CREPAD.</t>
  </si>
  <si>
    <t>ASENTAMIENTO LAS BRISAS. VEREDA EL VENADO. REPORTE DEL CLOPAD.</t>
  </si>
  <si>
    <t xml:space="preserve">DESBORAMIENTO CIENAGA ZAPATOZA. CORREGIMIENTIO SANTA CECILIA. REPORTE DEL CREPAD. </t>
  </si>
  <si>
    <t xml:space="preserve">DESBORDAMIENTO RIO TAMANA,. VEREDAS AGUASUCIA, PLAYA DEL ROSARIO, CORREGIMIENTOS TINDAZA, EL TIGRE, SANTA ROSA, SAN LORENZO. BARRIOS PANAMA, BUENOS AIRES, GAMBOA CAMELLON , LAS AGUAS PARTE BAJA, JESUS POBRE. REPORTE DE LA DEFENSA CIVIL. </t>
  </si>
  <si>
    <t>CORREGIMIENTOS DE SANTA RITA, TADOCITO, VEREDAS ALTO CONDOTO, LA CHORRERA, LA MESTIZA, LA UÑITA, CORORO, DUAVE, SANTA BARBARA. REPORTE DEL CREPAD</t>
  </si>
  <si>
    <t>BARRIO TRINIDAD. REPORTE DEL CREPAD.</t>
  </si>
  <si>
    <t>ACACIAS</t>
  </si>
  <si>
    <t>CECIENTE SUBITA RIO ACACIAS. VEREDA MALECON. REPORTE DE LA DEFENSA CIVIL.</t>
  </si>
  <si>
    <t>BARRIO SULDEMAIDA. INCENDIO DE KIOSCO DE DULCES.</t>
  </si>
  <si>
    <t>VEREDA MOMBITA. REPORTE DEL CREPAD.</t>
  </si>
  <si>
    <t>SAN EDUARDO</t>
  </si>
  <si>
    <t>VEREDA CARDOZO. REPORTE DEL CREPAD.</t>
  </si>
  <si>
    <t>BARRIO QUIROGA INCENDIO EN CARPINTERIA. Y FABRICA DE MUEBLES. REPORTE DE BOMEROS</t>
  </si>
  <si>
    <t>PUENTE VEHICULAR QUE COMUNICA LOS MUNICIPIOS DE SUAREZ, ESPINAL Y GUAMO.</t>
  </si>
  <si>
    <t xml:space="preserve">BARRIO LA CABAÑA. REPORTE DEL CREPAD. </t>
  </si>
  <si>
    <r>
      <t xml:space="preserve">REPORTE DEL CLOPAD. </t>
    </r>
    <r>
      <rPr>
        <b/>
        <sz val="9"/>
        <rFont val="Arial"/>
        <family val="2"/>
      </rPr>
      <t>EL VALOR DE OTROS CORRESPONDE A 100 TEJAS TERMOACUSTICAS, 35 MADERA TIPO VIGA CUADRADA Y 2600 TORNILLOS PARA MADERA.</t>
    </r>
  </si>
  <si>
    <t>SAN PABLO</t>
  </si>
  <si>
    <t>SE APOYA TENINEDO EN CUENTA LA MAGNITUD DEL EVENTO</t>
  </si>
  <si>
    <t>95395
97193</t>
  </si>
  <si>
    <t>SE APOYA TENIENDO EN CUENTA LA SITUACION POR SEQUIA EN EL DEPARTAMENTO</t>
  </si>
  <si>
    <r>
      <t xml:space="preserve">MUNICIPIO CON RACIONAMIENTO DE AGUA Y/O DESABASTECIMIENTO POR PROBLEMAS DE SEQUIA DEBIDO AL FENOMENO DE EL NIÑO. REPORTE DEL MAVDT. SUMINISTRO A TRAVÉS DE CARROTANQUES. SE RECIBE INFORME DEL CREPAD DE FECHA 19 DE FEBRERO  SOBRE DESABASTECIMIENTO DE AGUA. </t>
    </r>
    <r>
      <rPr>
        <b/>
        <sz val="9"/>
        <color indexed="8"/>
        <rFont val="Arial"/>
        <family val="2"/>
      </rPr>
      <t>APOYO DEL DEPARTAMENTO PARA EL SUMINISTRO DE AGUA POTABLE. APOYO DEL FNC PARA ALQUILER DE TRES CARROTANQUES DURANTE UN MES Y PAGO A ACUASAN POR EL SUMINISTRO DE AGUA POTABLE AL MUNICIPIO.</t>
    </r>
  </si>
  <si>
    <t>BARRIOS PRINGAMOSAL, LOS PASOS, SECTOR EL TUNO EL CARMEN, PABLO SEXTO, VEREDAS TOMA DE LUISA, CAÑADAS, CAÑADAS ALTO, CERRO GORDO. APOYO DEL FNC EN MENAJES, ALIMENTOS Y LAMINAS DE ZINC</t>
  </si>
  <si>
    <t>COELLO</t>
  </si>
  <si>
    <t>VEREDA LEMBO, LA GRACIELA, YOMBA, SAN JERONIMO. APOYO DEL FNC EN MENAJES, ALIMENTOS Y LAMINAS DE ZINC</t>
  </si>
  <si>
    <t>BARRIOS GALAN, VILLA GLACIAL, CARLOS ALBERTO, ALAMOS, PANTANO GRANDE, Y CORREGIMIENTO SAN FELIPE. REPORTE DEL CREPAD. APOYO DEL FNC EN MENAJES, ALIMENTOS Y LAMINAS DE ZINC</t>
  </si>
  <si>
    <t>MUNICIPIO CON RACIONAMIENTO DE AGUA Y/O DESABASTECIMIENTO POR PROBLEMAS DE SEQUI DEBIDO AL FENOMENO DE EL NIÑO. REPORTE DEL MAVDT. LA SITUACIÓN ES CONTROLADA POR EL CLOPAD.MUNICIPIO INFORMARÁ A EPC, EN EL MOMENTO QUE SE REQUIERA APOYO.EPC HA CONTACTADO A EMSERFUSA, QUIEN MANIFIESTA DISPONIBILIDAD DE AGUA PARA EL APOYO Y TRASPORTE EN CARROTANQUES.</t>
  </si>
  <si>
    <t>MUNICIPIO CON RACIONAMIENTO DE AGUA Y/O DESABASTECIMIENTO POR PROBLEMAS DE SEQUI DEBIDO AL FENOMENO DE EL NIÑO. REPORTE DEL MAVDT. SI BIEN EL RACIONAMIENTO ES DRÀSTICO LA MEDIDA ES PREVENTIVA IMPLEMENTADA POR EL MUNICIPIO PARA FORZAR EL AHORRO. SITUACIÓN BAJO CONTROL</t>
  </si>
  <si>
    <t>SAN JUAN DE ARAMA</t>
  </si>
  <si>
    <t xml:space="preserve">REPORTE DEL CREPAD. </t>
  </si>
  <si>
    <t>SANTA ROSA DE CABAL</t>
  </si>
  <si>
    <t>COLEGIO LABOURE</t>
  </si>
  <si>
    <t>PURIFICACION</t>
  </si>
  <si>
    <t>75
219</t>
  </si>
  <si>
    <t xml:space="preserve">SE APOYA TENIENDO EN CUENTA LA AFECTACION INDIGENA Y LA PROBLEMÁTICA POR LA AFECTACION EN CULTIVOS Y LA COLMATACION DE RIOS </t>
  </si>
  <si>
    <r>
      <t xml:space="preserve">CORREGIMIENTOS DE TRIBUGA, JURUBIRA Y COMUNIDADES INDIGENAS DE LA LOMA, JAGUA, TANDO, RIO NUQUI, PUERTO INDIO Y JURUBIRA. . PERDIDA DE CULTIVOS. </t>
    </r>
    <r>
      <rPr>
        <b/>
        <sz val="9"/>
        <rFont val="Arial"/>
        <family val="2"/>
      </rPr>
      <t>GIRO DIRECTO AL CLOPAD CON EL PROPOSITO DE APOYAR EL DESTRONQUE Y LIMPIEZA DE LAS CUENCAS DE LOS RIOS ANCACHI Y LA QUEBRADA AGUANEGRITA, CON EL FIN DE POSIBILITAR EL TRANSPORTE DE LOS CAMPESINOS Y SUS PRODUCTOS AGRICOLAS.</t>
    </r>
  </si>
  <si>
    <t>DESBORDAMIENTO RIO SOGAMOSO, VEREDA TERRAPLEN, CORREGIMIENTO EL PEDRAL. REPORTE DE LA DEFENSA CIVIL.</t>
  </si>
  <si>
    <t>DESBORDAMIENTO RIO MAGDALENA, BARRIOS EL DORADO, ARENAL, CARDALES. REPORTE DE DEFENSA CIVIL</t>
  </si>
  <si>
    <t>DESBORDAMIENTO RIO MAGDALENA. VEREDACURUMUPA, CORREGIMIENTOS PATURIA, BOCAS DEL ROSARIO Y SITIO NUEVO</t>
  </si>
  <si>
    <t>DESBORDAMIENTO RIO CHICAMOCHA AFECTADA ZONA RURAL. REPORTE DE DEFENSA CIVIL.</t>
  </si>
  <si>
    <t>VEREDAS TOCOGUA Y EL CEBADERO. DESBORDAMIENTO POR AGUAS LLUVIAS REPORTE DE LA DEFENSA CIVIL.</t>
  </si>
  <si>
    <t>CARMEN DE CARUPA</t>
  </si>
  <si>
    <t>VIA CARMEN DE CARUPA - UBATE KM 9 REPORTE DEL CREPAD</t>
  </si>
  <si>
    <t>CORREGIMIENTO SAN ANTONIO DEL PRADO. REPORTE DE LA DEFENSA CIVIL.</t>
  </si>
  <si>
    <t>TUCHIN</t>
  </si>
  <si>
    <t>DESBORDAIENTO ARROYO TUCHIN YN LA PALMA. REPORTE DE DEFENSA CIVIL.</t>
  </si>
  <si>
    <t>MONTERIA</t>
  </si>
  <si>
    <t>SAN CARLOS</t>
  </si>
  <si>
    <t>ACHI</t>
  </si>
  <si>
    <t>DESBORDAMIENTO RIO MANZANARES.  BARRIOS MALVINAS, SIMON BOLIVAR, LAS VEGAS, TAYRONA, IMALLUI, villa u , SALAMANCA, SANTA ANA, 8 DE FEBRERO, SIMON BOLIVAR, CHIMILA I, ESMERALDA, TAYRONA ALTA, TAYRONA BAJA, BULEVAR DEL RIO 1,2 Y 3, VILLA DEL CARMEN, MALVINAS, LAS VEGAS.. REPORTE DE LA DEFENSA CIVIL. REPORTE DEL CLOPAD.</t>
  </si>
  <si>
    <t>BARRIO JULIO FLORES. DESBORDAMIENTO ARROYO EL PUEBLO,INUNDACION POR FUERTES LLUVIAS. FALTA AFECTACION</t>
  </si>
  <si>
    <t>BARRIO EL PARAISO. REPORTE DEL CREPAD.</t>
  </si>
  <si>
    <t>CHARTA</t>
  </si>
  <si>
    <t>MATANZA</t>
  </si>
  <si>
    <t>EL CARMEN DE CHUCURI</t>
  </si>
  <si>
    <t>REPRESAMIENTO AGUAS LLUVIAS. SECTOR JUAN MINA. Barrios pinar del rio, la chinita, la cangrejera Y PALO ALTO</t>
  </si>
  <si>
    <t>CAIMALITO</t>
  </si>
  <si>
    <t>VIA BOQUERON</t>
  </si>
  <si>
    <t>DESBORDAMIENTO RIO BOGOTA</t>
  </si>
  <si>
    <t>SECTOR BUCHE</t>
  </si>
  <si>
    <t>VEREDA SAN ISIDRO, ALTO CARTAGENA, SAN FRANCISCO, CARTAGENA, CHAMBU, VILLA NUEVA.. REPORTE DE LA DEFENSA CIVIL</t>
  </si>
  <si>
    <t>DESBORDAMIENTO RIO SIMBOLA. VEREDA LA ESTRELLA</t>
  </si>
  <si>
    <t>DESBORDAMIENTO DEL CAÑO PARRADO VEREDA PACHAQUIARO. VEREDA CAÑONARE. REPORTE DE DEFENSA CIVIL</t>
  </si>
  <si>
    <t>SE APOYA CON MATEIRLAES DE CONSTRUCCION, TENIENDO EN CUENTA QUE A NIVEL MUNICIPAL SE ATENCIO LA ASISTENCIA HUMANITARIA.</t>
  </si>
  <si>
    <t>BARRIO LA VEGA. VEREDAS BUENAVISTA ALTA, BUENAVISTA ALEGRIA, DIAN, BUENAVISTA BAJA, CEDALIA, AGUA CLARA, VALLECITO, PLANADAS, TIERRAS BLANCAS, SAN JACINTO, GUASIMITO, SANTA ROSA, CAPOTE, MANGA, DINDE HHIJO DEL VALLE NEME, TASAJERAS, CABUYAL. APOYO DEL FNC EN MENAJE BASICO Y LAMINAS DE ZINC</t>
  </si>
  <si>
    <t>OCAÑA</t>
  </si>
  <si>
    <t>CHITAGA</t>
  </si>
  <si>
    <t>MUTISCUA</t>
  </si>
  <si>
    <t>SAN CALIXTO</t>
  </si>
  <si>
    <t>BARICHARA</t>
  </si>
  <si>
    <t>CABRERA</t>
  </si>
  <si>
    <t>MALAGA</t>
  </si>
  <si>
    <t>ULLOA</t>
  </si>
  <si>
    <t>ZARZAL</t>
  </si>
  <si>
    <t>SEQUIA</t>
  </si>
  <si>
    <t>LA GLORIA</t>
  </si>
  <si>
    <t>QUEBRADA ARROYO HONDO. REPORTE DEL CREPAD.</t>
  </si>
  <si>
    <t>DESBORDAMIENTO RIO UPIA. REPORTE DE DEFENSA CIVIL.</t>
  </si>
  <si>
    <t>PENDIENTE AFECTACION.</t>
  </si>
  <si>
    <t>DESBORDAMIENTO RIO CASANARE.</t>
  </si>
  <si>
    <t>AFECTADO LA ALCALDIA, ESTACION DE POLICIA, CASA DE LA CULTURA, HOGAR DEL NIÑO, INSTITUTO LLANO Y LA INSTITUCION EDUCATIVA JOSE JOAQUIN GARCIA. REPORTE DEL CREPAD TOLIMA.</t>
  </si>
  <si>
    <r>
      <t xml:space="preserve">MUNICIPIO CON RACIONAMIENTO DE AGUA Y/O DESABASTECIMIENTO POR PROBLEMAS DE SEQUI DEBIDO AL FENOMENO DE EL NIÑO. REPORTE DEL MAVDT. </t>
    </r>
    <r>
      <rPr>
        <b/>
        <sz val="9"/>
        <color indexed="8"/>
        <rFont val="Arial"/>
        <family val="2"/>
      </rPr>
      <t>LA ADMINISTRACIÓN MUNICIPAL ENVIARÁ AL VAS LA EVALUACIÓN DE CALIDAD DE AGUA PARA ESTABLECER SI ES ADECUADO TRASLADAR UNA PALNTA POTABILIZADORA PROTATIL, O PARA VER QUE TRATAMIENTO ALTERNATIVO SE PUEDE INCREMENTAR</t>
    </r>
  </si>
  <si>
    <r>
      <t>MUNICIPIO CON RACIONAMIENTO DE AGUA Y/O DESABASTECIMIENTO POR PROBLEMAS DE SEQUI DEBIDO AL FENOMENO DE EL NIÑO. REPORTE DEL MAVDT. A</t>
    </r>
    <r>
      <rPr>
        <b/>
        <sz val="9"/>
        <color indexed="8"/>
        <rFont val="Arial"/>
        <family val="2"/>
      </rPr>
      <t>BASTECIMIENTO CON CARROTANQUES A ZONA RURAL. SE APLICARAN POLÍTICAS DE USO EFICIENTE Y RECIONAL DEL AGUA PARA REDUCIR RIESGO DE DESABASTECIMIENTO.</t>
    </r>
  </si>
  <si>
    <t>MUNICIPIO CON RACIONAMIENTO DE AGUA Y/O DESABASTECIMIENTO POR PROBLEMAS DE SEQUIA DEBIDO AL FENOMENO DE EL NIÑO. REPORTE DEL MAVDT</t>
  </si>
  <si>
    <r>
      <t xml:space="preserve">MUNICIPIO CON RACIONAMIENTO DE AGUA Y/O DESABASTECIMIENTO POR PROBLEMAS DE SEQUI DEBIDO AL FENOMENO DE EL NIÑO. REPORTE DEL MAVDT. </t>
    </r>
    <r>
      <rPr>
        <b/>
        <sz val="9"/>
        <color indexed="8"/>
        <rFont val="Arial"/>
        <family val="2"/>
      </rPr>
      <t xml:space="preserve">ESTÁN PERFORANDO UN POZO QUE SUMINISTRARÁ 60 LTS/SG. LOS RECURSOS DISPONIBLES ESTAN EN EVALUACIÓN PARA CIERRE FINANCIERO, ENTRE PRESTADOR Y MUNICIPIO. </t>
    </r>
    <r>
      <rPr>
        <sz val="9"/>
        <color indexed="8"/>
        <rFont val="Arial"/>
        <family val="2"/>
      </rPr>
      <t xml:space="preserve"> SE CONSULTARÁ AL MUNICIPIO SOBRE EL AVANCE Y SI EXISTEN NECESIDADES PARA EL SUMINISTRO DESDE ESTA FUENTE, DURANTE LA PRIMERA SEMANA DE FEBRERO.</t>
    </r>
  </si>
  <si>
    <t>DESBORDAMIENTO RIO TOBA. PERDIDA DE ENSERES. REPORTE DEL CREPAD.</t>
  </si>
  <si>
    <t>JESUS MARIA</t>
  </si>
  <si>
    <t>CHIMA</t>
  </si>
  <si>
    <t>DAÑOS EN EL ACUEDUCTO</t>
  </si>
  <si>
    <t>129
216
267</t>
  </si>
  <si>
    <r>
      <t xml:space="preserve">MUNICIPIO CON RACIONAMIENTO DE AGUA Y/O DESABASTECIMIENTO POR PROBLEMAS DE SEQUIA DEBIDO AL FENOMENO DE EL NIÑO. REPORTE DEL MAVDT. SUMINISTRO 2 HORAS DE SERVICIO/DIA, SECTORIZADO A TRAVÉS DE CARROTANQUES. CAUDAL ACTUAL: 4 L/S, NORMALMENTE SE MANEJABA 21 L/S. SE RECIBE INFORME DEL CREPAD DE FECHA 19 DE FEBRERO  SOBRE PROBLEMAS DESABASTECIMIENTO  DE AGUA. </t>
    </r>
    <r>
      <rPr>
        <b/>
        <sz val="10"/>
        <color indexed="8"/>
        <rFont val="Arial"/>
        <family val="2"/>
      </rPr>
      <t xml:space="preserve">APOYO DEL DEPARTAMENTO PARA EL SUMINISTRO DE AGUA EN CARROTANQUE.  APOYO DEL FNC </t>
    </r>
    <r>
      <rPr>
        <b/>
        <sz val="9"/>
        <color indexed="8"/>
        <rFont val="Arial"/>
        <family val="2"/>
      </rPr>
      <t>MEDIANTE</t>
    </r>
    <r>
      <rPr>
        <b/>
        <u/>
        <sz val="9"/>
        <color indexed="8"/>
        <rFont val="Arial"/>
        <family val="2"/>
      </rPr>
      <t xml:space="preserve"> DOS GIROS DIRECTOS  EL 1 DE FEBRERO Y EL 29 DE ABRIL</t>
    </r>
    <r>
      <rPr>
        <b/>
        <sz val="9"/>
        <color indexed="8"/>
        <rFont val="Arial"/>
        <family val="2"/>
      </rPr>
      <t xml:space="preserve"> AL CLOPAD PARA LA CONTRATACION DE SERVICIO DE AGUA POTABLE DESDE SAN GIL A BARICHARA (3 VIAJES DIARIOS A RAZON DE $280.000 POR CUARENTA DIAS). VALOR DE CADA UNO DE LOS GIROS $33,600,000. </t>
    </r>
    <r>
      <rPr>
        <b/>
        <u/>
        <sz val="9"/>
        <color indexed="8"/>
        <rFont val="Arial"/>
        <family val="2"/>
      </rPr>
      <t xml:space="preserve">TERCER </t>
    </r>
    <r>
      <rPr>
        <b/>
        <sz val="9"/>
        <color indexed="8"/>
        <rFont val="Arial"/>
        <family val="2"/>
      </rPr>
      <t>GIRO DIRECTO POR VALOR DE 191,187,981 PARA LA CONSTRUCCION DE OBRAS COMPLEMENTARIAS PARA LA ADECUACION Y OPTIMIZACION DEL POZO PROFUNDO DEL ACUEDUCTO URBANO DE BARICHARA.</t>
    </r>
  </si>
  <si>
    <t>2
2
4</t>
  </si>
  <si>
    <t>GAMARRA</t>
  </si>
  <si>
    <t>SE APOYA TENIENDO EN CUENTA COMPROMISO ADQUIRIDO CON ANTERIORIDAD PARA APOYAR EL MEJORAMIENTO DE LAS VIVIENDAS AFETCADAS POR TEMPORADA INVERNAL.</t>
  </si>
  <si>
    <t>APOYO DEL FNC MEDIANTE GIRO DIRECTO AL CLOPAD PARA EL MEJORAMIENTO DE 72 VIVIENDAS AFECTADAS POR LA CRECIENTE DEL RIO MAGDALENALO CUAL CAUSO DAÑOS EN EL BARRIO EL CABLE. POR VALOR DE $220.484,855.</t>
  </si>
  <si>
    <t>VEREDAS ANGOSTURAS Y ARCINIEGAS. FELIX OCTAVIO PARRA PINEDA 3132843374</t>
  </si>
  <si>
    <t>PIAMONTE</t>
  </si>
  <si>
    <t>CORREGIMIENTO EL GUAMO. REPORTE DE LA DEFENSA CIVIL.</t>
  </si>
  <si>
    <t>356
205</t>
  </si>
  <si>
    <t>CAICEDONIA</t>
  </si>
  <si>
    <t>APOYO MEDIANTE GIRO DIRECTO CON CARGO EL PROGRAMA DE BANCO DE MATERIALES PARA LA REPARACION DE 30 VIVIENDAS RURALES AFECTADAS POR LA TEMPORADA INVERNAL 2008-2009..</t>
  </si>
  <si>
    <t>SE APOYA COMO COMPROMISO DE LA TEMPORADA INVERNAL 2008-2009. RESOLUCION DE CALAMIDAD NO, 10 DEL 18 DE FEBRERO DE 2009.</t>
  </si>
  <si>
    <t>SE APOYA TENIENDO EN CUENTA LA NECESIDAD DE CONTRIBUIR CON ACCIONES DE EMERGENCIA PARA EL CONTROL DE INUNDACIONES</t>
  </si>
  <si>
    <t>SAN ANDRES DE CUERQUIA</t>
  </si>
  <si>
    <t>VEREDAS SAN MIGUEL Y SANTA ANA DE GERTRUDIZ, REPORTE DEL CREPAD.</t>
  </si>
  <si>
    <t>CARACOLI</t>
  </si>
  <si>
    <t>BARRIO EL SOL. REPORTE DEL CREPAD</t>
  </si>
  <si>
    <t>YONDO</t>
  </si>
  <si>
    <t>NAUFRAGIO DE LANCHA EN EL RIO CAUCA, AFECTADAS PERSONAS QUE ESTABAN SIENDO EVACUADS POR INUNDACION, REPORTE DEL CREPAD.</t>
  </si>
  <si>
    <t>HERRAN</t>
  </si>
  <si>
    <t>CRAVO NORTE</t>
  </si>
  <si>
    <t>TUTA</t>
  </si>
  <si>
    <t xml:space="preserve">DESBORDAMIENTO RIOS TUTA Y CHICAMOCHA. </t>
  </si>
  <si>
    <t>VEREDAS LEONERA, CUNUCAS, SAN FRANCISCO, CENTRO ABAJO, TUENECA ABAJO Y RAIBA REPORTE DEL CREPAD.</t>
  </si>
  <si>
    <t>VEREDA COSCUEZ Y SANTA BARBARA. EPORTE DEL CREPAD.</t>
  </si>
  <si>
    <t>CASCO URBANO, VEREDAS COMBUCO Y ALTOSANO</t>
  </si>
  <si>
    <t>VEREDA GOTUA, TINTAL,MOMBITA, LLANO. MONJAS Y CARTAGENA. REPORTE DEL CREPAD.</t>
  </si>
  <si>
    <t>SE APOYA TENIENDO EN CUENTA LA MAGNITUD DE LA EMERGENICA</t>
  </si>
  <si>
    <t>TIMANA</t>
  </si>
  <si>
    <t>ISNOS</t>
  </si>
  <si>
    <t>VEREDA TEJAR Y BARRIO CENTRO. AFECTADO CENTRO EDUCATVO DE SANTA LUCIA. REPORTE DEL CREPAD</t>
  </si>
  <si>
    <t>VEREDA LA MURALLA AFECTADA ESCUELA LA MURALLA. REPORTE DEL CREPAD.</t>
  </si>
  <si>
    <t>BARRIO LOS ALMENDROS, CENTRO, ALFONSO LOPEZ Y ATALAYA. REPORTE DEL CREPAD.</t>
  </si>
  <si>
    <t>BARRIO LA CHINITA. REPROTE DEL CLOPAD.</t>
  </si>
  <si>
    <t>SOCORRO</t>
  </si>
  <si>
    <t>COLEGIO SAN FRANCISCO JAVIER INCENDIO DEBIDO A CORTO CIRCUITO. REPORTE DEL CLOPAD.</t>
  </si>
  <si>
    <t>CORREGIMIENTO TIERRA ADENTRO. DESTRUIDA OFICINA DE TELECOM Y PABELLON DE CARNES. REPORTE DEL CREPAD. SE SOLICITO INFORMACION AL CREPAD EN RELACION CON NECESIDAD DE APOYO.</t>
  </si>
  <si>
    <r>
      <t>MUNICIPIO CON RACIONAMIENTO DE AGUA Y/O DESABASTECIMIENTO POR PROBLEMAS DE SEQUI DEBIDO AL FENOMENO DE EL NIÑO. REPORTE DEL MAVDT. S</t>
    </r>
    <r>
      <rPr>
        <b/>
        <sz val="10"/>
        <color indexed="8"/>
        <rFont val="Arial"/>
        <family val="2"/>
      </rPr>
      <t>E PRESENTARÁ EL PRESUPUESTO AJUSTADO Y LAS CARACTERÍSTICAS DE LA TUBERÍA PARA EJECUTAR LA OBRA EN EL MARCO DEL PDA. LA DGR ENTREGO 15 TANQUES DE 3000 LITROS, DE LOS QUE ESTABAN EN SUAREZ CAUCA</t>
    </r>
  </si>
  <si>
    <t>QUEBRADA BARRUETOS.REPORTE DE CREPAD</t>
  </si>
  <si>
    <t>SAN GIL</t>
  </si>
  <si>
    <t>CRECIENTE RIO FONCE</t>
  </si>
  <si>
    <t>DEBORDAMIENTO RIO ARIARI Y CAÑO IRIQUE Y LA PIEDRA. 16 BARRIOS AFECTADOS</t>
  </si>
  <si>
    <t xml:space="preserve">DESBORDAMIENTO RIO GUEJAR. </t>
  </si>
  <si>
    <t>INZA</t>
  </si>
  <si>
    <t>SE RECIBE COPIA DEL INFORME DEL CLOPAD AL CREPAD, SOLICITANDO APOYO COMPLEMENTARIO.</t>
  </si>
  <si>
    <t>COLAPSO DE TRIBUNA. REPORTE DE LA DEFENSA CIVIL.</t>
  </si>
  <si>
    <t>FREDONIA</t>
  </si>
  <si>
    <t>DESBORDAMIENTO RIO LA CRUZ. CASCO URBANO, SECTOR LA PLANTA, CORREGIMIENTO EL TIGRE REPORTE DEL CREPAD.</t>
  </si>
  <si>
    <t>YALI</t>
  </si>
  <si>
    <t>DESBORDAMIENTO RIO VOLCAN. VEREDA LA CABAÑA. REPORTE DEL CREPAD.</t>
  </si>
  <si>
    <t>BARRIO COLINA CAMPESTRE. REPORTE DE LA DEFENSA CIVIL.</t>
  </si>
  <si>
    <t>BARRIO SAN JOSE DE BAVARIA SECTOR QUINTAS DE SANTA BARBARA</t>
  </si>
  <si>
    <t>REPORTE DEL CREPAD MAGDALENA, DEBIDO A LA REDUCCION DEL CAUCE DEL RIO MAGDALENA, SE HAN AGRIETADO LAS VIVIENDAS, SE AFECTO UN MURO DE CONTENCION Y AVERIAS EN EL MUEELE DE CARGA, ADEMAS SE ENCUENTRAN EN ALTO RIESGO DE COLAPSO 100 VIVIENDAS EN LOS BARRIOS COLINA, CESAR Y LA BAVARIA., CREPAD ESTARA MUY ATENTA A LA EVOLUCION DE DICHA SITUACION DE EMERGENCIA.</t>
  </si>
  <si>
    <t>CESAR</t>
  </si>
  <si>
    <t>PAILITAS</t>
  </si>
  <si>
    <t>INFORME DE INGEOMINAS, EVENTO DE 3,1 GRADOS CON PROFUNDIDAD DE 100 KMS, SIN CONSECUENCIAS.</t>
  </si>
  <si>
    <t>NARIÑO</t>
  </si>
  <si>
    <t>GIRARDOT</t>
  </si>
  <si>
    <t>BARRIOS CENTENARIO, PESEBRE, LAS ACACIAS, AGUA BLANCA, VILLA ANFIS. REPORTE DEL CREPAD Y DEL SOCORRO NACIONAL</t>
  </si>
  <si>
    <t>TINJACA</t>
  </si>
  <si>
    <t>RAQUIRA</t>
  </si>
  <si>
    <t>MUNICIPIO CON RACIONAMIENTO DE AGUA Y/O DESABASTECIMIENTO POR PROBLEMAS DE SEQUIA DEBIDO AL FENOMENO DE EL NIÑO. REPORTE DEL MAVDT. EL MUNICIPIO ACTUALIZARÁ LOS PRECIOS PARA LA CONSTRUCCIÓN DE 400 METROS DE CONDUCCIÓN Y CAPTACIÓN Y ENTREGARÁ AL GESTOR DEL PDA, PARA SU FINANCIACIÓN. IGUALMENTE HARÁN UN NUEVO ANÁLISIS DE CALIDAD DE AGUA DE LA FUENTE QUE PRESENTA MALA CALIDAD PARA ANALIZAR ALTERNATIVAS DE TRATAMIENTO. SE PROGRAMÓ VISITA TÉCNICA POR PARTE DEL GESTOR PARA EL DÍA 5 DE FEBRERO.</t>
  </si>
  <si>
    <t>SECTORES SAN JOSE Y MAJAYURA. INUNDACION POR FUERTES LLUVIAS</t>
  </si>
  <si>
    <t>FUERTES LLUVIAS.</t>
  </si>
  <si>
    <t>BARRIOS COLOMBIATON Y FLOR DEL CAMPO</t>
  </si>
  <si>
    <t>GIRON</t>
  </si>
  <si>
    <t>BARRIOS CONVIVIR, GALAN, EL TUNEL, LA INMACULADA.</t>
  </si>
  <si>
    <t>89
139</t>
  </si>
  <si>
    <t>SECTORES LA PUNTA, AVENIDA EL CABLE LAS PALMERAS, SAN VICENTE, EMENTERIO, PARQUE CENTRAL, PASTRANA, VILLANUEVA, LA PLAZUELA, SAN MARTIN, EL TEJAR, Y CALLE REAL, VEREDAS DAMAS BAJAS, CRISTALINA, EL GUALI, . APOYO DEL FNC EN MENAJE BASICO Y LAMINAS DE ZINC</t>
  </si>
  <si>
    <t>BARRIOS BELLA VISTA, NUEVO PLAN, VERACRUZ, TOKIO, COMUNA VILLA SANTANA, SECTOR CARACOL Y LA CURVA</t>
  </si>
  <si>
    <t>DOSQUEBRADAS</t>
  </si>
  <si>
    <t>BARRIOS CAMPESTRE C Y CAMPESTRE D, LA MACARENA, EL ENSUEÑO, LIMONAR, SANTA ISABEL, VALER, CALLE DE LOS AROMAS, COLEGIO JESUS MAESTRO. REPORTE DE LA DEFENSA CIVIL</t>
  </si>
  <si>
    <t>CORREGIMIENTO DE BILBAO. INFORMACION PRELIMINAR DEL CREPAD.</t>
  </si>
  <si>
    <t>SEGOVIA</t>
  </si>
  <si>
    <t>MINA LA FRONTINO GOLD, EXPLOSION . RESCATADOS 34 MINEROS CON VIDA. REPORTE DEL CREPAD.</t>
  </si>
  <si>
    <t>NECOCLI</t>
  </si>
  <si>
    <t>TURBO</t>
  </si>
  <si>
    <t>VIA BOGOTA VILLAVICENCIO KM 40 AL 46. VEREDA QUINAMI. VIA CERRADA.</t>
  </si>
  <si>
    <t>MINA DE ORO . REPORTE DE LA DEFENSA CIVIL.</t>
  </si>
  <si>
    <t>CUMARAL</t>
  </si>
  <si>
    <t>DESBORDAMIENTO RIO GUACAVIA. INSPECCION GUACAVIA.  REPORTE DE LA DEFENSA CIVIL.</t>
  </si>
  <si>
    <t>DESBORDAMEINTO RIO GUAITIQUIA.  PARCELAS DEL PROGRESO. REPORTE DE LA DEFENSA CIVIL. REPORTE PRELIMINAR.</t>
  </si>
  <si>
    <t>DESBORDAMIENTO RIO GUAYURIBA. SECTOR BOCAS DE GUAYURIBA. REPORTE DE LA DEFENSA CIVIL.</t>
  </si>
  <si>
    <t>BARRIO EL POBLADO. REPORTE DEL CLOPAD.</t>
  </si>
  <si>
    <t>REPORTE DEL CREPAD. VEREDA SABANALARGA.</t>
  </si>
  <si>
    <t>SAN JUANITO</t>
  </si>
  <si>
    <t>REPRESAMIENTO DE LAS QUEBRADAS LA MORENA EL RUCHICO Y RIO NEGRO. VIA EL CALVARIO SECTOR CAÑOS NEGROS Y SECTOR LA UNION REPORTE DE L CREPAD.</t>
  </si>
  <si>
    <t>BODEGAS DE CARVAL. CONTROLADO. REPORTE DEL CLOPAD.</t>
  </si>
  <si>
    <r>
      <t xml:space="preserve">MUNICIPIO CON RACIONAMIENTO DE AGUA Y/O DESABASTECIMIENTO POR PROBLEMAS DE SEQUIA DEBIDO AL FENOMENO DE EL NIÑO. REPORTE DEL MAVDT. </t>
    </r>
    <r>
      <rPr>
        <b/>
        <sz val="10"/>
        <color indexed="8"/>
        <rFont val="Arial"/>
        <family val="2"/>
      </rPr>
      <t>ACTUALMENTE SE ESTA SUMINISTRANDO AGUA EN CARRO TANQUES, EN COORDINACIÓN DEL CREPAD.</t>
    </r>
    <r>
      <rPr>
        <sz val="9"/>
        <color indexed="8"/>
        <rFont val="Arial"/>
        <family val="2"/>
      </rPr>
      <t xml:space="preserve">
</t>
    </r>
  </si>
  <si>
    <t>BARRIO VILLA JIMENEZ EL CERRITO, KM 2 VIA PLANETA RICA, LOS CORRALES, LOS ALPES. SAN NICOLAS VEREDE COROZA. ASUAS LLUVIAS. REPORETE DE LA DEFENSA CIVIL EN ATENCIÓN AL INFORME RENDIDO POR EL COMITÉ LOCAL QUIEN MANIFIESTAN QUE DEBIDO A LA FUERTES LLUVIAS SE PRESENTARON EMERGENCIAS - INUNDACIONES  SECTOR URBANO Y RURAL  DE LA POBLACIÓN EN LOS BARRIOS: (8 )VILLA JIMÉNEZ, LOS NOGALES, NUEVA ESPERANZA, CERRITO, CAMILO TORRES, SABANAL, POBLADO, VILLA PAZ.  PARA UN TOTAL DE 1135 FAMILIAS AFECTADAS. BARRIOS EL CERRO, VILLA FATIMA, VILLA JIMENEZ, ALFONSO LOPEZ, LETICIA Y EL CERRITO.  REPORTE DEL CLOPAD Y CREPAD.</t>
  </si>
  <si>
    <t>20858
21328</t>
  </si>
  <si>
    <t>SACOS EN CORMAGDALENA 15000 EN BARRANQUILLA Y 15000 EN BARRANCABERMEJA.</t>
  </si>
  <si>
    <t>22208
22705
22764</t>
  </si>
  <si>
    <t>BARRIOS HENEQUEN, LOS COMUNEROS, SAN JOSE DE LOS CAMPANOS, CORREGIMEINTO ARROYO GRANDE. REPROTE DEL CLOPAD.</t>
  </si>
  <si>
    <t>DESLIZAMIENTO POR ACCION DEL RIO EGIDO, VEREDA LA PAILA BARRIO LA MARIA Y CALLE 17. REPORTE DEL CLOPAD</t>
  </si>
  <si>
    <t>SE APOYA CON SACOS DE POLIPROPILENO</t>
  </si>
  <si>
    <t>LORICA/MONTERIA</t>
  </si>
  <si>
    <t>CORREGIMIENTO LA BOQUILLA, SECTOR VILLA GLORIA, REPORTE DEL CLOPAD.</t>
  </si>
  <si>
    <t>E APOYA DE MANERA GLOBAL AL DEPARTAMENTO.</t>
  </si>
  <si>
    <t>SE APOYA DE MANERA GLOBAL AL DEPARTAMENTO</t>
  </si>
  <si>
    <t>SE APOYA CON 200.000 SACOS DE POLIPROPILENO</t>
  </si>
  <si>
    <t>VIA VILLANUEVA LA MONTAÑA, VILLA NUEVA OROSUR, VILLANUEVA EL MORRO, VILLANUEVA LA SELVA, VILLANIEVA - LOS ZANJONES, VILLANUEVA - LA SARITA. REPORTE DEL CREPAD. NO CONCRETAN SOLICITUD FRENTE A REHABILITACION DE VIAS.</t>
  </si>
  <si>
    <t>REPORTE DEL CREPAD VALLE DEL CAUCA, A RAÌZ DEL SISMO PRESENTADO EN EL MUNICIPIO DE ARGELIA, TUVO CONSECUENCIAS EN EL MUNICIPIO DE TORO, EN LA CUAL RESULTO AFECTADA LA IGLESIA Y UN COMEDOR INFANTIL EN EL CORREGIMIENTO SAN FRANCISCO.</t>
  </si>
  <si>
    <t>EL CHARCO</t>
  </si>
  <si>
    <r>
      <t xml:space="preserve">MUNICIPIO CON RACIONAMIENTO DE AGUA Y/O DESABASTECIMIENTO POR PROBLEMAS DE SEQUI DEBIDO AL FENOMENO DE EL NIÑO. REPORTE DEL MAVDT. </t>
    </r>
    <r>
      <rPr>
        <b/>
        <sz val="10"/>
        <color indexed="8"/>
        <rFont val="Arial"/>
        <family val="2"/>
      </rPr>
      <t>SUMINISTRO DE AGUA A TRAVÉS DE CARROTANQUE CON EL APOYO DEL CREPAD</t>
    </r>
  </si>
  <si>
    <t>CONTAMINACION</t>
  </si>
  <si>
    <t>CATRE</t>
  </si>
  <si>
    <t>,,,,,</t>
  </si>
  <si>
    <t>POCILLO</t>
  </si>
  <si>
    <t>SABANAS</t>
  </si>
  <si>
    <t>DESLIZAMIENTO</t>
  </si>
  <si>
    <t>FECHA TRAMITE ADTIVO</t>
  </si>
  <si>
    <t>CUCHARA ACERO</t>
  </si>
  <si>
    <t>CUCHARA MADERA</t>
  </si>
  <si>
    <t>COMENTARIOS</t>
  </si>
  <si>
    <t>MUNICIPIO</t>
  </si>
  <si>
    <t>EVENTO</t>
  </si>
  <si>
    <t>PERSONAS</t>
  </si>
  <si>
    <t>FAMILIAS</t>
  </si>
  <si>
    <t>MUNICIPIO CON RACIONAMIENTO DE AGUA Y/O DESABASTECIMIENTO POR PROBLEMAS DE SEQUIA DEBIDO AL FENOMENO DE EL NIÑO. REPORTE DEL MAVDT. SE PRACTICARÁ VISITA POR PARTE DEL GESTOR  PARA EVALUAR  LA SITUACIÓN.</t>
  </si>
  <si>
    <t>SECTOR LA TULUA RESTAURANTE LA MANZANA</t>
  </si>
  <si>
    <t xml:space="preserve">REPORTE DE LC ACRUZ ROJA. DESBORDAMIENTO RIO CHIGORODO VEREDAS LIRIA Y GUAPALEON. </t>
  </si>
  <si>
    <t>MUNICIPIO CON RACIONAMIENTO DE AGUA Y/O DESABASTECIMIENTO POR PROBLEMAS DE SEQUI DEBIDO AL FENOMENO DE EL NIÑO. REPORTE DEL MAVDT. SE ESTÁ EFECTUANDO PRUEBAS EN EL POZO PROFUNDO</t>
  </si>
  <si>
    <t>MEDIO SAN JUAN</t>
  </si>
  <si>
    <t>GUAVIARE</t>
  </si>
  <si>
    <t>SAN JOSE DEL GUAVIARE</t>
  </si>
  <si>
    <t>SE APOYA TENIENDO EN CUENTA LOS INCONVENIENTES LOGISTICOSPARA LA ATENCION DE SITUACIONES DE EMERGENCIA EN EL MUNICIPIO</t>
  </si>
  <si>
    <t>CORREGIMIENTO SAN ANTONIO DE LOS CABALLEROS..CAIDA DE ARBOLES.</t>
  </si>
  <si>
    <t>SAN MARCOS</t>
  </si>
  <si>
    <t>SE APOYA TENIENDO EN CUENTA LOS PROBLEMAS PRESENTADOS AL SECTOR AGROPECUARIO</t>
  </si>
  <si>
    <t>SE APOYA EVALUANDO EL NUMERO DE PERSONAS AFECTADAS Y LA CONTRAPARTIDA DEL CLOPAD</t>
  </si>
  <si>
    <t>VILLAVICENCIO</t>
  </si>
  <si>
    <t>CORREGIMIENTO PIPIRAL. REPORTE DE LA DEFENSA CIVIL VIA RADIO</t>
  </si>
  <si>
    <t>MEDIO ATRATO</t>
  </si>
  <si>
    <t>AVALANCHA</t>
  </si>
  <si>
    <t>AVALANCHA QUEBRADA CUNE. REPORTE PRELIMINAR DEL CREPAD.</t>
  </si>
  <si>
    <t xml:space="preserve">REPORTE PRELIMINAR DEL CREPAD. CABECERA MUNICIPAL SE DECLARA EMERGENCIA POR PARTE DEL CLOPAD. </t>
  </si>
  <si>
    <t>MUNICIPIO CON RACIONAMIENTO DE AGUA Y/O DESABASTECIMIENTO POR PROBLEMAS DE SEQUI DEBIDO AL FENOMENO DE EL NIÑO. REPORTE DEL MAVDT. ES NECESARIO APOYO TÉCNICO, EL CUAL SE PRESTARÁ POR PARTE DEL PDA.Y GESTIÓN CON SNPAD . SE PRACTICARÁ VISITA POR PARTE DEL GESTOR  PARA EVALUAR CON MÁS DETALLE LA SITUACIÓN.</t>
  </si>
  <si>
    <t>MUNICIPIO CON RACIONAMIENTO DE AGUA Y/O DESABASTECIMIENTO POR PROBLEMAS DE SEQUI DEBIDO AL FENOMENO DE EL NIÑO. REPORTE DEL MAVDT. CON BASE EN RESULTADOS DE CONSULTA A MUNICIPIO, SE PRACTICARÁ VISITA POR PARTE DEL GESTOR  PARA EVALUAR  LA SITUACIÓN</t>
  </si>
  <si>
    <r>
      <t xml:space="preserve">DESBORDAMIENTO QUEBRADA HIGUA. . REPORTE DEL CREPAD. </t>
    </r>
    <r>
      <rPr>
        <b/>
        <sz val="9"/>
        <rFont val="Arial"/>
        <family val="2"/>
      </rPr>
      <t xml:space="preserve">EL VALOR DE OTROS 36 ROLLOS DE MANGUERA DE 2", 2500 METROS DE MANGUERA DE 1", 12 ROLLOS DE MANGUERA DE 1/2", 300 BULTOS DE CEMENTO, 600 TEJAS DE ZINC, 2000 METROS DE ALAMBRE DE PUA. </t>
    </r>
  </si>
  <si>
    <t>SE BRINDA APOYO COMPLEMENTARIO DEBIDO A LA EMERGENCIA OCURRIDA EL 11 DE ABRIL DE 2009 TENIENDO EN CUENTA LA NECESIDAD DE ADELANTAR UN PROCESO DE MEJORAMIENTO DE VIVIENDA.</t>
  </si>
  <si>
    <t>EMERGENCIA OCURRIDA POR VENDAVAL EL   11 ABRIL DE 2009.</t>
  </si>
  <si>
    <t>351 TEJA DE ZINCC DE 305, 18106 AMARRES, 2000 TEJA DE AC NO. 6, 2000 TEJA DE AC NO. 4, 1000 CABALLETES.</t>
  </si>
  <si>
    <t>AQUITANIA</t>
  </si>
  <si>
    <t>TOTA</t>
  </si>
  <si>
    <t>CHIQUINQUIRA</t>
  </si>
  <si>
    <t>CHISCAS</t>
  </si>
  <si>
    <t>COMBITA</t>
  </si>
  <si>
    <t>CORRALES</t>
  </si>
  <si>
    <t>CUCAITA</t>
  </si>
  <si>
    <t>DUITAMA</t>
  </si>
  <si>
    <t>FIRAVITOBA</t>
  </si>
  <si>
    <t>GACHANTIVA</t>
  </si>
  <si>
    <t>GARAGOA</t>
  </si>
  <si>
    <t>GUACAMAYAS</t>
  </si>
  <si>
    <t>COLAPSO</t>
  </si>
  <si>
    <t>COLAPSO DE MINA DE CARBON . REPORTE DEL MINISTERIO DE LA PROTECCION SOCIAL.</t>
  </si>
  <si>
    <t>GUATEQUE</t>
  </si>
  <si>
    <t>LA CAPILLA</t>
  </si>
  <si>
    <t>JERICO</t>
  </si>
  <si>
    <t>MONGUI</t>
  </si>
  <si>
    <t>MIRAFLORES</t>
  </si>
  <si>
    <t>LA VICTORIA</t>
  </si>
  <si>
    <t>MOTAVITA</t>
  </si>
  <si>
    <t>NOBSA</t>
  </si>
  <si>
    <t>OICATA</t>
  </si>
  <si>
    <t>PAIPA</t>
  </si>
  <si>
    <t>PUERTO BOYACA</t>
  </si>
  <si>
    <t>QUIPAMA</t>
  </si>
  <si>
    <t>SABOYA</t>
  </si>
  <si>
    <t>SAN MIGUEL DE SEMA</t>
  </si>
  <si>
    <t>SUTATENZA</t>
  </si>
  <si>
    <t>TIPACOQUE</t>
  </si>
  <si>
    <t>TOCA</t>
  </si>
  <si>
    <t>BUENAVISTA</t>
  </si>
  <si>
    <t>SUCRE</t>
  </si>
  <si>
    <t>SAMPUES</t>
  </si>
  <si>
    <t>QUIBDO</t>
  </si>
  <si>
    <t>ANAPOIMA</t>
  </si>
  <si>
    <t>BITUIMA</t>
  </si>
  <si>
    <t>COGUA</t>
  </si>
  <si>
    <t>COTA</t>
  </si>
  <si>
    <t>EL COLEGIO</t>
  </si>
  <si>
    <t>FUQUENE</t>
  </si>
  <si>
    <t>GRANADA</t>
  </si>
  <si>
    <t>GACHALA</t>
  </si>
  <si>
    <t>GUACHETA</t>
  </si>
  <si>
    <t>GUASCA</t>
  </si>
  <si>
    <t>GUATAVITA</t>
  </si>
  <si>
    <t>LA MESA</t>
  </si>
  <si>
    <t>LA PALMA</t>
  </si>
  <si>
    <t>LA PEÑA</t>
  </si>
  <si>
    <t>LENGUAZAQUE</t>
  </si>
  <si>
    <t>ORTEGA</t>
  </si>
  <si>
    <t>DESABORDAMIENTO QUEBRADA BETUAN. OENDIENTE AFECTACION</t>
  </si>
  <si>
    <t>DESLIZAMIENTO SOBRE MINA DE ORO ARTESANAL LLAMANDA EL CHOCO. PENDIENTE INFORMACION.</t>
  </si>
  <si>
    <t>MAJAGUAL</t>
  </si>
  <si>
    <t>SAN ONOFRE</t>
  </si>
  <si>
    <t>GALERAS</t>
  </si>
  <si>
    <t>CHALAN</t>
  </si>
  <si>
    <t>LOS PALMITOS</t>
  </si>
  <si>
    <t>CORREGIMIENTO LA BARBARA Y EL NUEVO INDIO</t>
  </si>
  <si>
    <t>CORREGIMIENTO EL HIGUERON, PAJOPNAL, PALO ALTO Y PAJONALITO</t>
  </si>
  <si>
    <t>INFORME DE LA D.C.C, AFECTADO EL BARRIO SAN GREGORIO.</t>
  </si>
  <si>
    <t>ANTIOQUIA</t>
  </si>
  <si>
    <t>MURINDO</t>
  </si>
  <si>
    <t>MANZANARES</t>
  </si>
  <si>
    <t>APOYO DEL FNC MEDIANTE EL SUMINISTRO DE 80 BOMBAS DE ESPALDA, 80 BATEFUEGOS, 50 MACHETES CON FUNDA, 30 CANTIMPLIRASM 80 PULASKI Y 50 HACHAS</t>
  </si>
  <si>
    <t>30
35</t>
  </si>
  <si>
    <t>APOYO DEL FNC MEDIANTE EL SUMINISTRO DE HERRAMIENTA ASI : 20 BOMBAS DE ESPALDA, 30 BATEFUEGOS 50 CASCOS, 50 MONOGAFAS, 50 PARES DE GUANTES, 20 MACHETES CON FUNDA, 50 CANTIMPLORAS, 50 PARES DE BOTAS, 20 AZADONES, 30 PALAS PLANAS, 50 SILBATOS, 30 LINTERNAS MANOS LIBRES, 3 GUADAÑADORAS., 500 RACIONES DE CAMPAÑA Y 1000 SOBRES HIDRATANTES</t>
  </si>
  <si>
    <t>APOYO CON 300 RACIONES DE CAMPAÑA, 600 SOBRES HIDRATANTES  Y HERRAMIENTA ASI: 50 BOMBAS DE ESPALDA, 80 RASTRILLOS, 80 PULASKI, 80 BATEFUEGOS, 80 MACHETES CON FUNDA, 80 AZADONES, 80 PALAS PLANAS.</t>
  </si>
  <si>
    <t>MILAN</t>
  </si>
  <si>
    <t>DESBORDAMIENTO RIO ORTEUAZA REPORTE DEL CREPAD.</t>
  </si>
  <si>
    <t xml:space="preserve">KILOMETRO 7 VIA AL CORREGIMIENTO LAS PIEDRAS. </t>
  </si>
  <si>
    <t>COLAPSO DE MINA DE ORO LLAMADA SANTA CRUZ.</t>
  </si>
  <si>
    <t>PORE</t>
  </si>
  <si>
    <t>DESBORDAMIENTO RIO PORE EN VEREDAS LA LIMITE Y EL BANCO. REPORTE DEL CREPAD</t>
  </si>
  <si>
    <t>MANI</t>
  </si>
  <si>
    <t>DESBORDAMIENTO RIO META VEREDDAS LA POLLATA Y EL LIMONAR.  REPORTE DEL CREPAD</t>
  </si>
  <si>
    <t>YOPAL</t>
  </si>
  <si>
    <t>CRECIENTE QUEBRADA PITIMENA EN LA VEREDA PITIMENA. REPORTE DEL CREPAD</t>
  </si>
  <si>
    <t>DESBORDAMIENTO RIO CASANARE. REPORTE DEL CREPAD.</t>
  </si>
  <si>
    <t>PROVIDENCIA</t>
  </si>
  <si>
    <t>BARRIO CIENAGA CALLE 9 CARRERA 13 REMOCION EN MASA POR FUERTES LLUVIAS</t>
  </si>
  <si>
    <t>AFECTADAS LAS COMUNIDADES DE CHIMARE. CARDON, AREMA, POPORTIN, CASIPACHI, SAN MARTIN, CASUCHI, PARILLEN</t>
  </si>
  <si>
    <t>INFORME DEL CREPAD VALLE Y CLOPAD OBANDO, AFECTADOS NUMEROSOS TECHOS DE VIVIENDAS Y DEL CUERPO DE BOMBEROS (APROBADO APOYO DE 300 MERCADOS, 500 TEJAS DE ZINC, 300 COLCHONETAS, 300 SOBRECAMAS Y 200 KIT. DE ASEO, COMPRADOS A CRISTALERIA LA MEJOR - CALI).</t>
  </si>
  <si>
    <t>GUAJIRA</t>
  </si>
  <si>
    <t>MANAURE</t>
  </si>
  <si>
    <t>CHOCO</t>
  </si>
  <si>
    <t>BAHIA SOLANO</t>
  </si>
  <si>
    <t>SANTANDER</t>
  </si>
  <si>
    <t>LOS SANTOS</t>
  </si>
  <si>
    <t>INFORME DE INGEOMINAS, EVENTO DE 4,4 GRADOSCON PROFUNDIDAD DE 144 KMS, SIN CONSECUENCIAS</t>
  </si>
  <si>
    <t>, SIN CONSECUENCIAS</t>
  </si>
  <si>
    <t>INFORME DE INGEOMINAS, EVENTO DE 3.3 GRADOS CON PROFUNDIDAD DE 47,3 KMS EPICENTRO CABECERA MPAL MANAURE, SIN CONSECUENCIAS.</t>
  </si>
  <si>
    <t>ARGELIA</t>
  </si>
  <si>
    <t>PEREIRA</t>
  </si>
  <si>
    <t>AFECTADO COLEGIO EN LA VEREDA TICUAQUITA. REPORTE DEL CREPAD.</t>
  </si>
  <si>
    <t>DESBORDAMIENTO RIO GUABAS, QUEBRADA VANEGAS Y LA ACEQUIA EL AVILA, CORREGIMIENTOS LA FLORESTA, COSTA RICA, SABALETA, LAS JUNTAS, VEREDAS BARBACOAS 2, LA CUESTA, EL GUABITO, BARRANCO BAJO, REPORTE DEL CLOPAD.</t>
  </si>
  <si>
    <t>PIOJO</t>
  </si>
  <si>
    <t>SECTOR KM 2 VIA A BARRANQUILLA.REPORTE DE LA DEFENSA CIVIL</t>
  </si>
  <si>
    <t>DESBORDAMIENTO DEL ARROYO SOCAVON CORREGIMIENTO HIBACHAR. REPROTE DE LA DEFENSA CIVIL</t>
  </si>
  <si>
    <t>LURUACO</t>
  </si>
  <si>
    <t>DESBORDAMIENTO LAGUNA DE LURUACO. BARRIOS LA UNION SAN FELIPE, CORREGIMIENTO TOCAGUA, REPORTE DELA DEFENSA CIVIL.</t>
  </si>
  <si>
    <t>BARRIOS LA COLINA, LA LIBERTAD, NUEVA GRANADA, BRISAS BAJO, INDEPNENCIA, BRISAS DE VENADO. REPORTE DEL CREPAD.</t>
  </si>
  <si>
    <t>DESBORDAMIENTO RIO ZULIA. REPORTE DEL CREPAD.</t>
  </si>
  <si>
    <t>SALAZAR</t>
  </si>
  <si>
    <t>AFECTADA VIA PAMPLONA - MALAGA. REPORTE DEL CREPAD</t>
  </si>
  <si>
    <t>DESBORDAMIENTO RIO SARDINATA. REPORTE DEL CREPAD.</t>
  </si>
  <si>
    <t>GRAMALOTE</t>
  </si>
  <si>
    <t>AFECTADA VIA GRAMALOTE - LOURDES. REPORTE DEL CREPAD.</t>
  </si>
  <si>
    <t>BARRIO SAN FRANCISCO DE ASIS. REPORTE DE LA DEFENSA CIVIL.</t>
  </si>
  <si>
    <t>DESBORDAMIENTO RIO MAGDALENA. REPORTE DEL CREPAD.</t>
  </si>
  <si>
    <t>CRECIENTE SUBITA RIO MAPA. SECTOR LA MARINA. REPORTE DEL CREPAD.</t>
  </si>
  <si>
    <t xml:space="preserve">FUERTES LLUVIAS. SECTOR MANZANARES. REPORTE DEL CLOPAD. </t>
  </si>
  <si>
    <t>DESBORDAMIENTO QUEBRADA CAÑAS.,VEREDA CAPA ROSAL. REPORTE DEL CREPAD.</t>
  </si>
  <si>
    <t>VEREDA LA MESA. FINCA LA GOLONDRINA. REPORTE DEL CREPAD.</t>
  </si>
  <si>
    <t>VEREDA BELLO. FINCA LA RIVERA. REPORTE DEL CREPAD.</t>
  </si>
  <si>
    <t xml:space="preserve">VEREDA NARANJAL. AFECTADAS VIAS SAN MIGUEL - PUERTO TRIUNFO Y LOS PLANES - LOS MEDIOS. REPORTE DEL CREPAD. </t>
  </si>
  <si>
    <t>DESBORDAMIENTO QUEBRADA GUADALAJARA. REPORTE DEL CREPAD.</t>
  </si>
  <si>
    <t>DESBORDAMIETNO RIO OCOA. BARRIOS JUAN PABLO SEGUNDO Y PRIMERO DE MAYO, REPORTE DEL CREPAD.</t>
  </si>
  <si>
    <t>DESBORDAMIENTO RIO CAUCA. VEREDA BELTRAN. REPORTE DEL CREPAD.</t>
  </si>
  <si>
    <t>DESBORDAMIENTO RIO CUCUANA. VEREDA PUENTE CUCUANA. REPORTE DEL CREPAD.</t>
  </si>
  <si>
    <t>AFECTADAS COMUNIDADES DE GARITAS , EL PAISAJE, PUEBLO RIZO. REPORTE DEL CREPAD Y CLOPAD</t>
  </si>
  <si>
    <t>AGUA DE DIOS</t>
  </si>
  <si>
    <t>CHAGUANI</t>
  </si>
  <si>
    <t>VIA CHAGUANI - GUADUAS</t>
  </si>
  <si>
    <r>
      <t xml:space="preserve">CORREGIMIENTO DE CUATRO BOCAS Y PITA LIMON. ZONA RURAL. REPORTE DEL CLOPAD. </t>
    </r>
    <r>
      <rPr>
        <b/>
        <sz val="9"/>
        <rFont val="Arial"/>
        <family val="2"/>
      </rPr>
      <t>GIRO DIRECTO AL CLOPAD PARA CONSTRUCCION DE 4 VIVIENDAS, CUBIERTA PARA TRECE VIVIENDAS, COMBUSTIBLE, ALQUILER DE MAQUINARIA, ALIMENTACION POR VALOR $100,000,000</t>
    </r>
  </si>
  <si>
    <t>SE APOYA TENIENDO EN CUENTA LAS DIFICULTADES POR DESABASTECIMIENTO E AGUA</t>
  </si>
  <si>
    <r>
      <t xml:space="preserve">DESABASTECIMIENTO VEREDAS PUENTES Y GUADUAS. SOLICITAN APOYO PARA LA CONSTRUCCION DE RESERVORIO. A LA ESPERA DE LA SOLICITUD. </t>
    </r>
    <r>
      <rPr>
        <b/>
        <sz val="9"/>
        <rFont val="Arial"/>
        <family val="2"/>
      </rPr>
      <t>APOYO DEL FNC MEDIANTE GIRO DIRECTO AL CLOPAD PARA LA INSTALACION DE 35 TANQUES DE 1000 LITROS Y EL ACARREO DE AGUA  ALOMO DE MULA.</t>
    </r>
  </si>
  <si>
    <t>SOLICITAN APOYO CON ALIMENTOS LOS CUALES SERVIRAN PARA APOYAR A LAS PERSONAS QUE TRABJEN EN EL REFORZAMIENTO DEL JARILLON ALEDAÑO AL RIO SAN JORGE, CORREGIMIENTOS DE PUEBLO BUHO, EL MAMON, LA PUMPUMA, LAS OSAS, CAÑO LATA, LAS PAVITAS, Y EL DIQUE.</t>
  </si>
  <si>
    <t>SE APOYA TENIENDO EN CUENTA QUE LA OBRA SERVIRA COMO MEDIDA URGENTE DE MITIGACION FRENTE A INUNDACIONES.</t>
  </si>
  <si>
    <t>CORREGIMIENTO BILBAO. REPORTE DE CREPAD</t>
  </si>
  <si>
    <t>ZARAGOZA</t>
  </si>
  <si>
    <t>LA PINTADA</t>
  </si>
  <si>
    <t>OTANCHE</t>
  </si>
  <si>
    <t>CAIDA DEPOSTE SOBRE UNA PERSONA POR DESLIZAMIENTO Y FUERTES LLUVIAS. REPORTE DEL CREPAD</t>
  </si>
  <si>
    <t>MOSQUERA</t>
  </si>
  <si>
    <t>VEREDA NARANJOS INUNDACION POR FUERTES LLUVIAS. REPORTE DEL CREPAD.</t>
  </si>
  <si>
    <t>COLAPSO MINA DE ESMERALDA. REPORTE DEL CREPAD.</t>
  </si>
  <si>
    <t>COMUNA 13 BARRIO BLANQUISAL. REPORTE DEL CREPAD.</t>
  </si>
  <si>
    <t>CAUCASIA</t>
  </si>
  <si>
    <t>DESBORDAMIENTO RIO NECHI. REPORTE DEL CREPAD.</t>
  </si>
  <si>
    <t>ATACO</t>
  </si>
  <si>
    <t>SAN JOSE DE URE</t>
  </si>
  <si>
    <t>REPRESAMIENTO QUEBRADA URE. REPORTE DE LA DEFENSA CIVIL.</t>
  </si>
  <si>
    <t>CASCO ORBANO REPORTE DE DEFENSA CIVIL.</t>
  </si>
  <si>
    <t>DESBORDAMIENTO ARROYOS PICHILI Y GUAVI. AFECTADOS 20 BARRIOS. REPORTE DE DEFENSA CIVIL</t>
  </si>
  <si>
    <t>PITALITO</t>
  </si>
  <si>
    <t>AFECTADA ESCUELA LA LAGUNA CORREGIMIENTO LA LAGUNA. REPORTE DEL CREPAD.</t>
  </si>
  <si>
    <t>BARRIOS EL PRADO, OBRERO, NUEVO, OLIMPICO, LA RIVERA ESCOBAR Y CORREGIMIENTO GUAMABANAL. REPORTE DEL CREPAD.-</t>
  </si>
  <si>
    <t>CRECIENTE DEL RIO TAME, VEREDA SOLEDAD, CRAVO TOTUMO, CRAVO COROZO, EL TRINFO, SOLEDAD Y LOBERIA, REPORTE PRELIMINAR DE DEFENSA CIVIL.</t>
  </si>
  <si>
    <t>DESBORDAMIENTO QUEBRADA AGUA BLANCA. REPORTE DEL CREPAD.</t>
  </si>
  <si>
    <t>SOLITA</t>
  </si>
  <si>
    <t>ENDIETNE AFECTACION REPORTE DEL CREPAD.</t>
  </si>
  <si>
    <t>REPORTE DEL CLOPAD. BARRIO CARLOS MEISEN.</t>
  </si>
  <si>
    <t>SINCELEJO</t>
  </si>
  <si>
    <t>REPORTE DE DEFENSA CIVIL. CRECIENTE SUBITA.</t>
  </si>
  <si>
    <t>REPORTE DEL CREPAD. AFECTADO CASCO URBANO.</t>
  </si>
  <si>
    <t>BARRIO NACEDEROS, REPORTE DEL CLOPAD Y DE MINPROTECCION SOCIAL.</t>
  </si>
  <si>
    <t>BARRIO EL PARAISO SECTOR LAS COCAS. REPORTE DE LA DEFENSA CIVIL.</t>
  </si>
  <si>
    <t>ARACATACA</t>
  </si>
  <si>
    <t>ATENDIDO</t>
  </si>
  <si>
    <t>REPORTE DE DDEFENSA CIVIL. CORREGIMIENTO LA PEÑA. EL ALCALDE DECLARO EMERGENCIA INVERNAL</t>
  </si>
  <si>
    <t>39941
48867</t>
  </si>
  <si>
    <t>SE APOYO A TRAVES DEL DEPARTAMENTO. POSTERIORMENTE SE BRINDO APOYO ADICIONAL TENIENNDO EN CUENTA LA MAGNITUD DE LA EMERGENCIA</t>
  </si>
  <si>
    <t>REPORTE DE LA DEFENSA CIVIL. AFECTADO INQUILINATO.</t>
  </si>
  <si>
    <t>ALGARROBO</t>
  </si>
  <si>
    <t>DESBORDAMIENTO RIO ARIGUANI. VEREDA LA ESTACION. REPORTE DE LA DEFENSA CIVIL.</t>
  </si>
  <si>
    <t>TIBU</t>
  </si>
  <si>
    <t>DESBORDAMIENTO RIO TIBU, VEREDA TRES BOCAS Y OTRAS. REPORTE DEL CREPAD.</t>
  </si>
  <si>
    <t>BARRIO SAN LUIS. REPORTE DEL CREPAD Y SOCORRO NACIONAL.</t>
  </si>
  <si>
    <t>REPORTE DEL CREPAD. BARRIO ANTONIA SANTOS SECTOR JUAN ATALAYA.</t>
  </si>
  <si>
    <t>SAN JUAN NEPOMUCENO</t>
  </si>
  <si>
    <t>DESBORDAMIENTO CAÑOS CATALINA Y RASTRO. BARRIOS GUAPANDO, EL OJITO, BODEGA, EL CAMPITO. REPORTE DE LA DEFENSA CIVIL</t>
  </si>
  <si>
    <t>EL ZULIA</t>
  </si>
  <si>
    <t>308
19887</t>
  </si>
  <si>
    <t>294
19878</t>
  </si>
  <si>
    <t>SE APOYA DE MANERA COMPLEMENTARIA A LOS ESFUERZOS LOCLAES Y REGIONAL</t>
  </si>
  <si>
    <t>SE APOYA DE MANERA COMPLEMENTARIA</t>
  </si>
  <si>
    <t>48682
50182</t>
  </si>
  <si>
    <t>VIAS EL TAMBO - SAN FELIPE, PANAMERICANA - CARLO SAMA, CUMBAL - LA HORTIGA, VIA AL NEVADO KM 4. REPORTE DEL CREPAD.</t>
  </si>
  <si>
    <t>VEREDA MORALES. REPORTE DEL CREPAD.</t>
  </si>
  <si>
    <t>CERRO ALTO DE CUPIDO, REPORTE DE SOCORRO NACIONAL EN EVALUACION.</t>
  </si>
  <si>
    <t>MARIPI</t>
  </si>
  <si>
    <t xml:space="preserve"> PUENTE AVERIADO SOBRE LA QUEBRADA LA LOCHA. REPORTE DEL CREPAD.</t>
  </si>
  <si>
    <t>DESBORDAMIENTO RIOS LA VEGA Y EL JORDAN  SECTORES POZO DONATO, MANZANARES. REPORTE DEL CREPAD. PENDIENTE AFECTACION.</t>
  </si>
  <si>
    <t>DESBORDAMIENTO RIO PUTUMAYO CORREGIMIENTOS DE PUERTO ARICA, CHORRERA Y PUERTO ALEGRIA. Y RIO AMAZONAS EN LA ZONA URBANA DE LETICIA. REPORTE DEL CREPAD.</t>
  </si>
  <si>
    <t>DESBORDAMIENTO RIO UPIA. AFECTANDO LAS VEREDAS PUERTO NUEVO, CAÑO BLANCO, PALMICHAL, PLANADAS, CAÑO BARROSO, AGUAS CALIENTES, JOAQUI, REPORTE DEL CREPAD.</t>
  </si>
  <si>
    <t>VEREDA LA HERRADURA. REPORTE DEL CREPAD. VIA ARGELIA - ANSERMANUEVO. R</t>
  </si>
  <si>
    <t>YOTOCO</t>
  </si>
  <si>
    <t>DESBORDAMIENTO RIO RISARALDA. VEREDA LA MARIA, REPORTE DEL CREPAD.</t>
  </si>
  <si>
    <t>VEREDA EL TAMBO. REPORTE DEL CREPAD.</t>
  </si>
  <si>
    <t>BARRIOS CAMPO ALEGRA Y GRANJAS. REPORTE DEL CREPAD.</t>
  </si>
  <si>
    <t>MARQUETALIA</t>
  </si>
  <si>
    <t>BARRIOS SAN CAYETANO. VILLANUEVA.. REPORTE DEL CREPAD.</t>
  </si>
  <si>
    <t>CRECIENTE RIO CAUCA. VEREDA LA FELISA. REPORTE DEL CREPAD.</t>
  </si>
  <si>
    <t>SUPIA</t>
  </si>
  <si>
    <t>VEREDA SAN FRANCISCO. REPORTE DEL CREPAD.</t>
  </si>
  <si>
    <t>JAMBALO</t>
  </si>
  <si>
    <t>ACCIDENTE DE BUS ESCALERA. REPROTE DEL CREPAD.</t>
  </si>
  <si>
    <t>MARULANDA</t>
  </si>
  <si>
    <t>CORREGIMIENTO MONTE BONITO. REPORTE DEL CREPAD.</t>
  </si>
  <si>
    <t>DESBORDAMIENTO RIO MAGDALENA SECTORES PUERTO CAPULCO, EL CONTENTO, PUERTO MOSQUITO, PALENQUILLO, PUERTO VIEJO, CASCAJAL. REPORTE DEL CREPAD.REPORTE DE LA DEFENSA CIVIL</t>
  </si>
  <si>
    <t>EVREDA PALMARITO REPROTE DEL CREPAD. AFECTADO EL TUBO DEL OLEODUCTO EL CUAL VERTIO 400 BARRILES DE CRUDO.</t>
  </si>
  <si>
    <t>RECURSOS EJECUTADOS</t>
  </si>
  <si>
    <t>DESBORDAMIENTO RIO MAGDALENA BOCAS DE SAN ANTONIO.</t>
  </si>
  <si>
    <t>SOLICITUD DE 80.000 SACOS EN CORMAGDALENA BARRANCABERMEJA.</t>
  </si>
  <si>
    <t>SE APOYA A TRAVES DEL CREPAD.</t>
  </si>
  <si>
    <t>APOYADO CON 70.000 SACOS.</t>
  </si>
  <si>
    <t>APOYADO CON 20000 SACOS.</t>
  </si>
  <si>
    <t>SECTORES PUERTO NIÑO, PUERTO SERVIEZ, BARRIOS CHAMBACU, BRISAS BAJO Y ALTO, CARACOLI, VILLA DEL RIO. REPORTE DEL CREPAD.</t>
  </si>
  <si>
    <t>SECTORES GUAMO, PARAMO, SIGUIQUE, GAQUE, OVEJERAS, PIEDRA LARGA REPORTE DEL CREPAD.</t>
  </si>
  <si>
    <t>LA UVITA</t>
  </si>
  <si>
    <t>VARIOS SECTORES. REPORTE DEL CREPAD.</t>
  </si>
  <si>
    <t>CHITA</t>
  </si>
  <si>
    <t>PENSILVANIA</t>
  </si>
  <si>
    <t xml:space="preserve">VEREDA LA LINDA. REPORTE DEL CREPAD, DEFENSA CIVIL, CRUZ ROJA. MINPROTECCION </t>
  </si>
  <si>
    <t>SECTOR HIMALAYA. REPORTE DEL CREPAD.</t>
  </si>
  <si>
    <t>19887
22705
42011
23555</t>
  </si>
  <si>
    <t>306
307
21045
23551
23555</t>
  </si>
  <si>
    <t>SE APOYA COMO COMPROMISO DE LA DGR PARA LA ATENCION DE LA EMERGENCIA.</t>
  </si>
  <si>
    <t>SABANAGRANDE</t>
  </si>
  <si>
    <r>
      <t>CABECERA MUNICIPAL Y CORREGIMIENTOS REAL DEL OBISPO Y SAN LUIS.</t>
    </r>
    <r>
      <rPr>
        <b/>
        <sz val="9"/>
        <rFont val="Arial"/>
        <family val="2"/>
      </rPr>
      <t xml:space="preserve"> EL VALOR DE OTROS CORRESPONDE A UNA MOTOBOMBA DE 8"X8". APOYO DEL FNC MEDIANTE GIRO DIRECTO AL CLOPAD PARA ADQUISICION DE COMBUSTIBLE, , ALQUILER DE 15 MOPTOBOMBAS, PAGO DE BRIGADAS MEDICAS, TRANSPORTE DE AYUDAS HUMANITARIAS</t>
    </r>
  </si>
  <si>
    <t>BARRIOS LAS AURORAS Y LAS CRUCES. REPORTE DEL CREPAD.</t>
  </si>
  <si>
    <t>BARRIOS SAN JORGE Y BUENOS AIRES. REPORTE DE DEFENSA CIVIL</t>
  </si>
  <si>
    <t>LA CUMBRE</t>
  </si>
  <si>
    <t>DESBORDAMEINTO QUEBRADA LA PALMA, VEREDAS SANTA HELENA, PAPALITO, LA PLAYA AFECTACIONE EN VIAS. REPORTE DEL CREPAD.</t>
  </si>
  <si>
    <t>VEREDA EL DORADO. REPORTE DEL CREPAD.</t>
  </si>
  <si>
    <t>AFECTADO EL CASCO URBANO POR FALTA DE SUMINSITRO DE AGUA POTABLE. REPORTE DEL CREPAD.</t>
  </si>
  <si>
    <t>SECTORES LA MARIA, BARRIOS BUENOS AIRES BAJO, LAS AMERICAS AFECTADA VIA CALARCA - ALTO DEL RIO. REPORTE DEL CREPAD.</t>
  </si>
  <si>
    <t>SECTORES SAN VICENTE, PLAN, ALBAÑILES, REPORTE DEL CREPAD.</t>
  </si>
  <si>
    <t>BELEN</t>
  </si>
  <si>
    <t>DESBORDAMIENTO RIO MINAS. SECTORES TUATE ALTO, VEREDA LA VENTA. REPROTE DEL CREPAD</t>
  </si>
  <si>
    <t>PARTE ALTA VEREDA CAÑITAS. SECTOR TOUMO. REPORTE DEL CREPAD.</t>
  </si>
  <si>
    <t>AFECTADA VIA PALERMO - GAMBITA REPORTE DEL CREPAD.</t>
  </si>
  <si>
    <t>DESBORDAMIENTO RIO CAUCA Y RISARALDA. BARRIOS SAN CARLOS, BUENOS AIRES, LA PLAYA, LAS AMERICAS EL PROGRESO, TANGARIFE 1 Y 2, ALFONSO LOPEZ, SAN ANTONIO. REPORTE DEL CREPAD.</t>
  </si>
  <si>
    <t>DESBORDAMIENTO RIO TOTUI VEREDA TOTUI REPORTE DEL CREPAD.</t>
  </si>
  <si>
    <t>VEREDA LA QUIEBRE. REPORTE DEL CREPAD.</t>
  </si>
  <si>
    <t>REPORTE DEL CREPAD AFECTADA VIA PRINCIPAL TRONCAL NACIONAL.</t>
  </si>
  <si>
    <t>VEREDA LA MARIA. AFECTADO PUETNE PESTONAL QUE COMUNICA LA VEREDA LA MADERA CON LA VEREDA PALO CRUZAL.  REPORTE DEL CREPAD.</t>
  </si>
  <si>
    <t>CORREGIMEINTO TRES BOCAS. REPROTE DEL CREPAD.</t>
  </si>
  <si>
    <t xml:space="preserve">DESBORDAMIENTO RIO UNGUIA. REPORTE DE LA DEFENSA CIVIL. </t>
  </si>
  <si>
    <t>DESBORDAMEINTO RIO LA ESTRELLA. RESGUARDO INDIGENA LA MONTAÑA. REPORTE DEL CREPAD.</t>
  </si>
  <si>
    <t>AFECTADO PUENTE VEHICULAR DON NICOLAS VEREDA LA BOHEMIA. AFECTADA VIA CALARCA - ALTO DEL RIO. REPROTE DEL CREPAD. CIERRE DEL PUENTE.</t>
  </si>
  <si>
    <t>VEREDA EL TOGO. AFECTACION EN ACUEDUCTO DE LAS VEREDAS SAN ISIDRO Y SAN ALFONSO. REPORTE DEL CREPAD.</t>
  </si>
  <si>
    <t>CORREGIMEINTO LA JUANA. REPORTE DEL CREPAD.</t>
  </si>
  <si>
    <t>MACEO</t>
  </si>
  <si>
    <t>CARCO URBANO. REPORTE DEL CREPAD.</t>
  </si>
  <si>
    <t>VEREDA LA MURIENDA Y LA PLANTA. REPORTE EL CREPAD</t>
  </si>
  <si>
    <t>INUNDAICON  POR FUERTES LLUVIA, VEREDA EL GOLPE, REPORTE DEL CREPAD</t>
  </si>
  <si>
    <t>SECTOR RURAL. REPORTE DEL CREPAD.</t>
  </si>
  <si>
    <t>SAN VICENTE</t>
  </si>
  <si>
    <t>REPORTE DEL CREPAD. AFECTADO EL COLISEO.</t>
  </si>
  <si>
    <t>CASCO URBANO. REPROTE DEL CREPAD.</t>
  </si>
  <si>
    <t>VEREDA LA MADERA. REPORTE DEL CREPAD.</t>
  </si>
  <si>
    <t>ANSERMA</t>
  </si>
  <si>
    <t>VEREDA MORRO AZUL. REPORTE EL CREPAD.</t>
  </si>
  <si>
    <t>DESBORDAMIENTO RIO MANZANARES Y QUEBRADA TAMACA. BARRIOS NUEVA MANSION, LA ESMERALDA, BULEVAR DEL RIO, TAYRONA, VILLA DEL RIO, OCHODE, FEBRERO, PAMPLONITA, MALVINAS, VILLA U, SIMON BOLIVAR, SALAMANCA REPORTE DEL CLOPAD.</t>
  </si>
  <si>
    <t>GIRALDO</t>
  </si>
  <si>
    <t>DESBORDAMIENTO ARROYO JULIAN. VEREDA CASA ALUMINIO, LAS FLORES, REMEDIOS, PALOMINO, LOS ROSALES, RIO CLARO, LAS MARIAS.. REPORTE DE LA DEFENSA CIVIL.</t>
  </si>
  <si>
    <t>ZONA DEL CENTRO. ALMACEN SURTITODO DEL LLANO, JORDAN Y SEPIA.  EL INCENDIO SIGUE ACTIVO. PENDIENTE AFECTACION, REPORTE DEL CREPAD. APOYO EN MATERIALES DE CONSTRUCCION PARA LA RECONSTRUCCION DE LOS LOCALES AFECTADOS POR EL INCENDIO ESTRUCTURAL.</t>
  </si>
  <si>
    <t>SANTO TOMAS</t>
  </si>
  <si>
    <r>
      <t>BARRIOS BIENA ESPERANZA, 7 DE AGOSTO, VOLVER A VIVIR, Y 20 DE JULIO. REPORTE DEL CREPAD Y CLOPAD.</t>
    </r>
    <r>
      <rPr>
        <b/>
        <sz val="9"/>
        <rFont val="Arial"/>
        <family val="2"/>
      </rPr>
      <t xml:space="preserve"> APOYO DEL FNC MEDIANTE GIRO DIRECTO AL CLOPAD PARA LA ADQUISICION DE COMBUSTIBLE Y LUBRICANTE PARA LA OPERACIÓN DE MOTOBOMBAS EN LA ZONA DE INUNDACION.</t>
    </r>
  </si>
  <si>
    <t>BARRIO BRISAS BAJO. REPORTE EL CLOPAD.</t>
  </si>
  <si>
    <t>DESBORDAMIENTO RIO CAUCA. REPORTE DEL CREPAD.</t>
  </si>
  <si>
    <t>GUICAN</t>
  </si>
  <si>
    <t>SECTOR PEÑON DE LOS MUERTOS REPORTE DEL CREPAD.</t>
  </si>
  <si>
    <t>DESBORDAMIENTO QUEBRADA KINIGUCA DE APORE. VEREDA CHINITA. REPORTE DE LA DEFENSA CIVIL.</t>
  </si>
  <si>
    <t>BARRIOS ALBANIA, BUENAVISTA, ANTONIO SANTOS SUR, GRANJAS DE PROVENZA, COMUNA 11 REPROTE DELÑ CLOPAD.</t>
  </si>
  <si>
    <t>BARRIO CINCO ESTRELLAS. REPROTE DEL CREPAD.</t>
  </si>
  <si>
    <t>LA ARGENTINA</t>
  </si>
  <si>
    <t>VEREDA SAN VICENTE. REPORE DEL CREPAD.</t>
  </si>
  <si>
    <t>DESBORDAMIENTO RIO MAGDALENA, PENDIETE AFECTACION.</t>
  </si>
  <si>
    <t>AFECTADO OLEODUCTO CAÑO LIMON - COVEÑAS. REPORTE DEL CREPA.</t>
  </si>
  <si>
    <t>ROLDANILLO</t>
  </si>
  <si>
    <t>DESBORDAMIENTO RIO ROLDANILLO. BARRIOS ASUNCION, LA HERMITA, EL LLANITO EL CENTRO Y SIMON BOLIVAR.  REPROTE DEL CREPAD.</t>
  </si>
  <si>
    <t xml:space="preserve">20360
20842
</t>
  </si>
  <si>
    <t>SE APOYA TENENDO EN CUENTA LA MAGNITUD E LA EMERGENCIA</t>
  </si>
  <si>
    <r>
      <t>REPORTE DEL CREPAD</t>
    </r>
    <r>
      <rPr>
        <b/>
        <sz val="9"/>
        <rFont val="Arial"/>
        <family val="2"/>
      </rPr>
      <t xml:space="preserve"> APOYO DEL FNC MEDIANTE GIRO DIRECTO AL CLOPAD PARA LA ADQUISICION DE COMBUSTIBLE Y MANTENIMIENTO DE MOTOBOMBAS.</t>
    </r>
  </si>
  <si>
    <t>SALAMINA</t>
  </si>
  <si>
    <t>SUAZA</t>
  </si>
  <si>
    <t>VEREDAS LAS QUEMADAS, HATO VIEJO, LA ISLA. REPORTE DEL CREPAD.</t>
  </si>
  <si>
    <t>TESALIA</t>
  </si>
  <si>
    <t>VEREDA EL PALMITO REPORTE DEL CREPAD.</t>
  </si>
  <si>
    <t>DESBORDAMIENTO RIO MAGDALENA AFECTADO EL 90% DEL CASCO URBANO. REPORTE DEL CREPAD.</t>
  </si>
  <si>
    <t>AFECTADA VIA DE ACCESO.CULEBRITA, SAN CAYETANO Y MONTERO. REPORTE DEL CREPAD.</t>
  </si>
  <si>
    <t>VEREDA GUACAS. REPORTE DEL CREPAD.</t>
  </si>
  <si>
    <t>QUINCHIA</t>
  </si>
  <si>
    <t>VEREDA MATECAÑA. REPORTE DEL CREPAD.</t>
  </si>
  <si>
    <t>BARRIO MOTORISTA. REPORTE DEL CREPAD.</t>
  </si>
  <si>
    <t>SISMO A LAS 7:20 PM MAGNITUD 4.2 PROFUNDIDAD SUPERFICIAL CON EPICENTRO A 3.6 KM AL NORESTE DE LA CABECERA MUNICIPAL DE RIOBLANCO. VEREDA CRUZ VERDE. REPORTE DEL CREPAD Y SOCORRO NACIONAL</t>
  </si>
  <si>
    <t>CORREGIMEINTO AGUA CLARA. REPORTE DEL CREPAD.</t>
  </si>
  <si>
    <t>VEREDA SIBERIA, PARQUE DEL TAMA. REPROTE DEL CREPAD</t>
  </si>
  <si>
    <t>VEREDA AURORA ALTA.  REPORTE DE LA DEFENSA CIVIL Y CREPAD.</t>
  </si>
  <si>
    <t>BARRIOS MORMONES, CAMELIAS, 20 DE JULIO, PALMAR DE LA SIERRA, BOMBEROS, EL LAGUITO SAGUANES, EL INDIGENA, BARRIO LINCON. VARIANTE DEL NORTE, EL CACIQUE, SECTOR VIREN BLANCA. REPORT DEL CREPAD.</t>
  </si>
  <si>
    <t>PADILLA</t>
  </si>
  <si>
    <t>BARRIOS COLOMBIA, BAJO VALLE, CAMPO ALEGRE Y NUEVA COLOMBIA. REPORTE DEL CLOAPD.</t>
  </si>
  <si>
    <t>JURADO</t>
  </si>
  <si>
    <t>BARRIO EL CENTRO. REPROTE DEL CREPAD.</t>
  </si>
  <si>
    <t>SECTOR URBANO. REPROTE DEL CREPAD.</t>
  </si>
  <si>
    <t>VEREDAS PROVINCIA Y LA FORTUNA, REPORTE DEL CREPAD.</t>
  </si>
  <si>
    <t>TOCANCIPA</t>
  </si>
  <si>
    <t>REPORTE DEL CREPAD. VEREDA LA ESMERALDA, SECTOR TINJACA.</t>
  </si>
  <si>
    <t>DESBORDAMEINTO QUEBRADA SAN PEDRUNA. INSPECCION DE SAN PEDRO Y SAN PABLO. REPORTE DEL CREPAD.</t>
  </si>
  <si>
    <t>CORREGIMEINTO PALMITAS, VEREDA URQUITA. REPORTE DEL CREPAD.</t>
  </si>
  <si>
    <r>
      <t>RIO CAPARROSAL VEREDA CAPÀRROSAL.  REPROTE DEL CREPAD.</t>
    </r>
    <r>
      <rPr>
        <b/>
        <sz val="9"/>
        <rFont val="Arial"/>
        <family val="2"/>
      </rPr>
      <t xml:space="preserve"> EL VALOR DE OTROS CORRESPONDE A LOS SIGUIENTES MATERIALES PARA LA CONSTRUCCION DE ALBERGUES: 200 TEJAS DE ZINC, 600 TABLAS, 150 PARALES, 25 CAJAS DE PUNTILLA, 6 SANITARIOS, Y 2 TANQUES.</t>
    </r>
  </si>
  <si>
    <t>20328
19932</t>
  </si>
  <si>
    <r>
      <t xml:space="preserve">MUNICIPIO CON RACIONAMIENTO DE AGUA Y/O DESABASTECIMIENTO POR PROBLEMAS DE SEQUI DEBIDO AL FENOMENO DE EL NIÑO. REPORTE DEL MAVDT. SE HACE CONTROL PERMANENTE CON LA CORPORACIÓN PARA EVITAR DAÑOS EN TUBERÍA.SE PUEDE COMPRAR AGUA EN BLOQUE DEL MUNICIPIO DE ALMEIDA, GESTIÓN QUE YA SE INICIÓ, ESTO EVITA DESABASTECIMIENTO, ASÍ COMO UN POSIBLE ABASTECIMIENTO CON CARROTANQUES DESDE LA REPRESA DE CHIVOR Y OBTENER EL PERMISO CORRESPONDIENTE. </t>
    </r>
    <r>
      <rPr>
        <b/>
        <sz val="10"/>
        <color indexed="8"/>
        <rFont val="Arial"/>
        <family val="2"/>
      </rPr>
      <t>SE REQUIERE IMPLEMENTACIÓN CAMPAÑAS DE AHORRO DE CONSUMO. SE EFECTUARÁ CONSULTA PERIÓDICA AL MUNICIPIO PARA VERIFICAR COMPORTAMIENTO DE LA FUENTE Y NECESIDADES DE APOYO. LA DGR APOYO CON 6 TONELADAS DE AGUA.</t>
    </r>
  </si>
  <si>
    <t>SUMINISTRO DE AGUA A TRAVES DE CARROTANQUE CON EL APOYO DEL NIVEL DEPARTAMENTAL-. APOYO DEL FNC MEDIANTE GIRO DIRECTO AL CLOPAD PARA ALQUILER DE DOS VOLQUETAS, INSTALACIONDE DOS TANQUES DE 5000 LITROS Y DOS FLAUTAS PARA DISTRIBUCION DEL LIQUIDO ($28.000.000).</t>
  </si>
  <si>
    <t>89
97
99</t>
  </si>
  <si>
    <r>
      <t xml:space="preserve">CORREGIMIENTOS EL PALMAR, LOS UVOS, SANTA RITA. </t>
    </r>
    <r>
      <rPr>
        <b/>
        <sz val="9"/>
        <rFont val="Arial"/>
        <family val="2"/>
      </rPr>
      <t>EL VALOR DE OTROS CORRESPONDE A 500 METROS DE TUBO DE PVC DE 1/2".</t>
    </r>
  </si>
  <si>
    <t>50
52
103</t>
  </si>
  <si>
    <t>INFORME DE INGEOMINAS, EVENTO DE 3.4 GRADOS CON PROFUNDIDAD DE 78,3 KMS, SIN CONSECUENCIAS EN PERSONAS O VIVIENDAS</t>
  </si>
  <si>
    <t>GUACAMAYO/CAPITANEJO/OIBA</t>
  </si>
  <si>
    <t>REPORTE DEL CREPAD. APOYO GLOBAL A TRAVES DEL DEPARAMENTO</t>
  </si>
  <si>
    <t>SE APOYA TENIENDO EN CUENTA LA TEMPORADA SECA Y LA AMENAZA DE INCENDIOS FORESTALES EN EL PAIS</t>
  </si>
  <si>
    <t>BARRIOS PUEBLITO, AMERICA, SANTODOMINGO, SAN MARTIN, 7 DE ABRIL, ESMERALDA, LA LUZ, LA CHINITA, DON BOSCO, LAS NIEVES, LOS ANGELES, BRISAS DEL RIO, ARBOLEDA, EL BOSQUE, MALVINAS, SAN NICOLAS, SIMON BOLIVAR, FERRI, GALAN, EVARISTO SURDIZ, LAS PALMAS, CUCHILLA DE VILLATE, LAS NIEVES, ALBORADA, CORDIALIDAD, REBOLLO, GIRASOLES, PINAR DEL RIO, LA PRADERA, EL GOLFO, JUAN MINA, ZONA INDUSTRIAL Y ZONA FRANCA. DESBORDAMIENTO DEL CAÑO LA AHUYAMA. REPORTE DEL CLOPAD.</t>
  </si>
  <si>
    <t>DESBORDAMIENTO RIO GUATIQUIA SECTOR VILLA SUAREZ,. REPORTE DE DEFENSA CIVIL.</t>
  </si>
  <si>
    <t>BARRIOS CUATA, LA PLAYITA, DOCE DE OCTUBRE, EL CEDRO, PROVIDENCIA, 18 DE MAYO CALLES 1,2 Y 3. PARQUE MUNICIPAL. DESBORDAMIENTO RIO MAGUI. REPORTE DEL CREPAD.</t>
  </si>
  <si>
    <t>PUERTO RONDON</t>
  </si>
  <si>
    <t>ARAUQUITA</t>
  </si>
  <si>
    <t>DESBORDAMIENTO RIO ARAUCA. REPORTE DE LA DEFENSA CIVIL</t>
  </si>
  <si>
    <t>SOGAMOSO</t>
  </si>
  <si>
    <t>INUNDACION POR FUERTES LLUVIAS.. REPORTE DE LA CRUZ ROJA.</t>
  </si>
  <si>
    <t>BARRIO SANTODOMINGO. REPORTE DEL CREPAD.</t>
  </si>
  <si>
    <t>CAJICA</t>
  </si>
  <si>
    <t>VEREDA LA CUMBRE. REPORTE DEL CREPAD.</t>
  </si>
  <si>
    <t>BERRIO SARISNEIS. REPORT E DE LA DEFENSA CIVIL</t>
  </si>
  <si>
    <t>SE APOYA EN SACOS COMO MEDIDA DE MITIGACION</t>
  </si>
  <si>
    <t>REPORTE DEL CREPAD. 1000 MERCADOS, 1000 ASEO, 1000 COCINA Y 1000 COLCHENETAS APOYO GLOBAL PARA LOS MUNICIPIOS DE SOLEDAD Y BARRANQUILLA.</t>
  </si>
  <si>
    <t>BARRIOS SAN RAFAEL 2, PUERTO LOPEZ, MEDIA LEGUA, PRIMERO DE JUNIO, EL TORNO, MONOSOLO. REPORTE DEL CLOPAD Y CREPAD.. APOYO DEL FNC EN ALIMENTOS</t>
  </si>
  <si>
    <t>CORREGIMIENTOS DE MACHETON, BAJO PUREZA, MONTERIA, CONCEPCION Y CORDOBA.. REPORTE DEL CLOPAD Y CREPAD. APOYO DEL FNC EN LAMINAS DE ZINC (1000)</t>
  </si>
  <si>
    <t>GUAPI</t>
  </si>
  <si>
    <t>SE APOYA TENIENDO EN CUENTA QUE EN LA MISMA TEMPORADA RESULTARON VARIOS MUNICIPIOS AFECTADOS EN EL DEPARTAMENTO DEL META, POR LO CUAL REQUIEREN DEL APOYO COMPLEMENTARIO DEL NIVEL NACIONAL.</t>
  </si>
  <si>
    <t>MUNICIPIO CON RACIONAMIENTO DE AGUA Y/O DESABASTECIMIENTO POR PROBLEMAS DE SEQUI DEBIDO AL FENOMENO DE EL NIÑO. REPORTE DEL MAVDT. SE PRESENTARÁ EL PRESUPUESTO AJUSTADO Y LAS CARACTERÍSTICAS DE LA TUBERÍA PARA EJECUTAR LA OBRA EN EL MARCO DEL PDA. PROBLEMAS DE RACIONAMIENTO EN LA ZONA RURAL EL SERVICIO SE PRESTA SEIS HORAS CADA DOS DIAS. REPORTE DEL MAVDT. DESABASTECIMIENTO DE AGUA SE IDENTIFICO COMO SLUCION INCORPORAR EL ACUEDUCTO URBANO CON EL INTERVEREDAL. EL PROYECTO SE PRESENTARA PARA APOYO A TRAVES DEL PDA PLAN DEPARTAMENTAL DE AGUAS.</t>
  </si>
  <si>
    <t>CORREGIMIENTO SAN ANTONIO. COLAPSO DE MINA DE CARBON. REPORTE DEL CREPAD.</t>
  </si>
  <si>
    <t>CORREGIMIENTO LA BOQUILLA SECTORES MARLINDA Y VILLAGLORIA. REPORTE DEL CRC. PENDIENTE POR EVALUACION.</t>
  </si>
  <si>
    <t>CURUMANI</t>
  </si>
  <si>
    <t>DESBORDAMIENTO RIO GUATAPURI. VEREDA CAMPANITAL Y CORREGIMIETNO AGUA BLANCA. REPORTE DEL CLOPAD. AFECTACION POR FUERTES LLUVIAS AFECTADO CASCO URBANO Y CORREGIMEINTOS DE BADILLO, VALENCIA DE JESUS VILLA GERMANIA, EL CIELO, LA MINA, CARACOLI, LA CASITA, MARIANGOLA, CAMPERUCHO, MONTEALEGRE, LOS VENADOS GUAYMARAL, SABANITAS, LOS CALABAZOS, LA VEGACAMPANITAL, PATILLAL, CHINGATA.</t>
  </si>
  <si>
    <t>DESBORDAMIENTO QUEBRADA EL PALO, REPORTE DE LA DEFENSA CIVIL</t>
  </si>
  <si>
    <t>DESBORDAMIENTO RIO NECHI Y PORCE</t>
  </si>
  <si>
    <t>DESBORDAMIENTO QUEBRADA LA OCA, Y JUAN VERA.  RIO NECHI,  REPORTE DEL CLOPAD. SE REMITE AL CREPAD PARA REVISAR SITUACION Y AVALAR SOLICITUD.</t>
  </si>
  <si>
    <t>BARBOSA</t>
  </si>
  <si>
    <t>CEPITA</t>
  </si>
  <si>
    <t>CONCEPCION</t>
  </si>
  <si>
    <t>COROMORO</t>
  </si>
  <si>
    <t>REPROTE PRELIMINAR DEL CREPAD VIA EMAIL.</t>
  </si>
  <si>
    <t>CANALETE</t>
  </si>
  <si>
    <t>REPORTAN AFECTACION EN VIAS.  APOYO DEL FNC MEDIANE GIRO DIRECTO AL CLOPAD PARA LA REHABILITACION DE LA VIA SINCE-GRANADA-BUENAVISTA.</t>
  </si>
  <si>
    <t>VEREDA LA FERRERIA. REPORTE DEL CREPAD</t>
  </si>
  <si>
    <t>DESBORDAMIENTO RIO MAGDALENA CORREGIMIENTO SAN AGUSTIN. REPORTE DE LA DEFENSA CIVIL</t>
  </si>
  <si>
    <t>SOCHA</t>
  </si>
  <si>
    <t>REPORTE DEL CREPAD. SITIO EL ALJIBE.</t>
  </si>
  <si>
    <t>VEREDA PANTANOGRANDE, LA VEREDA SE ENCUENTRA INCOMUNICADA. AFECTADA VIA SAN GIL SOCORRO.  REPORTE DEL CREPAD. Y CLOPAD</t>
  </si>
  <si>
    <t xml:space="preserve">EXPENDIO DE GASOLINA. REPORTE DE LA EDFENSA CIVIL. </t>
  </si>
  <si>
    <t>REPROTE DEL CREPAD. BARRIO CENTRO.</t>
  </si>
  <si>
    <t>TASCO</t>
  </si>
  <si>
    <t>REPORTE DE LA DEFENSA CIVIL Y CLOPAD. SECTOR SABINAS. KM 13. VIA MANIZALES - BOGOTA. FALLECIMEINTO DE OPERARIO DE INVIAS.</t>
  </si>
  <si>
    <t>REPORTE DEL CLOPAD. AFECTADA BODEGA BARRIO JARDIN.</t>
  </si>
  <si>
    <t>GUACA</t>
  </si>
  <si>
    <t>GUAPOTA</t>
  </si>
  <si>
    <t>MACARAVITA</t>
  </si>
  <si>
    <t>RIONEGRO</t>
  </si>
  <si>
    <t>SAN BENITO</t>
  </si>
  <si>
    <t>SANTA HELENA DEL OPON</t>
  </si>
  <si>
    <t>SURATA</t>
  </si>
  <si>
    <t>VALLE DE SAN JOSE</t>
  </si>
  <si>
    <t>21943
22249</t>
  </si>
  <si>
    <t>SE APOYA DE MANERA COMPLEMENTARIA A LOS ESFUERZOS LOCALES Y REGIONAL.</t>
  </si>
  <si>
    <t>AFECTADO BARRIO LA ESMERALDA. REPROTE DEL CREPAD.</t>
  </si>
  <si>
    <t>SE APOYA DE MANERA GLOBAL A TRAVES DEL DEPARTAMENTO</t>
  </si>
  <si>
    <t>EL CALVARIO</t>
  </si>
  <si>
    <t>VEREDAS LA PEPINA, CAIMITO, SAN PABLO, PROGRESO, AURIRA, SAN VICENTE, AGUA BLANCASAN FRANCISCO, LA HOYA, LAS CATORCE. AFECTACION EN CULTIVOS DEBIDO A LOS EFECTOS DEL FENOMENO DE EL NIÑO.</t>
  </si>
  <si>
    <t>SECTORES SAN ANTONIO, AMBALA, FUENTE DE LOS ROSALES, VIVERO, LOS CIRUELOS, EL VERJEL,ARADO, DELICIAS, IBAGUE 2000, VILLA DEL SOL, BELEN Y OASIS.</t>
  </si>
  <si>
    <t>SECTORES SANTA RITA, TIERRA ADENTRO, PANTANILLO, CONVENIO, SANTA BARBARA, TOCHE, LA HONDA, FLORIDA, CHAGRES, VILLA NUEVA, MATEO, PERALTA, LAS AMERICAS Y PORVENIR.</t>
  </si>
  <si>
    <t>NATAGAIMA</t>
  </si>
  <si>
    <t>VEREDA LA PALMITA Y BALSILLAS</t>
  </si>
  <si>
    <t>SAN LUIS</t>
  </si>
  <si>
    <t>DESBORDAMIENTO QUEBRADAS CHIPALO Y PAJADA. 10 VEREDAS AFETCADAS PENDIENTE DE INFORMACION.</t>
  </si>
  <si>
    <r>
      <t>MUNICIPIO CON RACIONAMIENTO DE AGUA Y/O DESABASTECIMIENTO POR PROBLEMAS DE SEQUI DEBIDO AL FENOMENO DE EL NIÑO. REPORTE DEL MAVDT. PARA EL POZO RURAL, CORPOBOYACÁ ACOMPAÑARÁ EN UNA SEMANA A UNA PRUEBA DE BOMBEO PARA INICIAR LA NORMALIZACIÓN JURÍDICA DEL POZO.SE GESTIONARÁ CON INGEOMINAS E IDEAM LA INFORMACIÓN DISPONIBLE DE BOYACÁ RELACIONADA CON AGUAS SUBTERRÁNEAS PARA IDENTIFICAR LA NECESIDAD DE NUEVAS PERFORACIONES O ESTUDIOS COMPLEMENTARIOS.SE DEBEN EMPRENDER MEDIDAS DE RACIONAMIENTO; NO SE TIENEN ALTERNATIVAS POR LO QUE SE PROGRAMARÁ VISITA TÉCNICA.  AFECTADA LA CARCER DE MEDIA SEGUIRIDAD. LA GERENCIA PDA DEBE EFECTUAVISITA A LA VEREDA SAN ISIDO PARA MANTENIMIENTO DE POZO.</t>
    </r>
    <r>
      <rPr>
        <b/>
        <sz val="9"/>
        <color indexed="8"/>
        <rFont val="Arial"/>
        <family val="2"/>
      </rPr>
      <t xml:space="preserve">COMO SOLUCION SOLICITAN 500 METROS DE MANGUERA Y ACOPLES PARA LLEVAR AGUA DESDE LA CARCEL DE MAXIMA SEGURIDAD A LA DE MEDIA SEGURIDAD.      </t>
    </r>
  </si>
  <si>
    <r>
      <t>APOYO A LA</t>
    </r>
    <r>
      <rPr>
        <b/>
        <sz val="9"/>
        <rFont val="Arial"/>
        <family val="2"/>
      </rPr>
      <t xml:space="preserve"> FUERZA AEREA COLOMBIANA</t>
    </r>
    <r>
      <rPr>
        <sz val="9"/>
        <rFont val="Arial"/>
        <family val="2"/>
      </rPr>
      <t xml:space="preserve"> EN EQUIPOS PARA LA ATENCION DE LOS INCENDIOS FORESTALES. ASI: 22 RADIOS DE COMUNICACIÓN EN VHF, 15 RADIOS DE COMUNICACIÓN TERRESTRE EN UHF Y 2 BASCULAS DE 5 TONELADAS ($128,069,420). DOS CAMIONETAS PICKUP 4X4 Y UN CAMION PARA 6 TONELADAS ($328,333,580). DOS CUATRIMOTOS, 2 TRAILES PARA CUATRIMOTO, UN MONTACARGA DE 55 TONELADAS. POR VALOR DE $243,587.000.</t>
    </r>
  </si>
  <si>
    <t>55
81
96</t>
  </si>
  <si>
    <t>VEREDA PUEBLO NUEVO. DESBORDAMIENTO QUEBRADAS EL ESPINAL Y SAN PABLO, LA GUAYABAL Y LA PIOJA. BARRIOS BELEN, CARACOLI PATIO BONITO Y SAUCEDAL.BELEN, VILLA PAZ, VILLA CATALINAISAIAS OLIVAR, NACIONAL SANTA MARGARITA, AVENIDA BETANI, CABALLERO, FUTURO, FATIMA, CENTRO, SAN PEDRO, ASOBETANIA, ENTRE RIOS, LA ESPERANZA.</t>
  </si>
  <si>
    <t>VEREDA ESPRIELLA. INUNDACION POR DESPORDAMIENTO RIO CAUNAPI. REPORTE DEL CREPAD.</t>
  </si>
  <si>
    <t>SAN FRANCISCO</t>
  </si>
  <si>
    <t>REPORTE DEL CREPAD CUNDINAMARCA.</t>
  </si>
  <si>
    <t>VEREDA EL CEDRO, AGUA BONITA  MORROS, BALCONES, MIRAMAR, GAITANA, PALMARRIBA, REINABAJA, EL CARMEN, . REPORTE DEL CREPAD. EN EVALUACION SOLICITUD DE MANGUERA EN ESPERA DE ESPECIFICACIONES</t>
  </si>
  <si>
    <t>GIGANTE</t>
  </si>
  <si>
    <t>ARBOLETES</t>
  </si>
  <si>
    <t>BOGOTA D.C.</t>
  </si>
  <si>
    <r>
      <t xml:space="preserve">MUNICIPIO CON RACIONAMIENTO DE AGUA Y/O DESABASTECIMIENTO POR PROBLEMAS DE SEQUI DEBIDO AL FENOMENO DE EL NIÑO. REPORTE DEL MAVDT. . </t>
    </r>
    <r>
      <rPr>
        <b/>
        <sz val="9"/>
        <color indexed="8"/>
        <rFont val="Arial"/>
        <family val="2"/>
      </rPr>
      <t>SE ENVIARON CUATRO TANQUES DE 2000 LITROS CADA UNO PRESTADO POR MEDICOS SIN FRONTERAS POR DOS MESES</t>
    </r>
  </si>
  <si>
    <t>APOYO DEL FNC MEDIANTE LA ADQUISICION DE COMBUSTUBLE `POR VALOR DE $55.000.000, FUMIGACION Y CONTROL DE VECTORES POR VALOR DE $5.000.000, DOS MOTOSIERRAS $9,000,000, MACHETES Y HACHAS $3,000,000.</t>
  </si>
  <si>
    <t>62
201</t>
  </si>
  <si>
    <t>VEREDAS TORTUGAS, CORINTO, ISLA DEL SOL Y LA CHICA.</t>
  </si>
  <si>
    <t>CUNDAY</t>
  </si>
  <si>
    <t>LORICA</t>
  </si>
  <si>
    <t>DESBORDAMIENTO ARROYOS EL SAPO Y EL AJI. BARRIOS VILLA ESTELA, EL ESPINAL, EL MARQUEZ Y CORREGIMIENTO DE SANTA RITA. REPORTE DE LA DEFENSA CIVIL.</t>
  </si>
  <si>
    <r>
      <t xml:space="preserve">DESBORDAMIENTO RIO CAUCA Y MAGDALENA. BARRIOS VILLA MARIA, PLAYA RICA, VENEZUELA Y VILLA GERONIMO. VEREDAS PARAISO, CENTRO ALEGRE, TUCUYALTO, NISPERO, VEREDA, CORREGIMIENTOS BELLA VISTA, BUENAVISTA, PUERTO ISABEL, SANTA LUCIA, SAN ANDRES, PRIVIDENCIA, PLAYA BAJA, TRES CRUCES, MEDIALUNA, PALENQUERO, CONVENCION, SANTA FE, VILLA MARIA, LA PLAYITA, VILLA JANETH, NUEVA VICTORIA, PERALTA, CORONCORO. EL PARAISO, LOS NISPEROS, CONVENCION, GUACAMAYO, TRES CRUCES, BELLAVISTA, BUENAVISTA, ALGARROBO, EL PUENTE,  REPORTE DE LA DEFENSA CIVIL. </t>
    </r>
    <r>
      <rPr>
        <b/>
        <sz val="9"/>
        <rFont val="Arial"/>
        <family val="2"/>
      </rPr>
      <t>EL VALOR DE OTROS CORRESPONDE A 350 PARES DE BOTAS PARA ADULTO Y 150 PARA NIÑOS.</t>
    </r>
  </si>
  <si>
    <r>
      <t xml:space="preserve">DESBORDAMIENTO RIO CAUCA Y RUPTURA DEL DIQUE AFECTADO SECTOR BOCAS DEL CURA. FINCA LOS PINEDA, VWEREDA EL PARAISO. . REPORTE DE LA DEFENSA CIVIL. </t>
    </r>
    <r>
      <rPr>
        <b/>
        <sz val="9"/>
        <rFont val="Arial"/>
        <family val="2"/>
      </rPr>
      <t>APOYO DEL FNC MEDIANTE GIRO DIRECTO AL CLOPAD PARA ATENDER LA EMERGENCIA Y APOYAR LA ADQUISICION DE COMBUSTIBLE PARA LA MAQUINARIA QUE SE ENCUENTRA TRABAJANDO EN EL SECTOR COMPRENDIDO ENTRE LA BOCA DEL CANALY EL CHORRO DE LOS PINEDOS. EL VASLOR DE OTROS CORRESPONDE A 350 PARES DE BOTAS PARA ADULTO Y 150 PARA NIÑO.</t>
    </r>
  </si>
  <si>
    <t>GUAYABETAL</t>
  </si>
  <si>
    <t>DESBORDAMIENTO RIO TELEMBI. REPORTE DEL CLOPAD Y CREPAD. EL CREPAD MEDIANTE OFICIO DEL 1 DE OCTUBRE DA A CONOCER LAS ACCIONES ADELANTADAS A NIVEL REGIONAL MEDIANTE EL SUMINISTRO DE ASISTENCIA HUMANITARIA POR VALOR DE 196 MILLINES DE PESOS Y 10 TONELADAS DE ARROZ Y 5 TONELADAS DE AZUCAR DONACION DE LA DIAN.</t>
  </si>
  <si>
    <t>ADICIONALMENTE SE APOYO A TRAVES DEL DEPARTAMENTO</t>
  </si>
  <si>
    <t>GUADALAJARA DE BUGA</t>
  </si>
  <si>
    <t>VEREDA EL JANEIRO, VEREDAS LA MARIA  Y MIRAVALLE SECTOR PORVENIR, PALOMERA, PUERTO BERLIN, CARMELO. . VIA LA MAGDALENA - EL JANEIRO VIA EL PLACER - LA PISCINA, EL PLACER - LAS DELGADITAS, ALASKA -MONTERREY. REPORTE DEL CREPAD. SE REMITE AL CREPAD PARA EVALUACION</t>
  </si>
  <si>
    <t>BARRIO LOS PEDREGALES ALTO.REPORTE DE DEFENSA CIVIL.</t>
  </si>
  <si>
    <t>BARRIOS EL TRIUNFO GALAN, BOQUIA, Y EL CORREGIMIENTO DE BETULIA. REPORTE DEL CLOPAD Y DEFENSA CIVIL</t>
  </si>
  <si>
    <t>BARRIO BREITON. REPORTE DEL CREPAD.</t>
  </si>
  <si>
    <t>REPORTE DEL CREPAD EL CASCO URBANO SE ENCUENTRA INCOMUNICADO.</t>
  </si>
  <si>
    <t>FALAN</t>
  </si>
  <si>
    <t>PALOCABILDO</t>
  </si>
  <si>
    <t>VEREDA PAJUI. SE ENCUENTRA INCOMUNICADA LA POBLACION REPORTE DEL CREPAD.</t>
  </si>
  <si>
    <t>CHAPARRAL</t>
  </si>
  <si>
    <t>DESBORDAMIENTO QUEBRADA LEMAYA. EN EVALUACION. REPORTE DEL CREPAD.</t>
  </si>
  <si>
    <t>SECTOR LA CUCHARITA. REPORTE DEL CREPAD Y CLOPAD. SOLICITAN REGISTRO DE LA EMERGENCIA EN LA BASE DE DATOS</t>
  </si>
  <si>
    <t>DESBORDAMIENTO RIO MAGDALENA, CORREGIMIENTOS SAN SEBASTIAN Y BARBOSA. REPORTE DEL CREPAD</t>
  </si>
  <si>
    <t>CORREGIMIENTO NARIÑO, REPORTE DEL CREPAD.</t>
  </si>
  <si>
    <t>VEREDA RIO GRIS SAN JUAN. REPORTE DEL CREPAD.</t>
  </si>
  <si>
    <t>GACHETA</t>
  </si>
  <si>
    <t>ZONA RURAL REPORTE EL CREPAD.</t>
  </si>
  <si>
    <t>233
232
277
21509</t>
  </si>
  <si>
    <t>279
21509</t>
  </si>
  <si>
    <t>251
280
21509</t>
  </si>
  <si>
    <t>CASERIO EL TARRITO. REPORTE DEL CREPAD. TAPONADA VIA OCAÑA - CUCUTA. SE SOLICITA AL CREPAD EVALUAR LA SITUACION.</t>
  </si>
  <si>
    <t>SUSACON</t>
  </si>
  <si>
    <t>DESBORDAMIENTO RIO QUEBRADA TORURA. REPORTE DEL CREPAD.</t>
  </si>
  <si>
    <t>AFECTADO CASCO URBANO. REPORTE DEL CREPAD.</t>
  </si>
  <si>
    <t>BARRIO EL BOSQUE. REPORTE DEL CREPAD.</t>
  </si>
  <si>
    <t>VEREDA BOYAGA, REPORTE DEL CREPAD.</t>
  </si>
  <si>
    <t>MOLAGAVITA</t>
  </si>
  <si>
    <t>BARRIOS ROCIO ALTO, RIO, CORREGIMIENTO DE PUERTO CABRERA. REPORTE DEL CLOPAD</t>
  </si>
  <si>
    <t>VEREDA SN MIGUEL CABILDO INDIGENA DE INGA. REPORTE DE DEFENSA CIVIL.</t>
  </si>
  <si>
    <t>VEREDA EL PALMITO. REPORTE DEL CREPAD.</t>
  </si>
  <si>
    <t>270
297
21712</t>
  </si>
  <si>
    <t>1022 TEJAS DE ZINC, 135 DE AC NO. 6 Y 40880 AMARRES</t>
  </si>
  <si>
    <t>268 TEJAS DE ZINC, 288 DE AC NO. 6 Y 1072 AMARRES</t>
  </si>
  <si>
    <t>20 tejas no. 8, 193 tejas no. 6, 30 tejas no.4 120 tejas p1000, 160 tejas p 10, 1000 amarres y 20 galones de colorcel</t>
  </si>
  <si>
    <t>REPORTAN AFECTACION EN VIAS EL PITAL - CERRO ALTO, EL RINCON - PLAN DE ZUÑIGA - EL AZUL, CALDONO - PUEBLO NUEVO, EL RINCON - LA AGUADA. PASA A PROYECTOS.</t>
  </si>
  <si>
    <t>ACCIDENTE</t>
  </si>
  <si>
    <t>VIA BOGOTA - VILLAVICENCIO PEAJE PUENTE QUETAME.  ACCIDENTADO VEHICULO DE BOMBEROS QUE CAE AL RIO NEGRO.</t>
  </si>
  <si>
    <t>RESTREPO</t>
  </si>
  <si>
    <t>DESBORDAMIENTO RIO CANEY.</t>
  </si>
  <si>
    <t>CORREGIMIENTO DE CARPINTERO, VEREDAS CAFES, DANUBIO, PORVENIR, LA ESTRELLA EL ROSARIO, RESGUARDO MOSEUNQUE</t>
  </si>
  <si>
    <t>SOACHA</t>
  </si>
  <si>
    <t>BARRIO PUERTO MONTERO. DEBIDO A LAS FUERTES LLUVIAS SE PRESENTO COLAPSO DE VIVIENDA</t>
  </si>
  <si>
    <t xml:space="preserve">REPORTE DE LA DEFENSA CIVIL. INSPECCION ZULUAGA, VEREDAS LA FLORIDA Y BAJO PIÑAL </t>
  </si>
  <si>
    <t>VEREDAS CHINCE, JUATICA Y PAN DE AZUCAR. INUNDACION POR MATERIAL DE ARRASTRE</t>
  </si>
  <si>
    <t>SAN CAYETANO</t>
  </si>
  <si>
    <t>INUNDACION POR MATERIAL DE ARRASTRE. VEREDA PIE DE PEÑA. AFECTADA ESCUELA.</t>
  </si>
  <si>
    <t>HACIENDAS LAS MERCEDES Y CONSTANZA REPRESAMIENTO DEL RIO BOGOTA POR CAIDA DE ARBOLES DE EUCALIPTO,.</t>
  </si>
  <si>
    <t>MEDELLIN</t>
  </si>
  <si>
    <t>BARRIOS ROBLEDO, OLAYA HERRERA, ANTONIO NARIÑO Y SAN JAVIER. REPORTE DEL CREPAD</t>
  </si>
  <si>
    <t>VILLAVIEJA</t>
  </si>
  <si>
    <t>BARRIO LA ENEA</t>
  </si>
  <si>
    <t>MELGAR</t>
  </si>
  <si>
    <t>VIA IBAGUE ESPINAL SECTOR CHICORAL. PERSONAS AISLADAS.</t>
  </si>
  <si>
    <t>CARMEN DE APICALA</t>
  </si>
  <si>
    <t>DEBORDAMIENTO RIO UGAZA. AFECTACION DE MENOR PROPORCION, AFECTADA LA ESCUELA REPORTE TELEFONICO DEL CREPAD.</t>
  </si>
  <si>
    <t>REPORTE DEL CREPAD TELEFONICO.</t>
  </si>
  <si>
    <t>ARAUCA</t>
  </si>
  <si>
    <t>DESBORDAMIENTO RIO HACHA Y QUEBRADAS LA SARDINAQ Y LA PERDIZ. PENDIENTE EVALUACION. LA INFORMACION SOBRE AFECTACION SE CONSOLIDA EN EL EVENTO OCURRIDO EL 22 DE MAYO, TENIENDO EN CUENTA QUE SE TRATA DE UNA MISMA SITUACION.</t>
  </si>
  <si>
    <t>MUNICIPIO CON RACIONAMIENTO DE AGUA Y/O DESABASTECIMIENTO POR PROBLEMAS DE SEQUI DEBIDO AL FENOMENO DE EL NIÑO. REPORTE DEL MAVDT, CON ESTE RACIONAMIENTO TIENEN BAJO CONTROL LA SITUACION.</t>
  </si>
  <si>
    <t>MUNICIPIO CON RACIONAMIENTO DE AGUA Y/O DESABASTECIMIENTO POR PROBLEMAS DE SEQUI DEBIDO AL FENOMENO DE EL NIÑO. REPORTE DEL MAVDT. EN RACIONAMIENTO.  SITUACIÓN REPORTADA BAJO CONTROL</t>
  </si>
  <si>
    <t>EXPLOSION DE POLVORERIA EN EL SECTOR CAÑO GUAQUE. REPORTE DEL CREPAD VIA AVANTEL.</t>
  </si>
  <si>
    <t>APIA</t>
  </si>
  <si>
    <t>MISTRATO</t>
  </si>
  <si>
    <t>RACIONAMIENTO EN ZONA RURAL POR DISMINUUCION DE CAUDALES POR ENCIMA DEL 50% DE LA DUENTE ABASTECEDORA</t>
  </si>
  <si>
    <t>LA MONTAÑITA</t>
  </si>
  <si>
    <t>VEREDAS CANTAMONOS, YARUMAL, EL TIGRE, TAPARCAL, PIÑALES, LA SELVA, SAN JOSE, LA TESALIA, SANTA EMILIA, LOS ANGELES, TACHIGUI, EL BOSQUE, BARRIO LA JABONERIA, LAS COLINAS, BUENOS AIRES, LOS CONSTRUCTORES, OBRS PUBLICAS,28 DE FEBRERO, APROVIVAR, CHORRO SECO, PUERTA DEL SOL, ALTA DE LA CRUZ, SAN MARCOS, CASA DE LA CULTURA, MOCATAN, VILLA HERMOSA, PALOMARCITO, LAS GAVIOTAS.</t>
  </si>
  <si>
    <t>MARSELLA</t>
  </si>
  <si>
    <t>CRECIENTE SUBITA RIO BADILLO. CORREDIMIENTO DE LA VEGA.</t>
  </si>
  <si>
    <t>BARRIO BOSTON. CAIDA DE ARBOL SOBRE VIVIENDA. REPORTE DEL CLOPAD.</t>
  </si>
  <si>
    <t>COLOMBIA</t>
  </si>
  <si>
    <t>QUEBRADA LA LEJIA.</t>
  </si>
  <si>
    <t>DESBORDAMIENTO QUEBRADA LA OCA. BARRIOS LA ESMERALDA Y LA PAZ. REPORTE DE LA RUZ ROJA AY EL CREPAD. SITUACION EN EVALUACION PARA CONFIRMAR NECESIDAD DE APOYO DEL NIVEL NACIONAL VICTOR PERLAZA ALCALDE 3117279935.</t>
  </si>
  <si>
    <t>CIMITARRA</t>
  </si>
  <si>
    <t>DESBORDAMIENTO RIO CARARE AFECTADO CORREGIMIENTO DE PUERTO ARAUJO. SITUACION EN EVALUACION PARA VER NECESIDAD DE APOYO DEL NIVEL NACIONAL SECRETARIO DE GOBIERNO ENRIQUE OLARTE 3182530454</t>
  </si>
  <si>
    <t>KIT COCINA</t>
  </si>
  <si>
    <t>KIT ALCOBA</t>
  </si>
  <si>
    <t>JABON BARRA</t>
  </si>
  <si>
    <t>DESCRIPCION Y UBICACIÓN</t>
  </si>
  <si>
    <t>INCENDIO FORESTAL</t>
  </si>
  <si>
    <t>OLLAS</t>
  </si>
  <si>
    <t>EXPLOSION</t>
  </si>
  <si>
    <t xml:space="preserve">M E N A J E S </t>
  </si>
  <si>
    <t>VALOR TOTAL</t>
  </si>
  <si>
    <t>CEMENTO</t>
  </si>
  <si>
    <t>APOYO FONDO NACIONAL DE CALAMIDADES</t>
  </si>
  <si>
    <t>182
206</t>
  </si>
  <si>
    <t>SECTOR GUANANA. REPORTE DEL CREPAD.</t>
  </si>
  <si>
    <t xml:space="preserve">DESBORDAMIENTO RIO GUELMAMBI  REPORTE DEL CLOPAD. </t>
  </si>
  <si>
    <t>SECTOR LOS TUBOS. REPORTE TELEFONICO DEL CREPAD</t>
  </si>
  <si>
    <t>TOLIMA</t>
  </si>
  <si>
    <t>VIA GIRARDOT - NARIÑO, Y DESBORDAMIENTO QUEBRADA SAN JOSE</t>
  </si>
  <si>
    <t>SE APOYA TENIENDO EN CUENTA LA GRAVE AFECTACION.</t>
  </si>
  <si>
    <t>34446
36755</t>
  </si>
  <si>
    <t>ALTOS DEL ROSARIO</t>
  </si>
  <si>
    <t>DESBORDAMIENTO RIO MAGDALENA. CORREGIMIENTOS DE LA PACHA, SAN ISIDRO, ALTOS DEL ROSARIO, EL RUBIO, SAN MARTIN, EL DIAMANTE, EL CARMEN, SAN JORGE,VENECIA, SANTA LUCIA, CARDALES, PUERTO ROSARIO, VEREDAS EL CAIMAN Y EL MIMBRE.</t>
  </si>
  <si>
    <t>DESBORDAMIENTO RIO CAUCA. CORREGIMIENTOS DE LA RAYA, LA ENCARAMADA, LAS PLAYITAS, LA LOMA, CAIMITAL, EL CATORCE, EL SINAI, LA RIQUEZA, VIDA TRANQUILA, PUENTANA, MEXICO, GALINDO Y PENCHE. REPORTE DEL CREPAD. PENDIENTE AFECTACION.</t>
  </si>
  <si>
    <t>ZONA URBANA CORREGIMIENTOS GUACAMAYO, EL SUDAN TIQUISIO NUEVO, PUERTO COA. REPORTE DE LA DEFENSA CIVIL.</t>
  </si>
  <si>
    <t xml:space="preserve">DESBORAMIENTO RIO MAGDALENA. VEREDAS PUERTO ROJO, CALAVERA, PRIMERO DE MAYO, ISLAS LA BARRIGONA RAYADEROS YERBABUENA Y TRES ESQUINAS. </t>
  </si>
  <si>
    <t>BAGADO</t>
  </si>
  <si>
    <t>SECTOR ALTO ANDAGUEDA</t>
  </si>
  <si>
    <t>DESBORDAMIENTO RIO PERALONSO</t>
  </si>
  <si>
    <t>MUNICIPIO CON RACIONAMIENTO DE AGUA Y/O DESABASTECIMIENTO POR PROBLEMAS DE SEQUI DEBIDO AL FENOMENO DE EL NIÑO. REPORTE DEL MAVDT. SITUACION BAJO CONTROL DEL CLOPAD. SE TIENE PREVISTO EL APOYO DE EMSERFUSA EN EL EVENTO DE REQUERIR AGUA Y CARROTANQUES</t>
  </si>
  <si>
    <t>APOYO DEL FNC MEDIANTE GIRO DIRECTO AL CLOPAD PARA LA ADQUISICION DE 1500 GALONES DE GASOLINA PARA LABORES DE MONITOREO Y TRASLADO DEL PERSONAL ENCARGADO DEL CONTROL DE INCENDIOS FORESTALES. EL VALOR DE OTROS CORREPONDE A 1200 RACIONES DE CAMPAÑA Y 2400 SOBRES HIDRATANTES.</t>
  </si>
  <si>
    <t>193
95</t>
  </si>
  <si>
    <t>SE APOYA TENIENDO EN CUENTA LA GRAVE AFECTACION EN VIAS.</t>
  </si>
  <si>
    <t>TENJO</t>
  </si>
  <si>
    <t>SE APOYA ANTE LA DIFICULTAD DE LAS LABORES DE CONTROL Y EXTINCION DEL INCENDIO, PESE A LOS ESFUERZOS LOCALES Y DEPARTAMENTALES Y LA VISITA REALIZADA POR LA DIRECTORA.</t>
  </si>
  <si>
    <r>
      <t xml:space="preserve">LIMITES CON SUBACHOQUE VEREDAS CHITASUGA Y CHINCE  EN TENJO Y VEREDAS GALDAME Y SANTUARIO LA CUETA DE SUBACHOQUE.. </t>
    </r>
    <r>
      <rPr>
        <b/>
        <sz val="8"/>
        <rFont val="Arial"/>
        <family val="2"/>
      </rPr>
      <t>APOYO DEL FNC MEDIANTE GIRO DIRECTO AL CLOPAD PARA LA ADQUISICION DE COMBUSTIBLES, ALIMENTACON INSUMOS TRANSPORTE, ELEMENTOS DE SEGURIDAD, HERRAMIENTA Y REPARACION DE EQUIPOS Y MAQUINARIA PARA APOYAR EL CONTROL DEL INCENDIO.</t>
    </r>
  </si>
  <si>
    <t>PUERTO RICO</t>
  </si>
  <si>
    <t>APOYO DEL FNC MEDIANTE SUMINISTRO DE ELEMENTOS CONTRA INCENDIOS FORESTALES  ASI : 40 BOMBAS, 40 MCLEOD, 40 PULASKY, 80 BATEFUEGOS, 120 MONOGAFAS, 40 RASTRILLOS, 4 MOTOSIERRAS.</t>
  </si>
  <si>
    <t>SE APOYA TENINEDO EN CUENTA LA TEMPORADA FUERTE DE INCENDIOS FORESTALES</t>
  </si>
  <si>
    <t>REPORTE DEL CLOPAD. SOLICITAN MATERIALES PARA REPARAR 100 VIVIENDAS. EL CLOPAD INFLORMA QUE ESTAN FORMULANDO PROYECTO PARA LA RECONSTRUCCION COMPLETA DE 10 VIVIENDAS.</t>
  </si>
  <si>
    <r>
      <t xml:space="preserve">MUNICIPIO CON RACIONAMIENTO DE AGUA Y/O DESABASTECIMIENTO POR PROBLEMAS DE SEQUIA DEBIDO AL FENOMENO DE EL NIÑO. REPORTE DEL MAVDT. </t>
    </r>
    <r>
      <rPr>
        <b/>
        <sz val="10"/>
        <color indexed="8"/>
        <rFont val="Arial"/>
        <family val="2"/>
      </rPr>
      <t>SUMINISTRO DE AGUA POR CARROTANQUE.</t>
    </r>
  </si>
  <si>
    <r>
      <t xml:space="preserve">MUNICIPIO CON RACIONAMIENTO DE AGUA Y/O DESABASTECIMIENTO POR PROBLEMAS DE SEQUI DEBIDO AL FENOMENO DE EL NIÑO. REPORTE DEL MAVDT. SE PRESTARÁ APOYO TÉCNICO POR PARTE DE LOS PROFESIONALES DEL GESTOR DEL PDA.A TRAVÉS DEL SNPAD </t>
    </r>
    <r>
      <rPr>
        <b/>
        <sz val="9"/>
        <color indexed="8"/>
        <rFont val="Arial"/>
        <family val="2"/>
      </rPr>
      <t>SE DESPLAZARÁ UN CARROTANQUE O VEJIGAS PARA PRESTAR ABASTECIMIENTO. IGUALMENTE EL ALCALDE SOLICITÓ UNA PLANTA PROTATIL PARA LO CUAL SE ADELANTARAN LAS GESTIONES RESPECTIVAS</t>
    </r>
  </si>
  <si>
    <t>VEREDA EL CARMEN. REPORTE DE LA DEFENSA CIVIL.</t>
  </si>
  <si>
    <t>ALVARADO</t>
  </si>
  <si>
    <t>SE APOYA TENIENDO EN CUENTA LA AFECTACION EN VIVEIENDAS</t>
  </si>
  <si>
    <t>NUQUI</t>
  </si>
  <si>
    <t>DESBORDAMIENTO QUEBRADA EL REVES QUE AFECTO EL ACUEDUCTO DEJANDO 740 FAMILIAS AFECTADAS POR DESABASTECIMIENTO DE AGUA. ALCALDE MARTIN ADENA 313 2632692 SIN SERVICIO DE AGUA.</t>
  </si>
  <si>
    <t>GUADALUPE</t>
  </si>
  <si>
    <t>VEREDAS SARTENEJAL, CACHIMBAL, PABLICO. LA PLANTA Y GUAMAL. QUEBRADA LA VICIOSA</t>
  </si>
  <si>
    <r>
      <t xml:space="preserve">MUNICIPIO CON RACIONAMIENTO DE AGUA Y/O DESABASTECIMIENTO POR PROBLEMAS DE SEQUI DEBIDO AL FENOMENO DE EL NIÑO. REPORTE DEL MAVDT. UMINISTRO EN CARROTANQUES CON LA SIGUIENTE FLOTA: 3 DE AGUAS DEL TEQUENDAMA, 2 DE EPC, 1 DE LA LICORERA, 1 DEL MUNICIPIO, QUE SE ABASTECEN DEL RIO APULO EN LA INSPECCIÒN DE LA ESPERANZA. </t>
    </r>
    <r>
      <rPr>
        <b/>
        <sz val="9"/>
        <color indexed="8"/>
        <rFont val="Arial"/>
        <family val="2"/>
      </rPr>
      <t>EAAB HA APOYADO CON 2 VIAJES DE 35 M3, DOS DE 10 M3 Y FACILITÓ DOS TANQUES ESTACIONARIOS DE 5000 LTS C/U.AGUAS DEL TEQUENDAMA HA ADQUIRIDO 15 TANQUES DE 6000 LTS C/U QUE  INSTALÒ EN SITIOS ESTRATEGICOS.</t>
    </r>
  </si>
  <si>
    <t>BARRIO GALAN Y LAS VEGAS, AFECTADO SECTOR URBANO. REPORTE DEL CREPAD.</t>
  </si>
  <si>
    <t>REPORTE DEL CREPAD. SECTOR RURAL LA ESPERANZA Y LA ISLA.</t>
  </si>
  <si>
    <t>4000 TEJAS TEALIT NO. 4, 600 CABALLETES LIMATESA Y 8500 AMARRES</t>
  </si>
  <si>
    <t>FLANDES</t>
  </si>
  <si>
    <t>BARRIOS LA PAZ, QUINTA AVENIDA, Y FERROCARRIL. INUNDACION POR FUERTES LLUVIAS Y TAPONAMIENTO DE ALCANTARILLADO.</t>
  </si>
  <si>
    <t xml:space="preserve">REPORTE DEL CREPAD VEREDA CAPILLA SECTOR CARREFOUR DESBORDAMIENTO RIO SOACHA. BARRIO LOS OLIVARES. </t>
  </si>
  <si>
    <t>CALLE 40 CON CARRERA 9 Y 11.</t>
  </si>
  <si>
    <t>FLORIDA</t>
  </si>
  <si>
    <t>PRADERA</t>
  </si>
  <si>
    <t>CAIDA DE ARBOLES.</t>
  </si>
  <si>
    <t>BARRIOS 7 DE ABRIL Y ME QUEJO. REPORTE DEL CLOPAD.</t>
  </si>
  <si>
    <t>COLAPSO DE OBRA DE AGUAS</t>
  </si>
  <si>
    <t>SE APOYA COMO MEDIDA URGENTE DE MITIGACION FRENTE A LA TEMPORADA INVERNAL.</t>
  </si>
  <si>
    <t>SOLICITUD DEL CREPAD.</t>
  </si>
  <si>
    <t>INUNDACION POR FUERTES LLUVIAS. AFECTADA LA VIA SANTA ROSA - LA CHINITA. BARRIOS VILLA ROMA, SECTOR SANTA MARIA, REPORTE DEL CREPAD.</t>
  </si>
  <si>
    <t>171
180</t>
  </si>
  <si>
    <t>173
183</t>
  </si>
  <si>
    <t>138
183</t>
  </si>
  <si>
    <t>138
522</t>
  </si>
  <si>
    <t>AVENIDA GONZALEZ VALENCIA CON CALLE 50. COLAPSO DE UNA EDIFICACION EN CONSTRUCCION, REPORTE DEL CLOPAD.</t>
  </si>
  <si>
    <t>DESBORDAMIENTO RIO GALLINAZO BARRIO EXPOFERIA, LA SULTANA, ALTO SUIZA, REPORTE DE LA DEFENSA CIVIL.</t>
  </si>
  <si>
    <t>CRECIENTE DE LA QUEBRADA EL FRAILE. REPORTE DEL CREPAD.</t>
  </si>
  <si>
    <t>SECTOR URBANO. REPORTE DEL CREPAD.</t>
  </si>
  <si>
    <t>BARRIO LA CAPILLA. SECTOR LOMA LINDA EL CREPAD Y CLOPAD UBICARON ALOAMIENTO TEMPORAL EN EL SALON COMUNAL DE CASUCA. Y PLAN PADRINO PARA ALOJAMIENTO EN CASA DE FAMILIAES O AMIGOS</t>
  </si>
  <si>
    <t>49908
59351</t>
  </si>
  <si>
    <t>P.I.</t>
  </si>
  <si>
    <r>
      <t xml:space="preserve">SISMO DE MAG 3.2 PROF DE 11 KM CON EPICENTRO EN LA VEGA. REPORTE DEL CREPAD Y CRUZ ROJA. </t>
    </r>
    <r>
      <rPr>
        <b/>
        <sz val="9"/>
        <rFont val="Arial"/>
        <family val="2"/>
      </rPr>
      <t>APOYO DEL FNC MEDIANTE GIRO DIRECTO AL CLOPAD BAJO EL PROYECTO DE INVERSION "REHABILITACION Y ATENCION DE EMERGENCIAS EN EL TERRITORIO NACIONAL ACTIVIDAD OBRAS DE RECUPERACION INMEDIATA EN ZONAS AFECTADAS POR EEMERGENCIAS PARA LA RECUPERACION DE LAS VIVIENDAS AFECTADAS POR VALOR DE $25.000.000</t>
    </r>
  </si>
  <si>
    <r>
      <t xml:space="preserve">AFECTADAS VIAS EL RECREO- PUENTE FIERRO, LA ZANJA - GUACHICONO, PUENTE CALICANTO - LETICIA. </t>
    </r>
    <r>
      <rPr>
        <b/>
        <sz val="9"/>
        <rFont val="Arial"/>
        <family val="2"/>
      </rPr>
      <t>APOYO DEL FNC MEDIANTE GIRO DIRECTO AL CLOPAD BAJO EL PROYECTO DE INVERSION "REHABILITACION Y ATENCION DE EMERGENCIAS EN EL TERRITORIO NACIONAL ACTIVIDAD OBRAS DE RECUPERACION INMEDIATA EN ZONAS AFECTADAS POR EEMERGENCIAS PARA LA RECUPERACION E LA VIA EL RECREO PUETNE FIERRO. POR VALOR DE $10.000.000</t>
    </r>
  </si>
  <si>
    <t>APOYO DEL FNC MEDIANTE GIRO DIRECTO AL CLOPAD A TRAVES DE LOS RECURSOS DEL FNC PAJO EL PROYECTO DE INVERSION REHABILITACION Y ATENCION DE EMERGENCIAS EN EL TERRITORIO NACIONAL ACTIVIDAD OBRAS DE RECUPERACION INMEDIANTA EN ZONAS AFECTADAS POR EMERGENCIAS POR VALOR DE $35.000.000</t>
  </si>
  <si>
    <r>
      <t>ENVIAN DECRETO 034 MEDIANTE EL CUAL DECLARAN LA EMERGENICA VIAL. VIAS VERSALLES-COSTARICA-EL CEDRO, MORRO ÑATO - PIÑARES-EL VERGEL; VERSALLES-EL DIAMANTE- CAMPOALEGRE-LA FLORIA - EL SILENCIO- EL CEDRO- EL BALSAL; VERSALLES, EL TAMBO-BOSQUETARSO- PUERTO NUEVO. REPORTE DEL CLOPAD AVAL DEL CREPAD.</t>
    </r>
    <r>
      <rPr>
        <b/>
        <sz val="9"/>
        <rFont val="Arial"/>
        <family val="2"/>
      </rPr>
      <t xml:space="preserve"> APOYO DEL FNA MEDIANTE GIRO DIRECTO AL CLOPAD PARA APOYAR LA REHABILITACION DE LAS VIAS.</t>
    </r>
  </si>
  <si>
    <t>SAN JUAN DEL CESAR</t>
  </si>
  <si>
    <t>DESBORDAMEINTO RIO SAN FRANCISCO. REPORTE DEL CREPAD. CASCO URBANO</t>
  </si>
  <si>
    <t>DESBORDAMIENTO RIO CAÑAVERALES Y EL ARROYO REPARITO. VEREDAS SITIO NUEVO Y CONEJO EN EL CORREGIMIENTO LOS HATICOS. REPORTE DE LA DEFENS CIVIL</t>
  </si>
  <si>
    <t>EXPLOSION DE MINA POR ACUMULACION DE GASES. VEREDA LA VIRGEN MINA LA LOMA. REPORTE DEL CREPAD</t>
  </si>
  <si>
    <t>AVALANCHA RIO CATATUM,BO, CORREGIMEINTO SAN PABLO. SECTOR PUENTE ROJO. REPORTE DEL CREPAD.</t>
  </si>
  <si>
    <t>AGUADAS</t>
  </si>
  <si>
    <t>VEREDA LA LETICIA REPORTE DE SOCORRO NACIONAL.</t>
  </si>
  <si>
    <t>BARRIO SAN BLAS. REPORTE DE SOCORRO NACIONAL.</t>
  </si>
  <si>
    <t>SECTOR AGUALINDA. REPROTE DEL CREPAD.</t>
  </si>
  <si>
    <t>BARRIO CEILAN. REPORTE DEL CREPAD.</t>
  </si>
  <si>
    <t>EXPLOSION DE MINA POR ACUMULACION DE GASES. MINA EL ROBLE VEREDA SANTUARIO. REPORTE DEL CREPAD</t>
  </si>
  <si>
    <t>VEREDA SUGA SETOR CHIRCALES REPORTE DEL CREPAD</t>
  </si>
  <si>
    <t>QUEBRADA LA CARBONERA. BARRIOS MIRADOR, RINCON SANTO, LAS VEREDAS EL PALMAR Y ZAPATA. REPORTE DEL CREPAD.</t>
  </si>
  <si>
    <t>AFECTADA VIA SUBA COTA POR DESBORDAMIENTO RIO BOGOTA. SECTORES PUEBLO VIEJO, PARCELAS, ROZO, SIBERIA, VUELTA GRANDE, CETIME, LA MOYA Y EL ABRA.  REPORTE DE LA DEFENSA CIVIL.</t>
  </si>
  <si>
    <t>SECTOR URBANO, SECTOR RURAL.. VEREDA TIBROTE. REPORTE DEL CREPAD.</t>
  </si>
  <si>
    <t>FOSCA</t>
  </si>
  <si>
    <t>VEREDA POTRERITOS Y QUINCHITA. REPORTE DEL CREPAD. VIAS FOSCA - POTRERITOS  Y FOSCA - QUINCHIA.</t>
  </si>
  <si>
    <t>GUALMATAN</t>
  </si>
  <si>
    <t>SECTOR COFRADIA O OBISPO. REPORTE DEL CREPAD.</t>
  </si>
  <si>
    <t>LEIVA</t>
  </si>
  <si>
    <t>CORREGIMIENTO EL TABLON, EL PALMAR, EL CAMPANARIO, LAS CAÑADAS, LA ESPERANZA. REPORTE DEL CREPAD.</t>
  </si>
  <si>
    <t>270
274
25048</t>
  </si>
  <si>
    <t>270
277
278
21712
24935
24935
24938</t>
  </si>
  <si>
    <t>270
271
40169
24652</t>
  </si>
  <si>
    <t>266
270
271
24652</t>
  </si>
  <si>
    <r>
      <t>APOYO PARA LOS MUNICIPIOS DE TUNJA, DUITAMA, SOGAMOSO, NOBSA, FIRAVITOBA, PAIPA, TUTA, TOCA, TIBASOSA, OTANCHE, SAN PABLO DE BORBUR.</t>
    </r>
    <r>
      <rPr>
        <b/>
        <sz val="9"/>
        <rFont val="Arial"/>
        <family val="2"/>
      </rPr>
      <t xml:space="preserve"> APOYO DEL FNC MEDIANTE GIRO DIRECTO AL CREPAD PARA ADQUISICION DE COMBUSTIBLE PARA LA MAQUINARIA UTILIZADA EN LAS ZONAS DE EMERGENCIA EN LOS MUNICIPIOS DE TASCO, TOPAGA, SOCHA, EL ESPINO GUICAN, BOAVITA, LA UVITA, SAN MATEO, MARIPI, OTANCHE.</t>
    </r>
  </si>
  <si>
    <t>20842
23554
23795</t>
  </si>
  <si>
    <t>35570
21328
23554
23795</t>
  </si>
  <si>
    <t>SECTOR ARENILLO, DESBORDAMIENTO RIO BOLO, REPROTE DEL CREPAD.</t>
  </si>
  <si>
    <t>EL DOVIO</t>
  </si>
  <si>
    <t>VEREDA CALLE LARGA, REPORTE DEL CREPAD.</t>
  </si>
  <si>
    <t>DESBORDAMIENTO RIO CEIBA QUE AFECTO EL ACUEDUCTO Y DESLIZAMIENTO EN EL BARRIO SAN ANTONIO.  REPORTE DEL CLOPAD.</t>
  </si>
  <si>
    <t>TARQUI</t>
  </si>
  <si>
    <t>DESBORDAMIENTO RIO CAUCA. BARRIOS, NUEVO AMANECER, Y DECEPAZ. REPORTE DE LA DEFENSA CIVIL.</t>
  </si>
  <si>
    <t>VEREDA EL ZANCUDO. CORREGIMIENTO ALTO ESPAÑOL. FINCA COCOLO. REPORTE DEL CREPAD.</t>
  </si>
  <si>
    <t>CAQUEZA</t>
  </si>
  <si>
    <t xml:space="preserve">REPROTE DEL CREPAD. VEREDAS GIRON DE BLANCO, GIRON DE MOYAS, PARAMO. </t>
  </si>
  <si>
    <t>UNE</t>
  </si>
  <si>
    <t>PERIMETRO URBANO Y VEREDAS SAN LUIS, TIMACITA, Y MATEGA. REPORTE DEL CREPAD AFECTADO PUENTE PEATONAL RIO CARAZA.</t>
  </si>
  <si>
    <t>SOPO</t>
  </si>
  <si>
    <t>VEREDAS CENTRO ALTO, SECTOR LAS MERCEDES. REPORTE DEL CREPAD.</t>
  </si>
  <si>
    <t>DESBORDAMIENTO QUEBRADA LA CHACUA. BARRIOS PABLO NERUDA, GARCIA, REPORTE DEL CREPAD.</t>
  </si>
  <si>
    <t>VEREDAS ZARAGOZA, EL PALMAR, LA MARIA, Y CHICAQUE. REPORTE DEL CREPAD.</t>
  </si>
  <si>
    <t>VEREDAS LA FLORIDA, LA VEGA, PANECILLO, LA LAGUNA, CORREGIMINTO MADRIGAL. REPORTE DEL CREPAD. VIA NACIONAL - POLICARPA. CORREIMIENTO EL REMOLINO, VIA DEPARTAMENTAL POLICARPA - EL EGIDO, MADRIGAL, Y POLICARPA - BRAVO, LA CUHCILLA - NACEDEROS, VIAS TERCIARIAS, ALTAMIRA - EL ROSAL, ALTAMIRA EL PEDREGAL,. POLICARPA - RESTREPO. RESTRPO NACEDROS, MADRIGAL - SANTA CRUZ, SANTA CRUZ- SANTA ROSA., EL EGIDO - ALGODONES, REMOLINIOS - SANCHEZ, RIO SAN PABLO - BALBANERA, BALBANERA - BELLA ESPERANZA, RIO SAN PABLO - EL CAIRO, LA DORADA LA CUCHILLA, EL FILI - SANTA LUCIA, EL FILO - VILLA MORENO, AFECTADOS CUATRO ACUEDUCTOS. REPORTE DEL CREPAD.</t>
  </si>
  <si>
    <t>ARBOLEDA</t>
  </si>
  <si>
    <t>REPORTE DEL CREPAD. AFECTACIONE N VIAS ROSA - FLORIDA Y PUENTE EL TAUSO.</t>
  </si>
  <si>
    <t>TANGUA</t>
  </si>
  <si>
    <t>REPORTE DEL CREPAD. VIA PASTO - IPIALES KM 51.</t>
  </si>
  <si>
    <t>SAMANIEGO</t>
  </si>
  <si>
    <t>VEREDAS ALTO Y BAJO CANADA, EL LIMON, NARANJAL, PICHUELO, CHUGLUNDY, LA CAPILLA, LA LAGUNA, PIEDRABLANCA, EL SALADO, PUERCHAG, LA MESA, MOTILON, VISTAHERMOSA, GUADUAL, CARTAGENA, BARRIOS LOS ANGELES, LA AVENIDA, SILOE, SCHUMACHER, REPORTE DEL CREPAD.. AFECTADAS VIAS A LOS MUNICIPIOS DE LA LLANADA, Y LINARES Y VEREDAS LA CAPILLA, MONTEBLANCO, CHUGULDE, SAN ANTONIO, PIEDRABALNCA, LA ESMERALDA, ALCTO CARTAGENA, EL DECIO, LA PLANADA, VEREDA EL SESENTA.</t>
  </si>
  <si>
    <t>SECTORES EL PALMAR, OSPINA, BARRIO CARAGENA. REPORTE DEL CREPAD.</t>
  </si>
  <si>
    <t>23167
23783
23922
25070</t>
  </si>
  <si>
    <t>233
232
257
23563
24952</t>
  </si>
  <si>
    <t>270
271
24950</t>
  </si>
  <si>
    <t xml:space="preserve">ROMPIMIENTO DEL DIQUE, CORREGIMIENTO BARRO BLANCO. REPROTE DEL CREPAD. </t>
  </si>
  <si>
    <r>
      <t>DESBORDAMIENTO RIO CUCUTILLA POR FUERTES LLUVIAS EN EL SECTOR SAN ISIDRO , CONFINES Y EL MOLINO, REPORTE DEL CREPAD.</t>
    </r>
    <r>
      <rPr>
        <b/>
        <sz val="9"/>
        <rFont val="Arial"/>
        <family val="2"/>
      </rPr>
      <t xml:space="preserve"> El VALOR DE OTROS CORRESPONDE A 600 TEJAS DE ZINC, 10000 BLOQUE, 600 BULTOS DE CEMENTO Y 140 ROLLOS DE MANGUERA DE 1/2 "</t>
    </r>
  </si>
  <si>
    <t>DESBORDAMIENTO RIO MANZANARES QUEBRADA LA LATA RIO GUACHARACA Y QUEBRADA LA LINEA REPORTE DE DEFENSA CIVIL BARRIO LA ESMERALDA BULEVAR DEL RIO TAYRONA ALTO Y BAJO VILLA DEL RIO 1 2Y 3 PAMPLONITA 8 DE FEBRERO, SANTA ANA, VILLA  MALVINAS, SIMON BOLIVAR, SALAMANCA, VILLA DEL CARMEN, FUNDADORES, ONDAS DEL CARIBE, CHIMILA, GALAN, PANTANO, OASIS, MARIA CECILIA, PESCADITO, MARIA EUGENIA Y CORREGIMIENTOS EL CHORRO, GUACHARACA, PUERTO NUEVO.</t>
  </si>
  <si>
    <t>REPORTE DEL CLOPAD CORREGIMIENTOS CERRITO, VEREDA ESTACION VILLEGAS.</t>
  </si>
  <si>
    <t>REPORTE DEL CLOPAD. CALLE9 11 47</t>
  </si>
  <si>
    <t>REPORTE DEL CREPAD CORREGIMIENTOS SAN RAFAEL Y ZONA RURAL.</t>
  </si>
  <si>
    <t>PUENTE PEÑA COLORADA. REPORTE DEL CREPAD INCOMUNICADOS ENCISO Y CAPITANEJO EN LA PROVINCIA DE GARCIA ROVIRA</t>
  </si>
  <si>
    <t>CRECIENTE SUBITA RIO GASAUNTA. VEREDA ZARZAL. REPORTE DE LA DEFENSA CIVIL.</t>
  </si>
  <si>
    <t>BARRIO ECUADOR DEPOSITO DE CAFÉ. REPROTE DEL CREPAD.</t>
  </si>
  <si>
    <t>ARANZAZU</t>
  </si>
  <si>
    <t>QUEBRADA EL BRILLANTE.  DAÑOS EN EL ACUEDUCTO DEL MUNICIPIO, CERCA DE 12000 PERSONAS SE ENCUENTRAN SIN AGUA. REPORTE DEL CREPAD.</t>
  </si>
  <si>
    <t>GUACARI</t>
  </si>
  <si>
    <t>DAGUA</t>
  </si>
  <si>
    <t xml:space="preserve">SECTOR LA GUINEA. REPORTE DEL CREPAD. </t>
  </si>
  <si>
    <t>SANDONA</t>
  </si>
  <si>
    <t>REPORTE DEL CREPAD. VIAS PUENTE TABLA - MICHUACA, EL COCUYO - PIJAO</t>
  </si>
  <si>
    <t>CRECIENTE RIO INGENIO, SE AFECTO EL ACUEDUCTO DEL MUNICIPIO. HAY 10.500 PERSONAS SIN SERVICIO DE AGUA REPORTE DEL CREPAD.</t>
  </si>
  <si>
    <t>DESBORDAMIENTO ARROYO POLON. REPORTE DEL CREPAD.</t>
  </si>
  <si>
    <t>CAJIBIO</t>
  </si>
  <si>
    <t>CORREGIMIETNOS EL ROSARIO, EL RECUERDO, LA CAPILLA, CAMPO ALEGRE, TROPICAL TUMACO, BALASTRERA, BETANIA. AFECTADAS VIAS EL RECUERDO, EL ROSARIO, PALACE, LA LAGUNA, ORTEGA, LA CAPILLA, NUEVO HORIZONTE, BUENAVISTA Y SAN ANTONIO. REPORTE DEL CREPAD.</t>
  </si>
  <si>
    <t xml:space="preserve">CORREGIMEINTO GABRIEL LOPEZ. AFECTACION EN LA IGLESIA Y EL PUESTO DE SALUD. REPORTE DEL CREPAD. </t>
  </si>
  <si>
    <t>MUTATA</t>
  </si>
  <si>
    <t>DESBORDAMIENTO RIO CAUCA. SECTORES SAN JORGE, LA PLAYA, COLOMBIA Y EL TABLAZO. REPORTE DEL CREPAD.</t>
  </si>
  <si>
    <t>BARRIOS CUCHILLA DE VILLATE, EL BOSQUE, CARRIZAL, SIETE DE ABRIL, NUEVA COLOMBIA, LA CANGREJERA,  Y VILLA EL ROSARIO. REPORTWE DEL CREPAD</t>
  </si>
  <si>
    <t>CORREGIMIENTO SAN CRISTOBAL. REPORTE DE LA DEFENSA CIVIL.</t>
  </si>
  <si>
    <t>DESBORDAMIENTO RIO LA CRUZ SECTOR LA PLANTA. REPROT DEL CREPAD.</t>
  </si>
  <si>
    <t>TITIRIBI</t>
  </si>
  <si>
    <t>CRECIENTE DE CAÑO SECTOR VIEJOBARRIO MANIZALES. REPORTE DEL CREPAD</t>
  </si>
  <si>
    <t>SECTOR EL TIGRE REPORTE DEL CREPA</t>
  </si>
  <si>
    <t>VIGIA DEL FUERTE</t>
  </si>
  <si>
    <t>DESBORDAMIENTO RIO ATRATO. REPORTE DEL CREPAD.</t>
  </si>
  <si>
    <t>BOJAYA</t>
  </si>
  <si>
    <t>DESBORDAMIENTO RIO ATRATO REPORTE DE LA CRUZ ROJA</t>
  </si>
  <si>
    <t>DESBORDAMIENTO RIO BAUDO. REPORTE DE LA CRUZ ROJA. CORREGIMIENTO QUERA.</t>
  </si>
  <si>
    <t>DESBORDAMINETO RIO BAUDO. REPORTE DE LA CRUZ ROJA</t>
  </si>
  <si>
    <t>VEREDAS CANOAN, CHAGUALA, PALO GRANDE. REPROTE DEL CREPAD.</t>
  </si>
  <si>
    <t>SECTOR EL CAIMO. REPROTE DEL CLOAPD</t>
  </si>
  <si>
    <t>DESBORDAMIENTO RIO DAGUA. CORREGIMIENTO CISNEROS, VEREDA LA GUINEA. REPORTE DE LA DEFENSA CIVIL</t>
  </si>
  <si>
    <t xml:space="preserve">SECTOR SABINAS. VIA MANIZALES - BOGOTA. REPORTE DE SOCORRO NACIONAL </t>
  </si>
  <si>
    <t>REPRESAMIENTO QUEBRADA ZATE. ZONA URBANA BARRIO LA SOMBRILLA Y VEREDA LOS CERRILLOS. REPORTE DEL CLOPAD Y CREPAD.</t>
  </si>
  <si>
    <t>SASAIMA</t>
  </si>
  <si>
    <t>VEREDA GUAYACUNDO. REPROTE DEL CREPAD.</t>
  </si>
  <si>
    <t>CRECIENTE QUEBRADA REYES. VEREDA SAN JUAN. FINCA ALISIOS. REPORTE DEL CREPAD.</t>
  </si>
  <si>
    <t>SACOS PUESTOS EN CORMAGDALENA</t>
  </si>
  <si>
    <r>
      <t>SECTOR PARATEBIEN. PENDIENTE AFECTACION, REPORTE DEL CREPAD.</t>
    </r>
    <r>
      <rPr>
        <b/>
        <sz val="9"/>
        <rFont val="Arial"/>
        <family val="2"/>
      </rPr>
      <t>APOYO DEL FNC MEDIANTE GIRO DIRECTO AL CLOPAD PARA APOYAR LA ADQUISICION DE OMBUSTIBLE PARA EL FUNCIONAMIENTO DE LAS MOTOBOMBAS PARA EVACUACION DE AGUAS.</t>
    </r>
  </si>
  <si>
    <t>500 RACIONES DE CAMPAÑA PARA BOMBEROS</t>
  </si>
  <si>
    <t>35521
23530</t>
  </si>
  <si>
    <r>
      <t xml:space="preserve">VIA MEDELLIN - GIRALDO DESLIZAMIENTO </t>
    </r>
    <r>
      <rPr>
        <b/>
        <sz val="9"/>
        <rFont val="Arial"/>
        <family val="2"/>
      </rPr>
      <t>APOYO DEL FNC MEDIANTE GIRO DIRECTO AL CLOPAD PARA ADQUISICION DE COMBUSTIBLE, ALIMENTACION, INSUMOS MEDICOS Y HERRAMIENTAS MANUALES. EL VALOR DE OTROS CORRESPONDE A 200 RACIONES DE CAMPAÑA PARA LA DEFENSA CIVL ENTIDAD QUE APOYO EL EVENTO.</t>
    </r>
  </si>
  <si>
    <t>306
307
23551</t>
  </si>
  <si>
    <t>295
306
207
22208
22705
23551</t>
  </si>
  <si>
    <t>306
307
22208
22705
23551</t>
  </si>
  <si>
    <t>307
20213
23551</t>
  </si>
  <si>
    <t>19887
20213
23551</t>
  </si>
  <si>
    <t>20213
23551</t>
  </si>
  <si>
    <t>35170
46609</t>
  </si>
  <si>
    <t>SECTOR LA BADEA, CALEE 9 NO. 2 - 53. REPORTE DE LA DEFENSA CIVIL</t>
  </si>
  <si>
    <t>SECTORES RESGUARDO DE HONDURAS, CHIMBORAZO, AGUA NEGRA, ALTAMIRA Y EL SOCORRO. REPORTE DEL CREPAD.</t>
  </si>
  <si>
    <t>ROSAS</t>
  </si>
  <si>
    <t>CASCO URBANO BARRIOS LA PLAYA, EL MIRADOR, LA ESMERALDA, GUSTAVO MEJIA, PEDRO LEON RODRÍGUEZ, VILLA DEL ROSARIO, 20 DE AGOSTO Y EL FRIJOL.  REPORTE DEL CREPAD.</t>
  </si>
  <si>
    <t>DESBORDAMIENTO RIO JEREZ, CORREGIMIENTO LAS FLORES,  REPORTE DEL CREPAD</t>
  </si>
  <si>
    <t>FUERTES LLUIVIAS. BARRIOS FREDONIA, POZON, SARABANDA, SAN JOSE DE LOS CAMPANOS, POLICARPA, TRES DE JULIO, ARROZ BARATO. SE PRESENTO UNA VICTIMA EN LA CIENAGA MATUTE. REPORTE DEL CLOPAD.</t>
  </si>
  <si>
    <t>MUNICIPIO CON RACIONAMIENTO DE AGUA Y/O DESABASTECIMIENTO POR PROBLEMAS DE SEQUI DEBIDO AL FENOMENO DE EL NIÑO. REPORTE DEL MAVDT</t>
  </si>
  <si>
    <t>INUNDACION. CORREGIMIENTO SAN JOSE DE MULATOS, SECTORES NUEVA COLOMBIA Y EL CONGO.</t>
  </si>
  <si>
    <t>SE APOYA DE MANERA COMPLEMENTARIA A LOS ESFUERZOS LOCALES Y REGIONALES</t>
  </si>
  <si>
    <t>BELEN DE UMBRIA</t>
  </si>
  <si>
    <t>EL VALOR DE OTROS CORRESPONDE A 100 CANECAS POR CINCO GALONES C/U DE ESPUMA CLASE A PARA INCENDIOS FORESTALES ENTREGADA A LA FUERZA AEREA COLOMBIANA. POSTERIORMENTE SE ADQUIEREN  200 CUÑETES ADICIONALES. TOTAL 300 CUÑETES ENTREGADOS A LA FAC</t>
  </si>
  <si>
    <t>12
24</t>
  </si>
  <si>
    <t>EN REVISION POR PARTE DEL CREPAD</t>
  </si>
  <si>
    <t>SAN MARTIN</t>
  </si>
  <si>
    <t>BARRIOS LOS ANDES, ALGARROBO Y 11 DE NOVIEMBRE. DESBORDAMIENTO CAÑO CAMOA PENDIENTE INFORMACION</t>
  </si>
  <si>
    <t>REPORTE DEL MAVDT. DESABASTECIMIENTO DE AGUA. TIENE PROBLEMA CON TRES VEREDAS, SE CUENTA CON DECLARATORIA DE EMERGENCIA. LA GOBERNACION PRESENTARA PROYECTO DE ABASTECIMIENTO PARA APOYAR POR EL PDA</t>
  </si>
  <si>
    <t>QUIPILE</t>
  </si>
  <si>
    <t>OCAMONTE</t>
  </si>
  <si>
    <t>VEREDA PUERTO SERVIEZ. REPORTE DEL CLOPAD MEDIANTE ACTADEL 26 DE ABRIL. NO HAY SOLICITUD DE APOYO AL NIVEL NACIONAL.</t>
  </si>
  <si>
    <t>MORELIA</t>
  </si>
  <si>
    <t>BELEN DE LOS ANDAQUIES</t>
  </si>
  <si>
    <t xml:space="preserve">MUNICIPIO CON RACIONAMIENTO DE AGUA Y/O DESABASTECIMIENTO POR PROBLEMAS DE SEQUI DEBIDO AL FENOMENO DE EL NIÑO. REPORTE DEL MAVDT. CON RECURSOS PDA SE DARÁ EL RECURSO PARA EL BOMBEO Y LQA CONDUCCIÓN QUE CONECTA A LA INFRAESTRUCTURA DEL MUNICIPIO, POR UN COSTO ESTIMADO DE 45 MILLONES, EL MUNICIPIO ESTA AJUSTANDO EL DISEÑO Y LOS PRECIOS PARA PRESENTARLO AL GESTOR DE FORMA INMEDIATA </t>
  </si>
  <si>
    <t>SE APOYA TENIENDO EN CUENT LA NECESIDAD DE FORTALECER LAS ENTIDADES FRENTE A LA ATENCION DE SITUACIONES DE EMERGENICA Y TENIENDO EN CUENTA LA SITUACION DE DESASTRE DECLARADA MEDIANTE RESOLUCION NO. 23 DEL 8 DE ENERO.</t>
  </si>
  <si>
    <t>VEREDA CAÑAVERAL Y CERRITOS. REPORTE DEL CREPAD.</t>
  </si>
  <si>
    <t>LA CELIA</t>
  </si>
  <si>
    <t>DESBORDAMIENTO RIO CAÑAVERAL AFECTADA VIA DE LA VEREDA CHORRITO REPORTE DEL CREPAD.</t>
  </si>
  <si>
    <t>GUARNE</t>
  </si>
  <si>
    <t>DESBORDAMEINTO QUEBRADA LA PALMARA BARRIO LA PALMARA.</t>
  </si>
  <si>
    <t>SECTOR VIA ICONONZO AFECTADA VIVIENDA POR CAIDA DE ARBOL</t>
  </si>
  <si>
    <t>VEREDA EL SALITRE EXPLOSION DE MINA DE CARBON POR ACUMULACION DE GASES. REPORTE DEL CREPAD.</t>
  </si>
  <si>
    <t>DESBORDAMIENTO QUEBRADA LA ESMERALDA Y EL RIO NEMAL DIEZ VEREDAS AFECTADAS. DESTRUIDO PUENTE EN LA INSPECCION MONTE CRISTO.</t>
  </si>
  <si>
    <r>
      <t xml:space="preserve">APOYO PARA EL DEPARTAMENTO EN SACOS Y AMARRES PARA CUBIERTA. </t>
    </r>
    <r>
      <rPr>
        <b/>
        <sz val="9"/>
        <rFont val="Arial"/>
        <family val="2"/>
      </rPr>
      <t>EL VALOR DE OTROS CORRESPONDE A 200.000 GANCHOS PARA TEJA DE FIBROCEMENTO Y 20.000 AMARRES PARA ZINC</t>
    </r>
  </si>
  <si>
    <t>PLASTICO NEGRO</t>
  </si>
  <si>
    <t>JUEGO CUBIERTOS</t>
  </si>
  <si>
    <t>VENDAVAL</t>
  </si>
  <si>
    <t>CHIGORODO</t>
  </si>
  <si>
    <t>SE PRESENTARON DOS INCENDIOS EN BARRIOS UNIDOS Y TEUSAQUILLO, UN BOMBERO HERIOD EN TEUSAQUILLO</t>
  </si>
  <si>
    <t>SIBUNDOY</t>
  </si>
  <si>
    <t>REPORTE DE LA DEFENSA CIVIL.</t>
  </si>
  <si>
    <t xml:space="preserve">DESBORDAMIENTO QUEBRADA CARBONERA. </t>
  </si>
  <si>
    <t>BARRIO SANTANDER. REPORTE DEL LA DEFENSA CIVIL</t>
  </si>
  <si>
    <t>LIBANO</t>
  </si>
  <si>
    <t>CIRCASIA</t>
  </si>
  <si>
    <t>REPORTE DE LA CRUZ RIOJA Y DEL CREPAD.</t>
  </si>
  <si>
    <t>NIMAIMA</t>
  </si>
  <si>
    <t>SE REMITE A COMITÉ REGIONAL PARA EVALUACION</t>
  </si>
  <si>
    <r>
      <t xml:space="preserve">EXPLOSION DE MINA DE CARBON SAN FERNANDO, SECTOR PASO NIVEL. </t>
    </r>
    <r>
      <rPr>
        <b/>
        <sz val="9"/>
        <rFont val="Arial"/>
        <family val="2"/>
      </rPr>
      <t>APOYO DEL FNC MEDIANTE EL SUMINISTRO DE 500 MERCADOS, 500 KIT DE ASEO Y 1000 COBIJAS. GIRO DIRECTO AL CLOPAD APOYO PARA LA ADQUISICION DE COMBUSTIBLE, CONTRATACION DE VEHICULOS, INSUMOS PARA LA EMERGENCIA, ALIMENTACION DE FUNCIONARIOS SOCORRISTAS ETC PARA ATENDER LA EMERGENCIA.</t>
    </r>
  </si>
  <si>
    <r>
      <t xml:space="preserve">VEREDA CAMPAMENTO, SECTOR PAGIMBIO . REPORTE DEL CREPAD. </t>
    </r>
    <r>
      <rPr>
        <b/>
        <sz val="9"/>
        <rFont val="Arial"/>
        <family val="2"/>
      </rPr>
      <t>APOYO DEL FONDO NACIONAL DE CALAMIDADES CON EL PROPOSITO DE ADQUIRIR 400 TEJAS DE ETERNIT NO. 6, 100 TANQUES DE AGUA DE 500 LITROSA Y 84 TANQUES DE 1000 LITROS.</t>
    </r>
  </si>
  <si>
    <t>41553
41524</t>
  </si>
  <si>
    <t>298
299</t>
  </si>
  <si>
    <t>SANTA ROSA DE OSOS</t>
  </si>
  <si>
    <t>BARRIOS EL PORVENIR POLPULAR SIETE DE AGOSTO, LA RELIQUIA, SAN MARCOS Y EL CENTRO. REPORTE EL CLOPAD.</t>
  </si>
  <si>
    <t>DESBORDAMIENTO RIO FRIO. CASERIO CARITAL. REPORTE DEL CREPAD.</t>
  </si>
  <si>
    <t>CRECIENTE QUEBRADA VILLA NUEVA REPORTE DEL CREPAD.</t>
  </si>
  <si>
    <t>CORREGIMIENTO SAN PEDRO DE LA SIERRA, VEREDA EL BOSQUE. REPORTE DEL CREPAD.</t>
  </si>
  <si>
    <t>INUNDACION POR FUERTES LLUVIAS. BARRIOS FUNDADORES, SIMON BOLIVAR, GALAN Y BASTIDAS, REPORTE DEL CLOPAD.</t>
  </si>
  <si>
    <t>DESLIZAMIENTO EN LA MINA DE ORO EL BASURERO, REPORTE DE LA CRUZ ROJA.</t>
  </si>
  <si>
    <t>DESBORDAMIENTO ARROPYO HONDO VEREDA LA PAZ. REPORTE DEL CREPAD. EN AVALUAVION.</t>
  </si>
  <si>
    <t>VEREDA LLANO GRANDE. REPORTE DEL CREPAD.</t>
  </si>
  <si>
    <t>HOBO</t>
  </si>
  <si>
    <t>VEREDA ESPORACAL. REPORTE DEL CREPAD</t>
  </si>
  <si>
    <t>BARRIO QUINTA EPTAPA. REPORTE DE LA DEFENSA CIVIL</t>
  </si>
  <si>
    <t>DABEIBA</t>
  </si>
  <si>
    <t>DESBORDAMIENTO QUEBRADA LA DESMONTADORA. AFECTANDO BARRIOS LA PLAYITA, MADRID Y CENTRO, REPORTE DEL CREPAD.</t>
  </si>
  <si>
    <t>BARRIO BUENAVISTA. VIA MARIQUITA FRESNO. REPORTE DEL CREPAD TOLIMA</t>
  </si>
  <si>
    <t>DESBORDAMIENTO CAÑO LAS MINAS CORREGIMIENTO LAS MINAS Y VEREDA TOCORAMA. REPORTE DEL CREPAD.</t>
  </si>
  <si>
    <t>PATIA</t>
  </si>
  <si>
    <t xml:space="preserve">DESBORDAMIENTO RIO PATIA. REPORTE DEL CREPAD. </t>
  </si>
  <si>
    <t>DESBORDAMEITNO QUEBRADA NATURCO. BARRIO LAS BRISAS. REPORTE DEL CREPAD.</t>
  </si>
  <si>
    <t>DEBORDAMIENTO RIO MAGDALENA. VEREDA EL CONCHAL. REPORTE DEL CREPAD</t>
  </si>
  <si>
    <t>DESBORDAMIENTO RIO GUALI, BARRIOS LAS DELICIAS Y LA PEDREGOZA. AFECTADA OFICINA DE TURISMO Y EL ESTADIO Y PARTE DEL HOSPITAL Y LA VIA MEDELLIN - BOGOTA. REPORTE DEL CREPAD.</t>
  </si>
  <si>
    <t>VEREDA AMOLADORA BAJA Y SECTOR PITAL DE COMBIA. REPORTE DEL CREPAD.</t>
  </si>
  <si>
    <t>FUERTES LLUVIAS. REPORTE DEL CREPAD.</t>
  </si>
  <si>
    <t>IQUIRA</t>
  </si>
  <si>
    <t>VEREDA SAN ALFONSO. REPORTE EL CREPAD.</t>
  </si>
  <si>
    <t>DESBORDAMIENTO RIO CHIDLAIMO. VEREDA TUPES, REPORTE DEL CREPAD</t>
  </si>
  <si>
    <t>DESBORDAMIENTO CAÑO ALONSO. REPORTE DEL CREPAD.</t>
  </si>
  <si>
    <t>DESBORDAMIENTO QUEBRADA LAS MERCEDES CORREGIMIENTO DE LAS MERCEDES. REPORTE DEL CREPAD</t>
  </si>
  <si>
    <t>VEREDAS CONDAGUA, TOLDAS, NUEVA ESPERANZA, ALTO AFAN, TEBAIDA, YUNGUILLO, SAN CARLOS Y PLANADAS.</t>
  </si>
  <si>
    <t>DESBORDAMIETNO CIENAGA DEL TOTUMO. REPORTE DEL CREPAD</t>
  </si>
  <si>
    <t>DESBORDAMIENTO RIO LA CAL. SECTOR CAÑO EL BRASIL. REPORTE DE LA DEFENSA CIVIL.</t>
  </si>
  <si>
    <t>DESBORDAMIENTO QUEBRADA LA MALA. CORREGIMIENTO PAJUIL. REPORTE DE CREPAD</t>
  </si>
  <si>
    <t xml:space="preserve">BARRIO VEGAS DE MORRORICO. </t>
  </si>
  <si>
    <t>VEREDA CENTRO DE APURE, SECTOR LA AURORA. REPORTE DEL CREPAD.</t>
  </si>
  <si>
    <t>VIA BOLIVAR - VELEZ REPORTE DEL CREPAD.</t>
  </si>
  <si>
    <t>VELEZ</t>
  </si>
  <si>
    <t>SALIDA DE VELEZ AL SECTOR RURAL. REPORTE DEL CREPAD.</t>
  </si>
  <si>
    <t>VIA BUCARAMANGA - SURATA. REPORTE DEL CREPAD</t>
  </si>
  <si>
    <t>DURANIA</t>
  </si>
  <si>
    <t>SOATA</t>
  </si>
  <si>
    <t>VIA EL ESPINO - SOATA. SOATA - BOAVITA Y BOAVITA - PANQUEBA. REPORTE DEL CREPAD.</t>
  </si>
  <si>
    <t>BARRIO LA PLAYITA. REPORTE DEL CLOPAD.</t>
  </si>
  <si>
    <t>FACATATIVA</t>
  </si>
  <si>
    <t>DESBORDAMIENTO RIO BOTELLO, RIO NACILLA, VEREDAS SAN RAFAEL, Y BARRIOS VILLA MIRIAM, GIRARDOT, SAN RAFAEL ALTO Y BAJO. REPORTE DEL CREPAD.</t>
  </si>
  <si>
    <t>APOYO AL HOSPITAL DE PLATO A FIN DE REALIZAR BRIGADAS DE SALUD</t>
  </si>
  <si>
    <t>SE APOYA TENIENDO EN CUENTA LA IMPORTANCIA DE LA LABOR DEL HOSPITAL</t>
  </si>
  <si>
    <t>20842
42097</t>
  </si>
  <si>
    <r>
      <t xml:space="preserve">DESBORDAMIENTO MARGEN IZQUIERDA RIO PAUTO. SECTOR EL BANCO, VEREDA SAN ISIDRO, LA MAPORA, EL GARZON, BANCO, EL VERDE, RAMON NONATO Y MATALARGA. EVACUADAS 15 PERSONAS POR VIA AEREA. REPORTE DEL SOCORRO NACIONAL.  </t>
    </r>
    <r>
      <rPr>
        <b/>
        <sz val="9"/>
        <rFont val="Arial"/>
        <family val="2"/>
      </rPr>
      <t>APOYO DEL FNC MEDIANTE GIRO DIRECTO AL CLOPAD PARA LA COMPRA DE COMBUSTIBLES ACEITES Y FILTROS EL EL RIO PAUTO.</t>
    </r>
  </si>
  <si>
    <t>CRECIENTE DE QUEBRADA SECTOR PUERTO FRAZADA. REPORTE DE SOCORRO NACIONAL</t>
  </si>
  <si>
    <t>EL COPEY</t>
  </si>
  <si>
    <t>REPORTE PRELIMINAR DEL CREPAD, ESTA REALIZANDO EDAN.</t>
  </si>
  <si>
    <t>BARRIO NUEVE DE OCTUBRE. REPORTE DEL CREPAD.</t>
  </si>
  <si>
    <t>CRECIENTE DEL RIO SAN JUAN SECTOR ESTRELLA PANGALA.</t>
  </si>
  <si>
    <t>CARMEN DEL DARIEN</t>
  </si>
  <si>
    <t>DESBORDAMIENTO RIO IRO REPORTE DEL CREPAD.</t>
  </si>
  <si>
    <t>SIPI</t>
  </si>
  <si>
    <t>DESBORDAMIENTO RIO SIPI. REPROTE DEL CREPAD.</t>
  </si>
  <si>
    <t>AFECTADA LA ESCUELA NORMAL SUPERIOR. REPORTE DEL CREPAD.</t>
  </si>
  <si>
    <t>VEREDA EL POZO SECTOR EL ALJIBE. AFECTADA VIA SOCHA PAZ DE RIO. REPORTE EL CREPAD.</t>
  </si>
  <si>
    <t>GAMEZA</t>
  </si>
  <si>
    <t>SE PRESENTO CAIDA DE ARBOL SOBRE EL COLEGIO SAGRADOS CORAZONES, UBICADO EN EL BARRIO CENTRO CON CINCO NIÑOS HERIDOS. REPORTE DEL CLOPAD.</t>
  </si>
  <si>
    <t>SANTA MARIA</t>
  </si>
  <si>
    <t>AFECTADA VIA SANTA MARIA - JERUSALEM. REPORTE DEL CREPAD.</t>
  </si>
  <si>
    <t xml:space="preserve">VEREDA TERESA. REPORTE DEL CREPAD. </t>
  </si>
  <si>
    <t>VEREDA LA PORTADA. REPORTE DEL CREPAD.</t>
  </si>
  <si>
    <t>SECTOR PUERTO BOGOTA. REPROTE DEL CREPAD .</t>
  </si>
  <si>
    <t>SECTOR CHINAUTA. REPORTE DEL CREPAD.</t>
  </si>
  <si>
    <t>SOLICITUD DE 10 MERCADOS ESPECIALES, 100 RACIONES, 60 JUGOS, 60 LATAS DE ATUN, 60 GALLETAS, 30 LONJAS DE BOCADILLO, 120 BOTELLAS DE AGUA, 72 PAQUETES DE MANI.</t>
  </si>
  <si>
    <t>MESETAS</t>
  </si>
  <si>
    <t>CRECIENTE CAÑO LA PEÑA.. AFECTADO PUENTE QUE COMUNICA LA URIBE - MESETAS.</t>
  </si>
  <si>
    <t>VEREDA EL PLACER, DESLIZAMIENTO SOBRE VEHICULO, MURIO EL CONDUCTOR. REPORTE DE LA DEFENSA CIVIL.</t>
  </si>
  <si>
    <t>REPORTE DE CREPAD.</t>
  </si>
  <si>
    <t>GUAINIA</t>
  </si>
  <si>
    <t>CORREGIMIENTO DE BARRANCOMINA. COMUNIDAD DE CHATARE.</t>
  </si>
  <si>
    <t>REPORTE DEL CREPAD. SECTOR DEL CENTRO.</t>
  </si>
  <si>
    <t>PUERTO LOPEZ</t>
  </si>
  <si>
    <t xml:space="preserve"> REPORTE DEL CLOPAD. BARRIOS BERNAL, EL PILAR Y CHAPAL. SECTOR MIJITAYO</t>
  </si>
  <si>
    <t>PAMPLONA</t>
  </si>
  <si>
    <t>BARRIOS SIMON BOLIVAR, REPORTE DEL CREPAD.</t>
  </si>
  <si>
    <t>BARRIO JUPITER. REPORTE DEL CREPAD.</t>
  </si>
  <si>
    <t>VEREDA CURBATA. REPORTE DEL CREPAD</t>
  </si>
  <si>
    <t>SOLICITUD DE 70 LATAS DE ATUN, 70 JUGOS, 70 TACOS DE GALLETAS Y 70  BOTELLAS DE AGUA.</t>
  </si>
  <si>
    <t>CAQUETA</t>
  </si>
  <si>
    <t>CURILLO</t>
  </si>
  <si>
    <t>89
97
99
107</t>
  </si>
  <si>
    <t>INFORME DE INGEOMINAS, EVENTO DE 4,6 GRADOS CON PROFUNDIDAD DE 116 KMS, SENTIDO EN EJE CAFETERO Y VALLE DEL CAUCA, PERO EN ARGELIA NO TUVO CONSECUENCIAS NI DAÑOS.</t>
  </si>
  <si>
    <t>TORO</t>
  </si>
  <si>
    <t>APOYO DEL FNC MEDIANTE GIRO DIRECTO AL CLOPAD PARA APOYAR LA RECUPERACION DE LAS VIAS TERCIARIAS DE BUENAVISTA - SAUCES - PLACER - PALO NEGRO - LA CENTRAL; BUIENAVISTA - LA GRANJA - LOS SAUCES; BUENAVISTA - EL BALSO - RIO VERDE; EL BALSO - LAS PIÑAS; JUANES - LA PICOTA.</t>
  </si>
  <si>
    <t>SE APOYA TENIENDO EN CUENTA LA IMPORTANCIA DEL PROYECTO</t>
  </si>
  <si>
    <t>APOYO DEL FNC MEDIANTE GIRO DIRECTO AL CLOPAD PARA APOYAR EL FORTALECIMIENTO DE LA SALA DE CRISIS $82.066.000 Y LA COMPRA Y ADECUACION DE UN VEHICULO PARA LA ATENCIÓN E EMERGENCIAS. $10.000.000.</t>
  </si>
  <si>
    <t>APOYO DEL FNC MEDIANTE GIRO DIRECTO AL CLOPAD PARA LA ADQUISICION DE COMBUSTIBLE PARA LA ADECUACION DE LAS VIAS SIBERIA BAJA, LA ESPAÑOLA, JARDIN BAJO, JARDIN ALTO, ALTAMIRA, GUAYAQUIL BAJO, GUAYAQUIIL ALTO, TRAVESIAS, GUAYABAL, SISNEROS, MEDIA CARA, LA SOLEDAD, BELLAVISTA, LA CONCHA - EL RECREO, LA CONCHA . CARNICEROS, BRISAS - TRAVESIAS.</t>
  </si>
  <si>
    <t>PIJAO</t>
  </si>
  <si>
    <t>APOYO DEL FNC MEDIANTE GIRO DIRESTO AL CLOPAD PARA LA ADQUISICION DE COMBNUSTIBLES Y LUBRICANTESPARA LA REHABILITACION DE LAS VIAS LA MAICENA - GUASCAS, PUENTE TABLA - PATIO BONITO - PUNTAS, LA QUIEBRA - LA PALMERA, ARENALES, LOS JUANES- LA PUNTA, PIJAO- GUAMAL- PIZZARRAS, PUENTE TABLA - LA CAMPECINA - LA MARIELA, PIJAO - ARENALES - LA MARIELA, BARRAGAN - BERLIN, PIJAO - LA QUIEBRA- CARNICEROS, PIJAO - RIO AZUL, ARENALES - PUENTE TABLA, RIO AZUL - EL SINABRIO - LA PUNTA, LA QUIEBRA - CARNICEROS.</t>
  </si>
  <si>
    <t>MUNICIPIO CON RACIONAMIENTO DE AGUA Y/O DESABASTECIMIENTO POR PROBLEMAS DE SEQUI DEBIDO AL FENOMENO DE EL NIÑO. REPORTE DEL MAVDT. SE PUEDEN ABASTECER DESDE LA CAPTACIÓN DE ACERÍAS PAZ DEL RÍO, MOTIVO POR EL CUAL PARTICIPARÁN EN LA REUNIÓN QUE CONVOCARÁ CORPOBOYACÁ CON LOS MUNICIPIOS DE TOTA, PARA AJUSTAR ESTA ALTERNATIVA. SE DEBE VERIFIAR EL CUMPLIMIENTO DE LA RESOLUCION DE DISMUNICION DE CONCESIONES PARA OBTENER MAYOR CANTIDAD DE AGUA.</t>
  </si>
  <si>
    <t>TOLEDO</t>
  </si>
  <si>
    <t>SE APOYA EVALUANDO LA SOLICITUD PRESENTADA POR LA COMUNIDAD SOBRE LA NECESIDAD DE REPARAR LA LINEA DE CONDUCCION</t>
  </si>
  <si>
    <t>FRONTINO</t>
  </si>
  <si>
    <t>43
50</t>
  </si>
  <si>
    <t>MIRANDA</t>
  </si>
  <si>
    <t>LLORO</t>
  </si>
  <si>
    <t xml:space="preserve">ACUEDUCTOS AFECTADOS DE VEREDAS AGUABLANCA Y LA HONDA. </t>
  </si>
  <si>
    <t>SACOS</t>
  </si>
  <si>
    <t>TOLDILLOS</t>
  </si>
  <si>
    <t>TOALLAS</t>
  </si>
  <si>
    <t>CHOCOLATERA</t>
  </si>
  <si>
    <r>
      <t xml:space="preserve">AFECTADAS VIAS VILLAVICENCIO MONFORTH, ALTO DE SOBRETANA - EL CALVARIO, SOBRETANA - CORREGIMIENTO MONTYERREDONDO, ALTO EL CRISTO - QUETAME, </t>
    </r>
    <r>
      <rPr>
        <b/>
        <sz val="9"/>
        <rFont val="Arial"/>
        <family val="2"/>
      </rPr>
      <t>SOLICITAN RECURSOS PARA MEJORAMIENTO DE VIAS PASA A EVALUACION DE PROYECTOS.</t>
    </r>
  </si>
  <si>
    <r>
      <t xml:space="preserve">MUNICIPIO CON RACIONAMIENTO DE AGUA Y/O DESABASTECIMIENTO POR PROBLEMAS DE SEQUI DEBIDO AL FENOMENO DE EL NIÑO. REPORTE DEL MAVDT. </t>
    </r>
    <r>
      <rPr>
        <b/>
        <sz val="10"/>
        <color indexed="8"/>
        <rFont val="Arial"/>
        <family val="2"/>
      </rPr>
      <t>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</si>
  <si>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t>MARMATO</t>
  </si>
  <si>
    <t>SE APOYA TENIENDO EN CUENTA COMPROMISO ADQUIRIDO CON ANTERIORIDAD PARA APOYAR EL PLAN DE ACCION ESPECIFICO</t>
  </si>
  <si>
    <t>LA MERCED</t>
  </si>
  <si>
    <t>EXPLOSION DE MINA DE CARBON. REPORTE DE LA DEFENSA CIVIL.</t>
  </si>
  <si>
    <t>BARRIO SANTA ISABEL</t>
  </si>
  <si>
    <t>LA VEGA</t>
  </si>
  <si>
    <t>MUNICIPIO CON RACIONAMIENTO DE AGUA Y/O DESABASTECIMIENTO POR PROBLEMAS DE SEQUI DEBIDO AL FENOMENO DE EL NIÑO. REPORTE DEL MAVDT. AUNQUE EXISTE RACIONAMIENTO LA SITUACIÓN ESTA CONTROLADA POR LA OFICINA DE SERVICIOS PÚBLICOS.</t>
  </si>
  <si>
    <t>DESBORDAMIENTO RIO SAN JUAN Y QUEBRADAS SANTA CATALINA, MORRI. BARRIOS LAS RIVERAS, EL CENTRO, SOLGALOPE,  Y VEREDA SANTA CATALINA, MACONDO, BRASIL, EL CAÑO, PARCELAS MORROA Y MORRI. REPORTE DEL CREPAD.</t>
  </si>
  <si>
    <t>BARANOA</t>
  </si>
  <si>
    <t xml:space="preserve">REPORTE DE LA DEFENSA CIVIL. </t>
  </si>
  <si>
    <t>DESBORDAMIENTO RIO META, VEREDAS GUAFILLA, NUEVA REFORMA, CARACARO, PALMITA, LA MACARIGUA, SALADILLO, ESMERALDA, PUNTO LINDO, TAPAOJO, MACUBANA, MATA RATON.</t>
  </si>
  <si>
    <t xml:space="preserve">MUNICIPIO CON RACIONAMIENTO DE AGUA Y/O DESABASTECIMIENTO POR PROBLEMAS DE SEQUI DEBIDO AL FENOMENO DE EL NIÑO. REPORTE DEL MAVDT. SE ADELANTA RECORRIDOS CON CORPOCHIVOR PARA INICIAR PROCESOS DE INVESTIGACIÓN CONTRA LA POBLACIÓN QUE DAÑA LA INFRAESTRUCTURA DE CONDUCCIÓN DE AGUAS CRUDAS. SI ESTO SE SOLUCIONA, EL ABASTECIMIENTO MEJORARÁ.SE PRESTARÁ APOYO TÉCNICO PARA EVALUAR ALTERNATIVAS POR PARTE DEL PDA, SE DESPLAZARÁ INGENIEROS DEL GESTOR Y MEDIACIÓN ENTRE LOS DOS MUNICIPIOS A TRAVÉS DE LA GOBERNACIÓN.                                                              EL MUNICIPIO ADELANTARÁ CAMPAÑAS DE SENSIBILIZACIÓN USO RACIONAL. ALCALDIA REMITIRA PROYECTO AL PDA.  </t>
  </si>
  <si>
    <t>DESBORDAMIENTO DE LAS QUEBRADAS LA PALMA, SAN CRISTOBAL Y NALI Y RIO SUMAPAZ.. REPORTE DEL CREPAD.</t>
  </si>
  <si>
    <t>BARRIOS LA ESPERANZA, EL PANORAMA, CENTRO, CAMILO TORRES Y BELLAVISTA. APOYO DEL FNC EN LAMINAS DE ZINC (200) Y CEMENTO (50 BULTOS)</t>
  </si>
  <si>
    <t>ANDALUCIA</t>
  </si>
  <si>
    <t>CORREGIMIENTO EL SALTO. REPORTE DEL CREPAD.</t>
  </si>
  <si>
    <t>CORREGIMIENTO ROSO, SECTORES LA SEQUIA, CAMPANA, CALLEJON Y PATOTAS. SITUACION EN EVALUACION. REPORTE DEL CREPAD</t>
  </si>
  <si>
    <t>CORREGIMIENTO CEYLAN, VEREDAS SAN ISIDRO ALTO Y BAJO ALTO BONITO, Y CHIGUALES.. REPORTE DEL CREPAD.</t>
  </si>
  <si>
    <t>EL CERRITO</t>
  </si>
  <si>
    <t>CORREGIMIENTO SAN ANTONIO. REPORTE DEL CREPAD.</t>
  </si>
  <si>
    <t>CORREGIMEINTO EL RAISAL. AFECTADO CENTRO COMUNITARIO EMBERA CHAMI. REPORTE DEL CREPAD.</t>
  </si>
  <si>
    <t>VILLA RICA</t>
  </si>
  <si>
    <t>BARRIOS BELLAVISTA, ALMENDROS, LA LAGUNA, VILLA ARIEL EL JARDIN, VALENTIN, TERMINAL, VEREDA LA PRIMAVERA Y AGUAZUL.REPORTE DEL CREPAD.</t>
  </si>
  <si>
    <t>203
217</t>
  </si>
  <si>
    <t>REPORTE DEL CREPAD. VEREDAS ALTOS DE JUNTAS Y LA CUMINA. PERDIDA DE CULTIVOS, DAÑO EN POSTES DE ENERGIA Y DOS ENRAMADAS. EN ESPERA DE INFORMACION COMPLEMENTARIA.</t>
  </si>
  <si>
    <t>PRADO</t>
  </si>
  <si>
    <t>CRECIENTE RIO BOGOTA. VEREDA PORTILLO Y CAMELLON DEL RIO. REPORTE DEL CREPAD.</t>
  </si>
  <si>
    <t>RIVERA</t>
  </si>
  <si>
    <t>DESBORDAMIENTO RIO NEIVA VEREDA LLANITOS, FINCA LA MARINA. AFECTADA VIA NEIVA - PITALITO. REPORTE DEL CREPAD.</t>
  </si>
  <si>
    <t>LA VIRGINIA</t>
  </si>
  <si>
    <t>SE APOYA A TRAVES DEL CREPAD</t>
  </si>
  <si>
    <t>SECTORES VEREDAS CARAMACO ALTO Y CARAMACO BAJO. REPORTE DEL CREPAD. SOLICITAN APOYO PARA VIAS PERO NO ENVIAS DOCUMENTOS.</t>
  </si>
  <si>
    <t>SE APOYA TENIENDO EN CUENTA LA MAGNITUD D ELA EMERGENCIA</t>
  </si>
  <si>
    <t>SECTOR LOS ALAMOS. VIA BUCARAMANGA - BOGOTA. REPORTE EL CREPAD. SOLICITAN RECURSOS PARA ESTABILIZACION DE TALUD Y VIAS (SIN CUANTIFICAR) . PASA A COORDINACION REGIONAL Y EN NOVIEMBRE SE REGRESA AL CREPAD YA QUE NO SE RECIBE INFORMACION COMPLEMENTARIA</t>
  </si>
  <si>
    <t>BARRIO ESTRELLA NORTE, VEREDA ESMERALDA, VEREDA SOMBREREROS, Y VEREDA DANUBIO. REPORTE DEL CLOPAD.</t>
  </si>
  <si>
    <t>BARRIO PUERTAS DE LCARIBE. REPORTE DEL CLOPAD.</t>
  </si>
  <si>
    <t xml:space="preserve">REPORTE DEL LOPAD. SECTOR DE CUCHILLA DE VILLATE, NUEVA COLOMBIA, CIUDAD MODESTO, EL BOSQUE, EL SIETE DE AGOSTO, ANGELES 2 Y 3 Y LA DELICIAS. </t>
  </si>
  <si>
    <t>DESBORDAMIENTO RIO MAGDALENA Y SOGAMOSO, VEREDAS LA UNION, NUEVA VENECIA, FLORIDA, CANDELARIA, PORVENIR, PLAYON, CAÑO RASQUIÑA, LA COLORADA, CAMPO GALAN, LA ESMERALDA, LA HORTENCIA, CORREGIMIENTYO PUENTE SOGAMOSO. AFECTADA LA VIA PUENTE SOGAMOSO - BARRANCABERMEJA. REPORTE DE LA DEFENSA CIVIL.</t>
  </si>
  <si>
    <t>AFECTADA VIA GAMEZA - SATIVA SUR. VEREDA MOTUA. REPROTE EL CREPAD</t>
  </si>
  <si>
    <t>SATIVASUR</t>
  </si>
  <si>
    <t>BARRIO POPULAR REPORTE DEL CREPAD</t>
  </si>
  <si>
    <t>ARROYO DON JUAN BARRIOS SIMON BOLIVAR, LA CHINITA, PORFIN, LA LUZ.</t>
  </si>
  <si>
    <t>ARROYO EL SALADO BARRIOS FERROCARRIL Y PORVENIR.</t>
  </si>
  <si>
    <t>BARRIOS FREDONIA, LAS PALMERAS OLAYA, POLICARPA. VILLA ROSITA, SANTA MONICA, EL CAMPESTRE, BELLA VISTA Y VISTA HERMOSA</t>
  </si>
  <si>
    <t>FONSECA</t>
  </si>
  <si>
    <t>SECTORES LLANO ALTO, LA BONITA, BARRIOS SAN ANTONIO, MIRAMAR Y EL TRIUNFO.</t>
  </si>
  <si>
    <t>PLANETA RICA</t>
  </si>
  <si>
    <t>BARRIO LAS FLORES. REPORTE CLOPAD.</t>
  </si>
  <si>
    <r>
      <t xml:space="preserve">BARRIOS BAHIA HONDA, HEREDIA, GUAQUIRI Y BOMBA. </t>
    </r>
    <r>
      <rPr>
        <b/>
        <sz val="9"/>
        <rFont val="Arial"/>
        <family val="2"/>
      </rPr>
      <t>APOYO DEL FNC PARA ALQUILER DE MAQUINARIA, MANO DE OBRA FORTALECIMIENTO Y ELEVACION DE LOS MUROS DE CONTENCIONEN EL SECTOR ZARAGOCITA Y LA PARTE FRONTAL DEL MUNICIPIO DE PEDRAZA</t>
    </r>
  </si>
  <si>
    <t>DESBORDAMIENTO RIO PESCADOR Y FUERTES LLUVIAS. CORREGIMIENTOS SAN ISIDRO, CERRO AZUL, LA PRIMAVERA, LA AGUADA, SAN JOSE, EL PUERTO, BRISAS DEL PAMPLONITA, LA TULIA, PLAZA VIEJA, LA SOLEDAD, LA HERRADURA, SAN FERNANDO, GUARE. REPORTE DEL CREPAD. FUERTES LLUVIAS. SECTORES EL PAVERO, BETUN, NARANAJL, EL MESTIZO, EL SALADO REPORTE DEL CREPAD.</t>
  </si>
  <si>
    <t>ANSERMANUEVO</t>
  </si>
  <si>
    <t>DESBORDAMIENTO RIO GUADALAJARA, BARRIOS EL CARMELO Y VEREDAS LA GAMARRA, LA MAGDALENA, SECTOR DE PUENTE NEGRO. REPORTE DEL CREPAD. DESBORDAMIENTO RIO BUGALAGRANDE SECTOR MESTIZAL. REPORTE DEL CREPAD. PENDIENTE INFORMACION</t>
  </si>
  <si>
    <t>DESBORDAMIENTO QUEBRADA SAN ROQUE. CORREGIMIENTO DE SONSON. REPORTE DEL CREPAD. DESBORDAMIENTO QUEBRADA GUACARI. CORREGIMIENTO SONSO, GUABAS, LA MAGDALENA Y CANANGUA. , REPORTE DEL CREPAD.</t>
  </si>
  <si>
    <t>ALCALA</t>
  </si>
  <si>
    <t>21052
23563
24557</t>
  </si>
  <si>
    <t>ADQUISICION DE MATERIALES PARA ALOJAMIENTO TEMPORAL. 3000 TEJAS DE ZINC, 200 CAJAS PUNTILLA PARA ZINC, 200 CAJAS PUN TILLA DE 4", 200 CAJAS PUNTILLA DE 3", 400 PUNTILLAS DE 2 1/2", 1500 METROS DE PLASTICO NEGRO, 500 LISTON DE MADERA DE 4X4X3 METROS, 500 LISTON DE MADERA DE 2X4X3, 500 TABLAS DE MADERA DE 1X2X3.</t>
  </si>
  <si>
    <t>306
307
22705
23551
44244</t>
  </si>
  <si>
    <r>
      <t xml:space="preserve">DESBORDAMIENTO DEL RIO SAN JORGE  AFECTANDO  A LA POBLACIÓN  QUE HABITAN EN LA ZONA RIBEREÑA  TALES COMO EN LOS CORREGIMIENTO DE PUERTO CÓRDOBA , LA VEREDA MANZANARES, VEREDA LOS ZAMBOS, VEREDA GÉNOVA, VEREDA SANTA CLARA. PARA UN TOTAL DE 284 FAMILIAS AFECTADAS.. </t>
    </r>
    <r>
      <rPr>
        <b/>
        <sz val="9"/>
        <rFont val="Arial"/>
        <family val="2"/>
      </rPr>
      <t>APOYO DEL FNC MEDIANTE GIRO DIRECTO AL CLOPAD PARA LOS TRABAJOS DE REFORZAMIENTODEL DIQUE EN LA VEREDA GENOVA.</t>
    </r>
  </si>
  <si>
    <t>EL TARRA</t>
  </si>
  <si>
    <t>AVALANCHA RIO TARRA. ZOONA RURAL. REPORTE DEL CREPAD.</t>
  </si>
  <si>
    <t>TIBANA</t>
  </si>
  <si>
    <t>BARRIO LAS BRISAS. REPORTE DEL CREPAD.</t>
  </si>
  <si>
    <t>BARRIOS ALTICO, TORRECITAS, EL JARDIN. REPORTE DEL CREPAD.</t>
  </si>
  <si>
    <r>
      <t xml:space="preserve">VEREDAS LA GUACATALA, CHARCOS Y PALO COPOSO.. REPORTE  DEL CREPAD Y EL CLOPAD. </t>
    </r>
    <r>
      <rPr>
        <b/>
        <sz val="9"/>
        <rFont val="Arial"/>
        <family val="2"/>
      </rPr>
      <t>EL VALOR DE OTROS CORRESPONDE A LOS SIGUINETES MATERIALES: 292 TEJAS DE ZINC DE  2.014, 830 TEJAS DE FIBROCEMENTO NO. 6, 190 CABALLETES, 3.400 LADRILLOS, 850 VARILLAS CORRUGADAS, 200 CHIPAS DE HIERRO DE 1/4 x KILO 325 BULTOS DE CEMENTO, 1.500 GANCHOS PARA TEJA DE FIBROCEMENTO, 1.850 AMARRES PARA TEJA.</t>
    </r>
  </si>
  <si>
    <t>200 TEJAS DE ZINC, 500 DE AC NO. 6, 1850 AMARRES Y 1000 GANCHOS</t>
  </si>
  <si>
    <t>SE APOYA TENIENDO EN CUENTA LOS ESFUERZOS LOCALES Y REGIONALES  Y LA GRAVE AFECTACION EN EL DEPTOPOR LA TEMPORADA INVERNAL.</t>
  </si>
  <si>
    <t>BARRIO SAN MARTIN, VEREDAS ALTO BONITO, PLATANILLA, LA Y LORENA BAJA . REPORTE DEL CREPAD. APOYO DEL FNC EN MENAJE BASICO Y LAMINAS DE ZINC</t>
  </si>
  <si>
    <t>MUNICIPIO CON RACIONAMIENTO DE AGUA Y/O DESABASTECIMIENTO POR PROBLEMAS DE SEQUIA DEBIDO AL FENOMENO DE EL NIÑO. REPORTE DEL MAVDT. SUMINISTRO DE AGUA POR CARROTANQUE.</t>
  </si>
  <si>
    <t>PUERTO WILCHES</t>
  </si>
  <si>
    <t>DESBORDAMIENTO CAÑO CASCAQUERA. REPORTE DE DEFENSA CIVIL</t>
  </si>
  <si>
    <t>VCEREDA CALABAZAL. REPORTE DE DEFENSA CIVIL.</t>
  </si>
  <si>
    <t>RIOSUCIO</t>
  </si>
  <si>
    <t>OLAYA HERRERA</t>
  </si>
  <si>
    <t>BARRIOS CORTINAS DEL ZAQUE, EL CARMEN, SAN ANTONIO, LOS COJINES, JORDAN, BACHUE, LAS QUINTAS REMANSO DE SANTA INES. FUERTES LLUVIAS. REPORTE DE DEFENSA CIVIL Y DEL CREPAD.</t>
  </si>
  <si>
    <t>DESBORDAMIENTO ARROYO LAS NIEVES, BARRIO LAS NIEVES. REPORTE DEL CLOPAD.</t>
  </si>
  <si>
    <t>DESBORDAMIENTO DE ARROYOS BARRIO LA LUZ.</t>
  </si>
  <si>
    <t>BARRIO AMERICAS. REPORTE DEL CLOPAD.</t>
  </si>
  <si>
    <t>SECTOR PUERTO SECO. AFECTADA VIA QUE COMUNICA A PITALITO, FLORENCIA Y MOCOA, POR CAIDA DE ARBOLES EN DIFERENTES PUNTOS</t>
  </si>
  <si>
    <t xml:space="preserve">BARRIOS LA GAVIOTA, ALASKA, MARTINICA, TESORITO, SIETE DE AGOSTO. REPORTE DEL CLOPAD. </t>
  </si>
  <si>
    <t>AFECTADO PUENTE VEHICULA EN VIA NACIONAL A LA COSTA. SECTOR SAN ROQUE, PUENTE CUATRO BOCAS. REPORTE DE LA POLICIA DE CARRETERAS.</t>
  </si>
  <si>
    <t>DESLIZAMIENTO SOBRE BUSETA SECTOR LECHERITA, VIA LA RAYA, SITIO LA ESPERANZA. REPORTE DE SOCORRO NACIONAL.</t>
  </si>
  <si>
    <t xml:space="preserve">BARRIO SAN LUIS Y VEREDA LA AURORA. REPORTE DE SOCORRO NACIONAL. </t>
  </si>
  <si>
    <t>CARRERA 3 CALLE 9 REPORTE DEL CREPAD.</t>
  </si>
  <si>
    <t>DESBORDAMIENTO DEL LAGO. REPORTE DEL CREPAD</t>
  </si>
  <si>
    <t>AFECTADA VIA ZIPAQUIRA UBATE KM 41. REPORTE DEL CREPAD</t>
  </si>
  <si>
    <t>DESBORDAMEINTO RIO BOGOTA. VEREDAS CHUNTAME, CANELON, HATO GRANDE. REPORTE DEL CREPAD.</t>
  </si>
  <si>
    <t>VEREDA PEÑA ALTA. REPROTE DE LA DEFENSA CIVIL</t>
  </si>
  <si>
    <t>SECTOR RIVERA DEL RIO. REPORTE DEL CLOPAD.</t>
  </si>
  <si>
    <t>CORREGIMEINTO LA VILLA. AFECTADAS VIAS LEYVA - LAS DELICIAS, LA GARGANTA - EL PLACER, LAS DELICIAS - MAMACONDE, LEYVA - LE PALMAR, EL PALMAR - EL CHUCHO, EL PALMAR - LA VILLA, LEYVA - PUERTO NUEVO. REPROTE DEL CREPAD.</t>
  </si>
  <si>
    <t>ANCUYA</t>
  </si>
  <si>
    <t>DESBORDAMIENTO RIO UPIA. AFECTADO PUENTE QUE COMUNICA META CON CASANARE. REPORTE DEL CREPAD.</t>
  </si>
  <si>
    <t>CISNEROS</t>
  </si>
  <si>
    <t>PALESTINA</t>
  </si>
  <si>
    <t>CABUYARO</t>
  </si>
  <si>
    <t>YUMBO</t>
  </si>
  <si>
    <t>SAPUYES</t>
  </si>
  <si>
    <t>COMUNIDADES DE LOS MONOS, MARAMBA, LA FLORESTA. VIA SAPAUYES MALAVER, REPORTEDE L CREPAD.</t>
  </si>
  <si>
    <t>ANDES</t>
  </si>
  <si>
    <t>VEREDAS PANGOS, LAS DELICIAS, CAMPOBELLO, PITAL, LOS GUABOS, SAN VICENTE, LA ESMERALDA, EL BOQUERON, EL HUILQUE, VIAS CURIACO - GUAYABAL Y LOS GUABOS - PANGOS.REPROTE DEL CREPAD.</t>
  </si>
  <si>
    <t>GUAITARILLA</t>
  </si>
  <si>
    <t>VIAS GUAITARILLA - MOTILON, GUAITARILLA - CABUYO, GUAITARILLA - SAN ALEJANDRO, GUAITARILLA - PLAN GRANDE, GUAITARILLA - YUNGUITA, GUAITARILLA - GUAITARA, CUATRO ESQUINAS - GIRARDOT, GIRARDOT - EL ROSARIO DE INGA, GUATARILLA - CIENAGA, SAN JOSE - BUENOS AIRES. REPORTE DEL CREPAD.</t>
  </si>
  <si>
    <t>SAN PEDRO DE CARTAGO</t>
  </si>
  <si>
    <t>VEREDAS LA COMUNIDAD, LA RINDONADA, CHIMAJOY BAJO, EL SALADO. VIA LA ESTANCIA - BOTANILLA Y VIA NACIONAL LA RINCONADA. REPORTE DEL CREPAD.</t>
  </si>
  <si>
    <t>CUMBAL</t>
  </si>
  <si>
    <t>BARRIOS CERRO GORDO. COLINAS DEL SUR, GRANADA, SAN ISIDRO, YULDAIMA, SANTOFIMIO, LA MERTINICA, LA FLORIDA, LA UNION,. SAN JOSE, 20 DE JULIO, LA CEIBA, ALCALA. BALTAZAR Y LA CEIBA SUR. REPORTE DEL CLOPAD.</t>
  </si>
  <si>
    <t>DESBORDAMIENTO SAN JUAN. COMUNIDADES DE MALAGUITA, CUELLAR, PUERTO PIZARRO LA CABECERA. CACHAJO, AGUACIRA. REPROTE DE LA DEFENSA CIVIL.</t>
  </si>
  <si>
    <t>BARRIOS SAN MIGUEL, LAS PALMAS, LAS CLARITAS, CORREGIMIENTO DE VILLAROSA, ROTINET, CIEN PESOS Y LAS COMPUERTAS.REPORTE DEL CLOPAD</t>
  </si>
  <si>
    <t>SE APOYO CON ALIMENTOS A TRAVES DEL CREPAD</t>
  </si>
  <si>
    <t>DESBORDAMIETNO QUEBRADA PRESIDENTA SECTOR COLA DEL ZORRO. EL POBLADO. REPORTE DEL CREPAD.</t>
  </si>
  <si>
    <t>DESBORDAMIENTO RIO TELEMBI, VEREDAS GUAYABAL, LA PEÑA, LAS BRISAS, EL BAJITO, REPORTE DEL CREPAD.</t>
  </si>
  <si>
    <t>AFECTADO CENTRO DE SALUD DE MURINDO. REPORTE DEL CREPAD.</t>
  </si>
  <si>
    <t>RAGONVALIA</t>
  </si>
  <si>
    <t>VEREDA CAÑO SAN JOSE, BARRIO EL CARMEN, REPORTE DEL CREPAD, NORTE DE SANTANDER.</t>
  </si>
  <si>
    <t>DESBORDAMIENTO RIO SAN JUAN. COMUNIDADES MALAGUITA, CUELLAR, PUERTRO CIZARRO, CABECERA, CHACHAJO, AGUA CLARA. REPORTE DEL SOCORRO NACIONAL Y DEFENS ACIVIL.</t>
  </si>
  <si>
    <t>DESBORDAMIENTO DEL RIO FRAILE. VEREDAS LA SONORA, EL LLANITO, EL SALADO. CORREGIMIENTO LOS CALEÑOS.  REPORTE DE LA DEFENSA CIVIL</t>
  </si>
  <si>
    <t>AFECTADA VEREDA ORO FINO. REPORTE DEL CREPAD. INCOMUNICADAS 15 VEREDAS.</t>
  </si>
  <si>
    <t>DESBORDAMIENTO QUEBRADA OA GARCIA ZONA URBANA. REPORTE DEL CREPAD.</t>
  </si>
  <si>
    <t>DESBORDAMIENTO RIO CAUCA. PENDIENTE AFECTACION REPROTE DEL CREPAD.</t>
  </si>
  <si>
    <t>VIA AFECTADA ENTRE SOGAMOZO Y PAJARITO. REPROTE DEL CREPAD.</t>
  </si>
  <si>
    <t>VIA SOCHA - PAZ DE RIO REPORTE DEL CREPAD.</t>
  </si>
  <si>
    <t>VEREDA CARPAQUEÑO. REPORTE DEL CREPAD.</t>
  </si>
  <si>
    <t xml:space="preserve">VEREDA EL ESTANQUILLO REPORTE DEL CREPAD. </t>
  </si>
  <si>
    <t>VEREDA EL HOYO REPORTE DEL CREPAD.</t>
  </si>
  <si>
    <t>DESBORDAMIENTO CAÑO PENDEJO BARRIO MONTECARLO. REPORTE DEL CREPAD.</t>
  </si>
  <si>
    <t>PUERTO ESCONDIDO</t>
  </si>
  <si>
    <t>DESBORDAMIENTO RIOS CANALETE Y MORINDO. VEREDAS SABANITO, Y EL PLANCHON. ZONA URBANA Y ZONA RURAL. CREPAD</t>
  </si>
  <si>
    <t>VEREDA LA NATA. REPORTE DEL CREPAD.</t>
  </si>
  <si>
    <t>VEREDA SANTA SOFIA. REPORTE DEL CREPAD.</t>
  </si>
  <si>
    <t>BARRIOS PRIMAVERA, 20 DE JULIO, SECTOR PAN DE AZUCAR. REPORTE DEL CLOPAD</t>
  </si>
  <si>
    <t>BARRIO LA SIERRA  REPORTE DEL CLOPAD Y CREPAD.</t>
  </si>
  <si>
    <t>DESBORDAMIENTO RIOS GUADUAL Y LIMONAR. AFECTADOS BARRIOS POLICARPA SALAVARRIETA, SAN JOSE, VILLA DE JESUS, ESPERANZA, Y VIRREYES. AFECTADA VIA  GUADUAS - VILLETA SECTOR ALTO DEL TRIGO. REPORTE DEL CREPAD. APOYADO POREL CREPAD.</t>
  </si>
  <si>
    <t>VISTAHERMOSA</t>
  </si>
  <si>
    <t>VEREDA CAÑO 20. REPORTE DEL CREPAD.</t>
  </si>
  <si>
    <t>VILLA TINA. REPORTE DEL CREPAD.</t>
  </si>
  <si>
    <t>DESBORDAMIENTO RIO BOGOTA. SECTOR PESEBRERA,SANTA HELENA, DIEZ DE MAYO, PUERTO CABRERA, 20 DE JULIO, VICTORIA, PUERTO MONTERO, SANTA HELENA, LA CABRERA, BUENOS AIRES PARTE BAJA, PUENTE CORDOBA, EL CHIRCAL, SAN LORENZO.  REPORTE DEL CREPAD.</t>
  </si>
  <si>
    <t>CORREGIMIETNO SAN JUANITO. REPORTE DEL CREPAD.</t>
  </si>
  <si>
    <t>AFECTADA VIA LA SIERRA AL MACISO COLOMBIANO. REPORTE DEL CREPAD.</t>
  </si>
  <si>
    <t>LA ESTRELLA</t>
  </si>
  <si>
    <t>CASCO URBANO. REPORTE DEL CREPAD.</t>
  </si>
  <si>
    <t>TABIO</t>
  </si>
  <si>
    <t>VIA TABIO - SUBACHOQUE- REPORTE DEL CREPAD.</t>
  </si>
  <si>
    <t>INUNDACION POR FUERTES LLUVIAS EN EL CASCO URBANO. REPORTE DEL CREPAD.</t>
  </si>
  <si>
    <t xml:space="preserve">APOYO CON SACOS DE POLIPROPILENO. REPROTAN PERDIDA DE CULTIVOS EN ZONA BANANERA, EL RETEN, PIVIJAY, GUAMAL, CIENAGA, FUNDACIÓN, TENERIFE, PEDRAZA, SALAMINA, CERRO SAN ANTONIO, PLATO SITIONUEVO, </t>
  </si>
  <si>
    <t>SE APOYA DE MANERA COMPLEMENTARIA TENIENDO EN CUENTA LA MAGNITRUD E LA EMERGENCIA</t>
  </si>
  <si>
    <t>APOYO DEL FNC MEDIANTE GIRO DIRECTO AL CLOAPD PARA LA ADQUISICON DE COMBUSTIBLEPARA LOS TRABAJOS DE PROTECCION Y REALCE DEL DIQUE QUE PROTEGE EL DISTRITO DE RIEGO.-</t>
  </si>
  <si>
    <t>21045
21452
22705
22764
42847</t>
  </si>
  <si>
    <t>ROMPIMIENTO DEL DIQUE EN EL PUNTO SANTA ANITA. 500 METROS DE ACHO. AFECTADA LA VIA LA APARTADA - AYAPEL. ALCALDE 3114216264. APOYO DEL FNC MEDIANTE GIRO DIRECTO AL CLOPAD PARA LA ADQUISICION DE COMBUSTIBLES Y LUBRICANTESPARA MOVILIZACION DE MAQUINARIAS, EQUIPOS Y MOTORESPARA REMOCION DE ESCOMBROS, LIMPIEZA DE CAÑOS, QUEBRADAS, DRENAJES Y TRANSPORTE DE AYUDAD.</t>
  </si>
  <si>
    <t>CORREGIMIENTO CAIMALITO. REPORTE DEL CREPAD.</t>
  </si>
  <si>
    <t>SE BRINDO APOYO A TRAVES DEL CREPAD.</t>
  </si>
  <si>
    <t>VEREDA SANTA HELENA. REPORTE DEL CREPAD.</t>
  </si>
  <si>
    <t>BARRIOS PUEBLO NUEVO, DOÑA NIDIA, OSPINA PEREZ Y SAN MATEO. REPORTE DEL CREPAD.</t>
  </si>
  <si>
    <t>CHINACOTA</t>
  </si>
  <si>
    <t>REPORTE DEL CREPAD. VIA CHINACIOTA - CUCUTA.</t>
  </si>
  <si>
    <t>DESBORDAMIENTO RIO SOCOMBA. VEREDAS  SOCOMBA, LAS PIÑAS, CAÑO RODRIGO  Y CARTAGENA. REPORTE DEL CREPAD.</t>
  </si>
  <si>
    <t>SECTOR TROPICAL, TUMACO, CRUCERO ESTRELLA. REPROTE DEL CREPAD.</t>
  </si>
  <si>
    <t>BARRIO EL BOSQUE, SECTOR EL HOSPITAL.REPORTE DEL CREPAD.</t>
  </si>
  <si>
    <t>DESBORDAMIENTO RIO LEBRIJA. SECTOR BAJO RIONEGRO. REPORTE DEL CREPAD</t>
  </si>
  <si>
    <t>COLAPTO ANTIGUO TEATRO JANUA. REPORTE DEL CREPAD.</t>
  </si>
  <si>
    <t>CARTAGO</t>
  </si>
  <si>
    <r>
      <t xml:space="preserve">DESBORDAMIENTO QUEBRADA SAN JOSE. BARRIOS SAN JOSE, SAN EPDRO, BRASIL. REPORTE DEL CREPAD. </t>
    </r>
    <r>
      <rPr>
        <b/>
        <sz val="9"/>
        <rFont val="Arial"/>
        <family val="2"/>
      </rPr>
      <t>APOYO DEL FNC MEDIANTE GIRO DIRECTO AL CLOPAD PARA ADQUISICION DE COMBUSTIBLES Y LUBRICANTESPARA LIMPIEZA DE CAÑOS, MOVIMIENTO DE TIERRAS Y MOVBILIZACION DE ESCOMBROS, DEBIDO A LA TEMPORADA INVERNAL.</t>
    </r>
  </si>
  <si>
    <t>APOYO DEL FNC MEDIANTE GIRO DIRECTO AL CLOPAD PARA APOYAR LA CONSTRUCCION DEL MURO DE CONTENCION Y CERRAMIENTO EN EL HOGAR MULTIPLE</t>
  </si>
  <si>
    <t xml:space="preserve">                                                                                                                                                                              </t>
  </si>
  <si>
    <t>2
4</t>
  </si>
  <si>
    <t>DESBORDAMIENTO QUEBRADA LA VIEJA. BARRIOS BRISAS DEL RIO, LA PLATANERA, ARENERA, VILLA JULIAN, ENTRERIOS, VILLA CAROLINA. REPORTE DE LA DEFENSA CIVIL.</t>
  </si>
  <si>
    <t>DESBORDAMIENTO QUEBRADA LA FRUTERA. REPROTE DE LA DEFENS ZACIVIL.</t>
  </si>
  <si>
    <t>CRECIENTE SUBITA CAÑO RODRIGO VEREDA CAÑO RODRIGO. REPORTE DEL CREPAD.</t>
  </si>
  <si>
    <t>CRECIENTE RIO ATRATO, SECTOR BAJO ATRATO. REPORTE DEL CREPAD.</t>
  </si>
  <si>
    <t>DESBORDAMIENTO RIO BAUDO CORREGIMIENTO EL LLANO.  REPORTE DE LA CRUZ ROJA</t>
  </si>
  <si>
    <t>CRECIENTE SUBITA DEL RIO SUMAPAZ. REPORTE DEL CREPAD.</t>
  </si>
  <si>
    <t>CRECIENTE RIO MAGDALENA. SECTOR ISLA PUERTO ROJO, RAYADEROS, HIERBA BUIENA, BARRIO PIMIERO DE MAYO.. REPORTE DEL CREPAD.</t>
  </si>
  <si>
    <t xml:space="preserve">FUERTES LLUVIAS. BARRIOS EL PARAISO, SECTOR BAHONDO. REPORTE DE DEFENSA CIVIL. </t>
  </si>
  <si>
    <t>ONZAGA</t>
  </si>
  <si>
    <t>DESBORDAMIENTO RIO CHAGUACA. VEREDA CHAGUACA. AFECTADA VIA QUE CONDUCE A LA VEREDA CHAGUACA REPORTE DEL CREPAD.</t>
  </si>
  <si>
    <t>INUNDACION POR FUERTES LLUVIAS EN LOS BARRIOS MIRAFLORES, BUENOS AIRES Y EL PARAISO. REPORTE DEL CREPAD</t>
  </si>
  <si>
    <t>VEREDA RODESIA CORREGIMIENTO SANTA ISABEL. REPORTE DEL SOCORRO NACIONAL.</t>
  </si>
  <si>
    <t>DESBORDAMIENTO RIO UPIA, VEREDA EL HORQUETON, LOS PADROTES, CAIMAN ALTO Y BAJO, LAS ISLAS, LOS GEMELOS, LOS TRONCOS, CARACOLI, SANTA HELENA DE UPIA. REPORTE DEL CREPAD.</t>
  </si>
  <si>
    <t>DESBORDAMIENTO RIO TOCARIA, VEREDAS LA CAPILLA, GUACHARACOS, EL PRETEXTO LA YOPALOSA. REPORTE DEL CREPAD.</t>
  </si>
  <si>
    <t>CERRO DE LA POPA. REPORTE DEL CLOPAD.</t>
  </si>
  <si>
    <t>DESBORDAMIENTO ARROYO SAN BLAS. REPORTE DEL CREPAD.</t>
  </si>
  <si>
    <t>VEREDA LA CANDELARIA. SECTOR QUEBRADA LA MORENA. PERDIDA DE PUENTE VEHICULAS Y VEREDA SAN JOSE. DESBORDAMEINTO QUEBRADA SAN ANTONIO Y CAÑOS NEGROS. AFECTADA VIA FOMEQUE - SAN JUANITO. REPORTE DEL CREPAD.</t>
  </si>
  <si>
    <t>VEREDAS PALOMIA, ALTAMIZAR, CONDE, ABALOCHE. REPORTE DEL CREPAD.</t>
  </si>
  <si>
    <t>SECTORES CAÑAVERAL, PUEBLO NUEVO, LA NUBE, TRIBUNA, ARAÑALES, EL GOLFO, SAN MARTIN, LA TRAVESIA, COJONES, COFRE, LLANO GRANDE, SAN LUIS, REPORTE DEL CREPAD.</t>
  </si>
  <si>
    <t>SECTORES MONTERREY, ALASKA, PUEBLO NUEVO, LA PRIMAVERA, JANEIRO, LA HABANA, MIRAVALLE, LA MAGDALENA, EL TOPACIO, EL CRUCERO, NOGALES, LA PALOMERA, PUERTO BERTIN, LA TROZADA, LA MESA, LA PLAYA, EL PLACER, EL CARMELO. REPORTE DEL CREPAD.</t>
  </si>
  <si>
    <t>RIOFRIO</t>
  </si>
  <si>
    <t>SECTORES LOS ALPES, PORTOBELLO, E CONTROL, LA ITALIA, SAN MARINO, MIRAVALLE, PUERTO ARTURO, EL RUBI, EL BOSQUE, COROZAL, PALMAS, MORRO PLANCHO, LA ZULIA, LA JUDEA, EL JAGUAL,  CALABAZAS, SAN PABLO, LA VIGOROZA, LOS ESTRECHOS, MADRIGAL, PORTUGAL DEL CARMEN, PUERTO FENICIA, LA CRISTALINA,. RIOFRIO BAJO, MIRAVALLE BAJO. RPEORTE DEL CREPAD.</t>
  </si>
  <si>
    <r>
      <rPr>
        <sz val="9"/>
        <rFont val="Arial"/>
        <family val="2"/>
      </rPr>
      <t xml:space="preserve">SECTORES BARRIO SAN FRANCISCO, SAN ANTONIO, EL CHANCO, EL LAZARO, BOHIO BUENAVISTA, SABANAZO, LA PRADERA, EL GUINEO, EL CEDRO, LA CONSOLIDA, PATIO BONITO, LA QUIEBRA, EL CHONTADURO. </t>
    </r>
    <r>
      <rPr>
        <b/>
        <sz val="9"/>
        <rFont val="Arial"/>
        <family val="2"/>
      </rPr>
      <t xml:space="preserve">   APOYO DEL FNC MEDIANTE GIRO DIRECTO AL CLOPAD PARA ADQUISICION DE COMBUSTIBLE PARA LA OPERACIÓN DE LA MAQUINARIA Y TRASLADO DE MATERIAL PARA EL REALCE DEL DIQUE DE PROTECCION DEL DISTRITO DE RIEGO.</t>
    </r>
  </si>
  <si>
    <t>INUDNACION POR FUERTES LLUVIAS. BARRIOS CANADA, LA PALMA, CORREGIMIENTO RIO BRAVO, VEREDAS EL DIAMANTE, LA FLORIDA, LA GAVIOTA, SAN JOSE, EL BOLEO. REPORTE DEL CREPAD.</t>
  </si>
  <si>
    <t>DESBORDAMIENTO RIO NAYA. CORREGIMIENTO CONCEPCION REPROTE DEL CREPAD.</t>
  </si>
  <si>
    <t>DESBORDAMIENTO RIO MAGDALENA. BRRIOS RO0BLES, TASAJERA Y NERVID. REPORTE DE DEFENSA CIVIL.</t>
  </si>
  <si>
    <t>DESBORDAMIENTO RIO MAGDALENA Y ARROYO RASTRO. BARRIOS ARMERO. CORREGIMIENTOS GAMBOTE Y SAN AGUSTIN. REPORTE DE LA DEFENSA CIVIL.</t>
  </si>
  <si>
    <t>DESBORDAMIENTO ARROYO LARGO. REPORTE DELA DEFENSA CIVL</t>
  </si>
  <si>
    <t xml:space="preserve">CORREGIMIETNO LAS PIEDRAS. REPORTE DE DEFENSA CIVIL. </t>
  </si>
  <si>
    <t>REPORTE DE LA DEFENSA CIVIL.ZONA INDUSTRIAL, BARRIO POLICARPA, CRESPITO FREDONIA. LA POPA, ZONA DE MAMONAL</t>
  </si>
  <si>
    <t>CORREGIMIENTO SICERIN, DESBORDAMEINTO CANAL DEL DIQUE. REPORTE DE DEFENSA CIVIL.</t>
  </si>
  <si>
    <t>SAN ANTONIO</t>
  </si>
  <si>
    <t>VEREDA SAN JORGE, REPORTE DE DEFENSA CIVIL}</t>
  </si>
  <si>
    <t>SAMANA</t>
  </si>
  <si>
    <t>CASCO URBANO. REPORTE DEL CREPAD</t>
  </si>
  <si>
    <t>DESBORDAMIENTO RIO MAGDALENA. BARRIO PRIMERO DE MAYO. REPROTE DEL CREPAD.</t>
  </si>
  <si>
    <t>REPROTE DEL CREPAD. BARRIO EL INSTITUTO, , EL CENTRO, EL MOLINO, VEREDAS SILASQUILLO, SAN MIGUEL, PEÑONCITO ORIENTAL</t>
  </si>
  <si>
    <t>DESBORDAMIENTO RIO CAUCA, ZONA RURAL Y CORREGIMEINTOS JUANCHITO, DOMINGO LARGO, CALITUBOS, PUEBLONUEVO. REPORTE DE LA DEFENSA CIVIL.</t>
  </si>
  <si>
    <t>BARRIO LA GABRIELA, SECTOR CALLE VIEJA.CLOPAD, CRUZ ROJA Y MINPROTECCION SOCIAL.</t>
  </si>
  <si>
    <t>REPROTE DEL CREPAD Y CLOPAD CIAS EL RECREO - PUENTE FIERRO, LA ZANJA - GUACHICONO, ARBELA - LOS PLANES, SAN JOSE - LETICIA. PUENTES: LA ZANJA, PANCITARA, PUENTE LA PINTADA, PUENTE EL PALMAR, PUENTE EL DIVISO.</t>
  </si>
  <si>
    <t>PIENDAMO</t>
  </si>
  <si>
    <t>REPORTE DEL CREPAD. BARRIO NACIONAL SECTOR URBANO. VAIS ALTO PIENDAMO - SAN ISIDRO, EL CARMEN CAMPO ALEGRE, SAN PEDRO - LA MINA. AFECTADA BIBLIOTECA DE MUNICIPIO</t>
  </si>
  <si>
    <t xml:space="preserve">VEREDAS UFUGU, GUALOTO, SAUCE, EL MARQUEZ, LOMA ABAJO, JIGUAL, PINZON, FLORIDA, LOMA GRANDRE, LA DESPENSA, BARRAGA VIEJA, EL CEFIRO, EL ALTILLO, PORVENIR, PORTACHUELO, EL DIVISO, LA LAJA, PARRAGA, SANTA CLARA, LA SOLEDAD, CHONTADURO, PARRGA VIEJO, PAN DE AZUCAR, PINZON, EL RETIRO, ALTO DE LAS YERBAS, BELLA VISTA. GOLONDRINAS, BERLIN, PALO BLANCO, GUAYACANAL, PUERTO LLAVE, EL LIBANO, EL SAUCE, EL CHURO TABLON, GUALOTO, EL RAMAL, BELLO HORIZONETE, EL MARQUEZ , LA VIOLETA, GUISABALO, LA FLORIDA JIGUAL, PEÑA BLANCA Y SOLEDAD REPORTE DEL CREPAD. ACUEDUCTOS DE CHONTADURO, PORTACHUELO, PUERTO LLAVE, PALOBLANCO, EL DIVISO . </t>
  </si>
  <si>
    <t xml:space="preserve">SECTORES SAN LORENZO, TRUJILLO, LA CARBOENRA, CHALGUAYACOI, LOS AZULES, BELLO HORIZONTE, SAN JUAN, LOS MILAGROS, PANCHI, LERMA, PALMITAS, RIO BLANCO. VIAS BOLIVAR- SAN LORENZO, AGUAGORDA - EL CARMEN, LOS MILAGROS - SAN JUAN. PANCHE - SAN JUAN, PALMITAS - RIO BLANCO, GUAYABITAS - CARBONERA, CARBONERA - LA MONJA, LA PLAYA - LA ESTRELLA , BOQUERON - GUADUA , BOQUERON - BOLIVAR., ESCUELA VEREDA AGUAS, ACUEDUCTO DE BOLIVAR SAN LORENZXO TRUJILLO, CARBONERA, CHALGUAYACO, LOS AZULES, BELLO HORIZONTE. </t>
  </si>
  <si>
    <t>DESBORDAMIETNO RIO PATIA. REPORTE DEL CREPAD. VIAS BALBOA - ARGELIA, EL PORVENIR - LA BEMERMEJA, EL CRUCE - LA JOAQUINA, SAN ALFONSO - MONARES, LA PALMA - EL JARDIN, EL PORVENIR - SAN ANTONIO, LA CABAÑA - VERSALLES, LA CABAÑA - LA COCHA. ESCUELA VEREDA LA JOAQUINA, CENTROS DE SALUD DE BERMEJA BAJA, SAN ALFONSO, PURETO.</t>
  </si>
  <si>
    <t>ALMAGUER</t>
  </si>
  <si>
    <t xml:space="preserve">SECTORES EL PROVENIR, EL PLATANILLAL, EL BOQUERON, LA CHORRERA, EL CAIRO, BELEN, PUEBLO NUEVOS, EL PLACER, EL HATO, QUINTERO, TUNURCO, LAS PIEDRAS, CUCHICAMA, HATONUEVO, EL RETIRO, EL PALCER, SN PEDRO, LAS GUACAS, LAS CRUCES. </t>
  </si>
  <si>
    <t>CORREGIMIENTOS SANTA LETICIA, PALETARA, COCONUCO, VEREDS LOS ARRAYANES, PATIO BONITO, EL ROBLE, EL AGACATAL, SAN JOSE, CUARE, PISANRABO, SAN BARTOLO, RIOCLARO, CENTRO PALETARA.</t>
  </si>
  <si>
    <t>REPORTE DEL CREPAD SECTORES CORREGIMIENTO EL ROSARIO, EL HATO, CUCHILLA, MARSELLA, LOS ARBOLES, EL CAMPO, BELLA VISTA, CERRO BLANCO.</t>
  </si>
  <si>
    <t>SECTOR BLANCO, POERDIDA DE CULTIVOS Y VIVIENDAS. REPORTE DEL CREPAD. viasCHITA - LA UVITA, CHITA - JERICO, CHITA - EL EMPALME, CHITA - EL COCUY.</t>
  </si>
  <si>
    <t xml:space="preserve">DESBORDAMIENTO RIO ARIGUANI. CORREGIMIENTO SAN JOSE Y PUEBLO NUEVO. REPORTE DE LA DEFENSA CIVIL. EL CLOPAD ENVIA INFORME, PERO </t>
  </si>
  <si>
    <t>SILVANIA</t>
  </si>
  <si>
    <t>250
159
351
46000</t>
  </si>
  <si>
    <t>3
8
8
3
8
3</t>
  </si>
  <si>
    <r>
      <t>BARRIO BENJAMIN HIDALGO. VISITA DE LA DGR Y EL GOBIERNO NACIONAL. LA CRUZ ROJA ENVIO 2 TONELADAS DE AYUDA HUMANITARIA Y 1 TONELADA DE MENAJE. ENVIO DE 75 TONELADAS DE ROPA DE LA DIAN.</t>
    </r>
    <r>
      <rPr>
        <b/>
        <sz val="9"/>
        <rFont val="Arial"/>
        <family val="2"/>
      </rPr>
      <t xml:space="preserve"> GIRO DIRECTO AL CLOPAD PARA LA ADQUISICION DE HERRAMIENTA Y MATERIALES PARA LA RECONSTRUCCION DE LAS VIVIENDAS ($291,600,000) SUBSIDIO DE ARRIENDO  POR UN MES PPARA 84 FAMILIAS A RAZON DE $100.000 ($8,400,000) VALOR TOTAL DEL PRIMER GIRO $300.000.000. SEGUNDO GIRO BANCO DE MATERIALES POR VALOR DE $545,705,700 Y SUBSIDIOS DE ARRIENDO POR VALOR DE $7,100,000 PARA UN VALOR TOTAL DEL SEGUNDO GIRO DE $552,805,700, TERCER GIRO $373.213.400 DE LOS CUALES 360,013,400 SALE ´POR LINEA 8 BANCO DE MATERIALES. Y 13.200.000 POR LINEA 3 SUBSIDIOAS ARRIENDO</t>
    </r>
  </si>
  <si>
    <t>ALGECIRAS</t>
  </si>
  <si>
    <t>VEREDA CASA ROSINES, REPORTE DEL CREPAD.</t>
  </si>
  <si>
    <t>VIA ALGECIRAS - VALPARAISO. SECTORES PEÑAS BLANCAS, LA LAGUNA, MANZANARES, ALTO CIELO, POMO, QUIOSCO, SAN ANTONIO, EL PUENTE, EL GUAYABO, Y VEREDA QUEBRADON NORTE, POTRERO GARNDE Y SAN ANTONIO, CORREGIMIENTO SANTA ANA. REPORTE DEL CRPAD.</t>
  </si>
  <si>
    <t>VEREDAS LA GRANJA, LA CABAÑA, CAPAROSAL, LA UNION. REPORTE DEL CREPAD.</t>
  </si>
  <si>
    <t>BARRIO LA INDEPENDENCIA, LAS AMERICAS Y MONSERRATE. REPORTE DE LA DEFENSA CIVIL</t>
  </si>
  <si>
    <t>INUNDACION POR FUERTES LLUVIAS. BARRIOS LOS GUADUALES, TIMANCO, BUENOS AIRES, VILLA OSORIO, VILLA FERR, CALLE 14 CON CARRERAS 12 16 Y 17. REPORTE DEL CLOPAD.</t>
  </si>
  <si>
    <t>CALLE 2 D 28C 18. REPORTE EL CREPAD.</t>
  </si>
  <si>
    <t>CRECIENTE DE LA QUEBRADA LA NUTRIA. BARRIOS ESTADIO Y ALVARO SILVA. REPORTE DEL CREPAD.</t>
  </si>
  <si>
    <t>CASCO URBANO QUEBRADA RIO VERDE. REPORTE DEL CREPAD.</t>
  </si>
  <si>
    <t>CALLE 4 CARRERA 4 Y 6. REPORTE DEL CREPAD.</t>
  </si>
  <si>
    <t>SALADOBLANCO</t>
  </si>
  <si>
    <t>ACEVEDO</t>
  </si>
  <si>
    <t>VEREDA MARTICA. REPROTE DEL CREPAD.</t>
  </si>
  <si>
    <t>BARRIO LA ISLA, CONDOMINIO EL PORTAL DEL ORIENTE. REPORTE DEL CREPAD.</t>
  </si>
  <si>
    <t>BARRIO CLAVELLINES.REPORTE DEL CREPAD.</t>
  </si>
  <si>
    <t>BARRIO LAS AMERICAS RREPORTE DEL CREPAD.</t>
  </si>
  <si>
    <t>SECTOR TUNGURAUA. VIA YAGUARA HOBO, MINA CHOCO.REPROTE DEL CREPAD.</t>
  </si>
  <si>
    <t>BARRIO CENTRO CALLE 3 Y 4 BARRIO AVENIDA PASTRANA Y DESLIZAMIENTOEN CASCO URBANO. REPORTE DEL CREPAD.</t>
  </si>
  <si>
    <t>VEREDAS CORDOBA, DINDAL, CAMBRAS, INSPECCIONES, SAN PEDRO, SAN CARLOS. REPORTE DEL CREPAD.</t>
  </si>
  <si>
    <t>TIBACUY</t>
  </si>
  <si>
    <t>VEREDA SAN JOSE DE BAJO. REPORTE DEL CREPAD.</t>
  </si>
  <si>
    <t>DESBORDMAIENTO CAÑO TIBANICA. BARRIOS OLIVARES, LA COMUNA 2, LOMA LINDA LA CAPILLA, BARRIO EL PROGRESO. SILIO OLIVAR Y EL DINREPORTE DEL CREPAD.</t>
  </si>
  <si>
    <t>REPORTE DEL CLOPAD</t>
  </si>
  <si>
    <t>BARRIO ALTO VILLA QUENPIS. REPORTE DEL CREPAD.</t>
  </si>
  <si>
    <t>SECTOR CASA DE TABLA. DESBORDAMEINTO RIO CRISTALINO. REPORTE DEL CREPAD.</t>
  </si>
  <si>
    <t>VEREDAS LA PEÑA, SECTOR JRUSALEN, COSCUEZ, CASA ROJA, SANTA BARBARA Y PORVENIR. REPORTE DEL CREPAD.</t>
  </si>
  <si>
    <t>VEREDA DANUBIO REPORTE DEL CREPAD.</t>
  </si>
  <si>
    <t>BARRIO LOS ANGELES. REPORTE DEL CREPAD.. DESBORDAMIENTO QUEBRADA PICONA Y SAN AGUSTIN.</t>
  </si>
  <si>
    <t xml:space="preserve">BARRIO EL PORVENIR. REPORTE DEL CREPAD. </t>
  </si>
  <si>
    <t>FILANDIA</t>
  </si>
  <si>
    <t>SECTOR CENTRO, REBOSAMIENTO DE ALCANTARILLADO. REPORTE DEL CREPAD.</t>
  </si>
  <si>
    <t>ROBERTO PAYAN</t>
  </si>
  <si>
    <t>QUINCE VEREDAS AFECTADAS . REPORTE DEL CREPAD.</t>
  </si>
  <si>
    <t>VIA QUE CONDUCE DE PASTO A LA CABECERA MUNICIPAL.</t>
  </si>
  <si>
    <t>VEREDAS ESCALERAS, EL VERGEL, LA FLORIDA. REPORTE DEL CREPAD. VIA QUE CONDUCE DE LA LLANADA A LOS ANDES.</t>
  </si>
  <si>
    <t>CUASPUD</t>
  </si>
  <si>
    <t>SEIS VIAS TERCIARIAS Y COLAPSO DE PUENTE EN LA VIA MACAS - RODEO</t>
  </si>
  <si>
    <t>FUNES</t>
  </si>
  <si>
    <t>VIA PANOYA - TAMINANGO Y TAMINANGO - EL PARAMO</t>
  </si>
  <si>
    <t>VIAS OSPINA - MANZANO. GUAQUIRAN - SAN MIGUEL, SAN MIGUEL - SAN VICIENTE, OSPINA - GUAQUIRAN, GUAQUIRAN - SAN JOSE, GUAQUIRAN - SAN ISIDRO, SAN ISIDRO - SAN ANTONIO, SAN ISIDRO - VILLA DEL SUR, VILLA EL SUR - LA FLORIDA, VILLA DEL SUR CUNCHILA, CUNCHILA - GAVILANES, CUNCHILLA - LAS MERCEDES, LAS MERCEDES - CUADQUIRAN, LAS MERCEDES - VILLA DEL SUR, SAN MIGUEL - SAN JOSE.REPORTE DEL CREPAD</t>
  </si>
  <si>
    <t>POTOSI</t>
  </si>
  <si>
    <t>VIA CASCO URBANO Y PUENTES LAS LAJAS Y CHIGUACOS.</t>
  </si>
  <si>
    <t>ONCE VIAS. ESCUELA JOHN F KENNEDY. REPORTE DEL CLOPAD.</t>
  </si>
  <si>
    <t>CHARALA</t>
  </si>
  <si>
    <t>ENCISO</t>
  </si>
  <si>
    <t>LEBRIJA</t>
  </si>
  <si>
    <t>MOGOTES</t>
  </si>
  <si>
    <t>PIEDECUESTA</t>
  </si>
  <si>
    <t>SAN JOAQUIN</t>
  </si>
  <si>
    <t>BARRIO SAN ANDRESITO, EL CERO, LA Y,  YARIGUIES, SANTA ANA, 30 DE AGOSTO. REPROTE DEL CLOPAD. VEREDA LA COLORADA. VIA A SAN VICENTE. REPORTE DEL CREPAD.SE SOLICITA AL CREPAD CONCRETAR APOYO.</t>
  </si>
  <si>
    <t>TONA</t>
  </si>
  <si>
    <t>ZAPATOCA</t>
  </si>
  <si>
    <t>APOYO DEL FNC MEDIANTE GIRO GIRECTO AL CLOPAD PARA LA PROTECCION Y CANALIZACION, DEL ARROYO EN EL SECTOR BARRIO 7 DE ABRIL, CABERA CABECERA MUNICIPAL DE LOS PALMITOS.</t>
  </si>
  <si>
    <t>BARRIO LASCA. PARTE ALTA Y CERROS ORIENTALES Y BARRIO LAS DELICIAS SEGUNDO SECTOR. . REPORTE DEL CLOPAD.</t>
  </si>
  <si>
    <t>DESBORDAMIENTO RIO PAMPLONITA. BARRIO LA ISLA, REPORTE DEL CREPAD.</t>
  </si>
  <si>
    <t>DESBORDAMIENTO RIO ZULIA. ZONA RURAL Y CORREGIMIENTOS PUERTO LEON Y PUERTO VILLAMIZAR. REPORTE DEL CLOPAD</t>
  </si>
  <si>
    <t>SARDINATA</t>
  </si>
  <si>
    <t>EXPLOSION DE MINA DE CARBON POR ACUMULACION DE GASES, VEREDA SAN ROQUE, MINA DE CARBON LA PRECIOSA. REPORTE EL CREPAD Y LA DEFENSA CIVIL.</t>
  </si>
  <si>
    <t>SACOS CORMAGDALENA BARRANQUILLA</t>
  </si>
  <si>
    <t xml:space="preserve">                                                                                                                                                                                                                                                                                                                                                                                                                                                                                                                                                                                                                                                                                                                                                                                                                                                                                                                                                                                                                                                                                                                                                                                                                                                                                                                                                                                                                                                                                                                                                                                                                                                                                                                                                                                                                                                                                                                                                                                                                                                                                                                                                                                                                                                                                                                                                                                                                                                                                                                                                                                                                                                                                                                                                                                                                                                                                                                                                                                                                                                                                                                                                                                                                                                                                                                                                                                                                                                                                                                                                                                                                                                                                                                                                                                                                                                                                                                                                                                                                                                                                                                                                                                                                                                                                                                                                                                                                                                                                                                                                                                                                                                                                                                                                                                                                                                                                                                                                                                                                                                                                                                                                                                                                                                                                                                                                                                                                                                                                                                                                                                                                                                                                                                                                                                                                                                                                                                                                                                                                                                                                                                                                                                                                                                                                                                                          </t>
  </si>
  <si>
    <t>DISTRACCION</t>
  </si>
  <si>
    <t>AFCTADO EL CASCO URBANO. REPORTE DE LA DEFENSA CIVIL.</t>
  </si>
  <si>
    <t>ARBOLEDAS</t>
  </si>
  <si>
    <t xml:space="preserve">DESBORDAMIENTO QUEBRADA LA LATA. REPROTE DE DEFENSA CIVIL BARRIOS ONDA DEL CARIBE, LOMA FRESCA, CHIMILA, FUNDADORES, LUIS CARLOS GALAN BASTIDAS, TAYRONA </t>
  </si>
  <si>
    <t>DESBORDAMIENTO QUEBRADA CHIMICUITA.</t>
  </si>
  <si>
    <t>BARRIO SANTA ANITA PARTE ALTA, CASA VERDE. SATA ROSA, NUEVA GRANADA, EL JORDAN, LA LOMITA Y LAUREANO GOMEZ.. REPORTE DEL CREPAD</t>
  </si>
  <si>
    <t>DESBORDAMIENTO QUEBRADA NUEVA. TWIS TIS Y RIO SINU VEREDA NUEVOTAL, SAN CLEMENTE, BARRIOS LA UNION, LA PALMA, EL RECREO, TIERRALTA. REPROTE DE LA DEFENSA CIVL</t>
  </si>
  <si>
    <t>ZONA RURAL EN 24 CORREGIMIENTOS. RPORTE DE LA DEFENSA CIVIL. DESBORDAMIENTO RIO SINU Y CAÑO EL BAGRE.</t>
  </si>
  <si>
    <t>BARRIOS SUCRE, NUEVO MILENIO, MOCARI, CORREGIMEINTOS MARTINICA, LETICIA LAS PALOMAS Y LOS GARZONES.</t>
  </si>
  <si>
    <t>DESBORDAMIENTO RIO CAUCA AFECTANDO CORREGIMIENTO DE QUINAMAYO. REPORTE DE LA DDC</t>
  </si>
  <si>
    <t>VEREDA PROTACHUELO, VEREDA DIVISO. REPORTE DE LA DEFENSA CIVIL Y VEREDA EL DIVISO.</t>
  </si>
  <si>
    <t>VEREDA PUEBLOVIEJO. CORREGIMEINTO SAN LORENZO.</t>
  </si>
  <si>
    <t xml:space="preserve">DESBORDAMIENTO RIO SINU Y CIENAGA GRANDE. </t>
  </si>
  <si>
    <t>DESBORDAMIENTO RIO LOS VOLCAN. REPROTE DE LA DEFENSA CIVIL, SITIO OPUENTE SAN ISIDRO. BARRIO VILLA LUZ, LAS DELICIAS, KENNEDY, VILLA GLORIA, 11 DE AGOSTO Y LAS MARIAS.</t>
  </si>
  <si>
    <t>DESBORDAMIENTO. DESLIZAMIENTO EN EL SECTOR PORTACHUELO.M POR EVACUAR 35 PERSONAS.REPORTE PRELIMINAR DEL CREPAD</t>
  </si>
  <si>
    <t>BARRIO EL BOSQUE</t>
  </si>
  <si>
    <t>BARRIO MILAGRO DE DIOS Y SECTOR ALTOS DE LAS PIÑAS. BARRIOS GRANADA, SANTA HELENA, SANTA AMRIA LA UNION BAJA. VIA ARMENIA BUENAVISTA.</t>
  </si>
  <si>
    <t>BARRIOS LOS CHORRITOS REPRESAMIENTO DE CAÑO.</t>
  </si>
  <si>
    <t>QUEBRADA LA SANGRIENTA. CORREGIMEINTO SANTA HELENA, VREDA EL ROSARIO. VIAS LOS CEIBOS - TENERIFE</t>
  </si>
  <si>
    <t>VEREDA LOS CALEÑOS.</t>
  </si>
  <si>
    <t>VEREDA PEÑAS GORDAS KM 56 + 400 M. VIA VEREDA PEÑAS GORDAS - CASCO URBANO.</t>
  </si>
  <si>
    <t>SOLICITUD DEL CREPAD</t>
  </si>
  <si>
    <t>21045
24564
27409</t>
  </si>
  <si>
    <t>269
270
277
39314
23238
27409</t>
  </si>
  <si>
    <t>SE APOYA TENIENDO EN CUENTA LA MPORTANIA DE LA OBRA</t>
  </si>
  <si>
    <r>
      <t xml:space="preserve">VEREDA BOQUERON REPORTE DE LA DEFENSA CIVIL.. </t>
    </r>
    <r>
      <rPr>
        <b/>
        <sz val="9"/>
        <rFont val="Arial"/>
        <family val="2"/>
      </rPr>
      <t>APOYO DEL FNC MEDIANTE GIRO DIRECTO AL CREPAD PARA CONSTRUCCION DE OBRA DE EMERGENCIA EN LA VIA BUENOS AIRES - SANTA CECILIA</t>
    </r>
  </si>
  <si>
    <t>4
8
3</t>
  </si>
  <si>
    <r>
      <t xml:space="preserve">VIA SALAMINA - MANIZALES, VEREDA BUENOS AIRES, VENTIADEROS Y LA UNION. VIA SALAMINA - ARANZAZU. </t>
    </r>
    <r>
      <rPr>
        <b/>
        <sz val="9"/>
        <rFont val="Arial"/>
        <family val="2"/>
      </rPr>
      <t>APOYO DEL FNC MEDIANTE GIRO DIRECTO AL CLOPAD PARA ARREGLO DE VIAS (25.000.000 LINEA 4), , REPARACION DE VIVIENDA (30,000,000 LINEA8) Y SUBSIDIO DE ARRIENDO (20,000,000 LINEA 3=.</t>
    </r>
  </si>
  <si>
    <t>REPORTE DEL CREPAD. CORREGIMIENTO SAN ANTONIO APOYO DEL FNC MEDIANTE GIRO DIRECTO AL CLOPAD PARALA ADQUISICION DE COMBUSTIBLES Y LUVBRICANTES PARA RETIRO DE DERRUMBES DESCOLMATACION DE CAUCES Y DRAGADO DE RIOS Y QUEBRADAS.</t>
  </si>
  <si>
    <t>VIAS SAN EBRNARDO - LOS ARBOLES, SAN EBRBARDO - LA VEGA, PETACAS - PLAZUELAS.</t>
  </si>
  <si>
    <t>CASCO URBANO Y VARIAS VEREDAS. REPORTE DEL CRPAD. VIAS EL CHINGAL ALTO - RAMAL ALTO, CHICAL BAYO - YUNGUILLA, YUNGUILLA - LAS PALMAS, LA BRISA - PLAYA ALTA, PLAYA ALTA - CAMPO BELLO, CAMPO BELLO - LA CUCHILLA, LA CUCHILLA - BATEROS, BATEROS - ACHUPALLAS,. CABUYALES - BRICEÑO, BRICEÑO -A AGUADAS, AGUADAS - MESON, MESON - BELLA VISTA.</t>
  </si>
  <si>
    <t>LINARES</t>
  </si>
  <si>
    <t xml:space="preserve">VEREDAS ALTO DE ARANDA, ARBOLEDA, BALSAL, BELLA FLORIDA, BELLAVISTA, EL RECREO, GRAMAL, HIGUERONAL, LA COCHA, LA ENCILLADA, LA MINA, LA PALMA, LA TOLA, TAMBILLO DE BRAVOS, VENDEAHUJA. VIAS LINARES - TABILES, LINARES - LLANOGRANDE, </t>
  </si>
  <si>
    <t>VEREDAS EL BASAL, CHUPADERO, DORADA GUAITARA, SAN FERNANDO, SAN ANDRES, LA JOYA, ALTO JIMENEZ, REGADERA, PARAGUAY.</t>
  </si>
  <si>
    <t>GUACHUCAL</t>
  </si>
  <si>
    <t xml:space="preserve">VIAS GUACHUCAL - IPIALES, </t>
  </si>
  <si>
    <t>BARRIOS LOURDES, SAN MIGUEL, SAN JOSE, LA ESMERALDA. VIAS FLORIDA - BERRUECOS, BERRUECOS- EL TAUSO.</t>
  </si>
  <si>
    <t>CASCO URBANO Y VEREDAS LAS PALMAS, PARAMILLO, SAN ANTONIO Y SAN RAFAEL. VIAS TANGUA - SAN PEDRO, TANGUA - PARAMILLO, TANGUA - SAN ANTONIO, TANGUA - PARAMO, PARAMO - CHAVEZ.</t>
  </si>
  <si>
    <t>VEREDA DOÑA ANA. REPROTE DEL CREPAD. VIA SAMANIEGO - LA LLANADA</t>
  </si>
  <si>
    <t>BARRIO SAN FRANCISCO, SANTA ROSA, Y VEREDA INGENIO. VIAS ANCUYA - CONSACA, ANCUYA - SANDONA, ANCUYA - GUAYTARILLA, ANCUYA - LINARES, ANCUYA - LOMA, ANCUYA - ARADA, MACASCRUZ - ANCUYA, ANCUYA . LA ARADA, BARRIOS SAN FRANCISCO, BOCANEGRA Y SANTA ROSA. Afectados centros educativos el limonar y el collal y afectado acueducto.REPORTE DEL CREPAD.</t>
  </si>
  <si>
    <t>VEREDA PALMERAS, REPORTE DE DEFENSA CIVIL.</t>
  </si>
  <si>
    <t>VALENCIA</t>
  </si>
  <si>
    <t>BARRIO 20 DE JULIO</t>
  </si>
  <si>
    <t>CHINU</t>
  </si>
  <si>
    <t>BUENOS AIRES</t>
  </si>
  <si>
    <t>MALLAMA</t>
  </si>
  <si>
    <t>GUAVATA</t>
  </si>
  <si>
    <t>HERVEO</t>
  </si>
  <si>
    <t>APOYO DEL FNC MEDIANTE GIRO DIRECTO AL CREPAD PARA PAGO DE ARRIENDO TEMPORAL ($300.000.000 LINEA 3), COMPRA DE ASISTENCIA HUMANITARIA(100,000,000 LINEA2) COMBUSTIBLE Y LUBRICANTES (200,000,000 LINEA 2). CON ESTO SE APOYAN TODOS LOS MUNICIPIOS AFECTADOS DEL DEPARTAMENTO DE CALDAS.</t>
  </si>
  <si>
    <t>SE APOYA A TRAVES DEL DEPARTAMENTO</t>
  </si>
  <si>
    <r>
      <t>DESBORDAMIETNO RIO SUCIO, VEREDA PAVARANDOCITO, PAJIRA, BAJO BARANDO, LA SECRETA, LAS MALVINAS.. REPORTE DE LA DEFENSA CIVIL.</t>
    </r>
    <r>
      <rPr>
        <b/>
        <sz val="9"/>
        <rFont val="Arial"/>
        <family val="2"/>
      </rPr>
      <t xml:space="preserve"> SOLICITAN VISITA TECNICA PARA A COORD. REGIONAL.EL MUNICIPIO DECLARO URGENCIA MANIFIESTA PERO NO CONCRETAN SOLICITU DE APOYO.</t>
    </r>
  </si>
  <si>
    <t>DESBORDAMIENTO RIO CAUCA. VEREDAS LAS FLORES, CORREGIMIENTO DE BOLOMBOLO. REPORTE DEL CREPAD.  VEREDAS LA INSPECCION, FLORES, EL CHISPERO, LA PLAZA. SECTOR BOLOMBOLO- REPORTE DE LA DEFENSA CIVIL.</t>
  </si>
  <si>
    <t>SALGAR</t>
  </si>
  <si>
    <t>SECTOR PEÑALISA. REPORTE DEL CREPAD.</t>
  </si>
  <si>
    <t>SAN JOSE DEL FRAGUA</t>
  </si>
  <si>
    <r>
      <t xml:space="preserve">VIA KM 3. REPORTE DEL CREPAD. </t>
    </r>
    <r>
      <rPr>
        <b/>
        <sz val="9"/>
        <rFont val="Arial"/>
        <family val="2"/>
      </rPr>
      <t>APOYO MEDIANTE GIRO DIRECTO AL CLOPAD PARA COMBUSTIBLE, LUBRUICANTES Y ALQUILER DE MAQUINARIA</t>
    </r>
  </si>
  <si>
    <r>
      <t>REPORTE DEL CLOPAD. SE RECIBIO INFORME DE FECHA 24 DE NOVIEMBRE. SE REMITE AL CREPAD SOLICITANDO INFORMACION SOBRE ACCIONES Y NECESIDADES DEL NIVEL NACIONAL</t>
    </r>
    <r>
      <rPr>
        <b/>
        <sz val="9"/>
        <rFont val="Arial"/>
        <family val="2"/>
      </rPr>
      <t>. APOYO DEL FNC MEDIANTE GIRO DIRECTO AL CLOPAD PARA LA ADQUISICION DE COMBUSTIBLES Y LUBRICANTES.</t>
    </r>
  </si>
  <si>
    <t>27328
519</t>
  </si>
  <si>
    <r>
      <t xml:space="preserve">CORREGIMIENTOS PALMITAS, LA ESPERANZA, PAJARITO Y LA BALSA. REPORTE DEL CREPAD. </t>
    </r>
    <r>
      <rPr>
        <b/>
        <sz val="9"/>
        <rFont val="Arial"/>
        <family val="2"/>
      </rPr>
      <t>APOYO DEL FNC MEDIANTE GIRO DIRECTO AL CLOPAD PARA EL MEJORAMIENTO DE LA VIA LA GLORIA - VIJAGUAL- LOS CONGUITOS</t>
    </r>
  </si>
  <si>
    <r>
      <t xml:space="preserve">DESBODAMIENTO RIO MORALES. REPORTE DEL CREPAD. COPRREGIMIENTO EL SALTO, </t>
    </r>
    <r>
      <rPr>
        <b/>
        <sz val="9"/>
        <rFont val="Arial"/>
        <family val="2"/>
      </rPr>
      <t>APOYO DEL FNC MEDIANTE GIRO DIRECTO AL CLOPAD PARA ALQUILER DE MAQUINARIA PARA LA RECUPERACION DE LAS VIAS DEL CORREGIMIENTO DE EL SALTO</t>
    </r>
  </si>
  <si>
    <t>EL VALOR DE OTROS CORRESPONDE A CINCO MOTOBOMBAS AUTOCEBANTES DE 4X4</t>
  </si>
  <si>
    <t>CORREGIMIENTO DE LOBOGUERRERO REPORTE DEL CREPAD.</t>
  </si>
  <si>
    <t>VEREDA EL POMO. VIA CASCO URBANO - HACIANDA EL ´PARAISO Y MALOCA. REPORTE DE LA DEFENSA CIVL</t>
  </si>
  <si>
    <t>CRECIENTE QUEBRADA EL CARAÑO. REPORTE DE L CRAPD.</t>
  </si>
  <si>
    <t>BARRIO LOS TANQUES. REPORTE DEL CREPAD</t>
  </si>
  <si>
    <t>REPORTE DE DEFENS ACIVIL</t>
  </si>
  <si>
    <t>BARRIOS LA, HERMITA, LA CABRERA, CUNDINAMARCA, SAN MATEO, SAN RAFAEL, PRIMAVERA, CERRO NORTE, ANTONIA SANTOS, SAN AMRTIN, LOMA DE BOLIVAR. REPORTE DEL CLOPAD</t>
  </si>
  <si>
    <t>DESBORAMIENTO RIO SINU, VEREDAS MORALES Y MANZANARES, EL CEDRAL, RIO NUEVO, MADRE VIEJA, SANTA CRUZ.</t>
  </si>
  <si>
    <t>SECTOR EL MIRADOR. REPORTE DEL CREPAD.</t>
  </si>
  <si>
    <t>SECTOR PUEROT NUEVO. REPORTE DEL CREPAD.</t>
  </si>
  <si>
    <t>AVALANCHA RIO PAILA. REPORTE DEL CREPAD.</t>
  </si>
  <si>
    <t>CORREGIMEINTO SAN GERARDO. REPROTE DEL CREPAD Y CLOPAD.</t>
  </si>
  <si>
    <t>GIRO DIRECTO AL CLOPAD. ALQUILER DE MAQUINARIA Y ADQUISICION DE COM BUSTIBLE PARA RECUPERACION DE VIAS.</t>
  </si>
  <si>
    <r>
      <t>REPORTE DE LA DEFENSA CIVIL. VEREDAS METROPOLIS, PEDRO SANCHEZ, COREGIMIENTO SAN JOSE.</t>
    </r>
    <r>
      <rPr>
        <b/>
        <sz val="9"/>
        <rFont val="Arial"/>
        <family val="2"/>
      </rPr>
      <t xml:space="preserve"> APOYO MEDIANTE GIRO SIRECTO AL CLOPAD. PARA ADQUISICION DE COMBUSTIBLE Y MATERIA PRIMA PARA RECUPERACION DE VIAS.</t>
    </r>
  </si>
  <si>
    <r>
      <t xml:space="preserve">DESBORDAMIENTO RIO CAUCA. CORREGIMIENTO SAN PEDRO, BARRIOS OCCIDENTAL Y SAN PEDRO, CORREGIMIENTOS LA CRUZ, SAN PEDRO Y SANTA TERESA.. REPROTE DE LA DEFENSA CIVIL. </t>
    </r>
    <r>
      <rPr>
        <b/>
        <sz val="9"/>
        <rFont val="Arial"/>
        <family val="2"/>
      </rPr>
      <t>APOYO DEL FONDO NACIONAL DE CALAMIDADES PARA COMBUSTIOBLE Y MAQUINARIA PARA RECUPERACION DE VIAS.</t>
    </r>
  </si>
  <si>
    <t>APOYO DEL FNC MEDIANTE GIRO DIRECTO AL CLOPAD PARA COMBUSTIBLE Y LUBRICANTES PARA REHABILITACIOND E VIAS.</t>
  </si>
  <si>
    <t>DESBORDAMIENTO RIO MAGDALENA. REPORTE DEL CREPAD. El valor de otros corresponde a 500 pares de botas.</t>
  </si>
  <si>
    <t>DESBORDAMIENTO RIO MAGDALENA POR RUPTURA DEL DIQUE. CORREGIMEINTOS BODEGA CENTRAL Y LA VEREDA EL ROBLE. REPORTE DEL CREPAD. SE ENVIA SOLICITUD COMPLEMENTARIA D EAPOYO AL CREPAD.
 OTROS CORRESPONDE A 500 PARES DE BOTAS</t>
  </si>
  <si>
    <t>DESBORDAMIENTO RIO MAGDALENA. SECTOR BRAZO DE LOBA, SFECTADAS 7 VEREDAS Y 9 CORREGIMIENTOS. REPORTE DE LA DEFENSA CIVIL. OTROS CORRESPONDE A 500 PARES DE BOTAS</t>
  </si>
  <si>
    <r>
      <t xml:space="preserve">MUNICIPIO CON RACIONAMIENTO DE AGUA Y/O DESABASTECIMIENTO POR PROBLEMAS DE SEQUI DEBIDO AL FENOMENO DE EL NIÑO. REPORTE DEL MAVDT, </t>
    </r>
    <r>
      <rPr>
        <b/>
        <sz val="9"/>
        <color indexed="8"/>
        <rFont val="Arial"/>
        <family val="2"/>
      </rPr>
      <t>SUMINISTRO DE AGUA A TRAVÉS DE CARROTANQUE
OTROS CORRESPONDE A 500 PARES DE BOTAS</t>
    </r>
  </si>
  <si>
    <r>
      <t xml:space="preserve">REPORTE DEL CREPAD. </t>
    </r>
    <r>
      <rPr>
        <b/>
        <sz val="9"/>
        <rFont val="Arial"/>
        <family val="2"/>
      </rPr>
      <t>APOYO DEL FNC MEDIANTE GIRO DIRECTO AL CLOPAD PARA ADQUISICIOJ DE COMBUSTIBLE PARA SIETE MOTOBOMBAS, MANTENIMIENTO DE LAS MISMAS, COMPRA DE COSTALES Y MATERIAL DE RELLENO. 
OTROS CORRESPONDE A 1600 PARES DE BOTAS</t>
    </r>
  </si>
  <si>
    <t>DESBORDAMIENTO CANAL DEL DIQUE Y CIENAGAS ALEDAÑAS. REPORTE DEL CREPAD.
OTROS CORRESPONDE A 621 PARES DE BOTAS</t>
  </si>
  <si>
    <t>INUNDACION POR FUERTES LLUVIAS. REPORTE DEL CREPAD.
OTROS CORRESPONDE A 673 PARES DE BOTAS</t>
  </si>
  <si>
    <t>REPORTE DEL CREPAD
OTROS CORRESPONDE A 576 PARES DE BOTAS</t>
  </si>
  <si>
    <t>REPORTE DEL CREPAD.
OTROS CORRESPONDE A 500 PARES DE BOTAS</t>
  </si>
  <si>
    <t>REPORTE DEL CREPAD
OTROS CORRESPONDE A 100 PARES DE BOTAS</t>
  </si>
  <si>
    <t>INUNDACION POR FUERTES LLUVIAS. REPORTE DEL CREPAD.
OTROS CORRESPONDE A 500 PARES DE BOTAS</t>
  </si>
  <si>
    <t>OTROS CORRESPONDE A 500 PARES DE BOTAS</t>
  </si>
  <si>
    <t>APOYO BRINDADO A TRAVES DE LA FUNDACION OBRA SOCIAL.
OTROS CORRESPONDE A 500 RACIONES DE CAMPAÑA</t>
  </si>
  <si>
    <t>PUERTO GUZMAN</t>
  </si>
  <si>
    <t>PUERTO ASIS</t>
  </si>
  <si>
    <t>DESBORDAMIENTO RIO FRAILE. CORREGIMEITNO DOLORES, VEREDA PILES</t>
  </si>
  <si>
    <t>VEREDA LA LOMA. REPORTE DEL CREPAD. VIAS QUE CONDUCEN APEÑAS BLANCAS, TELLEZ BAJO, SAN RAFAEL, CHAPAL, CHITARAN - LA MESA, VIA QUE CONDICE DE PILCUAN A FUNES Y VIA DE FUNES A CHAPAL Y DE CHAPAL A CHITARRAN. FUNES - LA VEGA, FUNES - TELLES BAJO, FUNES - SAN RAFAEL, SAN RAFAEL - LA SOLEDAD, FUNES - SUCUMBIAS REPORTE DEL CREPAD.</t>
  </si>
  <si>
    <t>AFECTADA VIA PANAMERICANA - PASTO - TUMACO VIA EL GUABO LA OSCURANA.VIA SECTOR DE LAS PEÑAS BLANCAS ZONA DE GUABO.</t>
  </si>
  <si>
    <t>ACTUALIZACION DEL CREPAD POR PERDIDAS AGROPECUARIAS</t>
  </si>
  <si>
    <t>CRECIENTE SUBITA DEL RIO ATACO. SOLDADOS DESAPARECIDOS</t>
  </si>
  <si>
    <t>05</t>
  </si>
  <si>
    <t>Antioquia</t>
  </si>
  <si>
    <t>EL BAGRE</t>
  </si>
  <si>
    <t>ENTRERRIOS</t>
  </si>
  <si>
    <t>PEÑOL</t>
  </si>
  <si>
    <t>RETIRO</t>
  </si>
  <si>
    <t>EL SANTUARIO</t>
  </si>
  <si>
    <t>08</t>
  </si>
  <si>
    <t>Atlantico</t>
  </si>
  <si>
    <t>POLONUEVO</t>
  </si>
  <si>
    <t>11</t>
  </si>
  <si>
    <t>13</t>
  </si>
  <si>
    <t>Bolivar</t>
  </si>
  <si>
    <t>ARROYOHONDO</t>
  </si>
  <si>
    <t>MOMPOS</t>
  </si>
  <si>
    <t>RIO VIEJO</t>
  </si>
  <si>
    <t>SANTA ROSA DEL SUR</t>
  </si>
  <si>
    <t>15</t>
  </si>
  <si>
    <t>CIENEGA</t>
  </si>
  <si>
    <t>PESCA</t>
  </si>
  <si>
    <t>SANTANA</t>
  </si>
  <si>
    <t>TUTAZA</t>
  </si>
  <si>
    <t>17</t>
  </si>
  <si>
    <t>Caldas</t>
  </si>
  <si>
    <t>VICTORIA</t>
  </si>
  <si>
    <t>18</t>
  </si>
  <si>
    <t>EL DONCELLO</t>
  </si>
  <si>
    <t>EL PAUJIL</t>
  </si>
  <si>
    <t>19</t>
  </si>
  <si>
    <t>Cauca</t>
  </si>
  <si>
    <t>LOPEZ</t>
  </si>
  <si>
    <t>20</t>
  </si>
  <si>
    <t>Cesar</t>
  </si>
  <si>
    <t>23</t>
  </si>
  <si>
    <t>Cordoba</t>
  </si>
  <si>
    <t>SAN ANDRES SOTAVENTO</t>
  </si>
  <si>
    <t>25</t>
  </si>
  <si>
    <t>BELTRAN</t>
  </si>
  <si>
    <t>FOMEQUE</t>
  </si>
  <si>
    <t>MADRID</t>
  </si>
  <si>
    <t>NEMOCON</t>
  </si>
  <si>
    <t>QUEBRADANEGRA</t>
  </si>
  <si>
    <t>SAN JUAN DE RIO SECO</t>
  </si>
  <si>
    <t>SESQUILE</t>
  </si>
  <si>
    <t>SUESCA</t>
  </si>
  <si>
    <t>UBALA</t>
  </si>
  <si>
    <t>VILLAGOMEZ</t>
  </si>
  <si>
    <t>27</t>
  </si>
  <si>
    <t>Choco</t>
  </si>
  <si>
    <t>EL CANTON DEL SAN PABLO</t>
  </si>
  <si>
    <t>EL CARMEN DE ATRATO</t>
  </si>
  <si>
    <t>EL LITORAL DEL SAN JUAN</t>
  </si>
  <si>
    <t>ISTMINA</t>
  </si>
  <si>
    <t>41</t>
  </si>
  <si>
    <t>CAMPOALEGRE</t>
  </si>
  <si>
    <t>PITAL</t>
  </si>
  <si>
    <t>44</t>
  </si>
  <si>
    <t>La Guajira</t>
  </si>
  <si>
    <t>BARRANCAS</t>
  </si>
  <si>
    <t>47</t>
  </si>
  <si>
    <t>Magdalena</t>
  </si>
  <si>
    <t>CERRO SAN ANTONIO</t>
  </si>
  <si>
    <t>PUEBLOVIEJO</t>
  </si>
  <si>
    <t>SAN SEBASTIAN DE BUENAVISTA</t>
  </si>
  <si>
    <t>SITIONUEVO</t>
  </si>
  <si>
    <t>50</t>
  </si>
  <si>
    <t>FUENTE DE ORO</t>
  </si>
  <si>
    <t>LA MACARENA</t>
  </si>
  <si>
    <t>52</t>
  </si>
  <si>
    <t>Nariño</t>
  </si>
  <si>
    <t>CONTADERO</t>
  </si>
  <si>
    <t>EL TABLON DE GOMEZ</t>
  </si>
  <si>
    <t>SAN ANDRES DE TUMACO</t>
  </si>
  <si>
    <t>54</t>
  </si>
  <si>
    <t>Norte de Santander</t>
  </si>
  <si>
    <t>LABATECA</t>
  </si>
  <si>
    <t>VILLA CARO</t>
  </si>
  <si>
    <t>63</t>
  </si>
  <si>
    <t>Quindio</t>
  </si>
  <si>
    <t>66</t>
  </si>
  <si>
    <t>Risaralda</t>
  </si>
  <si>
    <t>68</t>
  </si>
  <si>
    <t>Santander</t>
  </si>
  <si>
    <t>CERRITO</t>
  </si>
  <si>
    <t>EL GUACAMAYO</t>
  </si>
  <si>
    <t>HATO</t>
  </si>
  <si>
    <t>PALMAR</t>
  </si>
  <si>
    <t>SAN JOSE DE MIRANDA</t>
  </si>
  <si>
    <t>70</t>
  </si>
  <si>
    <t>Sucre</t>
  </si>
  <si>
    <t>COLOSO</t>
  </si>
  <si>
    <t>SAN LUIS DE SINCE</t>
  </si>
  <si>
    <t>SANTIAGO DE TOLU</t>
  </si>
  <si>
    <t>TOLU VIEJO</t>
  </si>
  <si>
    <t>73</t>
  </si>
  <si>
    <t>Tolima</t>
  </si>
  <si>
    <t>ANZOATEGUI</t>
  </si>
  <si>
    <t>ARMERO</t>
  </si>
  <si>
    <t>VILLARRICA</t>
  </si>
  <si>
    <t>76</t>
  </si>
  <si>
    <t>Valle del Cauca</t>
  </si>
  <si>
    <t>CALI</t>
  </si>
  <si>
    <t>CALIMA</t>
  </si>
  <si>
    <t>81</t>
  </si>
  <si>
    <t>Arauca</t>
  </si>
  <si>
    <t>85</t>
  </si>
  <si>
    <t>LA SALINA</t>
  </si>
  <si>
    <t>RECETOR</t>
  </si>
  <si>
    <t>SACAMA</t>
  </si>
  <si>
    <t>SAN LUIS DE PALENQUE</t>
  </si>
  <si>
    <t>TAMARA</t>
  </si>
  <si>
    <t>86</t>
  </si>
  <si>
    <t>Putumayo</t>
  </si>
  <si>
    <t>LEGUIZAMO</t>
  </si>
  <si>
    <t>VILLAGARZON</t>
  </si>
  <si>
    <t>88</t>
  </si>
  <si>
    <t>91</t>
  </si>
  <si>
    <t>94</t>
  </si>
  <si>
    <t>INIRIDA</t>
  </si>
  <si>
    <t>95</t>
  </si>
  <si>
    <t>97</t>
  </si>
  <si>
    <t>VAUPES</t>
  </si>
  <si>
    <t>99</t>
  </si>
  <si>
    <t>VICHADA</t>
  </si>
  <si>
    <t>05001</t>
  </si>
  <si>
    <t>05002</t>
  </si>
  <si>
    <t>05004</t>
  </si>
  <si>
    <t>05021</t>
  </si>
  <si>
    <t>05030</t>
  </si>
  <si>
    <t>05031</t>
  </si>
  <si>
    <t>05034</t>
  </si>
  <si>
    <t>05036</t>
  </si>
  <si>
    <t>05038</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</si>
  <si>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</si>
  <si>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</si>
  <si>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</si>
  <si>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</si>
  <si>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</si>
  <si>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</si>
  <si>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</si>
  <si>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</si>
  <si>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</si>
  <si>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</si>
  <si>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</si>
  <si>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</si>
  <si>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</si>
  <si>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</si>
  <si>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</si>
  <si>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</si>
  <si>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</si>
  <si>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</si>
  <si>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</si>
  <si>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</si>
  <si>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</si>
  <si>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</si>
  <si>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</si>
  <si>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</si>
  <si>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</si>
  <si>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</si>
  <si>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</si>
  <si>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</si>
  <si>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</si>
  <si>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</si>
  <si>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</si>
  <si>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</si>
  <si>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</si>
  <si>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</si>
  <si>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</si>
  <si>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</si>
  <si>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</si>
  <si>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</si>
  <si>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</si>
  <si>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</si>
  <si>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</si>
  <si>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</si>
  <si>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</si>
  <si>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</si>
  <si>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</si>
  <si>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</si>
  <si>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</si>
  <si>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</si>
  <si>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</si>
  <si>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</si>
  <si>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</si>
  <si>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</si>
  <si>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</si>
  <si>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</si>
  <si>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</si>
  <si>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</si>
  <si>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</si>
  <si>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</si>
  <si>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</si>
  <si>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</si>
  <si>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</si>
  <si>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</si>
  <si>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</si>
  <si>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</si>
  <si>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</si>
  <si>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</si>
  <si>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</si>
  <si>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</si>
  <si>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</si>
  <si>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</si>
  <si>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</si>
  <si>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</si>
  <si>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</si>
  <si>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</si>
  <si>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</si>
  <si>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</si>
  <si>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</si>
  <si>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</si>
  <si>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</si>
  <si>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</si>
  <si>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</si>
  <si>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</si>
  <si>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</si>
  <si>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</si>
  <si>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</si>
  <si>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</si>
  <si>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</si>
  <si>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</si>
  <si>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</si>
  <si>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</si>
  <si>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</si>
  <si>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</si>
  <si>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</si>
  <si>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</si>
  <si>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</si>
  <si>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</si>
  <si>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</si>
  <si>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</si>
  <si>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</si>
  <si>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</si>
  <si>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</si>
  <si>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</si>
  <si>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</si>
  <si>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</si>
  <si>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</si>
  <si>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</si>
  <si>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</si>
  <si>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</si>
  <si>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</si>
  <si>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</si>
  <si>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</si>
  <si>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</si>
  <si>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</si>
  <si>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</si>
  <si>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</si>
  <si>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</si>
  <si>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08001</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</si>
  <si>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</si>
  <si>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</si>
  <si>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</si>
  <si>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</si>
  <si>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</si>
  <si>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</si>
  <si>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</si>
  <si>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</si>
  <si>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</si>
  <si>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</si>
  <si>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</si>
  <si>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</si>
  <si>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</si>
  <si>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</si>
  <si>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</si>
  <si>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</si>
  <si>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</si>
  <si>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</si>
  <si>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</si>
  <si>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</si>
  <si>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</si>
  <si>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</si>
  <si>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11001</t>
  </si>
  <si>
    <t>13001</t>
  </si>
  <si>
    <t>13006</t>
  </si>
  <si>
    <t>13030</t>
  </si>
  <si>
    <t>13042</t>
  </si>
  <si>
    <t>13052</t>
  </si>
  <si>
    <t>13062</t>
  </si>
  <si>
    <t>13074</t>
  </si>
  <si>
    <t>13140</t>
  </si>
  <si>
    <t>13160</t>
  </si>
  <si>
    <t>13188</t>
  </si>
  <si>
    <t>13212</t>
  </si>
  <si>
    <t>13222</t>
  </si>
  <si>
    <t>13244</t>
  </si>
  <si>
    <t>13248</t>
  </si>
  <si>
    <t>13268</t>
  </si>
  <si>
    <t>13300</t>
  </si>
  <si>
    <t>13430</t>
  </si>
  <si>
    <t>13433</t>
  </si>
  <si>
    <t>13440</t>
  </si>
  <si>
    <t>13442</t>
  </si>
  <si>
    <t>13458</t>
  </si>
  <si>
    <t>13468</t>
  </si>
  <si>
    <t>13473</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</si>
  <si>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</si>
  <si>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</si>
  <si>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</si>
  <si>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</si>
  <si>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</si>
  <si>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</si>
  <si>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</si>
  <si>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</si>
  <si>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</si>
  <si>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</si>
  <si>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</si>
  <si>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</si>
  <si>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</si>
  <si>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</si>
  <si>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</si>
  <si>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</si>
  <si>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</si>
  <si>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</si>
  <si>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</si>
  <si>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</si>
  <si>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</si>
  <si>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</si>
  <si>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15001</t>
  </si>
  <si>
    <t>15022</t>
  </si>
  <si>
    <t>15047</t>
  </si>
  <si>
    <t>15051</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</si>
  <si>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</si>
  <si>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</si>
  <si>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</si>
  <si>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</si>
  <si>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</si>
  <si>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</si>
  <si>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</si>
  <si>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</si>
  <si>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</si>
  <si>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</si>
  <si>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</si>
  <si>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</si>
  <si>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</si>
  <si>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</si>
  <si>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</si>
  <si>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</si>
  <si>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</si>
  <si>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</si>
  <si>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</si>
  <si>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</si>
  <si>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</si>
  <si>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</si>
  <si>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</si>
  <si>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</si>
  <si>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</si>
  <si>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</si>
  <si>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</si>
  <si>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</si>
  <si>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</si>
  <si>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</si>
  <si>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</si>
  <si>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</si>
  <si>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</si>
  <si>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</si>
  <si>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</si>
  <si>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</si>
  <si>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</si>
  <si>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</si>
  <si>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</si>
  <si>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</si>
  <si>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</si>
  <si>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</si>
  <si>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</si>
  <si>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</si>
  <si>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</si>
  <si>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</si>
  <si>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</si>
  <si>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</si>
  <si>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</si>
  <si>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</si>
  <si>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</si>
  <si>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</si>
  <si>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</si>
  <si>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</si>
  <si>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</si>
  <si>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</si>
  <si>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</si>
  <si>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</si>
  <si>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</si>
  <si>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</si>
  <si>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</si>
  <si>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</si>
  <si>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</si>
  <si>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</si>
  <si>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</si>
  <si>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</si>
  <si>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</si>
  <si>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</si>
  <si>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</si>
  <si>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</si>
  <si>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</si>
  <si>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</si>
  <si>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</si>
  <si>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</si>
  <si>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</si>
  <si>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</si>
  <si>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</si>
  <si>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</si>
  <si>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</si>
  <si>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</si>
  <si>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</si>
  <si>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</si>
  <si>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</si>
  <si>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</si>
  <si>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</si>
  <si>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</si>
  <si>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</si>
  <si>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</si>
  <si>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</si>
  <si>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</si>
  <si>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</si>
  <si>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</si>
  <si>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</si>
  <si>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</si>
  <si>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</si>
  <si>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</si>
  <si>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</si>
  <si>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</si>
  <si>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</si>
  <si>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</si>
  <si>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</si>
  <si>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</si>
  <si>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</si>
  <si>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</si>
  <si>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</si>
  <si>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</si>
  <si>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</si>
  <si>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</si>
  <si>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</si>
  <si>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</si>
  <si>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</si>
  <si>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</si>
  <si>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15837</t>
  </si>
  <si>
    <t>15839</t>
  </si>
  <si>
    <t>15842</t>
  </si>
  <si>
    <t>15861</t>
  </si>
  <si>
    <t>15879</t>
  </si>
  <si>
    <t>15897</t>
  </si>
  <si>
    <t>17001</t>
  </si>
  <si>
    <t>17013</t>
  </si>
  <si>
    <t>17042</t>
  </si>
  <si>
    <t>17050</t>
  </si>
  <si>
    <t>17088</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</si>
  <si>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</si>
  <si>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</si>
  <si>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</si>
  <si>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</si>
  <si>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</si>
  <si>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</si>
  <si>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</si>
  <si>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</si>
  <si>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</si>
  <si>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</si>
  <si>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</si>
  <si>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</si>
  <si>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</si>
  <si>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</si>
  <si>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</si>
  <si>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</si>
  <si>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</si>
  <si>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</si>
  <si>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</si>
  <si>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</si>
  <si>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</si>
  <si>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</si>
  <si>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18001</t>
  </si>
  <si>
    <t>18029</t>
  </si>
  <si>
    <t>18094</t>
  </si>
  <si>
    <t>18150</t>
  </si>
  <si>
    <t>18205</t>
  </si>
  <si>
    <t>18247</t>
  </si>
  <si>
    <t>18256</t>
  </si>
  <si>
    <t>18410</t>
  </si>
  <si>
    <t>18460</t>
  </si>
  <si>
    <t>18479</t>
  </si>
  <si>
    <t>18592</t>
  </si>
  <si>
    <t>18610</t>
  </si>
  <si>
    <t>18753</t>
  </si>
  <si>
    <t>18756</t>
  </si>
  <si>
    <t>18785</t>
  </si>
  <si>
    <t>18860</t>
  </si>
  <si>
    <t>19001</t>
  </si>
  <si>
    <t>19022</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</si>
  <si>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</si>
  <si>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</si>
  <si>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</si>
  <si>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</si>
  <si>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</si>
  <si>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</si>
  <si>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</si>
  <si>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</si>
  <si>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</si>
  <si>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</si>
  <si>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</si>
  <si>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</si>
  <si>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</si>
  <si>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</si>
  <si>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</si>
  <si>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</si>
  <si>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</si>
  <si>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</si>
  <si>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</si>
  <si>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</si>
  <si>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</si>
  <si>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</si>
  <si>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</si>
  <si>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</si>
  <si>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</si>
  <si>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</si>
  <si>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</si>
  <si>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</si>
  <si>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</si>
  <si>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</si>
  <si>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</si>
  <si>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</si>
  <si>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</si>
  <si>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</si>
  <si>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</si>
  <si>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</si>
  <si>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</si>
  <si>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</si>
  <si>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</si>
  <si>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</si>
  <si>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20001</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</si>
  <si>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</si>
  <si>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</si>
  <si>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</si>
  <si>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</si>
  <si>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</si>
  <si>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</si>
  <si>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</si>
  <si>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</si>
  <si>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</si>
  <si>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</si>
  <si>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</si>
  <si>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</si>
  <si>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</si>
  <si>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</si>
  <si>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</si>
  <si>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</si>
  <si>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</si>
  <si>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</si>
  <si>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</si>
  <si>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</si>
  <si>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</si>
  <si>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</si>
  <si>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</si>
  <si>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</si>
  <si>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23001</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</si>
  <si>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</si>
  <si>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</si>
  <si>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</si>
  <si>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</si>
  <si>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</si>
  <si>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</si>
  <si>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</si>
  <si>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</si>
  <si>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</si>
  <si>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</si>
  <si>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</si>
  <si>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</si>
  <si>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</si>
  <si>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</si>
  <si>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</si>
  <si>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</si>
  <si>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</si>
  <si>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</si>
  <si>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</si>
  <si>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</si>
  <si>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</si>
  <si>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</si>
  <si>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</si>
  <si>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</si>
  <si>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23686</t>
  </si>
  <si>
    <t>23807</t>
  </si>
  <si>
    <t>23855</t>
  </si>
  <si>
    <t>25001</t>
  </si>
  <si>
    <t>25019</t>
  </si>
  <si>
    <t>25035</t>
  </si>
  <si>
    <t>25053</t>
  </si>
  <si>
    <t>25086</t>
  </si>
  <si>
    <t>25095</t>
  </si>
  <si>
    <t>25099</t>
  </si>
  <si>
    <t>25120</t>
  </si>
  <si>
    <t>25123</t>
  </si>
  <si>
    <t>25126</t>
  </si>
  <si>
    <t>25148</t>
  </si>
  <si>
    <t>25151</t>
  </si>
  <si>
    <t>25154</t>
  </si>
  <si>
    <t>25168</t>
  </si>
  <si>
    <t>25175</t>
  </si>
  <si>
    <t>25181</t>
  </si>
  <si>
    <t>25183</t>
  </si>
  <si>
    <t>25200</t>
  </si>
  <si>
    <t>25214</t>
  </si>
  <si>
    <t>25224</t>
  </si>
  <si>
    <t>25245</t>
  </si>
  <si>
    <t>25258</t>
  </si>
  <si>
    <t>25260</t>
  </si>
  <si>
    <t>25269</t>
  </si>
  <si>
    <t>25279</t>
  </si>
  <si>
    <t>25281</t>
  </si>
  <si>
    <t>25286</t>
  </si>
  <si>
    <t>25288</t>
  </si>
  <si>
    <t>25290</t>
  </si>
  <si>
    <t>25293</t>
  </si>
  <si>
    <t>25295</t>
  </si>
  <si>
    <t>25297</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</si>
  <si>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</si>
  <si>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</si>
  <si>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</si>
  <si>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</si>
  <si>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</si>
  <si>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</si>
  <si>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</si>
  <si>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</si>
  <si>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</si>
  <si>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</si>
  <si>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</si>
  <si>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</si>
  <si>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</si>
  <si>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</si>
  <si>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</si>
  <si>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</si>
  <si>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</si>
  <si>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</si>
  <si>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</si>
  <si>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</si>
  <si>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</si>
  <si>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</si>
  <si>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</si>
  <si>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</si>
  <si>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</si>
  <si>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</si>
  <si>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</si>
  <si>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</si>
  <si>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</si>
  <si>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</si>
  <si>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</si>
  <si>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</si>
  <si>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</si>
  <si>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</si>
  <si>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</si>
  <si>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</si>
  <si>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</si>
  <si>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</si>
  <si>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</si>
  <si>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</si>
  <si>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</si>
  <si>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</si>
  <si>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</si>
  <si>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</si>
  <si>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</si>
  <si>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</si>
  <si>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</si>
  <si>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</si>
  <si>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</si>
  <si>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</si>
  <si>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</si>
  <si>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</si>
  <si>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</si>
  <si>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</si>
  <si>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</si>
  <si>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</si>
  <si>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</si>
  <si>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</si>
  <si>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</si>
  <si>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</si>
  <si>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</si>
  <si>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</si>
  <si>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</si>
  <si>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</si>
  <si>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</si>
  <si>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</si>
  <si>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</si>
  <si>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</si>
  <si>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</si>
  <si>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</si>
  <si>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</si>
  <si>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25862</t>
  </si>
  <si>
    <t>25867</t>
  </si>
  <si>
    <t>25871</t>
  </si>
  <si>
    <t>25873</t>
  </si>
  <si>
    <t>25875</t>
  </si>
  <si>
    <t>25878</t>
  </si>
  <si>
    <t>25885</t>
  </si>
  <si>
    <t>25898</t>
  </si>
  <si>
    <t>25899</t>
  </si>
  <si>
    <t>27001</t>
  </si>
  <si>
    <t>27006</t>
  </si>
  <si>
    <t>27025</t>
  </si>
  <si>
    <t>27050</t>
  </si>
  <si>
    <t>27073</t>
  </si>
  <si>
    <t>27075</t>
  </si>
  <si>
    <t>27077</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</si>
  <si>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</si>
  <si>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</si>
  <si>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</si>
  <si>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</si>
  <si>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</si>
  <si>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</si>
  <si>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</si>
  <si>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</si>
  <si>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</si>
  <si>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</si>
  <si>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</si>
  <si>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</si>
  <si>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</si>
  <si>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</si>
  <si>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</si>
  <si>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</si>
  <si>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</si>
  <si>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</si>
  <si>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</si>
  <si>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</si>
  <si>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</si>
  <si>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</si>
  <si>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</si>
  <si>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41001</t>
  </si>
  <si>
    <t>41006</t>
  </si>
  <si>
    <t>41013</t>
  </si>
  <si>
    <t>41016</t>
  </si>
  <si>
    <t>41020</t>
  </si>
  <si>
    <t>41026</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</si>
  <si>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</si>
  <si>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</si>
  <si>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</si>
  <si>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</si>
  <si>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</si>
  <si>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</si>
  <si>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</si>
  <si>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</si>
  <si>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</si>
  <si>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</si>
  <si>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</si>
  <si>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</si>
  <si>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</si>
  <si>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</si>
  <si>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</si>
  <si>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</si>
  <si>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</si>
  <si>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</si>
  <si>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</si>
  <si>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</si>
  <si>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</si>
  <si>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</si>
  <si>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</si>
  <si>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</si>
  <si>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</si>
  <si>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</si>
  <si>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</si>
  <si>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</si>
  <si>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</si>
  <si>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</si>
  <si>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</si>
  <si>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</si>
  <si>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</si>
  <si>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</si>
  <si>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</si>
  <si>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</si>
  <si>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</si>
  <si>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</si>
  <si>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</si>
  <si>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</si>
  <si>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</si>
  <si>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</si>
  <si>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</si>
  <si>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</si>
  <si>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</si>
  <si>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</si>
  <si>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</si>
  <si>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</si>
  <si>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</si>
  <si>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</si>
  <si>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</si>
  <si>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</si>
  <si>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</si>
  <si>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</si>
  <si>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</si>
  <si>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</si>
  <si>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</si>
  <si>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</si>
  <si>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</si>
  <si>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</si>
  <si>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</si>
  <si>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</si>
  <si>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</si>
  <si>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</si>
  <si>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</si>
  <si>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</si>
  <si>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</si>
  <si>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</si>
  <si>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</si>
  <si>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</si>
  <si>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</si>
  <si>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</si>
  <si>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</si>
  <si>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</si>
  <si>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</si>
  <si>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</si>
  <si>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</si>
  <si>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</si>
  <si>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</si>
  <si>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</si>
  <si>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</si>
  <si>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</si>
  <si>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</si>
  <si>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</si>
  <si>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</si>
  <si>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</si>
  <si>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</si>
  <si>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</si>
  <si>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</si>
  <si>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</si>
  <si>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</si>
  <si>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</si>
  <si>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</si>
  <si>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</si>
  <si>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</si>
  <si>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</si>
  <si>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</si>
  <si>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</si>
  <si>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</si>
  <si>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</si>
  <si>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</si>
  <si>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</si>
  <si>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</si>
  <si>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</si>
  <si>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</si>
  <si>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</si>
  <si>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</si>
  <si>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</si>
  <si>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</si>
  <si>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</si>
  <si>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</si>
  <si>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</si>
  <si>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</si>
  <si>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</si>
  <si>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</si>
  <si>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</si>
  <si>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</si>
  <si>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</si>
  <si>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</si>
  <si>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</si>
  <si>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</si>
  <si>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</si>
  <si>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</si>
  <si>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</si>
  <si>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</si>
  <si>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</si>
  <si>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</si>
  <si>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</si>
  <si>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</si>
  <si>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</si>
  <si>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</si>
  <si>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</si>
  <si>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</si>
  <si>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</si>
  <si>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</si>
  <si>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</si>
  <si>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</si>
  <si>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</si>
  <si>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</si>
  <si>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</si>
  <si>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</si>
  <si>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</si>
  <si>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</si>
  <si>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</si>
  <si>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</si>
  <si>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</si>
  <si>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</si>
  <si>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</si>
  <si>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</si>
  <si>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</si>
  <si>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</si>
  <si>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</si>
  <si>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</si>
  <si>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</si>
  <si>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</si>
  <si>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</si>
  <si>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</si>
  <si>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</si>
  <si>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</si>
  <si>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</si>
  <si>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</si>
  <si>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</si>
  <si>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</si>
  <si>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</si>
  <si>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</si>
  <si>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</si>
  <si>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</si>
  <si>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</si>
  <si>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</si>
  <si>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</si>
  <si>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</si>
  <si>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</si>
  <si>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</si>
  <si>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</si>
  <si>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</si>
  <si>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</si>
  <si>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</si>
  <si>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</si>
  <si>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</si>
  <si>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</si>
  <si>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</si>
  <si>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</si>
  <si>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</si>
  <si>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</si>
  <si>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</si>
  <si>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</si>
  <si>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</si>
  <si>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</si>
  <si>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</si>
  <si>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</si>
  <si>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</si>
  <si>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</si>
  <si>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</si>
  <si>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</si>
  <si>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</si>
  <si>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</si>
  <si>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</si>
  <si>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</si>
  <si>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</si>
  <si>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</si>
  <si>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</si>
  <si>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</si>
  <si>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</si>
  <si>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</si>
  <si>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</si>
  <si>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</si>
  <si>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</si>
  <si>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</si>
  <si>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</si>
  <si>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</si>
  <si>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</si>
  <si>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</si>
  <si>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</si>
  <si>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</si>
  <si>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</si>
  <si>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</si>
  <si>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</si>
  <si>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</si>
  <si>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</si>
  <si>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</si>
  <si>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</si>
  <si>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</si>
  <si>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</si>
  <si>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</si>
  <si>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</si>
  <si>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</si>
  <si>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</si>
  <si>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</si>
  <si>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</si>
  <si>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</si>
  <si>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</si>
  <si>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</si>
  <si>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</si>
  <si>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</si>
  <si>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</si>
  <si>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</si>
  <si>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</si>
  <si>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</si>
  <si>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</si>
  <si>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</si>
  <si>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</si>
  <si>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</si>
  <si>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</si>
  <si>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</si>
  <si>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</si>
  <si>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</si>
  <si>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</si>
  <si>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</si>
  <si>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</si>
  <si>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</si>
  <si>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</si>
  <si>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</si>
  <si>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</si>
  <si>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</si>
  <si>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</si>
  <si>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</si>
  <si>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</si>
  <si>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</si>
  <si>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</si>
  <si>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</si>
  <si>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</si>
  <si>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</si>
  <si>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</si>
  <si>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</si>
  <si>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</si>
  <si>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</si>
  <si>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</si>
  <si>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</si>
  <si>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</si>
  <si>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</si>
  <si>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</si>
  <si>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</si>
  <si>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</si>
  <si>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</si>
  <si>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</si>
  <si>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</si>
  <si>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</si>
  <si>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</si>
  <si>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</si>
  <si>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</si>
  <si>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</si>
  <si>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</si>
  <si>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</si>
  <si>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</si>
  <si>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</si>
  <si>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</si>
  <si>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</si>
  <si>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</si>
  <si>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</si>
  <si>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</si>
  <si>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</si>
  <si>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</si>
  <si>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</si>
  <si>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</si>
  <si>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</si>
  <si>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</si>
  <si>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</si>
  <si>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</si>
  <si>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</si>
  <si>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</si>
  <si>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</si>
  <si>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</si>
  <si>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</si>
  <si>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</si>
  <si>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</si>
  <si>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</si>
  <si>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</si>
  <si>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</si>
  <si>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</si>
  <si>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</si>
  <si>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</si>
  <si>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</si>
  <si>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</si>
  <si>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</si>
  <si>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</si>
  <si>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</si>
  <si>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</si>
  <si>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</si>
  <si>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</si>
  <si>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</si>
  <si>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</si>
  <si>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</si>
  <si>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</si>
  <si>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</si>
  <si>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</si>
  <si>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</si>
  <si>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</si>
  <si>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</si>
  <si>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</si>
  <si>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</si>
  <si>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</si>
  <si>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</si>
  <si>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</si>
  <si>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</si>
  <si>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</si>
  <si>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</si>
  <si>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</si>
  <si>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</si>
  <si>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</si>
  <si>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</si>
  <si>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</si>
  <si>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</si>
  <si>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</si>
  <si>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</si>
  <si>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</si>
  <si>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</si>
  <si>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</si>
  <si>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</si>
  <si>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</si>
  <si>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</si>
  <si>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</si>
  <si>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</si>
  <si>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</si>
  <si>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</si>
  <si>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</si>
  <si>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</si>
  <si>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</si>
  <si>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</si>
  <si>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</si>
  <si>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</si>
  <si>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</si>
  <si>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</si>
  <si>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</si>
  <si>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</si>
  <si>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</si>
  <si>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</si>
  <si>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</si>
  <si>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</si>
  <si>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</si>
  <si>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</si>
  <si>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</si>
  <si>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</si>
  <si>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</si>
  <si>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</si>
  <si>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</si>
  <si>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</si>
  <si>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</si>
  <si>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</si>
  <si>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</si>
  <si>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</si>
  <si>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</si>
  <si>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</si>
  <si>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</si>
  <si>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</si>
  <si>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</si>
  <si>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</si>
  <si>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</si>
  <si>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</si>
  <si>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</si>
  <si>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</si>
  <si>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</si>
  <si>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</si>
  <si>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</si>
  <si>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</si>
  <si>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</si>
  <si>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</si>
  <si>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</si>
  <si>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</si>
  <si>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</si>
  <si>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</si>
  <si>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</si>
  <si>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</si>
  <si>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</si>
  <si>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</si>
  <si>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</si>
  <si>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</si>
  <si>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</si>
  <si>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</si>
  <si>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</si>
  <si>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</si>
  <si>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</si>
  <si>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</si>
  <si>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</si>
  <si>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</si>
  <si>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</si>
  <si>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</si>
  <si>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</si>
  <si>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</si>
  <si>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</si>
  <si>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</si>
  <si>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</si>
  <si>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</si>
  <si>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</si>
  <si>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</si>
  <si>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</si>
  <si>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</si>
  <si>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</si>
  <si>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</si>
  <si>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</si>
  <si>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</si>
  <si>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</si>
  <si>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</si>
  <si>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</si>
  <si>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</si>
  <si>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</si>
  <si>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</si>
  <si>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</si>
  <si>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</si>
  <si>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</si>
  <si>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</si>
  <si>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</si>
  <si>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</si>
  <si>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</si>
  <si>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</si>
  <si>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</si>
  <si>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</si>
  <si>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</si>
  <si>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</si>
  <si>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</si>
  <si>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</si>
  <si>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</si>
  <si>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</si>
  <si>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</si>
  <si>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</si>
  <si>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</si>
  <si>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</si>
  <si>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</si>
  <si>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</si>
  <si>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</si>
  <si>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</si>
  <si>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</si>
  <si>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</si>
  <si>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</si>
  <si>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</si>
  <si>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</si>
  <si>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</si>
  <si>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</si>
  <si>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</si>
  <si>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</si>
  <si>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</si>
  <si>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</si>
  <si>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</si>
  <si>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</si>
  <si>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</si>
  <si>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</si>
  <si>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</si>
  <si>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</si>
  <si>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</si>
  <si>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</si>
  <si>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91540</t>
  </si>
  <si>
    <t>94001</t>
  </si>
  <si>
    <t>95001</t>
  </si>
  <si>
    <t>95015</t>
  </si>
  <si>
    <t>95025</t>
  </si>
  <si>
    <t>95200</t>
  </si>
  <si>
    <t>97001</t>
  </si>
  <si>
    <t>97161</t>
  </si>
  <si>
    <t>97666</t>
  </si>
  <si>
    <t>99001</t>
  </si>
  <si>
    <t>99524</t>
  </si>
  <si>
    <t>99624</t>
  </si>
  <si>
    <t>99773</t>
  </si>
  <si>
    <t>LA GUAJIRA</t>
  </si>
  <si>
    <t>13490</t>
  </si>
  <si>
    <t>MAGUI</t>
  </si>
  <si>
    <t>23815</t>
  </si>
  <si>
    <t>23682</t>
  </si>
  <si>
    <t>REPORTE DEL CREPAD. BARRIO 20 DE JULIO VEREDA COROCITO. DESBORDAMIENTO RIO CASANARE. REPORTE DE LA DEFENSA CIVIL..</t>
  </si>
  <si>
    <t>ACTUALIZACION DEL CREPAD SECTOR VIAS NO REQUIEREN FORMULARIOS</t>
  </si>
  <si>
    <t xml:space="preserve">ACTUALIZACION DEL CREPAD </t>
  </si>
  <si>
    <t>Codificación según DIVIPOLA</t>
  </si>
  <si>
    <t>DESREF($ES$1;COINCIDIR($EO3;$EU:$EU;0)-1;0)</t>
  </si>
  <si>
    <t>Lista_Codificación_Dptos_Mpios</t>
  </si>
  <si>
    <t>Llave</t>
  </si>
  <si>
    <t>Cod_Dpto</t>
  </si>
  <si>
    <t>Nombre Dpto</t>
  </si>
  <si>
    <t>Cod_Mpio</t>
  </si>
  <si>
    <t>Nombre Mpio</t>
  </si>
  <si>
    <t>Criterio_Llave</t>
  </si>
  <si>
    <t>Total AMAZONAS</t>
  </si>
  <si>
    <t>Total ANTIOQUIA</t>
  </si>
  <si>
    <t>Total ARAUCA</t>
  </si>
  <si>
    <t>Total ATLANTICO</t>
  </si>
  <si>
    <t>Total BOGOTA D.C.</t>
  </si>
  <si>
    <t>Total BOLIVAR</t>
  </si>
  <si>
    <t>Total BOYACA</t>
  </si>
  <si>
    <t>Total CALDAS</t>
  </si>
  <si>
    <t>Total CAQUETA</t>
  </si>
  <si>
    <t>Total CASANARE</t>
  </si>
  <si>
    <t>Total CAUCA</t>
  </si>
  <si>
    <t>Total CESAR</t>
  </si>
  <si>
    <t>Total CORDOBA</t>
  </si>
  <si>
    <t>Total CUNDINAMARCA</t>
  </si>
  <si>
    <t>Total CHOCO</t>
  </si>
  <si>
    <t>Total GUAINIA</t>
  </si>
  <si>
    <t>Total GUAJIRA</t>
  </si>
  <si>
    <t>Total GUAVIARE</t>
  </si>
  <si>
    <t>Total HUILA</t>
  </si>
  <si>
    <t>Total MAGDALENA</t>
  </si>
  <si>
    <t>Total META</t>
  </si>
  <si>
    <t>Total NARIÑO</t>
  </si>
  <si>
    <t>Total NORTE DE SANTANDER</t>
  </si>
  <si>
    <t>Total PUTUMAYO</t>
  </si>
  <si>
    <t>Total SAN ANDRES</t>
  </si>
  <si>
    <t>Total QUINDIO</t>
  </si>
  <si>
    <t>Total RISARALDA</t>
  </si>
  <si>
    <t>Total SANTANDER</t>
  </si>
  <si>
    <t>Total SUCRE</t>
  </si>
  <si>
    <t>Total TOLIMA</t>
  </si>
  <si>
    <t>Total VAUPES</t>
  </si>
  <si>
    <t>Total VICHADA</t>
  </si>
  <si>
    <t>Total VALLE DEL CAUCA</t>
  </si>
  <si>
    <t>Medellin</t>
  </si>
  <si>
    <t>Abejorral</t>
  </si>
  <si>
    <t>Abriaqui</t>
  </si>
  <si>
    <t>Alejandria</t>
  </si>
  <si>
    <t>Amaga</t>
  </si>
  <si>
    <t>Amalfi</t>
  </si>
  <si>
    <t>Andes</t>
  </si>
  <si>
    <t>Angelopolis</t>
  </si>
  <si>
    <t>Angostura</t>
  </si>
  <si>
    <t>Anori</t>
  </si>
  <si>
    <t>Santafe de Antioquia</t>
  </si>
  <si>
    <t>Anza</t>
  </si>
  <si>
    <t>Apartado</t>
  </si>
  <si>
    <t>Arboletes</t>
  </si>
  <si>
    <t>Argelia</t>
  </si>
  <si>
    <t>Armenia</t>
  </si>
  <si>
    <t>Barbosa</t>
  </si>
  <si>
    <t>Belmira</t>
  </si>
  <si>
    <t>Bello</t>
  </si>
  <si>
    <t>Betania</t>
  </si>
  <si>
    <t>Betulia</t>
  </si>
  <si>
    <t>Ciudad Bolivar</t>
  </si>
  <si>
    <t>Briceño</t>
  </si>
  <si>
    <t>Buritica</t>
  </si>
  <si>
    <t>Caceres</t>
  </si>
  <si>
    <t>Caicedo</t>
  </si>
  <si>
    <t>Campamento</t>
  </si>
  <si>
    <t>Cañasgordas</t>
  </si>
  <si>
    <t>Caracoli</t>
  </si>
  <si>
    <t>Caramanta</t>
  </si>
  <si>
    <t>Carepa</t>
  </si>
  <si>
    <t>El Carmen de Viboral</t>
  </si>
  <si>
    <t>Carolina</t>
  </si>
  <si>
    <t>Caucasia</t>
  </si>
  <si>
    <t>Chigorodo</t>
  </si>
  <si>
    <t>Cisneros</t>
  </si>
  <si>
    <t>Cocorna</t>
  </si>
  <si>
    <t>Concepcion</t>
  </si>
  <si>
    <t>Concordia</t>
  </si>
  <si>
    <t>Copacabana</t>
  </si>
  <si>
    <t>Dabeiba</t>
  </si>
  <si>
    <t>Don Matias</t>
  </si>
  <si>
    <t>Ebejico</t>
  </si>
  <si>
    <t>El Bagre</t>
  </si>
  <si>
    <t>Entrerrios</t>
  </si>
  <si>
    <t>Envigado</t>
  </si>
  <si>
    <t>Fredonia</t>
  </si>
  <si>
    <t>Frontino</t>
  </si>
  <si>
    <t>Giraldo</t>
  </si>
  <si>
    <t>Girardota</t>
  </si>
  <si>
    <t>Gomez Plata</t>
  </si>
  <si>
    <t>Granada</t>
  </si>
  <si>
    <t>Guadalupe</t>
  </si>
  <si>
    <t>Guarne</t>
  </si>
  <si>
    <t>Guatape</t>
  </si>
  <si>
    <t>Heliconia</t>
  </si>
  <si>
    <t>Hispania</t>
  </si>
  <si>
    <t>Itagui</t>
  </si>
  <si>
    <t>Ituango</t>
  </si>
  <si>
    <t>Jardin</t>
  </si>
  <si>
    <t>Jerico</t>
  </si>
  <si>
    <t>La Ceja</t>
  </si>
  <si>
    <t>La Estrella</t>
  </si>
  <si>
    <t>La Pintada</t>
  </si>
  <si>
    <t>La Union</t>
  </si>
  <si>
    <t>Liborina</t>
  </si>
  <si>
    <t>Maceo</t>
  </si>
  <si>
    <t>Marinilla</t>
  </si>
  <si>
    <t>Montebello</t>
  </si>
  <si>
    <t>Murindo</t>
  </si>
  <si>
    <t>Mutata</t>
  </si>
  <si>
    <t>Necocli</t>
  </si>
  <si>
    <t>Nechi</t>
  </si>
  <si>
    <t>Olaya</t>
  </si>
  <si>
    <t>Peñol</t>
  </si>
  <si>
    <t>Peque</t>
  </si>
  <si>
    <t>Pueblorrico</t>
  </si>
  <si>
    <t>Puerto Berrio</t>
  </si>
  <si>
    <t>Puerto Nare</t>
  </si>
  <si>
    <t>Puerto Triunfo</t>
  </si>
  <si>
    <t>Remedios</t>
  </si>
  <si>
    <t>Retiro</t>
  </si>
  <si>
    <t>Rionegro</t>
  </si>
  <si>
    <t>Sabanalarga</t>
  </si>
  <si>
    <t>Sabaneta</t>
  </si>
  <si>
    <t>Salgar</t>
  </si>
  <si>
    <t>San Andres de Cuerquia</t>
  </si>
  <si>
    <t>San Carlos</t>
  </si>
  <si>
    <t>San Francisco</t>
  </si>
  <si>
    <t>San Jeronimo</t>
  </si>
  <si>
    <t>San Jose de La Montaña</t>
  </si>
  <si>
    <t>San Juan de Uraba</t>
  </si>
  <si>
    <t>San Luis</t>
  </si>
  <si>
    <t>San Pedro</t>
  </si>
  <si>
    <t>San Pedro de Uraba</t>
  </si>
  <si>
    <t>San Rafael</t>
  </si>
  <si>
    <t>San Roque</t>
  </si>
  <si>
    <t>San Vicente</t>
  </si>
  <si>
    <t>Santa Barbara</t>
  </si>
  <si>
    <t>Santa Rosa de Osos</t>
  </si>
  <si>
    <t>Santo Domingo</t>
  </si>
  <si>
    <t>El Santuario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</si>
  <si>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</si>
  <si>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</si>
  <si>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</si>
  <si>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</si>
  <si>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</si>
  <si>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</si>
  <si>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</si>
  <si>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</si>
  <si>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</si>
  <si>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</si>
  <si>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</si>
  <si>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</si>
  <si>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</si>
  <si>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</si>
  <si>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</si>
  <si>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</si>
  <si>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</si>
  <si>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</si>
  <si>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</si>
  <si>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</si>
  <si>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</si>
  <si>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</si>
  <si>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</si>
  <si>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</si>
  <si>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</si>
  <si>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</si>
  <si>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</si>
  <si>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</si>
  <si>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</si>
  <si>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</si>
  <si>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</si>
  <si>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</si>
  <si>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</si>
  <si>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</si>
  <si>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</si>
  <si>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</si>
  <si>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</si>
  <si>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Santa Lucia</t>
  </si>
  <si>
    <t>Santo Tomas</t>
  </si>
  <si>
    <t>Soledad</t>
  </si>
  <si>
    <t>Suan</t>
  </si>
  <si>
    <t>Tubara</t>
  </si>
  <si>
    <t>Usiacuri</t>
  </si>
  <si>
    <t>Bogota D.C.</t>
  </si>
  <si>
    <t>Bogota</t>
  </si>
  <si>
    <t>Cartagena</t>
  </si>
  <si>
    <t>Achi</t>
  </si>
  <si>
    <t>Altos del Rosario</t>
  </si>
  <si>
    <t>Arenal</t>
  </si>
  <si>
    <t>Arjona</t>
  </si>
  <si>
    <t>Arroyohondo</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</si>
  <si>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</si>
  <si>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</si>
  <si>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</si>
  <si>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</si>
  <si>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</si>
  <si>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</si>
  <si>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</si>
  <si>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</si>
  <si>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</si>
  <si>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</si>
  <si>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</si>
  <si>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</si>
  <si>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</si>
  <si>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</si>
  <si>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</si>
  <si>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Morales</t>
  </si>
  <si>
    <t>Norosi</t>
  </si>
  <si>
    <t>Pinillos</t>
  </si>
  <si>
    <t>Regidor</t>
  </si>
  <si>
    <t>Rio Viejo</t>
  </si>
  <si>
    <t>San Cristobal</t>
  </si>
  <si>
    <t>San Estanislao</t>
  </si>
  <si>
    <t>San Fernando</t>
  </si>
  <si>
    <t>San Jacinto</t>
  </si>
  <si>
    <t>San Jacinto del Cauca</t>
  </si>
  <si>
    <t>San Juan Nepomuceno</t>
  </si>
  <si>
    <t>San Martin de Loba</t>
  </si>
  <si>
    <t>San Pablo</t>
  </si>
  <si>
    <t>Santa Catalina</t>
  </si>
  <si>
    <t>Santa Rosa</t>
  </si>
  <si>
    <t>Santa Rosa del Sur</t>
  </si>
  <si>
    <t>Simiti</t>
  </si>
  <si>
    <t>Soplaviento</t>
  </si>
  <si>
    <t>Talaigua Nuevo</t>
  </si>
  <si>
    <t>Tiquisio</t>
  </si>
  <si>
    <t>Turbaco</t>
  </si>
  <si>
    <t>Turbana</t>
  </si>
  <si>
    <t>Villanueva</t>
  </si>
  <si>
    <t>Zambrano</t>
  </si>
  <si>
    <t>Boyaca</t>
  </si>
  <si>
    <t>Tunja</t>
  </si>
  <si>
    <t>Almeida</t>
  </si>
  <si>
    <t>Aquitania</t>
  </si>
  <si>
    <t>Arcabuco</t>
  </si>
  <si>
    <t>Belen</t>
  </si>
  <si>
    <t>Berbeo</t>
  </si>
  <si>
    <t>Beteitiva</t>
  </si>
  <si>
    <t>Boavita</t>
  </si>
  <si>
    <t>Buenavista</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</si>
  <si>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</si>
  <si>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</si>
  <si>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</si>
  <si>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</si>
  <si>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</si>
  <si>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</si>
  <si>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</si>
  <si>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</si>
  <si>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</si>
  <si>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</si>
  <si>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</si>
  <si>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</si>
  <si>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</si>
  <si>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</si>
  <si>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</si>
  <si>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</si>
  <si>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</si>
  <si>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</si>
  <si>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</si>
  <si>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</si>
  <si>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</si>
  <si>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</si>
  <si>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</si>
  <si>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</si>
  <si>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</si>
  <si>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</si>
  <si>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</si>
  <si>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</si>
  <si>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</si>
  <si>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</si>
  <si>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Guican</t>
  </si>
  <si>
    <t>Iza</t>
  </si>
  <si>
    <t>Jenesano</t>
  </si>
  <si>
    <t>Labranzagrande</t>
  </si>
  <si>
    <t>La Capilla</t>
  </si>
  <si>
    <t>La Victoria</t>
  </si>
  <si>
    <t>La Uvita</t>
  </si>
  <si>
    <t>Villa de Leyva</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</si>
  <si>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</si>
  <si>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</si>
  <si>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</si>
  <si>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</si>
  <si>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</si>
  <si>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</si>
  <si>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</si>
  <si>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</si>
  <si>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</si>
  <si>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</si>
  <si>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</si>
  <si>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</si>
  <si>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</si>
  <si>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</si>
  <si>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</si>
  <si>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</si>
  <si>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</si>
  <si>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</si>
  <si>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</si>
  <si>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</si>
  <si>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</si>
  <si>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</si>
  <si>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</si>
  <si>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</si>
  <si>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</si>
  <si>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</si>
  <si>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</si>
  <si>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</si>
  <si>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</si>
  <si>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</si>
  <si>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</si>
  <si>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</si>
  <si>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</si>
  <si>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</si>
  <si>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</si>
  <si>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</si>
  <si>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</si>
  <si>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Maria</t>
  </si>
  <si>
    <t>Santa Rosa de Viterbo</t>
  </si>
  <si>
    <t>Santa Sofia</t>
  </si>
  <si>
    <t>Sativanorte</t>
  </si>
  <si>
    <t>Sativasur</t>
  </si>
  <si>
    <t>Siachoque</t>
  </si>
  <si>
    <t>Soata</t>
  </si>
  <si>
    <t>Socota</t>
  </si>
  <si>
    <t>Socha</t>
  </si>
  <si>
    <t>Sogamoso</t>
  </si>
  <si>
    <t>Somondoco</t>
  </si>
  <si>
    <t>Sora</t>
  </si>
  <si>
    <t>Sotaquira</t>
  </si>
  <si>
    <t>Soraca</t>
  </si>
  <si>
    <t>Susacon</t>
  </si>
  <si>
    <t>Sutamarchan</t>
  </si>
  <si>
    <t>Sutatenza</t>
  </si>
  <si>
    <t>Tasco</t>
  </si>
  <si>
    <t>Tenza</t>
  </si>
  <si>
    <t>Tibana</t>
  </si>
  <si>
    <t>Tibasosa</t>
  </si>
  <si>
    <t>Tinjaca</t>
  </si>
  <si>
    <t>Tipacoque</t>
  </si>
  <si>
    <t>Toca</t>
  </si>
  <si>
    <t>Togui</t>
  </si>
  <si>
    <t>Topaga</t>
  </si>
  <si>
    <t>Tota</t>
  </si>
  <si>
    <t>Tunungua</t>
  </si>
  <si>
    <t>Tuta</t>
  </si>
  <si>
    <t>Tutaza</t>
  </si>
  <si>
    <t>Umbita</t>
  </si>
  <si>
    <t>Ventaquemada</t>
  </si>
  <si>
    <t>Viracacha</t>
  </si>
  <si>
    <t>Zetaquira</t>
  </si>
  <si>
    <t>Manizales</t>
  </si>
  <si>
    <t>Aguadas</t>
  </si>
  <si>
    <t>Anserma</t>
  </si>
  <si>
    <t>Aranzazu</t>
  </si>
  <si>
    <t>Belalcazar</t>
  </si>
  <si>
    <t>Chinchina</t>
  </si>
  <si>
    <t>Filadelfia</t>
  </si>
  <si>
    <t>La Dorada</t>
  </si>
  <si>
    <t>La Merced</t>
  </si>
  <si>
    <t>Manzanares</t>
  </si>
  <si>
    <t>Marmato</t>
  </si>
  <si>
    <t>Marquetalia</t>
  </si>
  <si>
    <t>Marulanda</t>
  </si>
  <si>
    <t>Neira</t>
  </si>
  <si>
    <t>Norcasia</t>
  </si>
  <si>
    <t>Pacora</t>
  </si>
  <si>
    <t>Palestina</t>
  </si>
  <si>
    <t>Pensilvania</t>
  </si>
  <si>
    <t>Riosucio</t>
  </si>
  <si>
    <t>Salamina</t>
  </si>
  <si>
    <t>San Jose</t>
  </si>
  <si>
    <t>Supia</t>
  </si>
  <si>
    <t>Victoria</t>
  </si>
  <si>
    <t>Villamaria</t>
  </si>
  <si>
    <t>Viterbo</t>
  </si>
  <si>
    <t>Caqueta</t>
  </si>
  <si>
    <t>Florencia</t>
  </si>
  <si>
    <t>Albania</t>
  </si>
  <si>
    <t>Belen de Los Andaquies</t>
  </si>
  <si>
    <t>Cartagena del Chaira</t>
  </si>
  <si>
    <t>Curillo</t>
  </si>
  <si>
    <t>El Paujil</t>
  </si>
  <si>
    <t>La Montañita</t>
  </si>
  <si>
    <t>Milan</t>
  </si>
  <si>
    <t>Morelia</t>
  </si>
  <si>
    <t>Puerto Rico</t>
  </si>
  <si>
    <t>San Jose del Fragua</t>
  </si>
  <si>
    <t>San Vicente del Caguan</t>
  </si>
  <si>
    <t>Solano</t>
  </si>
  <si>
    <t>Solita</t>
  </si>
  <si>
    <t>Popayan</t>
  </si>
  <si>
    <t>Almaguer</t>
  </si>
  <si>
    <t>Balboa</t>
  </si>
  <si>
    <t>Buenos Aires</t>
  </si>
  <si>
    <t>Cajibio</t>
  </si>
  <si>
    <t>Caloto</t>
  </si>
  <si>
    <t>Corinto</t>
  </si>
  <si>
    <t>El Tambo</t>
  </si>
  <si>
    <t>Guachene</t>
  </si>
  <si>
    <t>Guapi</t>
  </si>
  <si>
    <t>Inza</t>
  </si>
  <si>
    <t>Jambalo</t>
  </si>
  <si>
    <t>La Sierra</t>
  </si>
  <si>
    <t>La Vega</t>
  </si>
  <si>
    <t>Lopez</t>
  </si>
  <si>
    <t>Mercaderes</t>
  </si>
  <si>
    <t>Miranda</t>
  </si>
  <si>
    <t>Patia</t>
  </si>
  <si>
    <t>Piamonte</t>
  </si>
  <si>
    <t>Piendamo</t>
  </si>
  <si>
    <t>Puerto Tejada</t>
  </si>
  <si>
    <t>Purace</t>
  </si>
  <si>
    <t>Rosas</t>
  </si>
  <si>
    <t>San Sebastian</t>
  </si>
  <si>
    <t>Santander de Quilichao</t>
  </si>
  <si>
    <t>Silvia</t>
  </si>
  <si>
    <t>Sotara</t>
  </si>
  <si>
    <t>Suarez</t>
  </si>
  <si>
    <t>Timbio</t>
  </si>
  <si>
    <t>Totoro</t>
  </si>
  <si>
    <t>Villa Rica</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</si>
  <si>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</si>
  <si>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</si>
  <si>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</si>
  <si>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</si>
  <si>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</si>
  <si>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</si>
  <si>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</si>
  <si>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</si>
  <si>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</si>
  <si>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</si>
  <si>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</si>
  <si>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</si>
  <si>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</si>
  <si>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</si>
  <si>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</si>
  <si>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t>
  </si>
  <si>
    <t>Pailitas</t>
  </si>
  <si>
    <t>Pelaya</t>
  </si>
  <si>
    <t>Pueblo Bello</t>
  </si>
  <si>
    <t>Rio de Oro</t>
  </si>
  <si>
    <t>La Paz</t>
  </si>
  <si>
    <t>San Alberto</t>
  </si>
  <si>
    <t>San Diego</t>
  </si>
  <si>
    <t>San Martin</t>
  </si>
  <si>
    <t>Tamalameque</t>
  </si>
  <si>
    <t>Monteria</t>
  </si>
  <si>
    <t>Ayapel</t>
  </si>
  <si>
    <t>Canalete</t>
  </si>
  <si>
    <t>Chima</t>
  </si>
  <si>
    <t>Chinu</t>
  </si>
  <si>
    <t>Cienaga de Oro</t>
  </si>
  <si>
    <t>Cotorra</t>
  </si>
  <si>
    <t>La Apartada</t>
  </si>
  <si>
    <t>Lorica</t>
  </si>
  <si>
    <t>Momil</t>
  </si>
  <si>
    <t>Moñitos</t>
  </si>
  <si>
    <t>Planeta Rica</t>
  </si>
  <si>
    <t>Pueblo Nuevo</t>
  </si>
  <si>
    <t>Puerto Escondido</t>
  </si>
  <si>
    <t>Puerto Libertador</t>
  </si>
  <si>
    <t>Purisima</t>
  </si>
  <si>
    <t>Sahagun</t>
  </si>
  <si>
    <t>San Andres Sotavento</t>
  </si>
  <si>
    <t>San Antero</t>
  </si>
  <si>
    <t>San Jose de Ure</t>
  </si>
  <si>
    <t>San Pelayo</t>
  </si>
  <si>
    <t>Tierralta</t>
  </si>
  <si>
    <t>Tuchin</t>
  </si>
  <si>
    <t>Valencia</t>
  </si>
  <si>
    <t>Cundinamarca</t>
  </si>
  <si>
    <t>Agua de Dios</t>
  </si>
  <si>
    <t>Alban</t>
  </si>
  <si>
    <t>Anapoima</t>
  </si>
  <si>
    <t>Arbelaez</t>
  </si>
  <si>
    <t>Beltran</t>
  </si>
  <si>
    <t>Bituima</t>
  </si>
  <si>
    <t>Bojaca</t>
  </si>
  <si>
    <t>Cabrera</t>
  </si>
  <si>
    <t>Cachipay</t>
  </si>
  <si>
    <t>Cajica</t>
  </si>
  <si>
    <t>Caparrapi</t>
  </si>
  <si>
    <t>Caqueza</t>
  </si>
  <si>
    <t>Carmen de Carupa</t>
  </si>
  <si>
    <t>Chaguani</t>
  </si>
  <si>
    <t>Chia</t>
  </si>
  <si>
    <t>Choconta</t>
  </si>
  <si>
    <t>Cogua</t>
  </si>
  <si>
    <t>Cota</t>
  </si>
  <si>
    <t>Cucunuba</t>
  </si>
  <si>
    <t>El Colegio</t>
  </si>
  <si>
    <t>El Rosal</t>
  </si>
  <si>
    <t>Facatativa</t>
  </si>
  <si>
    <t>Fomeque</t>
  </si>
  <si>
    <t>Fosca</t>
  </si>
  <si>
    <t>Funza</t>
  </si>
  <si>
    <t>Fuquene</t>
  </si>
  <si>
    <t>Fusagasuga</t>
  </si>
  <si>
    <t>Gachala</t>
  </si>
  <si>
    <t>Gachancipa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</si>
  <si>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</si>
  <si>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</si>
  <si>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</si>
  <si>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</si>
  <si>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</si>
  <si>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</si>
  <si>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</si>
  <si>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</si>
  <si>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</si>
  <si>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</si>
  <si>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</si>
  <si>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</si>
  <si>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</si>
  <si>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</si>
  <si>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</si>
  <si>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</si>
  <si>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</si>
  <si>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</si>
  <si>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</si>
  <si>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</si>
  <si>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</si>
  <si>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</si>
  <si>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</si>
  <si>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</si>
  <si>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</si>
  <si>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</si>
  <si>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</si>
  <si>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</si>
  <si>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</si>
  <si>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</si>
  <si>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</si>
  <si>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</si>
  <si>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</si>
  <si>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</si>
  <si>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</si>
  <si>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</si>
  <si>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</si>
  <si>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</si>
  <si>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</si>
  <si>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</si>
  <si>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Sasaima</t>
  </si>
  <si>
    <t>Sesquile</t>
  </si>
  <si>
    <t>Sibate</t>
  </si>
  <si>
    <t>Silvania</t>
  </si>
  <si>
    <t>Simijaca</t>
  </si>
  <si>
    <t>Subachoque</t>
  </si>
  <si>
    <t>Suesca</t>
  </si>
  <si>
    <t>Supata</t>
  </si>
  <si>
    <t>Susa</t>
  </si>
  <si>
    <t>Sutatausa</t>
  </si>
  <si>
    <t>Tabio</t>
  </si>
  <si>
    <t>Tausa</t>
  </si>
  <si>
    <t>Tena</t>
  </si>
  <si>
    <t>Tenjo</t>
  </si>
  <si>
    <t>Tibacuy</t>
  </si>
  <si>
    <t>Tibirita</t>
  </si>
  <si>
    <t>Tocaima</t>
  </si>
  <si>
    <t>Tocancipa</t>
  </si>
  <si>
    <t>Topaipi</t>
  </si>
  <si>
    <t>Ubala</t>
  </si>
  <si>
    <t>Ubaque</t>
  </si>
  <si>
    <t>Villa de San Diego de Ubate</t>
  </si>
  <si>
    <t>Une</t>
  </si>
  <si>
    <t>Vergara</t>
  </si>
  <si>
    <t>Viani</t>
  </si>
  <si>
    <t>Villapinzon</t>
  </si>
  <si>
    <t>Villeta</t>
  </si>
  <si>
    <t>Viota</t>
  </si>
  <si>
    <t>Yacopi</t>
  </si>
  <si>
    <t>Zipacon</t>
  </si>
  <si>
    <t>Zipaquira</t>
  </si>
  <si>
    <t>Quibdo</t>
  </si>
  <si>
    <t>Acandi</t>
  </si>
  <si>
    <t>Alto Baudo</t>
  </si>
  <si>
    <t>Atrato</t>
  </si>
  <si>
    <t>Bahia Solano</t>
  </si>
  <si>
    <t>Bajo Baudo</t>
  </si>
  <si>
    <t>Bojaya</t>
  </si>
  <si>
    <t>El Canton del San Pablo</t>
  </si>
  <si>
    <t>Carmen del Darien</t>
  </si>
  <si>
    <t>Certegui</t>
  </si>
  <si>
    <t>Condoto</t>
  </si>
  <si>
    <t>El Carmen de Atrato</t>
  </si>
  <si>
    <t>El Litoral del San Juan</t>
  </si>
  <si>
    <t>Istmina</t>
  </si>
  <si>
    <t>Jurado</t>
  </si>
  <si>
    <t>Lloro</t>
  </si>
  <si>
    <t>Medio Atrato</t>
  </si>
  <si>
    <t>Medio Baudo</t>
  </si>
  <si>
    <t>Medio San Juan</t>
  </si>
  <si>
    <t>Novita</t>
  </si>
  <si>
    <t>Nuqui</t>
  </si>
  <si>
    <t>Rio Iro</t>
  </si>
  <si>
    <t>Rio Quito</t>
  </si>
  <si>
    <t>San Jose del Palmar</t>
  </si>
  <si>
    <t>Sipi</t>
  </si>
  <si>
    <t>Tado</t>
  </si>
  <si>
    <t>Unguia</t>
  </si>
  <si>
    <t>Union Panamericana</t>
  </si>
  <si>
    <t>Huila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</si>
  <si>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</si>
  <si>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</si>
  <si>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</si>
  <si>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</si>
  <si>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</si>
  <si>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</si>
  <si>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</si>
  <si>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</si>
  <si>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</si>
  <si>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</si>
  <si>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</si>
  <si>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</si>
  <si>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</si>
  <si>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</si>
  <si>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</si>
  <si>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</si>
  <si>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</si>
  <si>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</si>
  <si>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</si>
  <si>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</si>
  <si>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</si>
  <si>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</si>
  <si>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</si>
  <si>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</si>
  <si>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</si>
  <si>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</si>
  <si>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Suaza</t>
  </si>
  <si>
    <t>Tarqui</t>
  </si>
  <si>
    <t>Tesalia</t>
  </si>
  <si>
    <t>Tello</t>
  </si>
  <si>
    <t>Timana</t>
  </si>
  <si>
    <t>Villavieja</t>
  </si>
  <si>
    <t>Yaguara</t>
  </si>
  <si>
    <t>Riohacha</t>
  </si>
  <si>
    <t>Barrancas</t>
  </si>
  <si>
    <t>Dibulla</t>
  </si>
  <si>
    <t>Distraccion</t>
  </si>
  <si>
    <t>El Molino</t>
  </si>
  <si>
    <t>Fonseca</t>
  </si>
  <si>
    <t>Hatonuevo</t>
  </si>
  <si>
    <t>La Jagua del Pilar</t>
  </si>
  <si>
    <t>Maicao</t>
  </si>
  <si>
    <t>San Juan del Cesar</t>
  </si>
  <si>
    <t>Uribia</t>
  </si>
  <si>
    <t>Urumita</t>
  </si>
  <si>
    <t>Santa Marta</t>
  </si>
  <si>
    <t>Algarrobo</t>
  </si>
  <si>
    <t>Aracataca</t>
  </si>
  <si>
    <t>Ariguani</t>
  </si>
  <si>
    <t>Cerro San Antonio</t>
  </si>
  <si>
    <t>Chivolo</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</si>
  <si>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</si>
  <si>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</si>
  <si>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</si>
  <si>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</si>
  <si>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</si>
  <si>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</si>
  <si>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</si>
  <si>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</si>
  <si>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</si>
  <si>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</si>
  <si>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</si>
  <si>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</si>
  <si>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</si>
  <si>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</si>
  <si>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</si>
  <si>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</si>
  <si>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</si>
  <si>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Sitionuevo</t>
  </si>
  <si>
    <t>Tenerife</t>
  </si>
  <si>
    <t>Zapayan</t>
  </si>
  <si>
    <t>Zona Bananera</t>
  </si>
  <si>
    <t>Meta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</si>
  <si>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</si>
  <si>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</si>
  <si>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</si>
  <si>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</si>
  <si>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</si>
  <si>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</si>
  <si>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</si>
  <si>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</si>
  <si>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</si>
  <si>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</si>
  <si>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</si>
  <si>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</si>
  <si>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</si>
  <si>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</si>
  <si>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</si>
  <si>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</si>
  <si>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</si>
  <si>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</si>
  <si>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</si>
  <si>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Restrepo</t>
  </si>
  <si>
    <t>San Carlos de Guaroa</t>
  </si>
  <si>
    <t>San Juan de Arama</t>
  </si>
  <si>
    <t>San Juanito</t>
  </si>
  <si>
    <t>Pasto</t>
  </si>
  <si>
    <t>Aldana</t>
  </si>
  <si>
    <t>Ancuya</t>
  </si>
  <si>
    <t>Arboleda</t>
  </si>
  <si>
    <t>Barbacoas</t>
  </si>
  <si>
    <t>Buesaco</t>
  </si>
  <si>
    <t>Colon</t>
  </si>
  <si>
    <t>Consaca</t>
  </si>
  <si>
    <t>Contadero</t>
  </si>
  <si>
    <t>Cuaspud</t>
  </si>
  <si>
    <t>Cumbal</t>
  </si>
  <si>
    <t>Cumbitara</t>
  </si>
  <si>
    <t>Chachagui</t>
  </si>
  <si>
    <t>El Charco</t>
  </si>
  <si>
    <t>El Peñol</t>
  </si>
  <si>
    <t>El Rosario</t>
  </si>
  <si>
    <t>El Tablon de Gomez</t>
  </si>
  <si>
    <t>Funes</t>
  </si>
  <si>
    <t>Guachucal</t>
  </si>
  <si>
    <t>Guaitarilla</t>
  </si>
  <si>
    <t>Gualmatan</t>
  </si>
  <si>
    <t>Iles</t>
  </si>
  <si>
    <t>Imues</t>
  </si>
  <si>
    <t>Ipiales</t>
  </si>
  <si>
    <t>La Cruz</t>
  </si>
  <si>
    <t>La Tola</t>
  </si>
  <si>
    <t>Leiva</t>
  </si>
  <si>
    <t>Magui</t>
  </si>
  <si>
    <t>Mallama</t>
  </si>
  <si>
    <t>Olaya Herrera</t>
  </si>
  <si>
    <t>Ospina</t>
  </si>
  <si>
    <t>Francisco Pizarro</t>
  </si>
  <si>
    <t>Policarpa</t>
  </si>
  <si>
    <t>Potosi</t>
  </si>
  <si>
    <t>Providencia</t>
  </si>
  <si>
    <t>Puerres</t>
  </si>
  <si>
    <t>Pupiales</t>
  </si>
  <si>
    <t>Roberto Payan</t>
  </si>
  <si>
    <t>Samaniego</t>
  </si>
  <si>
    <t>Sandona</t>
  </si>
  <si>
    <t>San Lorenzo</t>
  </si>
  <si>
    <t>San Pedro de Cartago</t>
  </si>
  <si>
    <t>Santacruz</t>
  </si>
  <si>
    <t>Sapuyes</t>
  </si>
  <si>
    <t>Taminango</t>
  </si>
  <si>
    <t>Tangua</t>
  </si>
  <si>
    <t>San Andres de Tumaco</t>
  </si>
  <si>
    <t>Tuquerres</t>
  </si>
  <si>
    <t>Yacuanquer</t>
  </si>
  <si>
    <t>Cucuta</t>
  </si>
  <si>
    <t>Abrego</t>
  </si>
  <si>
    <t>Arboledas</t>
  </si>
  <si>
    <t>Bochalema</t>
  </si>
  <si>
    <t>Bucarasica</t>
  </si>
  <si>
    <t>Cacota</t>
  </si>
  <si>
    <t>Cachira</t>
  </si>
  <si>
    <t>Chinacota</t>
  </si>
  <si>
    <t>Chitaga</t>
  </si>
  <si>
    <t>Convencion</t>
  </si>
  <si>
    <t>Cucutilla</t>
  </si>
  <si>
    <t>Durania</t>
  </si>
  <si>
    <t>El Carmen</t>
  </si>
  <si>
    <t>El Tarra</t>
  </si>
  <si>
    <t>El Zulia</t>
  </si>
  <si>
    <t>Gramalote</t>
  </si>
  <si>
    <t>Hacari</t>
  </si>
  <si>
    <t>Herran</t>
  </si>
  <si>
    <t>Labateca</t>
  </si>
  <si>
    <t>La Esperanza</t>
  </si>
  <si>
    <t>La Playa</t>
  </si>
  <si>
    <t>Lourdes</t>
  </si>
  <si>
    <t>Mutiscua</t>
  </si>
  <si>
    <t>Ocaña</t>
  </si>
  <si>
    <t>Pamplona</t>
  </si>
  <si>
    <t>Pamplonita</t>
  </si>
  <si>
    <t>Puerto Santander</t>
  </si>
  <si>
    <t>Ragonvalia</t>
  </si>
  <si>
    <t>Salazar</t>
  </si>
  <si>
    <t>San Calixto</t>
  </si>
  <si>
    <t>Santiago</t>
  </si>
  <si>
    <t>Sardinata</t>
  </si>
  <si>
    <t>Silos</t>
  </si>
  <si>
    <t>Teorama</t>
  </si>
  <si>
    <t>Tibu</t>
  </si>
  <si>
    <t>Villa Caro</t>
  </si>
  <si>
    <t>Villa del Rosario</t>
  </si>
  <si>
    <t>Calarca</t>
  </si>
  <si>
    <t>La Tebaida</t>
  </si>
  <si>
    <t>Montenegro</t>
  </si>
  <si>
    <t>Pijao</t>
  </si>
  <si>
    <t>Quimbaya</t>
  </si>
  <si>
    <t>Salento</t>
  </si>
  <si>
    <t>Pereira</t>
  </si>
  <si>
    <t>Apia</t>
  </si>
  <si>
    <t>Belen de Umbria</t>
  </si>
  <si>
    <t>Dosquebradas</t>
  </si>
  <si>
    <t>Guatica</t>
  </si>
  <si>
    <t>La Celia</t>
  </si>
  <si>
    <t>La Virginia</t>
  </si>
  <si>
    <t>Mistrato</t>
  </si>
  <si>
    <t>Pueblo Rico</t>
  </si>
  <si>
    <t>Quinchia</t>
  </si>
  <si>
    <t>Santa Rosa de Cabal</t>
  </si>
  <si>
    <t>Bucaramanga</t>
  </si>
  <si>
    <t>Aguada</t>
  </si>
  <si>
    <t>Aratoca</t>
  </si>
  <si>
    <t>Barrancabermeja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</si>
  <si>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</si>
  <si>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</si>
  <si>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</si>
  <si>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</si>
  <si>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</si>
  <si>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</si>
  <si>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</si>
  <si>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</si>
  <si>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</si>
  <si>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</si>
  <si>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</si>
  <si>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</si>
  <si>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</si>
  <si>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</si>
  <si>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</si>
  <si>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</si>
  <si>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</si>
  <si>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</si>
  <si>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</si>
  <si>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</si>
  <si>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</si>
  <si>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</si>
  <si>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</si>
  <si>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</si>
  <si>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</si>
  <si>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</si>
  <si>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</si>
  <si>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</si>
  <si>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</si>
  <si>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</si>
  <si>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</si>
  <si>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</si>
  <si>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</si>
  <si>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</si>
  <si>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</si>
  <si>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</si>
  <si>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</si>
  <si>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</si>
  <si>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</si>
  <si>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</si>
  <si>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</si>
  <si>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</si>
  <si>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</si>
  <si>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</si>
  <si>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</si>
  <si>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</si>
  <si>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</si>
  <si>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</si>
  <si>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</si>
  <si>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</si>
  <si>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</si>
  <si>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Andres</t>
  </si>
  <si>
    <t>San Benito</t>
  </si>
  <si>
    <t>San Gil</t>
  </si>
  <si>
    <t>San Joaquin</t>
  </si>
  <si>
    <t>San Jose de Miranda</t>
  </si>
  <si>
    <t>San Miguel</t>
  </si>
  <si>
    <t>San Vicente de Chucuri</t>
  </si>
  <si>
    <t>Santa Helena del Opon</t>
  </si>
  <si>
    <t>Simacota</t>
  </si>
  <si>
    <t>Socorro</t>
  </si>
  <si>
    <t>Suaita</t>
  </si>
  <si>
    <t>Surata</t>
  </si>
  <si>
    <t>Tona</t>
  </si>
  <si>
    <t>Valle de San Jose</t>
  </si>
  <si>
    <t>Velez</t>
  </si>
  <si>
    <t>Vetas</t>
  </si>
  <si>
    <t>Zapatoca</t>
  </si>
  <si>
    <t>Sincelejo</t>
  </si>
  <si>
    <t>Caimito</t>
  </si>
  <si>
    <t>Coloso</t>
  </si>
  <si>
    <t>Corozal</t>
  </si>
  <si>
    <t>Coveñas</t>
  </si>
  <si>
    <t>Chalan</t>
  </si>
  <si>
    <t>El Roble</t>
  </si>
  <si>
    <t>Galeras</t>
  </si>
  <si>
    <t>Guaranda</t>
  </si>
  <si>
    <t>Los Palmitos</t>
  </si>
  <si>
    <t>Majagual</t>
  </si>
  <si>
    <t>Morroa</t>
  </si>
  <si>
    <t>Ovejas</t>
  </si>
  <si>
    <t>Palmito</t>
  </si>
  <si>
    <t>Sampues</t>
  </si>
  <si>
    <t>San Benito Abad</t>
  </si>
  <si>
    <t>San Juan de Betulia</t>
  </si>
  <si>
    <t>San Marcos</t>
  </si>
  <si>
    <t>San Onofre</t>
  </si>
  <si>
    <t>San Luis de Since</t>
  </si>
  <si>
    <t>Santiago de Tolu</t>
  </si>
  <si>
    <t>Tolu Viejo</t>
  </si>
  <si>
    <t>Ibague</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</si>
  <si>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</si>
  <si>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</si>
  <si>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</si>
  <si>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</si>
  <si>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</si>
  <si>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</si>
  <si>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</si>
  <si>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</si>
  <si>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</si>
  <si>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</si>
  <si>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</si>
  <si>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</si>
  <si>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</si>
  <si>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</si>
  <si>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</si>
  <si>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</si>
  <si>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</si>
  <si>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</si>
  <si>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</si>
  <si>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</si>
  <si>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</si>
  <si>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</si>
  <si>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</si>
  <si>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</si>
  <si>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</si>
  <si>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</si>
  <si>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</si>
  <si>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</si>
  <si>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</si>
  <si>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</si>
  <si>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</si>
  <si>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</si>
  <si>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</si>
  <si>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</si>
  <si>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</si>
  <si>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</si>
  <si>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</si>
  <si>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</si>
  <si>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</si>
  <si>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</si>
  <si>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</si>
  <si>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</si>
  <si>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</si>
  <si>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</si>
  <si>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Cali</t>
  </si>
  <si>
    <t>Alcala</t>
  </si>
  <si>
    <t>Andalucia</t>
  </si>
  <si>
    <t>Ansermanuevo</t>
  </si>
  <si>
    <t>Buenaventura</t>
  </si>
  <si>
    <t>Guadalajara de Buga</t>
  </si>
  <si>
    <t>Bugalagrande</t>
  </si>
  <si>
    <t>Caicedonia</t>
  </si>
  <si>
    <t>Calima</t>
  </si>
  <si>
    <t>Cartago</t>
  </si>
  <si>
    <t>Dagua</t>
  </si>
  <si>
    <t>El aguila</t>
  </si>
  <si>
    <t>El Cairo</t>
  </si>
  <si>
    <t>El Cerrito</t>
  </si>
  <si>
    <t>El Dovio</t>
  </si>
  <si>
    <t>Florida</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</si>
  <si>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</si>
  <si>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</si>
  <si>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</si>
  <si>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</si>
  <si>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</si>
  <si>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</si>
  <si>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</si>
  <si>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</si>
  <si>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</si>
  <si>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</si>
  <si>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</si>
  <si>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</si>
  <si>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</si>
  <si>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</si>
  <si>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</si>
  <si>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</si>
  <si>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</si>
  <si>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</si>
  <si>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</si>
  <si>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Arauquita</t>
  </si>
  <si>
    <t>Cravo Norte</t>
  </si>
  <si>
    <t>Fortul</t>
  </si>
  <si>
    <t>Puerto Rondon</t>
  </si>
  <si>
    <t>Saravena</t>
  </si>
  <si>
    <t>Tame</t>
  </si>
  <si>
    <t>Casanare</t>
  </si>
  <si>
    <t>Yopal</t>
  </si>
  <si>
    <t>Aguazul</t>
  </si>
  <si>
    <t>Chameza</t>
  </si>
  <si>
    <t>Hato Corozal</t>
  </si>
  <si>
    <t>La Salina</t>
  </si>
  <si>
    <t>Mani</t>
  </si>
  <si>
    <t>Monterrey</t>
  </si>
  <si>
    <t>Nunchia</t>
  </si>
  <si>
    <t>Orocue</t>
  </si>
  <si>
    <t>Paz de Ariporo</t>
  </si>
  <si>
    <t>Pore</t>
  </si>
  <si>
    <t>Recetor</t>
  </si>
  <si>
    <t>Sacama</t>
  </si>
  <si>
    <t>San Luis de Palenque</t>
  </si>
  <si>
    <t>Tamara</t>
  </si>
  <si>
    <t>Trinidad</t>
  </si>
  <si>
    <t>Mocoa</t>
  </si>
  <si>
    <t>Orito</t>
  </si>
  <si>
    <t>Puerto Asis</t>
  </si>
  <si>
    <t>Puerto Caicedo</t>
  </si>
  <si>
    <t>Puerto Guzman</t>
  </si>
  <si>
    <t>Leguizamo</t>
  </si>
  <si>
    <t>Sibundoy</t>
  </si>
  <si>
    <t>Valle del Guamuez</t>
  </si>
  <si>
    <t>Villagarzon</t>
  </si>
  <si>
    <t>Amazonas</t>
  </si>
  <si>
    <t>Leticia</t>
  </si>
  <si>
    <t>91263</t>
  </si>
  <si>
    <t>El Encanto (CD)</t>
  </si>
  <si>
    <t>91405</t>
  </si>
  <si>
    <t>La Chorrera (CD)</t>
  </si>
  <si>
    <t>91407</t>
  </si>
  <si>
    <t>La Pedrera (CD)</t>
  </si>
  <si>
    <t>91430</t>
  </si>
  <si>
    <t>La Victoria (CD)</t>
  </si>
  <si>
    <t>91460</t>
  </si>
  <si>
    <t>Miriti - Parana (CD)</t>
  </si>
  <si>
    <t>91530</t>
  </si>
  <si>
    <t>Puerto Alegria (CD)</t>
  </si>
  <si>
    <t>91536</t>
  </si>
  <si>
    <t>Puerto Arica (CD)</t>
  </si>
  <si>
    <t>Puerto Nariño</t>
  </si>
  <si>
    <t>91669</t>
  </si>
  <si>
    <t>Puerto Santander (CD)</t>
  </si>
  <si>
    <t>91798</t>
  </si>
  <si>
    <t>Tarapaca (CD)</t>
  </si>
  <si>
    <t>Guainia</t>
  </si>
  <si>
    <t>Inirida</t>
  </si>
  <si>
    <t>94343</t>
  </si>
  <si>
    <t>Barranco Minas (CD)</t>
  </si>
  <si>
    <t>94663</t>
  </si>
  <si>
    <t>Mapiripana (CD)</t>
  </si>
  <si>
    <t>94883</t>
  </si>
  <si>
    <t>San Felipe (CD)</t>
  </si>
  <si>
    <t>94884</t>
  </si>
  <si>
    <t>Puerto Colombia (CD)</t>
  </si>
  <si>
    <t>94885</t>
  </si>
  <si>
    <t>La Guadalupe (CD)</t>
  </si>
  <si>
    <t>94886</t>
  </si>
  <si>
    <t>Cacahual (CD)</t>
  </si>
  <si>
    <t>94887</t>
  </si>
  <si>
    <t>Pana Pana (CD)</t>
  </si>
  <si>
    <t>94888</t>
  </si>
  <si>
    <t>Morichal (CD)</t>
  </si>
  <si>
    <t>Guaviare</t>
  </si>
  <si>
    <t>San Jose del Guaviare</t>
  </si>
  <si>
    <t>El Retorno</t>
  </si>
  <si>
    <t>Vaupes</t>
  </si>
  <si>
    <t>Mitu</t>
  </si>
  <si>
    <t>Caruru</t>
  </si>
  <si>
    <t>97511</t>
  </si>
  <si>
    <t>Pacoa (CD)</t>
  </si>
  <si>
    <t>Taraira</t>
  </si>
  <si>
    <t>97777</t>
  </si>
  <si>
    <t>Papunaua (CD)</t>
  </si>
  <si>
    <t>97889</t>
  </si>
  <si>
    <t>Yavarate (CD)</t>
  </si>
  <si>
    <t>Vichada</t>
  </si>
  <si>
    <t>Puerto Carreño</t>
  </si>
  <si>
    <t>La Primavera</t>
  </si>
  <si>
    <t>Santa Rosalia</t>
  </si>
  <si>
    <t>Cumaribo</t>
  </si>
  <si>
    <t>URIBE</t>
  </si>
  <si>
    <t>Montelibano</t>
  </si>
  <si>
    <t>CHIVOLO</t>
  </si>
  <si>
    <t>SAN ANTONIO DEL TEQUENDAMA</t>
  </si>
  <si>
    <t>VILLA DE SAN DIEGO DE UBATE</t>
  </si>
  <si>
    <t>BARRIOS NAZARETH, LA TIJERA, BARRANTIAL, PUENTE MAREIGUA, ESPERANZA, SANTAFE, BARRIO CRISTALINA CORREGIMIENTO MAJAYURA,  VEREDA VILLADIANA DESBOPRDAMIENTO QUEBRADA PARAGUACHON..REPORTE PRELIMINAR DEL CREPAD.</t>
  </si>
  <si>
    <t>TAPONAMIENTO DE ALCANTARILLAS. 18 BARRIOS INUNDADOS DEL CASCO URBANO Y CORREGIMIENTO DE PARAGUACHON. . SEIS COMUNIDADES INDIGENAS. REPORTE DEL CREPAD. Y CRUZ ROJA. COMUNIDADES INDIGENAS PARRANTIAL Y PUERTA DEL SOL. DESBORDAMIENTO RIO PARRANTIAL, CARRAIPIA. REPORTE DEL SOCORRO NACIONAL.</t>
  </si>
  <si>
    <t xml:space="preserve">                                                                                                       </t>
  </si>
  <si>
    <t>BARRIO EL REFUGIO. REPORTE DE LA DPAE</t>
  </si>
  <si>
    <t>BARRIO LAS HUERTAS. REPORTE DE LA DPAE</t>
  </si>
  <si>
    <t>BARRIO LOS DUQUES. REPORTE DE LA DPAE</t>
  </si>
  <si>
    <t>BARRIO SADEC UNO. REPORTE DE LA DPAE</t>
  </si>
  <si>
    <t>BARRIO LA CITA. REPORTE DE LA DPAE</t>
  </si>
  <si>
    <t>BARRIO VILLA GLADIS. REPORTE DE LA DPAE</t>
  </si>
  <si>
    <t>BARRIO SUBA URBANO. REPORTE DE LA DPAE</t>
  </si>
  <si>
    <t>BARRIO EL ROSARIO. REPORTE DE LA DPAE</t>
  </si>
  <si>
    <t>BARRIO TUNJUELITO. REPORTE DE LA DPAE</t>
  </si>
  <si>
    <t>BARRIO SIERRA MORENA. REPORTE DE LA DPAE</t>
  </si>
  <si>
    <t>BARRIO BELLA FLOR. REPORTE DE LA DPAE</t>
  </si>
  <si>
    <t>BARRIO LOMITAS. REPORTE DE LA DPAE</t>
  </si>
  <si>
    <t>BARRIO MONTEVIDEO. REPORTE DE LA DPAE</t>
  </si>
  <si>
    <t>BARRIO LA BELLEZA. REPORTE DE LA DPAE</t>
  </si>
  <si>
    <t>BARRIO NUEVA DELLY. REPORTE DE LA DPAE</t>
  </si>
  <si>
    <t>BARRIO LOS LIBERTADORES. REPORTE DE LA DPAE</t>
  </si>
  <si>
    <t>BARRIO BOSA ESTACION. REPORTE DE LA DPAE</t>
  </si>
  <si>
    <t>BARRIO EL AMPARO. REPORTE DE LA DPAE</t>
  </si>
  <si>
    <t>BARRIO EL REMANSO. REPORTE DE LA DPAE</t>
  </si>
  <si>
    <t>BARRIO EL CODITO III. REPORTE DE LA DPAE}</t>
  </si>
  <si>
    <t>BARRIO EL TESORO. REPORTE DE LA DPAE</t>
  </si>
  <si>
    <t>BARRIO BRISAS DEL VOLADOR. REPORTE DE LA DPAE</t>
  </si>
  <si>
    <t>BARRIO BUENAVISTA. REPORTE DE LA DPAE</t>
  </si>
  <si>
    <t>BARRIO SAN LUIS - ALTOS DEL CABO. REPORTE DE LA DPAE</t>
  </si>
  <si>
    <t>BARRIO SAN LUIS. REPORTE DE LA DPAE</t>
  </si>
  <si>
    <t>BARRIO SAN JOSE. REPORTE DE LA DPAE</t>
  </si>
  <si>
    <t>BARRIO LA ACACIA. REPORTE DE LA DPAE</t>
  </si>
  <si>
    <t>BARRIO METROPOLIS. REPORTE DE LA DPAE</t>
  </si>
  <si>
    <t>BARRIO JULIO FLOREZ. REPORTE DE LA DPAE</t>
  </si>
  <si>
    <t>BARRIO MINUTO DE DIOS. REPORTE DE LA DPAE</t>
  </si>
  <si>
    <t>BARRIO EL CODITO III. REPORTE DE LA DPAE</t>
  </si>
  <si>
    <t>BARRIO EL PLAYON. REPORTE DE LA DPAE</t>
  </si>
  <si>
    <t>BARRIO EL SOCORRO III SECTOR. REPORTE DE LA DPAE</t>
  </si>
  <si>
    <t>BARRIO DIANA TURBAY CULTIVOS. REPORTE DE LA DPAE</t>
  </si>
  <si>
    <t>BARRIO GUIPARMA. REPORTE DE LA DPAE</t>
  </si>
  <si>
    <t>BARRIO DIANA TURBAY. REPORTE DE LA DPAE</t>
  </si>
  <si>
    <t>BARRIO A.S.D.. REPORTE DE LA DPAE</t>
  </si>
</sst>
</file>

<file path=xl/styles.xml><?xml version="1.0" encoding="utf-8"?>
<styleSheet xmlns="http://schemas.openxmlformats.org/spreadsheetml/2006/main">
  <numFmts count="7">
    <numFmt numFmtId="43" formatCode="_(* #,##0.00_);_(* \(#,##0.00\);_(* &quot;-&quot;??_);_(@_)"/>
    <numFmt numFmtId="164" formatCode="dd\-mmm\-\y\y"/>
    <numFmt numFmtId="165" formatCode="&quot;$&quot;#,##0.00"/>
    <numFmt numFmtId="166" formatCode="&quot;$&quot;#,##0.0"/>
    <numFmt numFmtId="167" formatCode="#,##0.0"/>
    <numFmt numFmtId="170" formatCode="&quot;$&quot;\ #,##0"/>
    <numFmt numFmtId="171" formatCode="[$-C0A]dd\-mmm\-yy;@"/>
  </numFmts>
  <fonts count="28">
    <font>
      <sz val="10"/>
      <name val="Arial"/>
    </font>
    <font>
      <sz val="10"/>
      <name val="Arial"/>
    </font>
    <font>
      <b/>
      <sz val="10"/>
      <name val="Arial"/>
      <family val="2"/>
    </font>
    <font>
      <sz val="8"/>
      <name val="Arial"/>
      <family val="2"/>
    </font>
    <font>
      <b/>
      <sz val="12"/>
      <name val="Arial"/>
      <family val="2"/>
    </font>
    <font>
      <b/>
      <sz val="8"/>
      <name val="Arial"/>
      <family val="2"/>
    </font>
    <font>
      <b/>
      <sz val="14"/>
      <name val="Arial"/>
      <family val="2"/>
    </font>
    <font>
      <b/>
      <sz val="9"/>
      <name val="Arial"/>
      <family val="2"/>
    </font>
    <font>
      <b/>
      <sz val="11"/>
      <name val="Arial"/>
      <family val="2"/>
    </font>
    <font>
      <sz val="8"/>
      <name val="Arial"/>
      <family val="2"/>
    </font>
    <font>
      <b/>
      <i/>
      <sz val="9"/>
      <name val="Arial"/>
      <family val="2"/>
    </font>
    <font>
      <sz val="9"/>
      <name val="Arial"/>
      <family val="2"/>
    </font>
    <font>
      <sz val="10"/>
      <name val="Arial"/>
      <family val="2"/>
    </font>
    <font>
      <sz val="9"/>
      <color indexed="8"/>
      <name val="Arial"/>
      <family val="2"/>
    </font>
    <font>
      <sz val="10"/>
      <name val="Arial"/>
      <family val="2"/>
    </font>
    <font>
      <i/>
      <sz val="8"/>
      <name val="Arial"/>
      <family val="2"/>
    </font>
    <font>
      <b/>
      <sz val="9"/>
      <color indexed="8"/>
      <name val="Arial"/>
      <family val="2"/>
    </font>
    <font>
      <sz val="10"/>
      <color indexed="10"/>
      <name val="Arial"/>
      <family val="2"/>
    </font>
    <font>
      <b/>
      <sz val="10"/>
      <color indexed="8"/>
      <name val="Arial"/>
      <family val="2"/>
    </font>
    <font>
      <b/>
      <u/>
      <sz val="9"/>
      <color indexed="8"/>
      <name val="Arial"/>
      <family val="2"/>
    </font>
    <font>
      <u/>
      <sz val="10"/>
      <name val="Arial"/>
      <family val="2"/>
    </font>
    <font>
      <sz val="10"/>
      <color indexed="10"/>
      <name val="Arial"/>
      <family val="2"/>
    </font>
    <font>
      <b/>
      <sz val="7"/>
      <name val="Arial"/>
      <family val="2"/>
    </font>
    <font>
      <sz val="8"/>
      <color indexed="10"/>
      <name val="Arial"/>
      <family val="2"/>
    </font>
    <font>
      <b/>
      <i/>
      <sz val="10"/>
      <color indexed="54"/>
      <name val="Arial"/>
      <family val="2"/>
    </font>
    <font>
      <b/>
      <sz val="9"/>
      <color indexed="43"/>
      <name val="Arial"/>
      <family val="2"/>
    </font>
    <font>
      <sz val="10"/>
      <color indexed="43"/>
      <name val="Arial"/>
      <family val="2"/>
    </font>
    <font>
      <b/>
      <sz val="10"/>
      <color indexed="43"/>
      <name val="Arial"/>
      <family val="2"/>
    </font>
  </fonts>
  <fills count="18">
    <fill>
      <patternFill patternType="none"/>
    </fill>
    <fill>
      <patternFill patternType="gray125"/>
    </fill>
    <fill>
      <patternFill patternType="solid">
        <fgColor indexed="46"/>
        <bgColor indexed="64"/>
      </patternFill>
    </fill>
    <fill>
      <patternFill patternType="gray0625">
        <bgColor indexed="11"/>
      </patternFill>
    </fill>
    <fill>
      <patternFill patternType="gray0625">
        <bgColor indexed="15"/>
      </patternFill>
    </fill>
    <fill>
      <patternFill patternType="solid">
        <fgColor indexed="53"/>
        <bgColor indexed="64"/>
      </patternFill>
    </fill>
    <fill>
      <patternFill patternType="solid">
        <fgColor indexed="22"/>
        <bgColor indexed="64"/>
      </patternFill>
    </fill>
    <fill>
      <patternFill patternType="solid">
        <fgColor indexed="10"/>
        <bgColor indexed="64"/>
      </patternFill>
    </fill>
    <fill>
      <patternFill patternType="gray0625">
        <bgColor indexed="34"/>
      </patternFill>
    </fill>
    <fill>
      <patternFill patternType="solid">
        <fgColor indexed="9"/>
        <bgColor indexed="64"/>
      </patternFill>
    </fill>
    <fill>
      <patternFill patternType="solid">
        <fgColor indexed="13"/>
        <bgColor indexed="64"/>
      </patternFill>
    </fill>
    <fill>
      <patternFill patternType="solid">
        <fgColor indexed="63"/>
        <bgColor indexed="64"/>
      </patternFill>
    </fill>
    <fill>
      <patternFill patternType="solid">
        <fgColor indexed="48"/>
        <bgColor indexed="64"/>
      </patternFill>
    </fill>
    <fill>
      <patternFill patternType="solid">
        <fgColor indexed="43"/>
        <bgColor indexed="64"/>
      </patternFill>
    </fill>
    <fill>
      <patternFill patternType="solid">
        <fgColor indexed="15"/>
        <bgColor indexed="64"/>
      </patternFill>
    </fill>
    <fill>
      <patternFill patternType="solid">
        <fgColor indexed="11"/>
        <bgColor indexed="64"/>
      </patternFill>
    </fill>
    <fill>
      <patternFill patternType="solid">
        <fgColor rgb="FFFFFF00"/>
        <bgColor indexed="64"/>
      </patternFill>
    </fill>
    <fill>
      <patternFill patternType="solid">
        <fgColor theme="0"/>
        <bgColor indexed="64"/>
      </patternFill>
    </fill>
  </fills>
  <borders count="56">
    <border>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0" fontId="12" fillId="0" borderId="0"/>
  </cellStyleXfs>
  <cellXfs count="439">
    <xf numFmtId="0" fontId="0" fillId="0" borderId="0" xfId="0"/>
    <xf numFmtId="15" fontId="3" fillId="0" borderId="1" xfId="0" applyNumberFormat="1" applyFont="1" applyBorder="1" applyAlignment="1">
      <alignment horizontal="justify" vertical="top"/>
    </xf>
    <xf numFmtId="0" fontId="0" fillId="0" borderId="0" xfId="0" applyAlignment="1">
      <alignment horizontal="justify" vertical="justify"/>
    </xf>
    <xf numFmtId="3" fontId="3" fillId="0" borderId="2" xfId="0" applyNumberFormat="1" applyFont="1" applyBorder="1" applyAlignment="1">
      <alignment horizontal="justify" vertical="justify"/>
    </xf>
    <xf numFmtId="3" fontId="3" fillId="0" borderId="3" xfId="0" applyNumberFormat="1" applyFont="1" applyBorder="1" applyAlignment="1">
      <alignment horizontal="justify" vertical="justify"/>
    </xf>
    <xf numFmtId="3" fontId="3" fillId="0" borderId="4" xfId="0" applyNumberFormat="1" applyFont="1" applyBorder="1" applyAlignment="1">
      <alignment horizontal="justify" vertical="justify"/>
    </xf>
    <xf numFmtId="0" fontId="0" fillId="0" borderId="5" xfId="0" applyBorder="1" applyAlignment="1">
      <alignment horizontal="justify" vertical="justify"/>
    </xf>
    <xf numFmtId="3" fontId="0" fillId="0" borderId="5" xfId="0" applyNumberFormat="1" applyBorder="1" applyAlignment="1">
      <alignment horizontal="justify" vertical="justify"/>
    </xf>
    <xf numFmtId="167" fontId="3" fillId="0" borderId="6" xfId="0" applyNumberFormat="1" applyFont="1" applyBorder="1" applyAlignment="1">
      <alignment horizontal="justify" vertical="justify"/>
    </xf>
    <xf numFmtId="0" fontId="0" fillId="0" borderId="7" xfId="0" applyBorder="1" applyAlignment="1">
      <alignment horizontal="justify" vertical="justify"/>
    </xf>
    <xf numFmtId="3" fontId="0" fillId="0" borderId="8" xfId="0" applyNumberFormat="1" applyBorder="1" applyAlignment="1">
      <alignment horizontal="justify" vertical="justify"/>
    </xf>
    <xf numFmtId="0" fontId="0" fillId="0" borderId="1" xfId="0" applyBorder="1" applyAlignment="1">
      <alignment horizontal="justify" vertical="justify"/>
    </xf>
    <xf numFmtId="3" fontId="0" fillId="0" borderId="9" xfId="0" applyNumberFormat="1" applyBorder="1" applyAlignment="1">
      <alignment horizontal="justify" vertical="justify"/>
    </xf>
    <xf numFmtId="3" fontId="5" fillId="0" borderId="10" xfId="0" applyNumberFormat="1" applyFont="1" applyBorder="1" applyAlignment="1">
      <alignment horizontal="justify" vertical="justify"/>
    </xf>
    <xf numFmtId="164" fontId="6" fillId="0" borderId="0" xfId="0" applyNumberFormat="1" applyFont="1" applyBorder="1" applyAlignment="1">
      <alignment horizontal="justify" vertical="justify"/>
    </xf>
    <xf numFmtId="3" fontId="5" fillId="0" borderId="0" xfId="0" applyNumberFormat="1" applyFont="1" applyBorder="1" applyAlignment="1">
      <alignment horizontal="justify" vertical="justify"/>
    </xf>
    <xf numFmtId="164" fontId="0" fillId="0" borderId="0" xfId="0" applyNumberFormat="1" applyAlignment="1">
      <alignment horizontal="justify" vertical="justify"/>
    </xf>
    <xf numFmtId="0" fontId="2" fillId="0" borderId="0" xfId="0" applyFont="1" applyAlignment="1">
      <alignment horizontal="justify" vertical="justify"/>
    </xf>
    <xf numFmtId="0" fontId="3" fillId="0" borderId="0" xfId="0" applyFont="1" applyAlignment="1">
      <alignment horizontal="justify" vertical="justify" wrapText="1"/>
    </xf>
    <xf numFmtId="0" fontId="0" fillId="0" borderId="0" xfId="0" applyAlignment="1">
      <alignment horizontal="justify" vertical="justify" wrapText="1"/>
    </xf>
    <xf numFmtId="0" fontId="0" fillId="0" borderId="0" xfId="0" applyAlignment="1">
      <alignment horizontal="center" vertical="justify"/>
    </xf>
    <xf numFmtId="0" fontId="2" fillId="2" borderId="11" xfId="0" applyFont="1" applyFill="1" applyBorder="1" applyAlignment="1">
      <alignment horizontal="center" vertical="justify"/>
    </xf>
    <xf numFmtId="3" fontId="0" fillId="0" borderId="0" xfId="0" applyNumberFormat="1" applyAlignment="1">
      <alignment horizontal="justify" vertical="justify"/>
    </xf>
    <xf numFmtId="3" fontId="5" fillId="0" borderId="12" xfId="0" applyNumberFormat="1" applyFont="1" applyBorder="1" applyAlignment="1">
      <alignment horizontal="justify" vertical="justify"/>
    </xf>
    <xf numFmtId="15" fontId="3" fillId="0" borderId="8" xfId="0" applyNumberFormat="1" applyFont="1" applyBorder="1" applyAlignment="1">
      <alignment horizontal="center" vertical="top"/>
    </xf>
    <xf numFmtId="3" fontId="5" fillId="0" borderId="13" xfId="0" applyNumberFormat="1" applyFont="1" applyBorder="1" applyAlignment="1">
      <alignment horizontal="center" vertical="justify"/>
    </xf>
    <xf numFmtId="3" fontId="5" fillId="0" borderId="0" xfId="0" applyNumberFormat="1" applyFont="1" applyBorder="1" applyAlignment="1">
      <alignment horizontal="center" vertical="justify"/>
    </xf>
    <xf numFmtId="3" fontId="0" fillId="0" borderId="0" xfId="0" applyNumberFormat="1" applyAlignment="1">
      <alignment horizontal="center" vertical="justify"/>
    </xf>
    <xf numFmtId="3" fontId="0" fillId="0" borderId="1" xfId="0" applyNumberFormat="1" applyBorder="1" applyAlignment="1">
      <alignment horizontal="justify" vertical="justify"/>
    </xf>
    <xf numFmtId="0" fontId="0" fillId="0" borderId="0" xfId="0" applyBorder="1"/>
    <xf numFmtId="3" fontId="7" fillId="0" borderId="0" xfId="0" applyNumberFormat="1" applyFont="1" applyBorder="1" applyAlignment="1">
      <alignment horizontal="justify" vertical="justify"/>
    </xf>
    <xf numFmtId="3" fontId="2" fillId="0" borderId="0" xfId="0" applyNumberFormat="1" applyFont="1" applyBorder="1" applyAlignment="1">
      <alignment horizontal="justify" vertical="justify"/>
    </xf>
    <xf numFmtId="4" fontId="7" fillId="0" borderId="0" xfId="0" applyNumberFormat="1" applyFont="1" applyBorder="1" applyAlignment="1">
      <alignment horizontal="justify" vertical="justify"/>
    </xf>
    <xf numFmtId="4" fontId="2" fillId="0" borderId="0" xfId="0" applyNumberFormat="1" applyFont="1" applyAlignment="1">
      <alignment horizontal="justify" vertical="justify"/>
    </xf>
    <xf numFmtId="0" fontId="1" fillId="0" borderId="0" xfId="0" applyFont="1" applyBorder="1"/>
    <xf numFmtId="0" fontId="1" fillId="0" borderId="0" xfId="0" applyFont="1" applyAlignment="1">
      <alignment horizontal="justify" vertical="justify"/>
    </xf>
    <xf numFmtId="170" fontId="10" fillId="3" borderId="14" xfId="0" applyNumberFormat="1" applyFont="1" applyFill="1" applyBorder="1" applyAlignment="1">
      <alignment horizontal="center" vertical="justify"/>
    </xf>
    <xf numFmtId="170" fontId="10" fillId="0" borderId="0" xfId="0" applyNumberFormat="1" applyFont="1" applyAlignment="1">
      <alignment horizontal="justify" vertical="justify"/>
    </xf>
    <xf numFmtId="0" fontId="7" fillId="4" borderId="15" xfId="0" applyFont="1" applyFill="1" applyBorder="1" applyAlignment="1">
      <alignment horizontal="center" vertical="justify"/>
    </xf>
    <xf numFmtId="0" fontId="7" fillId="4" borderId="16" xfId="0" applyFont="1" applyFill="1" applyBorder="1" applyAlignment="1">
      <alignment horizontal="center" vertical="justify"/>
    </xf>
    <xf numFmtId="0" fontId="7" fillId="3" borderId="15" xfId="0" applyFont="1" applyFill="1" applyBorder="1" applyAlignment="1">
      <alignment horizontal="center" vertical="justify"/>
    </xf>
    <xf numFmtId="0" fontId="7" fillId="3" borderId="16" xfId="0" applyFont="1" applyFill="1" applyBorder="1" applyAlignment="1">
      <alignment horizontal="center" vertical="justify"/>
    </xf>
    <xf numFmtId="0" fontId="7" fillId="3" borderId="17" xfId="0" applyFont="1" applyFill="1" applyBorder="1" applyAlignment="1">
      <alignment horizontal="center" vertical="justify"/>
    </xf>
    <xf numFmtId="0" fontId="7" fillId="3" borderId="18" xfId="0" applyFont="1" applyFill="1" applyBorder="1" applyAlignment="1">
      <alignment horizontal="center" vertical="justify"/>
    </xf>
    <xf numFmtId="0" fontId="7" fillId="2" borderId="19" xfId="0" applyFont="1" applyFill="1" applyBorder="1" applyAlignment="1">
      <alignment horizontal="center" vertical="justify"/>
    </xf>
    <xf numFmtId="0" fontId="7" fillId="2" borderId="19" xfId="0" applyFont="1" applyFill="1" applyBorder="1" applyAlignment="1">
      <alignment horizontal="center" vertical="justify" wrapText="1"/>
    </xf>
    <xf numFmtId="0" fontId="7" fillId="2" borderId="20" xfId="0" applyFont="1" applyFill="1" applyBorder="1" applyAlignment="1">
      <alignment horizontal="center" vertical="justify" wrapText="1"/>
    </xf>
    <xf numFmtId="0" fontId="7" fillId="2" borderId="21" xfId="0" applyFont="1" applyFill="1" applyBorder="1" applyAlignment="1">
      <alignment horizontal="center" vertical="justify" wrapText="1"/>
    </xf>
    <xf numFmtId="0" fontId="7" fillId="2" borderId="22" xfId="0" applyFont="1" applyFill="1" applyBorder="1" applyAlignment="1">
      <alignment horizontal="center" vertical="justify" wrapText="1"/>
    </xf>
    <xf numFmtId="0" fontId="7" fillId="2" borderId="23" xfId="0" applyFont="1" applyFill="1" applyBorder="1" applyAlignment="1">
      <alignment horizontal="center" vertical="justify" wrapText="1"/>
    </xf>
    <xf numFmtId="3" fontId="11" fillId="0" borderId="0" xfId="0" applyNumberFormat="1" applyFont="1" applyAlignment="1">
      <alignment horizontal="center" vertical="justify"/>
    </xf>
    <xf numFmtId="0" fontId="11" fillId="0" borderId="0" xfId="0" applyFont="1" applyAlignment="1">
      <alignment horizontal="center" vertical="justify"/>
    </xf>
    <xf numFmtId="0" fontId="11" fillId="0" borderId="0" xfId="0" applyFont="1" applyBorder="1" applyAlignment="1">
      <alignment horizontal="justify" vertical="justify"/>
    </xf>
    <xf numFmtId="0" fontId="7" fillId="5" borderId="24" xfId="0" applyFont="1" applyFill="1" applyBorder="1" applyAlignment="1">
      <alignment horizontal="center" vertical="justify"/>
    </xf>
    <xf numFmtId="15" fontId="3" fillId="0" borderId="25" xfId="0" applyNumberFormat="1" applyFont="1" applyBorder="1" applyAlignment="1">
      <alignment horizontal="justify" vertical="top"/>
    </xf>
    <xf numFmtId="15" fontId="3" fillId="0" borderId="26" xfId="0" applyNumberFormat="1" applyFont="1" applyBorder="1" applyAlignment="1">
      <alignment horizontal="center" vertical="top"/>
    </xf>
    <xf numFmtId="1" fontId="7" fillId="5" borderId="24" xfId="0" applyNumberFormat="1" applyFont="1" applyFill="1" applyBorder="1" applyAlignment="1">
      <alignment horizontal="center" vertical="justify"/>
    </xf>
    <xf numFmtId="1" fontId="5" fillId="0" borderId="12" xfId="0" applyNumberFormat="1" applyFont="1" applyBorder="1" applyAlignment="1">
      <alignment horizontal="justify" vertical="justify"/>
    </xf>
    <xf numFmtId="1" fontId="5" fillId="0" borderId="0" xfId="0" applyNumberFormat="1" applyFont="1" applyBorder="1" applyAlignment="1">
      <alignment horizontal="justify" vertical="justify"/>
    </xf>
    <xf numFmtId="1" fontId="0" fillId="0" borderId="0" xfId="0" applyNumberFormat="1" applyAlignment="1">
      <alignment horizontal="justify" vertical="justify"/>
    </xf>
    <xf numFmtId="1" fontId="5" fillId="5" borderId="24" xfId="0" applyNumberFormat="1" applyFont="1" applyFill="1" applyBorder="1" applyAlignment="1">
      <alignment horizontal="center" vertical="justify"/>
    </xf>
    <xf numFmtId="1" fontId="3" fillId="0" borderId="26" xfId="0" applyNumberFormat="1" applyFont="1" applyBorder="1" applyAlignment="1">
      <alignment horizontal="center" vertical="top"/>
    </xf>
    <xf numFmtId="1" fontId="3" fillId="0" borderId="8" xfId="0" applyNumberFormat="1" applyFont="1" applyBorder="1" applyAlignment="1">
      <alignment horizontal="center" vertical="top"/>
    </xf>
    <xf numFmtId="1" fontId="5" fillId="0" borderId="13" xfId="0" applyNumberFormat="1" applyFont="1" applyBorder="1" applyAlignment="1">
      <alignment horizontal="center" vertical="justify"/>
    </xf>
    <xf numFmtId="1" fontId="5" fillId="0" borderId="0" xfId="0" applyNumberFormat="1" applyFont="1" applyBorder="1" applyAlignment="1">
      <alignment horizontal="center" vertical="justify"/>
    </xf>
    <xf numFmtId="1" fontId="0" fillId="0" borderId="0" xfId="0" applyNumberFormat="1" applyAlignment="1">
      <alignment horizontal="center" vertical="justify"/>
    </xf>
    <xf numFmtId="15" fontId="3" fillId="0" borderId="4" xfId="0" applyNumberFormat="1" applyFont="1" applyBorder="1" applyAlignment="1">
      <alignment horizontal="justify" vertical="top"/>
    </xf>
    <xf numFmtId="15" fontId="3" fillId="0" borderId="4" xfId="0" applyNumberFormat="1" applyFont="1" applyBorder="1" applyAlignment="1">
      <alignment horizontal="center" vertical="top"/>
    </xf>
    <xf numFmtId="1" fontId="3" fillId="0" borderId="4" xfId="0" applyNumberFormat="1" applyFont="1" applyBorder="1" applyAlignment="1">
      <alignment horizontal="center" vertical="top"/>
    </xf>
    <xf numFmtId="15" fontId="3" fillId="0" borderId="3" xfId="0" applyNumberFormat="1" applyFont="1" applyBorder="1" applyAlignment="1">
      <alignment horizontal="justify" vertical="top"/>
    </xf>
    <xf numFmtId="3" fontId="14" fillId="0" borderId="27" xfId="0" applyNumberFormat="1" applyFont="1" applyBorder="1" applyAlignment="1">
      <alignment wrapText="1"/>
    </xf>
    <xf numFmtId="3" fontId="14" fillId="0" borderId="5" xfId="0" applyNumberFormat="1" applyFont="1" applyBorder="1" applyAlignment="1">
      <alignment wrapText="1"/>
    </xf>
    <xf numFmtId="166" fontId="3" fillId="0" borderId="27" xfId="0" applyNumberFormat="1" applyFont="1" applyBorder="1" applyAlignment="1">
      <alignment horizontal="right" vertical="top"/>
    </xf>
    <xf numFmtId="166" fontId="3" fillId="0" borderId="5" xfId="0" applyNumberFormat="1" applyFont="1" applyBorder="1" applyAlignment="1">
      <alignment horizontal="right" vertical="top"/>
    </xf>
    <xf numFmtId="166" fontId="3" fillId="0" borderId="6" xfId="0" applyNumberFormat="1" applyFont="1" applyBorder="1" applyAlignment="1">
      <alignment horizontal="right" vertical="top"/>
    </xf>
    <xf numFmtId="166" fontId="3" fillId="0" borderId="28" xfId="0" applyNumberFormat="1" applyFont="1" applyBorder="1" applyAlignment="1">
      <alignment horizontal="right" vertical="top"/>
    </xf>
    <xf numFmtId="166" fontId="15" fillId="0" borderId="0" xfId="0" applyNumberFormat="1" applyFont="1" applyBorder="1" applyAlignment="1">
      <alignment horizontal="right" vertical="top"/>
    </xf>
    <xf numFmtId="166" fontId="15" fillId="0" borderId="29" xfId="0" applyNumberFormat="1" applyFont="1" applyBorder="1" applyAlignment="1">
      <alignment horizontal="right" vertical="top"/>
    </xf>
    <xf numFmtId="1" fontId="3" fillId="0" borderId="3" xfId="0" applyNumberFormat="1" applyFont="1" applyBorder="1" applyAlignment="1">
      <alignment horizontal="right" vertical="top"/>
    </xf>
    <xf numFmtId="1" fontId="3" fillId="0" borderId="4" xfId="0" applyNumberFormat="1" applyFont="1" applyBorder="1" applyAlignment="1">
      <alignment horizontal="right" vertical="top"/>
    </xf>
    <xf numFmtId="0" fontId="11" fillId="0" borderId="9" xfId="0" applyFont="1" applyBorder="1" applyAlignment="1">
      <alignment vertical="top" wrapText="1"/>
    </xf>
    <xf numFmtId="0" fontId="13" fillId="0" borderId="9" xfId="0" applyFont="1" applyBorder="1" applyAlignment="1">
      <alignment vertical="top" wrapText="1"/>
    </xf>
    <xf numFmtId="0" fontId="11" fillId="0" borderId="4" xfId="0" applyFont="1" applyBorder="1" applyAlignment="1">
      <alignment vertical="top" wrapText="1"/>
    </xf>
    <xf numFmtId="1" fontId="3" fillId="0" borderId="8"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0" fillId="6" borderId="0" xfId="0" applyFill="1" applyAlignment="1">
      <alignment horizontal="justify" vertical="justify"/>
    </xf>
    <xf numFmtId="0" fontId="17" fillId="0" borderId="0" xfId="0" applyFont="1" applyAlignment="1">
      <alignment horizontal="justify" vertical="justify"/>
    </xf>
    <xf numFmtId="0" fontId="11" fillId="0" borderId="8" xfId="0" applyFont="1" applyBorder="1" applyAlignment="1">
      <alignment vertical="top" wrapText="1"/>
    </xf>
    <xf numFmtId="0" fontId="7" fillId="0" borderId="4" xfId="0" applyFont="1" applyBorder="1" applyAlignment="1">
      <alignment vertical="top" wrapText="1"/>
    </xf>
    <xf numFmtId="1" fontId="3" fillId="0" borderId="4" xfId="0" applyNumberFormat="1" applyFont="1" applyBorder="1" applyAlignment="1">
      <alignment horizontal="right" vertical="top" wrapText="1"/>
    </xf>
    <xf numFmtId="15" fontId="3" fillId="0" borderId="1" xfId="0" applyNumberFormat="1" applyFont="1" applyFill="1" applyBorder="1" applyAlignment="1">
      <alignment horizontal="justify" vertical="top"/>
    </xf>
    <xf numFmtId="4" fontId="0" fillId="0" borderId="0" xfId="0" applyNumberFormat="1" applyAlignment="1">
      <alignment horizontal="justify" vertical="justify"/>
    </xf>
    <xf numFmtId="0" fontId="7" fillId="0" borderId="9" xfId="0" applyFont="1" applyBorder="1" applyAlignment="1">
      <alignment vertical="top" wrapText="1"/>
    </xf>
    <xf numFmtId="0" fontId="14" fillId="0" borderId="5" xfId="0" applyFont="1" applyBorder="1" applyAlignment="1">
      <alignment horizontal="justify" vertical="justify"/>
    </xf>
    <xf numFmtId="3" fontId="14" fillId="0" borderId="5" xfId="0" applyNumberFormat="1" applyFont="1" applyBorder="1" applyAlignment="1">
      <alignment horizontal="justify" vertical="justify"/>
    </xf>
    <xf numFmtId="0" fontId="14" fillId="0" borderId="7" xfId="0" applyFont="1" applyBorder="1" applyAlignment="1">
      <alignment horizontal="justify" vertical="justify"/>
    </xf>
    <xf numFmtId="3" fontId="14" fillId="0" borderId="8" xfId="0" applyNumberFormat="1" applyFont="1" applyBorder="1" applyAlignment="1">
      <alignment horizontal="justify" vertical="justify"/>
    </xf>
    <xf numFmtId="0" fontId="14" fillId="0" borderId="1" xfId="0" applyFont="1" applyBorder="1" applyAlignment="1">
      <alignment horizontal="justify" vertical="justify"/>
    </xf>
    <xf numFmtId="3" fontId="14" fillId="0" borderId="9" xfId="0" applyNumberFormat="1" applyFont="1" applyBorder="1" applyAlignment="1">
      <alignment horizontal="justify" vertical="justify"/>
    </xf>
    <xf numFmtId="3" fontId="14" fillId="0" borderId="1" xfId="0" applyNumberFormat="1" applyFont="1" applyBorder="1" applyAlignment="1">
      <alignment horizontal="justify" vertical="justify"/>
    </xf>
    <xf numFmtId="3" fontId="14" fillId="0" borderId="0" xfId="0" applyNumberFormat="1" applyFont="1" applyAlignment="1">
      <alignment horizontal="justify" vertical="justify"/>
    </xf>
    <xf numFmtId="0" fontId="14" fillId="0" borderId="0" xfId="0" applyFont="1" applyAlignment="1">
      <alignment horizontal="justify" vertical="justify"/>
    </xf>
    <xf numFmtId="0" fontId="3" fillId="0" borderId="4" xfId="0" applyFont="1" applyBorder="1" applyAlignment="1">
      <alignment vertical="top" wrapText="1"/>
    </xf>
    <xf numFmtId="0" fontId="3" fillId="0" borderId="9" xfId="0" applyFont="1" applyFill="1" applyBorder="1" applyAlignment="1">
      <alignment horizontal="justify" vertical="top" wrapText="1"/>
    </xf>
    <xf numFmtId="1" fontId="3" fillId="0" borderId="8" xfId="0" applyNumberFormat="1" applyFont="1" applyBorder="1" applyAlignment="1">
      <alignment horizontal="justify" vertical="top"/>
    </xf>
    <xf numFmtId="3" fontId="3" fillId="0" borderId="30" xfId="0" applyNumberFormat="1" applyFont="1" applyBorder="1" applyAlignment="1">
      <alignment horizontal="justify" vertical="justify"/>
    </xf>
    <xf numFmtId="3" fontId="1" fillId="0" borderId="0" xfId="0" applyNumberFormat="1" applyFont="1" applyAlignment="1">
      <alignment horizontal="justify" vertical="justify"/>
    </xf>
    <xf numFmtId="3" fontId="14" fillId="0" borderId="5" xfId="0" applyNumberFormat="1" applyFont="1" applyFill="1" applyBorder="1" applyAlignment="1">
      <alignment wrapText="1"/>
    </xf>
    <xf numFmtId="166" fontId="3" fillId="0" borderId="5" xfId="0" applyNumberFormat="1" applyFont="1" applyFill="1" applyBorder="1" applyAlignment="1">
      <alignment horizontal="right" vertical="top"/>
    </xf>
    <xf numFmtId="166" fontId="3" fillId="0" borderId="28" xfId="0" applyNumberFormat="1" applyFont="1" applyFill="1" applyBorder="1" applyAlignment="1">
      <alignment horizontal="right" vertical="top"/>
    </xf>
    <xf numFmtId="166" fontId="15" fillId="0" borderId="29" xfId="0" applyNumberFormat="1" applyFont="1" applyFill="1" applyBorder="1" applyAlignment="1">
      <alignment horizontal="right" vertical="top"/>
    </xf>
    <xf numFmtId="15" fontId="3" fillId="0" borderId="4" xfId="0" applyNumberFormat="1" applyFont="1" applyFill="1" applyBorder="1" applyAlignment="1">
      <alignment horizontal="justify" vertical="top"/>
    </xf>
    <xf numFmtId="1" fontId="3" fillId="0" borderId="4" xfId="0" applyNumberFormat="1" applyFont="1" applyFill="1" applyBorder="1" applyAlignment="1">
      <alignment horizontal="right" vertical="top"/>
    </xf>
    <xf numFmtId="15" fontId="3" fillId="0" borderId="8" xfId="0" applyNumberFormat="1" applyFont="1" applyFill="1" applyBorder="1" applyAlignment="1">
      <alignment horizontal="center" vertical="top"/>
    </xf>
    <xf numFmtId="1" fontId="3" fillId="0" borderId="8" xfId="0" applyNumberFormat="1" applyFont="1" applyFill="1" applyBorder="1" applyAlignment="1">
      <alignment horizontal="center" vertical="top"/>
    </xf>
    <xf numFmtId="0" fontId="11" fillId="0" borderId="9" xfId="0" applyFont="1" applyFill="1" applyBorder="1" applyAlignment="1">
      <alignment vertical="top" wrapText="1"/>
    </xf>
    <xf numFmtId="3" fontId="3" fillId="0" borderId="2" xfId="0" applyNumberFormat="1" applyFont="1" applyFill="1" applyBorder="1" applyAlignment="1">
      <alignment horizontal="justify" vertical="justify"/>
    </xf>
    <xf numFmtId="3" fontId="3" fillId="0" borderId="3" xfId="0" applyNumberFormat="1" applyFont="1" applyFill="1" applyBorder="1" applyAlignment="1">
      <alignment horizontal="justify" vertical="justify"/>
    </xf>
    <xf numFmtId="3" fontId="3" fillId="0" borderId="4" xfId="0" applyNumberFormat="1" applyFont="1" applyFill="1" applyBorder="1" applyAlignment="1">
      <alignment horizontal="justify" vertical="justify"/>
    </xf>
    <xf numFmtId="0" fontId="0" fillId="0" borderId="5" xfId="0" applyFill="1" applyBorder="1" applyAlignment="1">
      <alignment horizontal="justify" vertical="justify"/>
    </xf>
    <xf numFmtId="3" fontId="0" fillId="0" borderId="5" xfId="0" applyNumberFormat="1" applyFill="1" applyBorder="1" applyAlignment="1">
      <alignment horizontal="justify" vertical="justify"/>
    </xf>
    <xf numFmtId="0" fontId="0" fillId="0" borderId="7" xfId="0" applyFill="1" applyBorder="1" applyAlignment="1">
      <alignment horizontal="justify" vertical="justify"/>
    </xf>
    <xf numFmtId="3" fontId="0" fillId="0" borderId="8" xfId="0" applyNumberFormat="1" applyFill="1" applyBorder="1" applyAlignment="1">
      <alignment horizontal="justify" vertical="justify"/>
    </xf>
    <xf numFmtId="0" fontId="0" fillId="0" borderId="1" xfId="0" applyFill="1" applyBorder="1" applyAlignment="1">
      <alignment horizontal="justify" vertical="justify"/>
    </xf>
    <xf numFmtId="3" fontId="0" fillId="0" borderId="9" xfId="0" applyNumberFormat="1" applyFill="1" applyBorder="1" applyAlignment="1">
      <alignment horizontal="justify" vertical="justify"/>
    </xf>
    <xf numFmtId="3" fontId="0" fillId="0" borderId="1" xfId="0" applyNumberFormat="1" applyFill="1" applyBorder="1" applyAlignment="1">
      <alignment horizontal="justify" vertical="justify"/>
    </xf>
    <xf numFmtId="3" fontId="0" fillId="0" borderId="0" xfId="0" applyNumberFormat="1" applyFill="1" applyAlignment="1">
      <alignment horizontal="justify" vertical="justify"/>
    </xf>
    <xf numFmtId="0" fontId="0" fillId="0" borderId="0" xfId="0" applyFill="1" applyAlignment="1">
      <alignment horizontal="justify" vertical="justify"/>
    </xf>
    <xf numFmtId="167" fontId="3" fillId="0" borderId="6" xfId="0" applyNumberFormat="1" applyFont="1" applyFill="1" applyBorder="1" applyAlignment="1">
      <alignment horizontal="justify" vertical="justify"/>
    </xf>
    <xf numFmtId="1" fontId="3" fillId="0" borderId="8" xfId="0" applyNumberFormat="1" applyFont="1" applyFill="1" applyBorder="1" applyAlignment="1">
      <alignment horizontal="center" vertical="top" wrapText="1"/>
    </xf>
    <xf numFmtId="0" fontId="20" fillId="0" borderId="0" xfId="0" applyFont="1" applyAlignment="1">
      <alignment horizontal="justify" vertical="justify"/>
    </xf>
    <xf numFmtId="1" fontId="3" fillId="0" borderId="4" xfId="0" applyNumberFormat="1" applyFont="1" applyFill="1" applyBorder="1" applyAlignment="1">
      <alignment horizontal="center" vertical="top" wrapText="1"/>
    </xf>
    <xf numFmtId="1" fontId="3" fillId="0" borderId="4" xfId="0" applyNumberFormat="1" applyFont="1" applyFill="1" applyBorder="1" applyAlignment="1">
      <alignment horizontal="center" vertical="top"/>
    </xf>
    <xf numFmtId="3" fontId="12" fillId="0" borderId="5" xfId="0" applyNumberFormat="1" applyFont="1" applyBorder="1" applyAlignment="1">
      <alignment wrapText="1"/>
    </xf>
    <xf numFmtId="43" fontId="0" fillId="0" borderId="0" xfId="1" applyFont="1" applyAlignment="1">
      <alignment horizontal="justify" vertical="justify"/>
    </xf>
    <xf numFmtId="15" fontId="3" fillId="0" borderId="1" xfId="0" applyNumberFormat="1" applyFont="1" applyBorder="1" applyAlignment="1">
      <alignment horizontal="justify" vertical="top" wrapText="1"/>
    </xf>
    <xf numFmtId="166" fontId="3" fillId="0" borderId="5" xfId="0" applyNumberFormat="1" applyFont="1" applyBorder="1" applyAlignment="1">
      <alignment horizontal="right" vertical="top" wrapText="1"/>
    </xf>
    <xf numFmtId="166" fontId="3" fillId="0" borderId="28" xfId="0" applyNumberFormat="1" applyFont="1" applyBorder="1" applyAlignment="1">
      <alignment horizontal="right" vertical="top" wrapText="1"/>
    </xf>
    <xf numFmtId="166" fontId="15" fillId="0" borderId="29" xfId="0" applyNumberFormat="1" applyFont="1" applyBorder="1" applyAlignment="1">
      <alignment horizontal="right" vertical="top" wrapText="1"/>
    </xf>
    <xf numFmtId="3" fontId="3" fillId="0" borderId="2" xfId="0" applyNumberFormat="1" applyFont="1" applyBorder="1" applyAlignment="1">
      <alignment horizontal="justify" vertical="justify" wrapText="1"/>
    </xf>
    <xf numFmtId="3" fontId="3" fillId="0" borderId="3" xfId="0" applyNumberFormat="1" applyFont="1" applyBorder="1" applyAlignment="1">
      <alignment horizontal="justify" vertical="justify" wrapText="1"/>
    </xf>
    <xf numFmtId="3" fontId="3" fillId="0" borderId="4" xfId="0" applyNumberFormat="1" applyFont="1" applyBorder="1" applyAlignment="1">
      <alignment horizontal="justify" vertical="justify" wrapText="1"/>
    </xf>
    <xf numFmtId="0" fontId="0" fillId="0" borderId="5" xfId="0" applyBorder="1" applyAlignment="1">
      <alignment horizontal="justify" vertical="justify" wrapText="1"/>
    </xf>
    <xf numFmtId="3" fontId="0" fillId="0" borderId="5" xfId="0" applyNumberFormat="1" applyBorder="1" applyAlignment="1">
      <alignment horizontal="justify" vertical="justify" wrapText="1"/>
    </xf>
    <xf numFmtId="167" fontId="3" fillId="0" borderId="6" xfId="0" applyNumberFormat="1" applyFont="1" applyBorder="1" applyAlignment="1">
      <alignment horizontal="justify" vertical="justify" wrapText="1"/>
    </xf>
    <xf numFmtId="0" fontId="0" fillId="0" borderId="7" xfId="0" applyBorder="1" applyAlignment="1">
      <alignment horizontal="justify" vertical="justify" wrapText="1"/>
    </xf>
    <xf numFmtId="3" fontId="0" fillId="0" borderId="8" xfId="0" applyNumberFormat="1" applyBorder="1" applyAlignment="1">
      <alignment horizontal="justify" vertical="justify" wrapText="1"/>
    </xf>
    <xf numFmtId="0" fontId="0" fillId="0" borderId="1" xfId="0" applyBorder="1" applyAlignment="1">
      <alignment horizontal="justify" vertical="justify" wrapText="1"/>
    </xf>
    <xf numFmtId="3" fontId="0" fillId="0" borderId="9" xfId="0" applyNumberFormat="1" applyBorder="1" applyAlignment="1">
      <alignment horizontal="justify" vertical="justify" wrapText="1"/>
    </xf>
    <xf numFmtId="3" fontId="0" fillId="0" borderId="1" xfId="0" applyNumberFormat="1" applyBorder="1" applyAlignment="1">
      <alignment horizontal="justify" vertical="justify" wrapText="1"/>
    </xf>
    <xf numFmtId="3" fontId="0" fillId="0" borderId="0" xfId="0" applyNumberFormat="1" applyAlignment="1">
      <alignment horizontal="justify" vertical="justify" wrapText="1"/>
    </xf>
    <xf numFmtId="3" fontId="14" fillId="0" borderId="5" xfId="0" applyNumberFormat="1" applyFont="1" applyBorder="1" applyAlignment="1">
      <alignment vertical="top"/>
    </xf>
    <xf numFmtId="3" fontId="3" fillId="0" borderId="2" xfId="0" applyNumberFormat="1" applyFont="1" applyBorder="1" applyAlignment="1">
      <alignment horizontal="justify" vertical="top"/>
    </xf>
    <xf numFmtId="3" fontId="3" fillId="0" borderId="3" xfId="0" applyNumberFormat="1" applyFont="1" applyBorder="1" applyAlignment="1">
      <alignment horizontal="justify" vertical="top"/>
    </xf>
    <xf numFmtId="3" fontId="3" fillId="0" borderId="4" xfId="0" applyNumberFormat="1" applyFont="1" applyBorder="1" applyAlignment="1">
      <alignment horizontal="justify" vertical="top"/>
    </xf>
    <xf numFmtId="0" fontId="0" fillId="0" borderId="5" xfId="0" applyBorder="1" applyAlignment="1">
      <alignment horizontal="justify" vertical="top"/>
    </xf>
    <xf numFmtId="3" fontId="0" fillId="0" borderId="5" xfId="0" applyNumberFormat="1" applyBorder="1" applyAlignment="1">
      <alignment horizontal="justify" vertical="top"/>
    </xf>
    <xf numFmtId="167" fontId="3" fillId="0" borderId="6" xfId="0" applyNumberFormat="1" applyFont="1" applyBorder="1" applyAlignment="1">
      <alignment horizontal="justify" vertical="top"/>
    </xf>
    <xf numFmtId="0" fontId="0" fillId="0" borderId="7" xfId="0" applyBorder="1" applyAlignment="1">
      <alignment horizontal="justify" vertical="top"/>
    </xf>
    <xf numFmtId="3" fontId="0" fillId="0" borderId="8" xfId="0" applyNumberFormat="1" applyBorder="1" applyAlignment="1">
      <alignment horizontal="justify" vertical="top"/>
    </xf>
    <xf numFmtId="0" fontId="0" fillId="0" borderId="1" xfId="0" applyBorder="1" applyAlignment="1">
      <alignment horizontal="justify" vertical="top"/>
    </xf>
    <xf numFmtId="3" fontId="0" fillId="0" borderId="9" xfId="0" applyNumberFormat="1" applyBorder="1" applyAlignment="1">
      <alignment horizontal="justify" vertical="top"/>
    </xf>
    <xf numFmtId="3" fontId="0" fillId="0" borderId="1" xfId="0" applyNumberFormat="1" applyBorder="1" applyAlignment="1">
      <alignment horizontal="justify" vertical="top"/>
    </xf>
    <xf numFmtId="3" fontId="0" fillId="0" borderId="0" xfId="0" applyNumberFormat="1" applyAlignment="1">
      <alignment horizontal="justify" vertical="top"/>
    </xf>
    <xf numFmtId="0" fontId="0" fillId="0" borderId="0" xfId="0" applyAlignment="1">
      <alignment horizontal="justify" vertical="top"/>
    </xf>
    <xf numFmtId="0" fontId="11" fillId="0" borderId="9" xfId="0" applyFont="1" applyBorder="1" applyAlignment="1">
      <alignment horizontal="justify" vertical="top" wrapText="1"/>
    </xf>
    <xf numFmtId="0" fontId="11" fillId="0" borderId="9" xfId="0" applyFont="1" applyBorder="1" applyAlignment="1">
      <alignment horizontal="justify" vertical="top"/>
    </xf>
    <xf numFmtId="0" fontId="11" fillId="0" borderId="0" xfId="0" applyFont="1" applyAlignment="1">
      <alignment horizontal="justify" vertical="top" wrapText="1"/>
    </xf>
    <xf numFmtId="3" fontId="3" fillId="0" borderId="30" xfId="0" applyNumberFormat="1" applyFont="1" applyBorder="1" applyAlignment="1">
      <alignment horizontal="justify" vertical="top"/>
    </xf>
    <xf numFmtId="15" fontId="3" fillId="0" borderId="8" xfId="0" applyNumberFormat="1" applyFont="1" applyBorder="1" applyAlignment="1">
      <alignment horizontal="justify" vertical="top"/>
    </xf>
    <xf numFmtId="0" fontId="7" fillId="0" borderId="9" xfId="0" applyFont="1" applyBorder="1" applyAlignment="1">
      <alignment horizontal="justify" vertical="top"/>
    </xf>
    <xf numFmtId="3" fontId="12" fillId="0" borderId="0" xfId="0" applyNumberFormat="1" applyFont="1" applyAlignment="1">
      <alignment horizontal="justify" vertical="top"/>
    </xf>
    <xf numFmtId="0" fontId="7" fillId="5" borderId="20" xfId="0" applyFont="1" applyFill="1" applyBorder="1" applyAlignment="1">
      <alignment horizontal="center" vertical="top" wrapText="1"/>
    </xf>
    <xf numFmtId="0" fontId="12" fillId="0" borderId="0" xfId="0" applyFont="1" applyAlignment="1">
      <alignment horizontal="justify" vertical="justify"/>
    </xf>
    <xf numFmtId="0" fontId="11" fillId="0" borderId="9" xfId="0" applyFont="1" applyBorder="1" applyAlignment="1">
      <alignment horizontal="justify"/>
    </xf>
    <xf numFmtId="3" fontId="12" fillId="0" borderId="5" xfId="0" applyNumberFormat="1" applyFont="1" applyBorder="1" applyAlignment="1">
      <alignment vertical="top"/>
    </xf>
    <xf numFmtId="15" fontId="5" fillId="0" borderId="8" xfId="0" applyNumberFormat="1" applyFont="1" applyBorder="1" applyAlignment="1">
      <alignment horizontal="justify" vertical="top"/>
    </xf>
    <xf numFmtId="15" fontId="3" fillId="0" borderId="8" xfId="0" applyNumberFormat="1" applyFont="1" applyBorder="1" applyAlignment="1">
      <alignment horizontal="justify" vertical="top" wrapText="1"/>
    </xf>
    <xf numFmtId="3" fontId="3" fillId="0" borderId="8" xfId="0" applyNumberFormat="1" applyFont="1" applyBorder="1" applyAlignment="1">
      <alignment horizontal="justify" vertical="top"/>
    </xf>
    <xf numFmtId="15" fontId="3" fillId="0" borderId="9" xfId="0" applyNumberFormat="1" applyFont="1" applyBorder="1" applyAlignment="1">
      <alignment horizontal="justify" vertical="top"/>
    </xf>
    <xf numFmtId="15" fontId="5" fillId="0" borderId="9" xfId="0" applyNumberFormat="1" applyFont="1" applyBorder="1" applyAlignment="1">
      <alignment horizontal="justify" vertical="top"/>
    </xf>
    <xf numFmtId="0" fontId="12" fillId="0" borderId="0" xfId="0" applyFont="1" applyAlignment="1">
      <alignment horizontal="justify" vertical="top"/>
    </xf>
    <xf numFmtId="0" fontId="12" fillId="0" borderId="5" xfId="0" applyFont="1" applyBorder="1" applyAlignment="1">
      <alignment horizontal="justify" vertical="top"/>
    </xf>
    <xf numFmtId="3" fontId="12" fillId="0" borderId="5" xfId="0" applyNumberFormat="1" applyFont="1" applyBorder="1" applyAlignment="1">
      <alignment horizontal="justify" vertical="top"/>
    </xf>
    <xf numFmtId="0" fontId="12" fillId="0" borderId="7" xfId="0" applyFont="1" applyBorder="1" applyAlignment="1">
      <alignment horizontal="justify" vertical="top"/>
    </xf>
    <xf numFmtId="3" fontId="12" fillId="0" borderId="8" xfId="0" applyNumberFormat="1" applyFont="1" applyBorder="1" applyAlignment="1">
      <alignment horizontal="justify" vertical="top"/>
    </xf>
    <xf numFmtId="0" fontId="12" fillId="0" borderId="1" xfId="0" applyFont="1" applyBorder="1" applyAlignment="1">
      <alignment horizontal="justify" vertical="top"/>
    </xf>
    <xf numFmtId="3" fontId="12" fillId="0" borderId="9" xfId="0" applyNumberFormat="1" applyFont="1" applyBorder="1" applyAlignment="1">
      <alignment horizontal="justify" vertical="top"/>
    </xf>
    <xf numFmtId="3" fontId="12" fillId="0" borderId="1" xfId="0" applyNumberFormat="1" applyFont="1" applyBorder="1" applyAlignment="1">
      <alignment horizontal="justify" vertical="top"/>
    </xf>
    <xf numFmtId="1" fontId="12" fillId="0" borderId="0" xfId="0" applyNumberFormat="1" applyFont="1" applyAlignment="1">
      <alignment horizontal="center" vertical="justify"/>
    </xf>
    <xf numFmtId="0" fontId="11" fillId="0" borderId="8" xfId="0" applyFont="1" applyBorder="1" applyAlignment="1">
      <alignment horizontal="justify" vertical="top"/>
    </xf>
    <xf numFmtId="0" fontId="21" fillId="0" borderId="0" xfId="0" applyFont="1" applyAlignment="1">
      <alignment horizontal="justify" vertical="top"/>
    </xf>
    <xf numFmtId="0" fontId="0" fillId="7" borderId="4" xfId="0" applyFill="1" applyBorder="1" applyAlignment="1">
      <alignment horizontal="center"/>
    </xf>
    <xf numFmtId="0" fontId="7" fillId="7" borderId="4" xfId="0" applyFont="1" applyFill="1" applyBorder="1" applyAlignment="1">
      <alignment horizontal="center" vertical="justify" wrapText="1"/>
    </xf>
    <xf numFmtId="0" fontId="5" fillId="5" borderId="24" xfId="0" applyFont="1" applyFill="1" applyBorder="1" applyAlignment="1">
      <alignment horizontal="justify" vertical="top"/>
    </xf>
    <xf numFmtId="15" fontId="3" fillId="0" borderId="26" xfId="0" applyNumberFormat="1" applyFont="1" applyBorder="1" applyAlignment="1">
      <alignment horizontal="justify" vertical="top" wrapText="1"/>
    </xf>
    <xf numFmtId="15" fontId="3" fillId="0" borderId="4" xfId="0" applyNumberFormat="1" applyFont="1" applyBorder="1" applyAlignment="1">
      <alignment horizontal="justify" vertical="top" wrapText="1"/>
    </xf>
    <xf numFmtId="15" fontId="3" fillId="0" borderId="8" xfId="0" applyNumberFormat="1" applyFont="1" applyFill="1" applyBorder="1" applyAlignment="1">
      <alignment horizontal="justify" vertical="top" wrapText="1"/>
    </xf>
    <xf numFmtId="15" fontId="5" fillId="0" borderId="8" xfId="0" applyNumberFormat="1" applyFont="1" applyBorder="1" applyAlignment="1">
      <alignment horizontal="justify" vertical="top" wrapText="1"/>
    </xf>
    <xf numFmtId="15" fontId="7" fillId="0" borderId="8" xfId="0" applyNumberFormat="1" applyFont="1" applyBorder="1" applyAlignment="1">
      <alignment horizontal="justify" vertical="top" wrapText="1"/>
    </xf>
    <xf numFmtId="3" fontId="5" fillId="0" borderId="13" xfId="0" applyNumberFormat="1" applyFont="1" applyBorder="1" applyAlignment="1">
      <alignment horizontal="justify" vertical="top"/>
    </xf>
    <xf numFmtId="3" fontId="5" fillId="0" borderId="0" xfId="0" applyNumberFormat="1" applyFont="1" applyBorder="1" applyAlignment="1">
      <alignment horizontal="justify" vertical="top"/>
    </xf>
    <xf numFmtId="3" fontId="14" fillId="0" borderId="5" xfId="0" applyNumberFormat="1" applyFont="1" applyBorder="1" applyAlignment="1">
      <alignment horizontal="justify" vertical="top"/>
    </xf>
    <xf numFmtId="1" fontId="3" fillId="0" borderId="4" xfId="0" applyNumberFormat="1" applyFont="1" applyBorder="1" applyAlignment="1">
      <alignment horizontal="justify" vertical="top"/>
    </xf>
    <xf numFmtId="3" fontId="14" fillId="0" borderId="7" xfId="0" applyNumberFormat="1" applyFont="1" applyBorder="1" applyAlignment="1">
      <alignment vertical="top"/>
    </xf>
    <xf numFmtId="0" fontId="3" fillId="0" borderId="4" xfId="0" applyFont="1" applyBorder="1" applyAlignment="1">
      <alignment horizontal="justify" vertical="top"/>
    </xf>
    <xf numFmtId="0" fontId="3" fillId="0" borderId="28" xfId="0" applyFont="1" applyBorder="1" applyAlignment="1">
      <alignment vertical="top" wrapText="1"/>
    </xf>
    <xf numFmtId="0" fontId="3" fillId="0" borderId="28" xfId="0" applyFont="1" applyBorder="1" applyAlignment="1">
      <alignment horizontal="justify" vertical="top"/>
    </xf>
    <xf numFmtId="0" fontId="3" fillId="0" borderId="32" xfId="0" applyFont="1" applyBorder="1" applyAlignment="1">
      <alignment vertical="top" wrapText="1"/>
    </xf>
    <xf numFmtId="3" fontId="14" fillId="0" borderId="33" xfId="0" applyNumberFormat="1" applyFont="1" applyBorder="1" applyAlignment="1">
      <alignment wrapText="1"/>
    </xf>
    <xf numFmtId="3" fontId="14" fillId="0" borderId="7" xfId="0" applyNumberFormat="1" applyFont="1" applyBorder="1" applyAlignment="1">
      <alignment wrapText="1"/>
    </xf>
    <xf numFmtId="3" fontId="14" fillId="0" borderId="7" xfId="0" applyNumberFormat="1" applyFont="1" applyFill="1" applyBorder="1" applyAlignment="1">
      <alignment wrapText="1"/>
    </xf>
    <xf numFmtId="3" fontId="12" fillId="0" borderId="7" xfId="0" applyNumberFormat="1" applyFont="1" applyBorder="1" applyAlignment="1">
      <alignment wrapText="1"/>
    </xf>
    <xf numFmtId="3" fontId="12" fillId="0" borderId="7" xfId="0" applyNumberFormat="1" applyFont="1" applyBorder="1" applyAlignment="1">
      <alignment vertical="top"/>
    </xf>
    <xf numFmtId="3" fontId="14" fillId="0" borderId="7" xfId="0" applyNumberFormat="1" applyFont="1" applyBorder="1" applyAlignment="1">
      <alignment horizontal="justify" vertical="top"/>
    </xf>
    <xf numFmtId="164" fontId="7" fillId="8" borderId="34" xfId="0" applyNumberFormat="1" applyFont="1" applyFill="1" applyBorder="1" applyAlignment="1">
      <alignment horizontal="center" vertical="justify"/>
    </xf>
    <xf numFmtId="0" fontId="7" fillId="8" borderId="35" xfId="0" applyFont="1" applyFill="1" applyBorder="1" applyAlignment="1">
      <alignment horizontal="center" vertical="justify"/>
    </xf>
    <xf numFmtId="0" fontId="7" fillId="8" borderId="36" xfId="0" applyFont="1" applyFill="1" applyBorder="1" applyAlignment="1">
      <alignment horizontal="center" vertical="justify"/>
    </xf>
    <xf numFmtId="0" fontId="9" fillId="0" borderId="4" xfId="0" applyFont="1" applyBorder="1" applyAlignment="1">
      <alignment vertical="top" wrapText="1"/>
    </xf>
    <xf numFmtId="0" fontId="3" fillId="0" borderId="4" xfId="0" applyFont="1" applyFill="1" applyBorder="1" applyAlignment="1">
      <alignment horizontal="justify" vertical="top"/>
    </xf>
    <xf numFmtId="0" fontId="3" fillId="0" borderId="4" xfId="0" applyFont="1" applyFill="1" applyBorder="1" applyAlignment="1">
      <alignment vertical="top" wrapText="1"/>
    </xf>
    <xf numFmtId="0" fontId="3" fillId="0" borderId="4" xfId="0" applyFont="1" applyFill="1" applyBorder="1" applyAlignment="1">
      <alignment horizontal="justify" vertical="top" wrapText="1"/>
    </xf>
    <xf numFmtId="0" fontId="3" fillId="0" borderId="4" xfId="0" applyFont="1" applyBorder="1" applyAlignment="1">
      <alignment vertical="top"/>
    </xf>
    <xf numFmtId="14" fontId="3" fillId="0" borderId="4" xfId="0" applyNumberFormat="1" applyFont="1" applyBorder="1" applyAlignment="1">
      <alignment vertical="top" wrapText="1"/>
    </xf>
    <xf numFmtId="0" fontId="3" fillId="9" borderId="4" xfId="0" applyFont="1" applyFill="1" applyBorder="1" applyAlignment="1">
      <alignment vertical="top" wrapText="1"/>
    </xf>
    <xf numFmtId="14" fontId="3" fillId="0" borderId="4" xfId="0" applyNumberFormat="1" applyFont="1" applyBorder="1" applyAlignment="1">
      <alignment horizontal="justify" vertical="top"/>
    </xf>
    <xf numFmtId="15" fontId="3" fillId="0" borderId="37" xfId="0" applyNumberFormat="1" applyFont="1" applyBorder="1" applyAlignment="1">
      <alignment horizontal="justify" vertical="top"/>
    </xf>
    <xf numFmtId="0" fontId="3" fillId="0" borderId="38" xfId="0" applyFont="1" applyBorder="1" applyAlignment="1">
      <alignment vertical="top" wrapText="1"/>
    </xf>
    <xf numFmtId="15" fontId="3" fillId="0" borderId="39" xfId="0" applyNumberFormat="1" applyFont="1" applyBorder="1" applyAlignment="1">
      <alignment horizontal="justify" vertical="top"/>
    </xf>
    <xf numFmtId="15" fontId="3" fillId="0" borderId="39" xfId="0" applyNumberFormat="1" applyFont="1" applyFill="1" applyBorder="1" applyAlignment="1">
      <alignment horizontal="justify" vertical="top"/>
    </xf>
    <xf numFmtId="0" fontId="3" fillId="0" borderId="28" xfId="0" applyFont="1" applyFill="1" applyBorder="1" applyAlignment="1">
      <alignment horizontal="justify" vertical="top"/>
    </xf>
    <xf numFmtId="0" fontId="3" fillId="0" borderId="28" xfId="0" applyFont="1" applyFill="1" applyBorder="1" applyAlignment="1">
      <alignment vertical="top" wrapText="1"/>
    </xf>
    <xf numFmtId="171" fontId="3" fillId="0" borderId="39" xfId="0" applyNumberFormat="1" applyFont="1" applyFill="1" applyBorder="1" applyAlignment="1">
      <alignment horizontal="center" vertical="top"/>
    </xf>
    <xf numFmtId="0" fontId="3" fillId="0" borderId="28" xfId="0" applyFont="1" applyBorder="1" applyAlignment="1">
      <alignment vertical="top"/>
    </xf>
    <xf numFmtId="15" fontId="3" fillId="0" borderId="39" xfId="0" applyNumberFormat="1" applyFont="1" applyBorder="1" applyAlignment="1">
      <alignment horizontal="justify" vertical="top" wrapText="1"/>
    </xf>
    <xf numFmtId="15" fontId="3" fillId="9" borderId="39" xfId="0" applyNumberFormat="1" applyFont="1" applyFill="1" applyBorder="1" applyAlignment="1">
      <alignment horizontal="justify" vertical="top"/>
    </xf>
    <xf numFmtId="0" fontId="3" fillId="9" borderId="28" xfId="0" applyFont="1" applyFill="1" applyBorder="1" applyAlignment="1">
      <alignment vertical="top" wrapText="1"/>
    </xf>
    <xf numFmtId="3" fontId="14" fillId="0" borderId="5" xfId="0" applyNumberFormat="1" applyFont="1" applyBorder="1" applyAlignment="1">
      <alignment horizontal="right" vertical="top"/>
    </xf>
    <xf numFmtId="43" fontId="5" fillId="0" borderId="0" xfId="1" applyFont="1" applyBorder="1" applyAlignment="1">
      <alignment horizontal="center" vertical="justify"/>
    </xf>
    <xf numFmtId="0" fontId="11" fillId="0" borderId="4" xfId="0" applyFont="1" applyBorder="1" applyAlignment="1">
      <alignment horizontal="justify" vertical="top"/>
    </xf>
    <xf numFmtId="3" fontId="12" fillId="0" borderId="0" xfId="0" applyNumberFormat="1" applyFont="1" applyAlignment="1">
      <alignment horizontal="justify" vertical="justify"/>
    </xf>
    <xf numFmtId="3" fontId="14" fillId="0" borderId="40" xfId="0" applyNumberFormat="1" applyFont="1" applyBorder="1" applyAlignment="1">
      <alignment vertical="top"/>
    </xf>
    <xf numFmtId="15" fontId="3" fillId="0" borderId="2" xfId="0" applyNumberFormat="1" applyFont="1" applyBorder="1" applyAlignment="1">
      <alignment horizontal="justify" vertical="top"/>
    </xf>
    <xf numFmtId="166" fontId="3" fillId="0" borderId="8" xfId="0" applyNumberFormat="1" applyFont="1" applyBorder="1" applyAlignment="1">
      <alignment horizontal="right" vertical="top"/>
    </xf>
    <xf numFmtId="1" fontId="3" fillId="0" borderId="8" xfId="0" applyNumberFormat="1" applyFont="1" applyBorder="1" applyAlignment="1">
      <alignment horizontal="justify" vertical="top" wrapText="1"/>
    </xf>
    <xf numFmtId="3" fontId="5" fillId="0" borderId="41" xfId="0" applyNumberFormat="1" applyFont="1" applyBorder="1" applyAlignment="1">
      <alignment horizontal="justify" vertical="justify"/>
    </xf>
    <xf numFmtId="3" fontId="5" fillId="0" borderId="42" xfId="0" applyNumberFormat="1" applyFont="1" applyBorder="1" applyAlignment="1">
      <alignment horizontal="justify" vertical="justify"/>
    </xf>
    <xf numFmtId="3" fontId="5" fillId="0" borderId="43" xfId="0" applyNumberFormat="1" applyFont="1" applyBorder="1" applyAlignment="1">
      <alignment horizontal="justify" vertical="justify"/>
    </xf>
    <xf numFmtId="3" fontId="3" fillId="0" borderId="43" xfId="0" applyNumberFormat="1" applyFont="1" applyBorder="1" applyAlignment="1">
      <alignment horizontal="right" vertical="justify"/>
    </xf>
    <xf numFmtId="0" fontId="3" fillId="0" borderId="43" xfId="0" applyFont="1" applyBorder="1" applyAlignment="1">
      <alignment horizontal="justify" vertical="justify"/>
    </xf>
    <xf numFmtId="3" fontId="5" fillId="0" borderId="44" xfId="0" applyNumberFormat="1" applyFont="1" applyBorder="1" applyAlignment="1">
      <alignment horizontal="right" vertical="justify"/>
    </xf>
    <xf numFmtId="3" fontId="5" fillId="0" borderId="12" xfId="0" applyNumberFormat="1" applyFont="1" applyBorder="1" applyAlignment="1">
      <alignment horizontal="right" vertical="justify"/>
    </xf>
    <xf numFmtId="3" fontId="5" fillId="0" borderId="41" xfId="0" applyNumberFormat="1" applyFont="1" applyBorder="1" applyAlignment="1">
      <alignment horizontal="right" vertical="justify"/>
    </xf>
    <xf numFmtId="3" fontId="5" fillId="0" borderId="43" xfId="0" applyNumberFormat="1" applyFont="1" applyBorder="1" applyAlignment="1">
      <alignment horizontal="right" vertical="justify"/>
    </xf>
    <xf numFmtId="3" fontId="5" fillId="0" borderId="10" xfId="0" applyNumberFormat="1" applyFont="1" applyBorder="1" applyAlignment="1">
      <alignment horizontal="right" vertical="justify"/>
    </xf>
    <xf numFmtId="3" fontId="5" fillId="0" borderId="13" xfId="0" applyNumberFormat="1" applyFont="1" applyBorder="1" applyAlignment="1">
      <alignment horizontal="right" vertical="justify"/>
    </xf>
    <xf numFmtId="3" fontId="5" fillId="0" borderId="42" xfId="0" applyNumberFormat="1" applyFont="1" applyBorder="1" applyAlignment="1">
      <alignment horizontal="right" vertical="justify"/>
    </xf>
    <xf numFmtId="3" fontId="3" fillId="0" borderId="0" xfId="0" applyNumberFormat="1" applyFont="1" applyAlignment="1">
      <alignment horizontal="justify" vertical="justify"/>
    </xf>
    <xf numFmtId="0" fontId="3" fillId="0" borderId="0" xfId="0" applyFont="1" applyAlignment="1">
      <alignment horizontal="justify" vertical="justify"/>
    </xf>
    <xf numFmtId="3" fontId="22" fillId="0" borderId="42" xfId="0" applyNumberFormat="1" applyFont="1" applyBorder="1" applyAlignment="1">
      <alignment horizontal="justify" vertical="justify"/>
    </xf>
    <xf numFmtId="15" fontId="23" fillId="0" borderId="8" xfId="0" applyNumberFormat="1" applyFont="1" applyBorder="1" applyAlignment="1">
      <alignment horizontal="justify" vertical="top"/>
    </xf>
    <xf numFmtId="15" fontId="11" fillId="0" borderId="9" xfId="0" applyNumberFormat="1" applyFont="1" applyBorder="1" applyAlignment="1">
      <alignment vertical="top" wrapText="1"/>
    </xf>
    <xf numFmtId="0" fontId="0" fillId="0" borderId="9" xfId="0" applyBorder="1" applyAlignment="1">
      <alignment horizontal="justify" vertical="top"/>
    </xf>
    <xf numFmtId="3" fontId="12" fillId="9" borderId="7" xfId="0" applyNumberFormat="1" applyFont="1" applyFill="1" applyBorder="1" applyAlignment="1">
      <alignment vertical="top"/>
    </xf>
    <xf numFmtId="15" fontId="23" fillId="0" borderId="8" xfId="0" applyNumberFormat="1" applyFont="1" applyBorder="1" applyAlignment="1">
      <alignment horizontal="center" vertical="top"/>
    </xf>
    <xf numFmtId="3" fontId="12" fillId="9" borderId="7" xfId="0" applyNumberFormat="1" applyFont="1" applyFill="1" applyBorder="1" applyAlignment="1">
      <alignment wrapText="1"/>
    </xf>
    <xf numFmtId="15" fontId="7" fillId="0" borderId="9" xfId="0" applyNumberFormat="1" applyFont="1" applyBorder="1" applyAlignment="1">
      <alignment horizontal="justify" vertical="top"/>
    </xf>
    <xf numFmtId="0" fontId="3" fillId="9" borderId="4" xfId="0" applyFont="1" applyFill="1" applyBorder="1" applyAlignment="1">
      <alignment vertical="top"/>
    </xf>
    <xf numFmtId="0" fontId="3" fillId="9" borderId="28" xfId="0" applyFont="1" applyFill="1" applyBorder="1" applyAlignment="1">
      <alignment vertical="top"/>
    </xf>
    <xf numFmtId="0" fontId="3" fillId="9" borderId="4" xfId="0" applyFont="1" applyFill="1" applyBorder="1" applyAlignment="1">
      <alignment horizontal="justify" vertical="top"/>
    </xf>
    <xf numFmtId="0" fontId="3" fillId="9" borderId="28" xfId="0" applyFont="1" applyFill="1" applyBorder="1" applyAlignment="1">
      <alignment horizontal="justify" vertical="top"/>
    </xf>
    <xf numFmtId="15" fontId="5" fillId="0" borderId="4" xfId="0" applyNumberFormat="1" applyFont="1" applyBorder="1" applyAlignment="1">
      <alignment horizontal="justify" vertical="top"/>
    </xf>
    <xf numFmtId="15" fontId="3" fillId="0" borderId="4" xfId="0" applyNumberFormat="1" applyFont="1" applyFill="1" applyBorder="1" applyAlignment="1">
      <alignment horizontal="center" vertical="top"/>
    </xf>
    <xf numFmtId="15" fontId="3" fillId="0" borderId="4" xfId="0" applyNumberFormat="1" applyFont="1" applyFill="1" applyBorder="1" applyAlignment="1">
      <alignment horizontal="justify" vertical="top" wrapText="1"/>
    </xf>
    <xf numFmtId="0" fontId="13" fillId="0" borderId="4" xfId="0" applyFont="1" applyBorder="1" applyAlignment="1">
      <alignment vertical="top" wrapText="1"/>
    </xf>
    <xf numFmtId="0" fontId="7" fillId="0" borderId="31" xfId="0" applyFont="1" applyBorder="1" applyAlignment="1">
      <alignment vertical="top" wrapText="1"/>
    </xf>
    <xf numFmtId="0" fontId="11" fillId="0" borderId="4" xfId="0" applyFont="1" applyFill="1" applyBorder="1" applyAlignment="1">
      <alignment vertical="top" wrapText="1"/>
    </xf>
    <xf numFmtId="0" fontId="0" fillId="9" borderId="0" xfId="0" applyFill="1" applyAlignment="1">
      <alignment horizontal="justify" vertical="top"/>
    </xf>
    <xf numFmtId="3" fontId="14" fillId="0" borderId="4" xfId="0" applyNumberFormat="1" applyFont="1" applyBorder="1" applyAlignment="1">
      <alignment vertical="top"/>
    </xf>
    <xf numFmtId="166" fontId="3" fillId="0" borderId="4" xfId="0" applyNumberFormat="1" applyFont="1" applyBorder="1" applyAlignment="1">
      <alignment horizontal="right" vertical="top"/>
    </xf>
    <xf numFmtId="15" fontId="3" fillId="0" borderId="40" xfId="0" applyNumberFormat="1" applyFont="1" applyBorder="1" applyAlignment="1">
      <alignment horizontal="justify" vertical="top"/>
    </xf>
    <xf numFmtId="164" fontId="2" fillId="0" borderId="0" xfId="0" applyNumberFormat="1" applyFont="1" applyBorder="1" applyAlignment="1">
      <alignment horizontal="left" vertical="justify"/>
    </xf>
    <xf numFmtId="164" fontId="5" fillId="0" borderId="45" xfId="0" applyNumberFormat="1" applyFont="1" applyBorder="1" applyAlignment="1">
      <alignment horizontal="justify" vertical="justify"/>
    </xf>
    <xf numFmtId="0" fontId="0" fillId="0" borderId="46" xfId="0" applyBorder="1" applyAlignment="1">
      <alignment horizontal="center"/>
    </xf>
    <xf numFmtId="15" fontId="3" fillId="16" borderId="4" xfId="0" applyNumberFormat="1" applyFont="1" applyFill="1" applyBorder="1" applyAlignment="1">
      <alignment horizontal="justify" vertical="top"/>
    </xf>
    <xf numFmtId="1" fontId="3" fillId="16" borderId="4" xfId="0" applyNumberFormat="1" applyFont="1" applyFill="1" applyBorder="1" applyAlignment="1">
      <alignment horizontal="right" vertical="top"/>
    </xf>
    <xf numFmtId="15" fontId="3" fillId="16" borderId="8" xfId="0" applyNumberFormat="1" applyFont="1" applyFill="1" applyBorder="1" applyAlignment="1">
      <alignment horizontal="center" vertical="top"/>
    </xf>
    <xf numFmtId="1" fontId="3" fillId="16" borderId="8" xfId="0" applyNumberFormat="1" applyFont="1" applyFill="1" applyBorder="1" applyAlignment="1">
      <alignment horizontal="center" vertical="top"/>
    </xf>
    <xf numFmtId="15" fontId="3" fillId="17" borderId="39" xfId="0" applyNumberFormat="1" applyFont="1" applyFill="1" applyBorder="1" applyAlignment="1">
      <alignment horizontal="justify" vertical="top"/>
    </xf>
    <xf numFmtId="0" fontId="3" fillId="17" borderId="4" xfId="0" applyFont="1" applyFill="1" applyBorder="1" applyAlignment="1">
      <alignment horizontal="justify" vertical="top"/>
    </xf>
    <xf numFmtId="0" fontId="3" fillId="17" borderId="28" xfId="0" applyFont="1" applyFill="1" applyBorder="1" applyAlignment="1">
      <alignment horizontal="justify" vertical="top"/>
    </xf>
    <xf numFmtId="3" fontId="14" fillId="17" borderId="5" xfId="0" applyNumberFormat="1" applyFont="1" applyFill="1" applyBorder="1" applyAlignment="1">
      <alignment vertical="top"/>
    </xf>
    <xf numFmtId="15" fontId="3" fillId="17" borderId="1" xfId="0" applyNumberFormat="1" applyFont="1" applyFill="1" applyBorder="1" applyAlignment="1">
      <alignment horizontal="justify" vertical="top"/>
    </xf>
    <xf numFmtId="166" fontId="3" fillId="17" borderId="5" xfId="0" applyNumberFormat="1" applyFont="1" applyFill="1" applyBorder="1" applyAlignment="1">
      <alignment horizontal="right" vertical="top"/>
    </xf>
    <xf numFmtId="166" fontId="3" fillId="17" borderId="28" xfId="0" applyNumberFormat="1" applyFont="1" applyFill="1" applyBorder="1" applyAlignment="1">
      <alignment horizontal="right" vertical="top"/>
    </xf>
    <xf numFmtId="166" fontId="15" fillId="17" borderId="29" xfId="0" applyNumberFormat="1" applyFont="1" applyFill="1" applyBorder="1" applyAlignment="1">
      <alignment horizontal="right" vertical="top"/>
    </xf>
    <xf numFmtId="15" fontId="3" fillId="17" borderId="4" xfId="0" applyNumberFormat="1" applyFont="1" applyFill="1" applyBorder="1" applyAlignment="1">
      <alignment horizontal="justify" vertical="top"/>
    </xf>
    <xf numFmtId="1" fontId="3" fillId="17" borderId="4" xfId="0" applyNumberFormat="1" applyFont="1" applyFill="1" applyBorder="1" applyAlignment="1">
      <alignment horizontal="right" vertical="top"/>
    </xf>
    <xf numFmtId="15" fontId="3" fillId="17" borderId="8" xfId="0" applyNumberFormat="1" applyFont="1" applyFill="1" applyBorder="1" applyAlignment="1">
      <alignment horizontal="center" vertical="top"/>
    </xf>
    <xf numFmtId="1" fontId="3" fillId="17" borderId="8" xfId="0" applyNumberFormat="1" applyFont="1" applyFill="1" applyBorder="1" applyAlignment="1">
      <alignment horizontal="center" vertical="top"/>
    </xf>
    <xf numFmtId="15" fontId="3" fillId="17" borderId="8" xfId="0" applyNumberFormat="1" applyFont="1" applyFill="1" applyBorder="1" applyAlignment="1">
      <alignment horizontal="justify" vertical="top"/>
    </xf>
    <xf numFmtId="0" fontId="11" fillId="17" borderId="9" xfId="0" applyFont="1" applyFill="1" applyBorder="1" applyAlignment="1">
      <alignment horizontal="justify" vertical="top"/>
    </xf>
    <xf numFmtId="3" fontId="3" fillId="17" borderId="2" xfId="0" applyNumberFormat="1" applyFont="1" applyFill="1" applyBorder="1" applyAlignment="1">
      <alignment horizontal="justify" vertical="top"/>
    </xf>
    <xf numFmtId="3" fontId="3" fillId="17" borderId="3" xfId="0" applyNumberFormat="1" applyFont="1" applyFill="1" applyBorder="1" applyAlignment="1">
      <alignment horizontal="justify" vertical="top"/>
    </xf>
    <xf numFmtId="3" fontId="3" fillId="17" borderId="4" xfId="0" applyNumberFormat="1" applyFont="1" applyFill="1" applyBorder="1" applyAlignment="1">
      <alignment horizontal="justify" vertical="top"/>
    </xf>
    <xf numFmtId="0" fontId="0" fillId="17" borderId="5" xfId="0" applyFill="1" applyBorder="1" applyAlignment="1">
      <alignment horizontal="justify" vertical="top"/>
    </xf>
    <xf numFmtId="3" fontId="0" fillId="17" borderId="5" xfId="0" applyNumberFormat="1" applyFill="1" applyBorder="1" applyAlignment="1">
      <alignment horizontal="justify" vertical="top"/>
    </xf>
    <xf numFmtId="167" fontId="3" fillId="17" borderId="6" xfId="0" applyNumberFormat="1" applyFont="1" applyFill="1" applyBorder="1" applyAlignment="1">
      <alignment horizontal="justify" vertical="top"/>
    </xf>
    <xf numFmtId="0" fontId="0" fillId="17" borderId="7" xfId="0" applyFill="1" applyBorder="1" applyAlignment="1">
      <alignment horizontal="justify" vertical="top"/>
    </xf>
    <xf numFmtId="3" fontId="0" fillId="17" borderId="8" xfId="0" applyNumberFormat="1" applyFill="1" applyBorder="1" applyAlignment="1">
      <alignment horizontal="justify" vertical="top"/>
    </xf>
    <xf numFmtId="0" fontId="0" fillId="17" borderId="1" xfId="0" applyFill="1" applyBorder="1" applyAlignment="1">
      <alignment horizontal="justify" vertical="top"/>
    </xf>
    <xf numFmtId="3" fontId="0" fillId="17" borderId="9" xfId="0" applyNumberFormat="1" applyFill="1" applyBorder="1" applyAlignment="1">
      <alignment horizontal="justify" vertical="top"/>
    </xf>
    <xf numFmtId="3" fontId="0" fillId="17" borderId="1" xfId="0" applyNumberFormat="1" applyFill="1" applyBorder="1" applyAlignment="1">
      <alignment horizontal="justify" vertical="top"/>
    </xf>
    <xf numFmtId="1" fontId="3" fillId="17" borderId="4" xfId="0" applyNumberFormat="1" applyFont="1" applyFill="1" applyBorder="1" applyAlignment="1">
      <alignment horizontal="center" vertical="top"/>
    </xf>
    <xf numFmtId="3" fontId="0" fillId="17" borderId="0" xfId="0" applyNumberFormat="1" applyFill="1" applyAlignment="1">
      <alignment horizontal="justify" vertical="top"/>
    </xf>
    <xf numFmtId="0" fontId="0" fillId="17" borderId="0" xfId="0" applyFill="1" applyAlignment="1">
      <alignment horizontal="justify" vertical="top"/>
    </xf>
    <xf numFmtId="3" fontId="14" fillId="17" borderId="7" xfId="0" applyNumberFormat="1" applyFont="1" applyFill="1" applyBorder="1" applyAlignment="1">
      <alignment vertical="top"/>
    </xf>
    <xf numFmtId="0" fontId="7" fillId="0" borderId="4" xfId="0" applyFont="1" applyBorder="1" applyAlignment="1">
      <alignment horizontal="justify" vertical="top"/>
    </xf>
    <xf numFmtId="0" fontId="7" fillId="8" borderId="29" xfId="0" applyFont="1" applyFill="1" applyBorder="1" applyAlignment="1">
      <alignment horizontal="center" vertical="justify"/>
    </xf>
    <xf numFmtId="0" fontId="3" fillId="0" borderId="0" xfId="0" applyFont="1" applyBorder="1" applyAlignment="1">
      <alignment vertical="top" wrapText="1"/>
    </xf>
    <xf numFmtId="0" fontId="3" fillId="0" borderId="29" xfId="0" applyFont="1" applyBorder="1" applyAlignment="1">
      <alignment vertical="top" wrapText="1"/>
    </xf>
    <xf numFmtId="0" fontId="3" fillId="0" borderId="29" xfId="0" applyFont="1" applyFill="1" applyBorder="1" applyAlignment="1">
      <alignment horizontal="justify" vertical="top"/>
    </xf>
    <xf numFmtId="0" fontId="3" fillId="0" borderId="29" xfId="0" applyFont="1" applyFill="1" applyBorder="1" applyAlignment="1">
      <alignment vertical="top" wrapText="1"/>
    </xf>
    <xf numFmtId="0" fontId="3" fillId="0" borderId="29" xfId="0" applyFont="1" applyBorder="1" applyAlignment="1">
      <alignment horizontal="justify" vertical="top"/>
    </xf>
    <xf numFmtId="0" fontId="3" fillId="9" borderId="29" xfId="0" applyFont="1" applyFill="1" applyBorder="1" applyAlignment="1">
      <alignment vertical="top" wrapText="1"/>
    </xf>
    <xf numFmtId="0" fontId="3" fillId="0" borderId="29" xfId="0" applyFont="1" applyBorder="1" applyAlignment="1">
      <alignment vertical="top"/>
    </xf>
    <xf numFmtId="0" fontId="3" fillId="9" borderId="29" xfId="0" applyFont="1" applyFill="1" applyBorder="1" applyAlignment="1">
      <alignment vertical="top"/>
    </xf>
    <xf numFmtId="0" fontId="3" fillId="9" borderId="29" xfId="0" applyFont="1" applyFill="1" applyBorder="1" applyAlignment="1">
      <alignment horizontal="justify" vertical="top"/>
    </xf>
    <xf numFmtId="0" fontId="3" fillId="0" borderId="47" xfId="0" applyFont="1" applyBorder="1" applyAlignment="1">
      <alignment horizontal="justify" vertical="top"/>
    </xf>
    <xf numFmtId="0" fontId="3" fillId="17" borderId="29" xfId="0" applyFont="1" applyFill="1" applyBorder="1" applyAlignment="1">
      <alignment horizontal="justify" vertical="top"/>
    </xf>
    <xf numFmtId="0" fontId="7" fillId="8" borderId="29" xfId="2" applyFont="1" applyFill="1" applyBorder="1" applyAlignment="1">
      <alignment horizontal="center" vertical="justify"/>
    </xf>
    <xf numFmtId="0" fontId="24" fillId="0" borderId="0" xfId="2" applyFont="1" applyAlignment="1">
      <alignment horizontal="center" vertical="justify"/>
    </xf>
    <xf numFmtId="0" fontId="12" fillId="0" borderId="0" xfId="2" applyAlignment="1">
      <alignment horizontal="center" vertical="justify"/>
    </xf>
    <xf numFmtId="0" fontId="25" fillId="11" borderId="48" xfId="2" applyFont="1" applyFill="1" applyBorder="1" applyAlignment="1">
      <alignment horizontal="centerContinuous" vertical="justify"/>
    </xf>
    <xf numFmtId="0" fontId="26" fillId="11" borderId="49" xfId="2" applyFont="1" applyFill="1" applyBorder="1" applyAlignment="1">
      <alignment horizontal="centerContinuous" vertical="justify"/>
    </xf>
    <xf numFmtId="0" fontId="27" fillId="11" borderId="49" xfId="2" applyFont="1" applyFill="1" applyBorder="1" applyAlignment="1">
      <alignment horizontal="centerContinuous" vertical="justify"/>
    </xf>
    <xf numFmtId="0" fontId="27" fillId="11" borderId="50" xfId="2" applyFont="1" applyFill="1" applyBorder="1" applyAlignment="1">
      <alignment horizontal="centerContinuous" vertical="justify"/>
    </xf>
    <xf numFmtId="0" fontId="26" fillId="11" borderId="0" xfId="2" applyFont="1" applyFill="1" applyAlignment="1">
      <alignment horizontal="centerContinuous" vertical="justify"/>
    </xf>
    <xf numFmtId="0" fontId="25" fillId="12" borderId="0" xfId="2" applyFont="1" applyFill="1" applyAlignment="1">
      <alignment horizontal="center" vertical="justify"/>
    </xf>
    <xf numFmtId="0" fontId="11" fillId="0" borderId="0" xfId="2" applyFont="1" applyAlignment="1">
      <alignment horizontal="center" vertical="justify"/>
    </xf>
    <xf numFmtId="0" fontId="12" fillId="0" borderId="5" xfId="2" applyBorder="1" applyAlignment="1">
      <alignment horizontal="justify" vertical="justify"/>
    </xf>
    <xf numFmtId="0" fontId="12" fillId="0" borderId="0" xfId="2" applyAlignment="1">
      <alignment horizontal="justify" vertical="justify"/>
    </xf>
    <xf numFmtId="0" fontId="12" fillId="0" borderId="0" xfId="2"/>
    <xf numFmtId="0" fontId="12" fillId="0" borderId="0" xfId="2" applyFont="1"/>
    <xf numFmtId="0" fontId="12" fillId="0" borderId="27" xfId="2" applyBorder="1" applyAlignment="1">
      <alignment horizontal="justify" vertical="justify"/>
    </xf>
    <xf numFmtId="0" fontId="12" fillId="0" borderId="51" xfId="2" quotePrefix="1" applyBorder="1"/>
    <xf numFmtId="0" fontId="12" fillId="0" borderId="51" xfId="2" applyFont="1" applyBorder="1"/>
    <xf numFmtId="0" fontId="12" fillId="0" borderId="51" xfId="2" applyBorder="1" applyAlignment="1">
      <alignment horizontal="justify" vertical="justify"/>
    </xf>
    <xf numFmtId="0" fontId="12" fillId="0" borderId="0" xfId="2" applyFont="1" applyAlignment="1">
      <alignment horizontal="justify" vertical="justify"/>
    </xf>
    <xf numFmtId="0" fontId="12" fillId="0" borderId="0" xfId="2" applyNumberFormat="1" applyFont="1"/>
    <xf numFmtId="0" fontId="12" fillId="6" borderId="27" xfId="2" applyFill="1" applyBorder="1" applyAlignment="1">
      <alignment horizontal="justify" vertical="justify"/>
    </xf>
    <xf numFmtId="0" fontId="12" fillId="6" borderId="0" xfId="2" applyFill="1" applyAlignment="1">
      <alignment horizontal="justify" vertical="justify"/>
    </xf>
    <xf numFmtId="0" fontId="12" fillId="0" borderId="27" xfId="2" applyFill="1" applyBorder="1" applyAlignment="1">
      <alignment horizontal="justify" vertical="justify"/>
    </xf>
    <xf numFmtId="0" fontId="12" fillId="0" borderId="0" xfId="2" applyFill="1" applyAlignment="1">
      <alignment horizontal="justify" vertical="justify"/>
    </xf>
    <xf numFmtId="0" fontId="12" fillId="13" borderId="0" xfId="2" applyNumberFormat="1" applyFont="1" applyFill="1"/>
    <xf numFmtId="0" fontId="17" fillId="0" borderId="27" xfId="2" applyFont="1" applyBorder="1" applyAlignment="1">
      <alignment horizontal="justify" vertical="justify"/>
    </xf>
    <xf numFmtId="0" fontId="17" fillId="0" borderId="0" xfId="2" applyFont="1" applyAlignment="1">
      <alignment horizontal="justify" vertical="justify"/>
    </xf>
    <xf numFmtId="0" fontId="12" fillId="0" borderId="27" xfId="2" applyFont="1" applyBorder="1" applyAlignment="1">
      <alignment horizontal="justify" vertical="justify"/>
    </xf>
    <xf numFmtId="0" fontId="12" fillId="10" borderId="27" xfId="2" applyFill="1" applyBorder="1" applyAlignment="1">
      <alignment horizontal="justify" vertical="justify"/>
    </xf>
    <xf numFmtId="0" fontId="12" fillId="10" borderId="0" xfId="2" applyFill="1" applyAlignment="1">
      <alignment horizontal="justify" vertical="justify"/>
    </xf>
    <xf numFmtId="0" fontId="12" fillId="0" borderId="51" xfId="2" applyNumberFormat="1" applyFont="1" applyBorder="1"/>
    <xf numFmtId="0" fontId="12" fillId="0" borderId="51" xfId="2" applyBorder="1"/>
    <xf numFmtId="0" fontId="12" fillId="0" borderId="51" xfId="2" applyFont="1" applyBorder="1" applyAlignment="1">
      <alignment horizontal="justify" vertical="justify"/>
    </xf>
    <xf numFmtId="0" fontId="12" fillId="0" borderId="27" xfId="2" applyBorder="1" applyAlignment="1">
      <alignment horizontal="justify" vertical="justify" wrapText="1"/>
    </xf>
    <xf numFmtId="0" fontId="12" fillId="0" borderId="0" xfId="2" applyAlignment="1">
      <alignment horizontal="justify" vertical="justify" wrapText="1"/>
    </xf>
    <xf numFmtId="0" fontId="12" fillId="0" borderId="0" xfId="2" applyFont="1" applyAlignment="1">
      <alignment horizontal="justify" vertical="justify" wrapText="1"/>
    </xf>
    <xf numFmtId="0" fontId="12" fillId="0" borderId="27" xfId="2" applyBorder="1" applyAlignment="1">
      <alignment horizontal="justify" vertical="top"/>
    </xf>
    <xf numFmtId="0" fontId="12" fillId="0" borderId="0" xfId="2" applyAlignment="1">
      <alignment horizontal="justify" vertical="top"/>
    </xf>
    <xf numFmtId="0" fontId="12" fillId="0" borderId="0" xfId="2" applyFont="1" applyAlignment="1">
      <alignment horizontal="justify" vertical="top"/>
    </xf>
    <xf numFmtId="0" fontId="17" fillId="0" borderId="27" xfId="2" applyFont="1" applyBorder="1" applyAlignment="1">
      <alignment horizontal="justify" vertical="top"/>
    </xf>
    <xf numFmtId="0" fontId="17" fillId="0" borderId="0" xfId="2" applyFont="1" applyAlignment="1">
      <alignment horizontal="justify" vertical="top"/>
    </xf>
    <xf numFmtId="0" fontId="12" fillId="0" borderId="27" xfId="2" applyFont="1" applyBorder="1" applyAlignment="1">
      <alignment horizontal="justify" vertical="top"/>
    </xf>
    <xf numFmtId="0" fontId="12" fillId="10" borderId="27" xfId="2" applyFill="1" applyBorder="1" applyAlignment="1">
      <alignment horizontal="justify" vertical="top"/>
    </xf>
    <xf numFmtId="0" fontId="12" fillId="10" borderId="0" xfId="2" applyFill="1" applyAlignment="1">
      <alignment horizontal="justify" vertical="top"/>
    </xf>
    <xf numFmtId="0" fontId="12" fillId="10" borderId="0" xfId="2" applyFont="1" applyFill="1" applyAlignment="1">
      <alignment horizontal="justify" vertical="top"/>
    </xf>
    <xf numFmtId="0" fontId="12" fillId="9" borderId="27" xfId="2" applyFill="1" applyBorder="1" applyAlignment="1">
      <alignment horizontal="justify" vertical="top"/>
    </xf>
    <xf numFmtId="0" fontId="12" fillId="9" borderId="0" xfId="2" applyFill="1" applyAlignment="1">
      <alignment horizontal="justify" vertical="top"/>
    </xf>
    <xf numFmtId="0" fontId="12" fillId="9" borderId="0" xfId="2" applyFont="1" applyFill="1" applyAlignment="1">
      <alignment horizontal="justify" vertical="top"/>
    </xf>
    <xf numFmtId="164" fontId="12" fillId="0" borderId="0" xfId="0" applyNumberFormat="1" applyFont="1" applyAlignment="1">
      <alignment horizontal="center" vertical="justify"/>
    </xf>
    <xf numFmtId="164" fontId="0" fillId="0" borderId="0" xfId="0" applyNumberFormat="1" applyAlignment="1">
      <alignment horizontal="center" vertical="justify"/>
    </xf>
    <xf numFmtId="0" fontId="3" fillId="17" borderId="4" xfId="0" applyFont="1" applyFill="1" applyBorder="1" applyAlignment="1">
      <alignment vertical="top" wrapText="1"/>
    </xf>
    <xf numFmtId="0" fontId="3" fillId="17" borderId="28" xfId="0" applyFont="1" applyFill="1" applyBorder="1" applyAlignment="1">
      <alignment vertical="top" wrapText="1"/>
    </xf>
    <xf numFmtId="0" fontId="3" fillId="17" borderId="29" xfId="0" applyFont="1" applyFill="1" applyBorder="1" applyAlignment="1">
      <alignment vertical="top" wrapText="1"/>
    </xf>
    <xf numFmtId="3" fontId="14" fillId="17" borderId="7" xfId="0" applyNumberFormat="1" applyFont="1" applyFill="1" applyBorder="1" applyAlignment="1">
      <alignment wrapText="1"/>
    </xf>
    <xf numFmtId="3" fontId="14" fillId="17" borderId="5" xfId="0" applyNumberFormat="1" applyFont="1" applyFill="1" applyBorder="1" applyAlignment="1">
      <alignment wrapText="1"/>
    </xf>
    <xf numFmtId="15" fontId="3" fillId="17" borderId="8" xfId="0" applyNumberFormat="1" applyFont="1" applyFill="1" applyBorder="1" applyAlignment="1">
      <alignment horizontal="justify" vertical="top" wrapText="1"/>
    </xf>
    <xf numFmtId="0" fontId="11" fillId="17" borderId="9" xfId="0" applyFont="1" applyFill="1" applyBorder="1" applyAlignment="1">
      <alignment vertical="top" wrapText="1"/>
    </xf>
    <xf numFmtId="3" fontId="3" fillId="17" borderId="2" xfId="0" applyNumberFormat="1" applyFont="1" applyFill="1" applyBorder="1" applyAlignment="1">
      <alignment horizontal="justify" vertical="justify"/>
    </xf>
    <xf numFmtId="3" fontId="3" fillId="17" borderId="3" xfId="0" applyNumberFormat="1" applyFont="1" applyFill="1" applyBorder="1" applyAlignment="1">
      <alignment horizontal="justify" vertical="justify"/>
    </xf>
    <xf numFmtId="3" fontId="3" fillId="17" borderId="4" xfId="0" applyNumberFormat="1" applyFont="1" applyFill="1" applyBorder="1" applyAlignment="1">
      <alignment horizontal="justify" vertical="justify"/>
    </xf>
    <xf numFmtId="0" fontId="0" fillId="17" borderId="5" xfId="0" applyFill="1" applyBorder="1" applyAlignment="1">
      <alignment horizontal="justify" vertical="justify"/>
    </xf>
    <xf numFmtId="3" fontId="0" fillId="17" borderId="5" xfId="0" applyNumberFormat="1" applyFill="1" applyBorder="1" applyAlignment="1">
      <alignment horizontal="justify" vertical="justify"/>
    </xf>
    <xf numFmtId="167" fontId="3" fillId="17" borderId="6" xfId="0" applyNumberFormat="1" applyFont="1" applyFill="1" applyBorder="1" applyAlignment="1">
      <alignment horizontal="justify" vertical="justify"/>
    </xf>
    <xf numFmtId="0" fontId="0" fillId="17" borderId="7" xfId="0" applyFill="1" applyBorder="1" applyAlignment="1">
      <alignment horizontal="justify" vertical="justify"/>
    </xf>
    <xf numFmtId="3" fontId="0" fillId="17" borderId="8" xfId="0" applyNumberFormat="1" applyFill="1" applyBorder="1" applyAlignment="1">
      <alignment horizontal="justify" vertical="justify"/>
    </xf>
    <xf numFmtId="0" fontId="0" fillId="17" borderId="1" xfId="0" applyFill="1" applyBorder="1" applyAlignment="1">
      <alignment horizontal="justify" vertical="justify"/>
    </xf>
    <xf numFmtId="3" fontId="0" fillId="17" borderId="9" xfId="0" applyNumberFormat="1" applyFill="1" applyBorder="1" applyAlignment="1">
      <alignment horizontal="justify" vertical="justify"/>
    </xf>
    <xf numFmtId="3" fontId="0" fillId="17" borderId="1" xfId="0" applyNumberFormat="1" applyFill="1" applyBorder="1" applyAlignment="1">
      <alignment horizontal="justify" vertical="justify"/>
    </xf>
    <xf numFmtId="3" fontId="0" fillId="17" borderId="0" xfId="0" applyNumberFormat="1" applyFill="1" applyAlignment="1">
      <alignment horizontal="justify" vertical="justify"/>
    </xf>
    <xf numFmtId="0" fontId="0" fillId="17" borderId="0" xfId="0" applyFill="1" applyAlignment="1">
      <alignment horizontal="justify" vertical="justify"/>
    </xf>
    <xf numFmtId="0" fontId="12" fillId="17" borderId="27" xfId="2" applyFill="1" applyBorder="1" applyAlignment="1">
      <alignment horizontal="justify" vertical="justify"/>
    </xf>
    <xf numFmtId="0" fontId="12" fillId="17" borderId="0" xfId="2" applyFill="1" applyAlignment="1">
      <alignment horizontal="justify" vertical="justify"/>
    </xf>
    <xf numFmtId="0" fontId="12" fillId="17" borderId="0" xfId="2" applyNumberFormat="1" applyFont="1" applyFill="1"/>
    <xf numFmtId="0" fontId="12" fillId="17" borderId="27" xfId="2" applyFill="1" applyBorder="1" applyAlignment="1">
      <alignment horizontal="justify" vertical="top"/>
    </xf>
    <xf numFmtId="0" fontId="12" fillId="17" borderId="0" xfId="2" applyFill="1" applyAlignment="1">
      <alignment horizontal="justify" vertical="top"/>
    </xf>
    <xf numFmtId="0" fontId="12" fillId="17" borderId="0" xfId="2" applyFont="1" applyFill="1" applyAlignment="1">
      <alignment horizontal="justify" vertical="top"/>
    </xf>
    <xf numFmtId="4" fontId="5" fillId="0" borderId="0" xfId="0" applyNumberFormat="1" applyFont="1" applyAlignment="1">
      <alignment horizontal="justify" vertical="justify"/>
    </xf>
    <xf numFmtId="0" fontId="3" fillId="16" borderId="29" xfId="0" applyFont="1" applyFill="1" applyBorder="1" applyAlignment="1">
      <alignment horizontal="justify" vertical="top"/>
    </xf>
    <xf numFmtId="0" fontId="11" fillId="0" borderId="4" xfId="0" applyFont="1" applyBorder="1" applyAlignment="1">
      <alignment horizontal="left" vertical="center" wrapText="1"/>
    </xf>
    <xf numFmtId="0" fontId="0" fillId="0" borderId="5" xfId="0" applyBorder="1" applyAlignment="1">
      <alignment vertical="center" wrapText="1"/>
    </xf>
    <xf numFmtId="0" fontId="0" fillId="17" borderId="5" xfId="0" applyFill="1" applyBorder="1" applyAlignment="1">
      <alignment vertical="center" wrapText="1"/>
    </xf>
    <xf numFmtId="1" fontId="3" fillId="0" borderId="3" xfId="0" applyNumberFormat="1" applyFont="1" applyBorder="1" applyAlignment="1">
      <alignment horizontal="right" vertical="top" wrapText="1"/>
    </xf>
    <xf numFmtId="15" fontId="3" fillId="17" borderId="4" xfId="0" applyNumberFormat="1" applyFont="1" applyFill="1" applyBorder="1" applyAlignment="1">
      <alignment horizontal="center" vertical="top"/>
    </xf>
    <xf numFmtId="1" fontId="3" fillId="0" borderId="26" xfId="0" applyNumberFormat="1" applyFont="1" applyBorder="1" applyAlignment="1">
      <alignment horizontal="center" vertical="top" wrapText="1"/>
    </xf>
    <xf numFmtId="0" fontId="11" fillId="0" borderId="9" xfId="0" applyFont="1" applyBorder="1" applyAlignment="1">
      <alignment horizontal="left" vertical="center" wrapText="1"/>
    </xf>
    <xf numFmtId="0" fontId="11" fillId="17" borderId="9" xfId="0" applyFont="1" applyFill="1" applyBorder="1" applyAlignment="1">
      <alignment horizontal="left" vertical="center" wrapText="1"/>
    </xf>
    <xf numFmtId="3" fontId="14" fillId="16" borderId="5" xfId="0" applyNumberFormat="1" applyFont="1" applyFill="1" applyBorder="1" applyAlignment="1">
      <alignment vertical="top"/>
    </xf>
    <xf numFmtId="3" fontId="14" fillId="16" borderId="5" xfId="0" applyNumberFormat="1" applyFont="1" applyFill="1" applyBorder="1" applyAlignment="1">
      <alignment wrapText="1"/>
    </xf>
    <xf numFmtId="164" fontId="2" fillId="0" borderId="0" xfId="0" applyNumberFormat="1" applyFont="1" applyBorder="1" applyAlignment="1">
      <alignment horizontal="left" vertical="justify"/>
    </xf>
    <xf numFmtId="164" fontId="5" fillId="0" borderId="52" xfId="0" applyNumberFormat="1" applyFont="1" applyBorder="1" applyAlignment="1">
      <alignment horizontal="justify" vertical="justify"/>
    </xf>
    <xf numFmtId="164" fontId="5" fillId="0" borderId="45" xfId="0" applyNumberFormat="1" applyFont="1" applyBorder="1" applyAlignment="1">
      <alignment horizontal="justify" vertical="justify"/>
    </xf>
    <xf numFmtId="164" fontId="5" fillId="0" borderId="53" xfId="0" applyNumberFormat="1" applyFont="1" applyBorder="1" applyAlignment="1">
      <alignment horizontal="justify" vertical="justify"/>
    </xf>
    <xf numFmtId="0" fontId="4" fillId="10" borderId="54" xfId="0" applyFont="1" applyFill="1" applyBorder="1" applyAlignment="1">
      <alignment horizontal="center" vertical="justify"/>
    </xf>
    <xf numFmtId="0" fontId="0" fillId="0" borderId="46" xfId="0" applyBorder="1" applyAlignment="1">
      <alignment horizontal="center"/>
    </xf>
    <xf numFmtId="0" fontId="0" fillId="0" borderId="55" xfId="0" applyBorder="1" applyAlignment="1">
      <alignment horizontal="center"/>
    </xf>
    <xf numFmtId="0" fontId="4" fillId="14" borderId="54" xfId="0" applyFont="1" applyFill="1" applyBorder="1" applyAlignment="1">
      <alignment horizontal="center" vertical="justify"/>
    </xf>
    <xf numFmtId="0" fontId="5" fillId="2" borderId="54" xfId="0" applyFont="1" applyFill="1" applyBorder="1" applyAlignment="1">
      <alignment horizontal="center" vertical="justify"/>
    </xf>
    <xf numFmtId="0" fontId="5" fillId="2" borderId="55" xfId="0" applyFont="1" applyFill="1" applyBorder="1" applyAlignment="1">
      <alignment horizontal="center" vertical="justify"/>
    </xf>
    <xf numFmtId="0" fontId="5" fillId="2" borderId="46" xfId="0" applyFont="1" applyFill="1" applyBorder="1" applyAlignment="1">
      <alignment horizontal="center" vertical="justify"/>
    </xf>
    <xf numFmtId="0" fontId="0" fillId="2" borderId="46" xfId="0" applyFill="1" applyBorder="1" applyAlignment="1">
      <alignment horizontal="center"/>
    </xf>
    <xf numFmtId="0" fontId="0" fillId="2" borderId="55" xfId="0" applyFill="1" applyBorder="1" applyAlignment="1">
      <alignment horizontal="center"/>
    </xf>
    <xf numFmtId="0" fontId="5" fillId="2" borderId="37" xfId="0" applyFont="1" applyFill="1" applyBorder="1" applyAlignment="1">
      <alignment horizontal="center" vertical="justify"/>
    </xf>
    <xf numFmtId="0" fontId="5" fillId="2" borderId="32" xfId="0" applyFont="1" applyFill="1" applyBorder="1" applyAlignment="1">
      <alignment horizontal="center" vertical="justify"/>
    </xf>
    <xf numFmtId="165" fontId="2" fillId="15" borderId="54" xfId="0" applyNumberFormat="1" applyFont="1" applyFill="1" applyBorder="1" applyAlignment="1">
      <alignment horizontal="center" vertical="justify"/>
    </xf>
    <xf numFmtId="165" fontId="2" fillId="15" borderId="46" xfId="0" applyNumberFormat="1" applyFont="1" applyFill="1" applyBorder="1" applyAlignment="1">
      <alignment horizontal="center" vertical="justify"/>
    </xf>
    <xf numFmtId="170" fontId="10" fillId="15" borderId="55" xfId="0" applyNumberFormat="1" applyFont="1" applyFill="1" applyBorder="1" applyAlignment="1">
      <alignment horizontal="center" vertical="justify"/>
    </xf>
    <xf numFmtId="0" fontId="7" fillId="5" borderId="21" xfId="0" applyFont="1" applyFill="1" applyBorder="1" applyAlignment="1">
      <alignment horizontal="center" vertical="justify"/>
    </xf>
    <xf numFmtId="0" fontId="7" fillId="5" borderId="14" xfId="0" applyFont="1" applyFill="1" applyBorder="1" applyAlignment="1">
      <alignment horizontal="center" vertical="justify"/>
    </xf>
    <xf numFmtId="0" fontId="7" fillId="5" borderId="20" xfId="0" applyFont="1" applyFill="1" applyBorder="1" applyAlignment="1">
      <alignment horizontal="center" vertical="justify"/>
    </xf>
  </cellXfs>
  <cellStyles count="3">
    <cellStyle name="Millares" xfId="1" builtinId="3"/>
    <cellStyle name="Normal" xfId="0" builtinId="0"/>
    <cellStyle name="Normal_EMERGENCIAS 2010"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I9690"/>
  <sheetViews>
    <sheetView tabSelected="1" zoomScale="90" zoomScaleNormal="90" zoomScaleSheetLayoutView="100" workbookViewId="0">
      <pane xSplit="4" ySplit="2" topLeftCell="G3" activePane="bottomRight" state="frozen"/>
      <selection pane="topRight" activeCell="E1" sqref="E1"/>
      <selection pane="bottomLeft" activeCell="A3" sqref="A3"/>
      <selection pane="bottomRight" activeCell="G3" sqref="G3"/>
    </sheetView>
  </sheetViews>
  <sheetFormatPr baseColWidth="10" defaultRowHeight="12.75"/>
  <cols>
    <col min="1" max="1" width="11.42578125" style="16"/>
    <col min="2" max="2" width="14.5703125" style="17" customWidth="1"/>
    <col min="3" max="3" width="15" style="35" customWidth="1"/>
    <col min="4" max="4" width="13.7109375" style="2" customWidth="1"/>
    <col min="5" max="6" width="13.7109375" style="2" hidden="1" customWidth="1"/>
    <col min="7" max="7" width="10.85546875" style="2" customWidth="1"/>
    <col min="8" max="8" width="10.5703125" style="2" customWidth="1"/>
    <col min="9" max="9" width="10" style="2" customWidth="1"/>
    <col min="10" max="10" width="10.7109375" style="2" customWidth="1"/>
    <col min="11" max="11" width="9.85546875" style="2" customWidth="1"/>
    <col min="12" max="12" width="14.42578125" style="2" customWidth="1"/>
    <col min="13" max="13" width="15.85546875" style="2" customWidth="1"/>
    <col min="14" max="14" width="16.85546875" style="2" customWidth="1"/>
    <col min="15" max="15" width="14.7109375" style="2" customWidth="1"/>
    <col min="16" max="16" width="12.140625" style="2" customWidth="1"/>
    <col min="17" max="17" width="15.7109375" style="2" customWidth="1"/>
    <col min="18" max="18" width="15.5703125" style="2" customWidth="1"/>
    <col min="19" max="19" width="20.7109375" style="17" customWidth="1"/>
    <col min="20" max="20" width="14.140625" style="37" customWidth="1"/>
    <col min="21" max="21" width="12.140625" style="2" hidden="1" customWidth="1"/>
    <col min="22" max="22" width="12.140625" style="59" hidden="1" customWidth="1"/>
    <col min="23" max="23" width="12.140625" style="2" hidden="1" customWidth="1"/>
    <col min="24" max="24" width="9.85546875" style="20" hidden="1" customWidth="1"/>
    <col min="25" max="25" width="18.28515625" style="65" hidden="1" customWidth="1"/>
    <col min="26" max="26" width="27" style="164" hidden="1" customWidth="1"/>
    <col min="27" max="27" width="40" style="167" hidden="1" customWidth="1"/>
    <col min="28" max="28" width="11.85546875" style="2" hidden="1" customWidth="1"/>
    <col min="29" max="29" width="12.28515625" style="2" hidden="1" customWidth="1"/>
    <col min="30" max="30" width="10.5703125" style="2" hidden="1" customWidth="1"/>
    <col min="31" max="31" width="12.28515625" style="2" hidden="1" customWidth="1"/>
    <col min="32" max="32" width="10.7109375" style="2" hidden="1" customWidth="1"/>
    <col min="33" max="33" width="12.28515625" style="2" hidden="1" customWidth="1"/>
    <col min="34" max="34" width="10.5703125" style="2" hidden="1" customWidth="1"/>
    <col min="35" max="35" width="12.28515625" style="2" hidden="1" customWidth="1"/>
    <col min="36" max="36" width="11.7109375" style="2" hidden="1" customWidth="1"/>
    <col min="37" max="39" width="12.28515625" style="2" hidden="1" customWidth="1"/>
    <col min="40" max="40" width="11.5703125" style="2" hidden="1" customWidth="1"/>
    <col min="41" max="41" width="12.7109375" style="2" hidden="1" customWidth="1"/>
    <col min="42" max="42" width="11.85546875" style="2" hidden="1" customWidth="1"/>
    <col min="43" max="43" width="12.28515625" style="2" hidden="1" customWidth="1"/>
    <col min="44" max="44" width="11.5703125" style="2" hidden="1" customWidth="1"/>
    <col min="45" max="49" width="12.28515625" style="2" hidden="1" customWidth="1"/>
    <col min="50" max="50" width="0" style="2" hidden="1" customWidth="1"/>
    <col min="51" max="51" width="12.28515625" style="2" hidden="1" customWidth="1"/>
    <col min="52" max="52" width="12.140625" style="2" hidden="1" customWidth="1"/>
    <col min="53" max="53" width="13.85546875" style="2" hidden="1" customWidth="1"/>
    <col min="54" max="54" width="11.140625" style="2" hidden="1" customWidth="1"/>
    <col min="55" max="57" width="12.28515625" style="2" hidden="1" customWidth="1"/>
    <col min="58" max="58" width="0" style="2" hidden="1" customWidth="1"/>
    <col min="59" max="59" width="12.28515625" style="2" hidden="1" customWidth="1"/>
    <col min="60" max="60" width="11.140625" style="2" hidden="1" customWidth="1"/>
    <col min="61" max="61" width="12.28515625" style="2" hidden="1" customWidth="1"/>
    <col min="62" max="62" width="11.7109375" style="2" hidden="1" customWidth="1"/>
    <col min="63" max="63" width="12.28515625" style="2" hidden="1" customWidth="1"/>
    <col min="64" max="64" width="11.5703125" style="2" hidden="1" customWidth="1"/>
    <col min="65" max="65" width="12.28515625" style="2" hidden="1" customWidth="1"/>
    <col min="66" max="66" width="11.7109375" style="2" hidden="1" customWidth="1"/>
    <col min="67" max="67" width="12.28515625" style="2" hidden="1" customWidth="1"/>
    <col min="68" max="68" width="11.140625" style="2" hidden="1" customWidth="1"/>
    <col min="69" max="69" width="12.28515625" style="2" hidden="1" customWidth="1"/>
    <col min="70" max="70" width="11.7109375" style="2" hidden="1" customWidth="1"/>
    <col min="71" max="71" width="12.28515625" style="2" hidden="1" customWidth="1"/>
    <col min="72" max="72" width="11" style="2" hidden="1" customWidth="1"/>
    <col min="73" max="73" width="12.28515625" style="2" hidden="1" customWidth="1"/>
    <col min="74" max="74" width="0" style="2" hidden="1" customWidth="1"/>
    <col min="75" max="75" width="12.28515625" style="2" hidden="1" customWidth="1"/>
    <col min="76" max="76" width="0" style="2" hidden="1" customWidth="1"/>
    <col min="77" max="77" width="13.85546875" style="2" hidden="1" customWidth="1"/>
    <col min="78" max="78" width="0" style="2" hidden="1" customWidth="1"/>
    <col min="79" max="80" width="12.28515625" style="2" hidden="1" customWidth="1"/>
    <col min="81" max="81" width="13.140625" style="2" hidden="1" customWidth="1"/>
    <col min="82" max="82" width="12.28515625" style="2" hidden="1" customWidth="1"/>
    <col min="83" max="83" width="13.42578125" style="2" hidden="1" customWidth="1"/>
    <col min="84" max="84" width="12.28515625" style="2" hidden="1" customWidth="1"/>
    <col min="85" max="85" width="14.5703125" style="2" hidden="1" customWidth="1"/>
    <col min="86" max="86" width="0" style="2" hidden="1" customWidth="1"/>
    <col min="87" max="87" width="12.28515625" style="2" hidden="1" customWidth="1"/>
    <col min="88" max="88" width="15" style="2" hidden="1" customWidth="1"/>
    <col min="89" max="89" width="0" style="2" hidden="1" customWidth="1"/>
    <col min="90" max="90" width="14.85546875" style="2" hidden="1" customWidth="1"/>
    <col min="91" max="91" width="12.5703125" style="2" hidden="1" customWidth="1"/>
    <col min="92" max="92" width="14.5703125" style="2" hidden="1" customWidth="1"/>
    <col min="93" max="93" width="12.5703125" style="2" hidden="1" customWidth="1"/>
    <col min="94" max="94" width="14.42578125" style="2" hidden="1" customWidth="1"/>
    <col min="95" max="95" width="15.5703125" style="2" hidden="1" customWidth="1"/>
    <col min="96" max="96" width="14.85546875" style="2" hidden="1" customWidth="1"/>
    <col min="97" max="97" width="13.85546875" style="2" hidden="1" customWidth="1"/>
    <col min="98" max="98" width="26.28515625" style="22" hidden="1" customWidth="1"/>
    <col min="99" max="110" width="0" style="2" hidden="1" customWidth="1"/>
    <col min="111" max="16384" width="11.42578125" style="2"/>
  </cols>
  <sheetData>
    <row r="1" spans="1:139" s="20" customFormat="1" ht="15.75" customHeight="1" thickBot="1">
      <c r="A1" s="422" t="s">
        <v>2388</v>
      </c>
      <c r="B1" s="423"/>
      <c r="C1" s="423"/>
      <c r="D1" s="424"/>
      <c r="E1" s="283"/>
      <c r="F1" s="283"/>
      <c r="G1" s="425" t="s">
        <v>621</v>
      </c>
      <c r="H1" s="423"/>
      <c r="I1" s="423"/>
      <c r="J1" s="423"/>
      <c r="K1" s="423"/>
      <c r="L1" s="433" t="s">
        <v>2395</v>
      </c>
      <c r="M1" s="434"/>
      <c r="N1" s="434"/>
      <c r="O1" s="434"/>
      <c r="P1" s="434"/>
      <c r="Q1" s="434"/>
      <c r="R1" s="434"/>
      <c r="S1" s="434"/>
      <c r="T1" s="435"/>
      <c r="U1" s="436" t="s">
        <v>1313</v>
      </c>
      <c r="V1" s="437"/>
      <c r="W1" s="437"/>
      <c r="X1" s="437"/>
      <c r="Y1" s="437"/>
      <c r="Z1" s="437"/>
      <c r="AA1" s="438"/>
      <c r="AB1" s="426" t="s">
        <v>919</v>
      </c>
      <c r="AC1" s="424"/>
      <c r="AD1" s="426" t="s">
        <v>1303</v>
      </c>
      <c r="AE1" s="427"/>
      <c r="AF1" s="426" t="s">
        <v>2726</v>
      </c>
      <c r="AG1" s="427"/>
      <c r="AH1" s="426" t="s">
        <v>1304</v>
      </c>
      <c r="AI1" s="427"/>
      <c r="AJ1" s="426" t="s">
        <v>1305</v>
      </c>
      <c r="AK1" s="427"/>
      <c r="AL1" s="426" t="s">
        <v>1580</v>
      </c>
      <c r="AM1" s="424"/>
      <c r="AN1" s="426" t="s">
        <v>1306</v>
      </c>
      <c r="AO1" s="427"/>
      <c r="AP1" s="426" t="s">
        <v>1874</v>
      </c>
      <c r="AQ1" s="427"/>
      <c r="AR1" s="426" t="s">
        <v>1307</v>
      </c>
      <c r="AS1" s="427"/>
      <c r="AT1" s="426" t="s">
        <v>1880</v>
      </c>
      <c r="AU1" s="424"/>
      <c r="AV1" s="426" t="s">
        <v>1881</v>
      </c>
      <c r="AW1" s="424"/>
      <c r="AX1" s="426" t="s">
        <v>1300</v>
      </c>
      <c r="AY1" s="427"/>
      <c r="AZ1" s="426" t="s">
        <v>1302</v>
      </c>
      <c r="BA1" s="427"/>
      <c r="BB1" s="426" t="s">
        <v>914</v>
      </c>
      <c r="BC1" s="427"/>
      <c r="BD1" s="426" t="s">
        <v>2387</v>
      </c>
      <c r="BE1" s="424"/>
      <c r="BF1" s="426" t="s">
        <v>2605</v>
      </c>
      <c r="BG1" s="427"/>
      <c r="BH1" s="426" t="s">
        <v>2390</v>
      </c>
      <c r="BI1" s="427"/>
      <c r="BJ1" s="426" t="s">
        <v>1582</v>
      </c>
      <c r="BK1" s="427"/>
      <c r="BL1" s="426" t="s">
        <v>1229</v>
      </c>
      <c r="BM1" s="427"/>
      <c r="BN1" s="426" t="s">
        <v>2604</v>
      </c>
      <c r="BO1" s="424"/>
      <c r="BP1" s="426" t="s">
        <v>1230</v>
      </c>
      <c r="BQ1" s="427"/>
      <c r="BR1" s="426" t="s">
        <v>1231</v>
      </c>
      <c r="BS1" s="427"/>
      <c r="BT1" s="426" t="s">
        <v>1876</v>
      </c>
      <c r="BU1" s="427"/>
      <c r="BV1" s="426" t="s">
        <v>1877</v>
      </c>
      <c r="BW1" s="427"/>
      <c r="BX1" s="426" t="s">
        <v>1581</v>
      </c>
      <c r="BY1" s="424"/>
      <c r="BZ1" s="426" t="s">
        <v>2725</v>
      </c>
      <c r="CA1" s="427"/>
      <c r="CB1" s="426" t="s">
        <v>2724</v>
      </c>
      <c r="CC1" s="427"/>
      <c r="CD1" s="426" t="s">
        <v>920</v>
      </c>
      <c r="CE1" s="427"/>
      <c r="CF1" s="426" t="s">
        <v>2385</v>
      </c>
      <c r="CG1" s="427"/>
      <c r="CH1" s="426" t="s">
        <v>2386</v>
      </c>
      <c r="CI1" s="427"/>
      <c r="CJ1" s="21" t="s">
        <v>2392</v>
      </c>
      <c r="CK1" s="426" t="s">
        <v>2723</v>
      </c>
      <c r="CL1" s="430"/>
      <c r="CM1" s="426" t="s">
        <v>1301</v>
      </c>
      <c r="CN1" s="427"/>
      <c r="CO1" s="431" t="s">
        <v>2394</v>
      </c>
      <c r="CP1" s="432"/>
      <c r="CQ1" s="428" t="s">
        <v>1311</v>
      </c>
      <c r="CR1" s="429"/>
      <c r="CS1" s="192" t="s">
        <v>616</v>
      </c>
      <c r="CT1" s="27"/>
      <c r="EC1" s="331" t="s">
        <v>4330</v>
      </c>
      <c r="ED1" s="332"/>
      <c r="EE1" s="333" t="s">
        <v>4331</v>
      </c>
      <c r="EF1" s="334"/>
      <c r="EG1" s="335"/>
      <c r="EH1" s="336"/>
      <c r="EI1" s="337"/>
    </row>
    <row r="2" spans="1:139" s="51" customFormat="1" ht="36.75" thickBot="1">
      <c r="A2" s="215" t="s">
        <v>431</v>
      </c>
      <c r="B2" s="216" t="s">
        <v>1310</v>
      </c>
      <c r="C2" s="216" t="s">
        <v>1883</v>
      </c>
      <c r="D2" s="217" t="s">
        <v>1884</v>
      </c>
      <c r="E2" s="330" t="s">
        <v>4329</v>
      </c>
      <c r="F2" s="318"/>
      <c r="G2" s="38" t="s">
        <v>1309</v>
      </c>
      <c r="H2" s="39" t="s">
        <v>623</v>
      </c>
      <c r="I2" s="39" t="s">
        <v>624</v>
      </c>
      <c r="J2" s="39" t="s">
        <v>1885</v>
      </c>
      <c r="K2" s="39" t="s">
        <v>1886</v>
      </c>
      <c r="L2" s="40" t="s">
        <v>1879</v>
      </c>
      <c r="M2" s="41" t="s">
        <v>913</v>
      </c>
      <c r="N2" s="41" t="s">
        <v>915</v>
      </c>
      <c r="O2" s="41" t="s">
        <v>619</v>
      </c>
      <c r="P2" s="41" t="s">
        <v>2723</v>
      </c>
      <c r="Q2" s="41" t="s">
        <v>916</v>
      </c>
      <c r="R2" s="42" t="s">
        <v>616</v>
      </c>
      <c r="S2" s="43" t="s">
        <v>2113</v>
      </c>
      <c r="T2" s="36" t="s">
        <v>617</v>
      </c>
      <c r="U2" s="53" t="s">
        <v>613</v>
      </c>
      <c r="V2" s="56" t="s">
        <v>625</v>
      </c>
      <c r="W2" s="53" t="s">
        <v>1312</v>
      </c>
      <c r="X2" s="53" t="s">
        <v>2070</v>
      </c>
      <c r="Y2" s="60" t="s">
        <v>626</v>
      </c>
      <c r="Z2" s="194" t="s">
        <v>1603</v>
      </c>
      <c r="AA2" s="172" t="s">
        <v>1882</v>
      </c>
      <c r="AB2" s="44" t="s">
        <v>917</v>
      </c>
      <c r="AC2" s="44" t="s">
        <v>918</v>
      </c>
      <c r="AD2" s="44" t="s">
        <v>917</v>
      </c>
      <c r="AE2" s="44" t="s">
        <v>918</v>
      </c>
      <c r="AF2" s="44" t="s">
        <v>917</v>
      </c>
      <c r="AG2" s="44" t="s">
        <v>918</v>
      </c>
      <c r="AH2" s="44" t="s">
        <v>917</v>
      </c>
      <c r="AI2" s="44" t="s">
        <v>918</v>
      </c>
      <c r="AJ2" s="45" t="s">
        <v>917</v>
      </c>
      <c r="AK2" s="45" t="s">
        <v>918</v>
      </c>
      <c r="AL2" s="45" t="s">
        <v>917</v>
      </c>
      <c r="AM2" s="45" t="s">
        <v>918</v>
      </c>
      <c r="AN2" s="45" t="s">
        <v>917</v>
      </c>
      <c r="AO2" s="45" t="s">
        <v>918</v>
      </c>
      <c r="AP2" s="45" t="s">
        <v>917</v>
      </c>
      <c r="AQ2" s="45" t="s">
        <v>918</v>
      </c>
      <c r="AR2" s="45" t="s">
        <v>917</v>
      </c>
      <c r="AS2" s="45" t="s">
        <v>918</v>
      </c>
      <c r="AT2" s="45" t="s">
        <v>917</v>
      </c>
      <c r="AU2" s="45" t="s">
        <v>918</v>
      </c>
      <c r="AV2" s="45" t="s">
        <v>917</v>
      </c>
      <c r="AW2" s="45" t="s">
        <v>918</v>
      </c>
      <c r="AX2" s="45" t="s">
        <v>917</v>
      </c>
      <c r="AY2" s="45" t="s">
        <v>918</v>
      </c>
      <c r="AZ2" s="45" t="s">
        <v>917</v>
      </c>
      <c r="BA2" s="45" t="s">
        <v>918</v>
      </c>
      <c r="BB2" s="45" t="s">
        <v>917</v>
      </c>
      <c r="BC2" s="45" t="s">
        <v>918</v>
      </c>
      <c r="BD2" s="45" t="s">
        <v>917</v>
      </c>
      <c r="BE2" s="45" t="s">
        <v>918</v>
      </c>
      <c r="BF2" s="45" t="s">
        <v>917</v>
      </c>
      <c r="BG2" s="45" t="s">
        <v>918</v>
      </c>
      <c r="BH2" s="45" t="s">
        <v>917</v>
      </c>
      <c r="BI2" s="45" t="s">
        <v>918</v>
      </c>
      <c r="BJ2" s="45" t="s">
        <v>917</v>
      </c>
      <c r="BK2" s="45" t="s">
        <v>918</v>
      </c>
      <c r="BL2" s="45" t="s">
        <v>917</v>
      </c>
      <c r="BM2" s="45" t="s">
        <v>918</v>
      </c>
      <c r="BN2" s="45" t="s">
        <v>917</v>
      </c>
      <c r="BO2" s="45" t="s">
        <v>918</v>
      </c>
      <c r="BP2" s="45" t="s">
        <v>917</v>
      </c>
      <c r="BQ2" s="45" t="s">
        <v>918</v>
      </c>
      <c r="BR2" s="45" t="s">
        <v>917</v>
      </c>
      <c r="BS2" s="45" t="s">
        <v>918</v>
      </c>
      <c r="BT2" s="45" t="s">
        <v>917</v>
      </c>
      <c r="BU2" s="45" t="s">
        <v>918</v>
      </c>
      <c r="BV2" s="45" t="s">
        <v>917</v>
      </c>
      <c r="BW2" s="45" t="s">
        <v>918</v>
      </c>
      <c r="BX2" s="45" t="s">
        <v>917</v>
      </c>
      <c r="BY2" s="45" t="s">
        <v>918</v>
      </c>
      <c r="BZ2" s="45" t="s">
        <v>917</v>
      </c>
      <c r="CA2" s="45" t="s">
        <v>918</v>
      </c>
      <c r="CB2" s="45" t="s">
        <v>917</v>
      </c>
      <c r="CC2" s="45" t="s">
        <v>918</v>
      </c>
      <c r="CD2" s="45" t="s">
        <v>917</v>
      </c>
      <c r="CE2" s="45" t="s">
        <v>918</v>
      </c>
      <c r="CF2" s="45" t="s">
        <v>917</v>
      </c>
      <c r="CG2" s="45" t="s">
        <v>918</v>
      </c>
      <c r="CH2" s="45" t="s">
        <v>917</v>
      </c>
      <c r="CI2" s="45" t="s">
        <v>918</v>
      </c>
      <c r="CJ2" s="45" t="s">
        <v>2393</v>
      </c>
      <c r="CK2" s="46" t="s">
        <v>917</v>
      </c>
      <c r="CL2" s="47" t="s">
        <v>918</v>
      </c>
      <c r="CM2" s="45" t="s">
        <v>917</v>
      </c>
      <c r="CN2" s="45" t="s">
        <v>918</v>
      </c>
      <c r="CO2" s="48" t="s">
        <v>917</v>
      </c>
      <c r="CP2" s="49" t="s">
        <v>918</v>
      </c>
      <c r="CQ2" s="46" t="s">
        <v>917</v>
      </c>
      <c r="CR2" s="47" t="s">
        <v>918</v>
      </c>
      <c r="CS2" s="193" t="s">
        <v>1669</v>
      </c>
      <c r="CT2" s="50"/>
      <c r="EC2" s="338" t="s">
        <v>4332</v>
      </c>
      <c r="ED2" s="339"/>
      <c r="EE2" s="339" t="s">
        <v>4333</v>
      </c>
      <c r="EF2" s="339" t="s">
        <v>4334</v>
      </c>
      <c r="EG2" s="339" t="s">
        <v>4335</v>
      </c>
      <c r="EH2" s="339" t="s">
        <v>4336</v>
      </c>
      <c r="EI2" s="339" t="s">
        <v>4337</v>
      </c>
    </row>
    <row r="3" spans="1:139" ht="72">
      <c r="A3" s="226">
        <v>38844</v>
      </c>
      <c r="B3" s="227" t="s">
        <v>653</v>
      </c>
      <c r="C3" s="227" t="s">
        <v>2729</v>
      </c>
      <c r="D3" s="208" t="s">
        <v>1878</v>
      </c>
      <c r="E3" s="319" t="s">
        <v>3553</v>
      </c>
      <c r="F3" s="319"/>
      <c r="G3" s="209"/>
      <c r="H3" s="70"/>
      <c r="I3" s="70"/>
      <c r="J3" s="70"/>
      <c r="K3" s="70"/>
      <c r="L3" s="54">
        <v>40324</v>
      </c>
      <c r="M3" s="72">
        <f t="shared" ref="M3:M66" si="0">CJ3</f>
        <v>0</v>
      </c>
      <c r="N3" s="72">
        <f t="shared" ref="N3:N66" si="1">CN3</f>
        <v>0</v>
      </c>
      <c r="O3" s="72">
        <f t="shared" ref="O3:O66" si="2">CP3+CR3</f>
        <v>0</v>
      </c>
      <c r="P3" s="72">
        <f t="shared" ref="P3:P66" si="3">CL3</f>
        <v>0</v>
      </c>
      <c r="Q3" s="72"/>
      <c r="R3" s="72">
        <v>600000000</v>
      </c>
      <c r="S3" s="74">
        <f>M3+N3+O3+P3+Q3+R3</f>
        <v>600000000</v>
      </c>
      <c r="T3" s="76">
        <v>0</v>
      </c>
      <c r="U3" s="69">
        <v>40319</v>
      </c>
      <c r="V3" s="78">
        <v>97680</v>
      </c>
      <c r="W3" s="69" t="s">
        <v>1606</v>
      </c>
      <c r="X3" s="55" t="s">
        <v>1607</v>
      </c>
      <c r="Y3" s="61"/>
      <c r="Z3" s="195" t="s">
        <v>2730</v>
      </c>
      <c r="AA3" s="275" t="s">
        <v>1357</v>
      </c>
      <c r="AB3" s="3"/>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6"/>
      <c r="CE3" s="7"/>
      <c r="CF3" s="6"/>
      <c r="CG3" s="7"/>
      <c r="CH3" s="6"/>
      <c r="CI3" s="7"/>
      <c r="CJ3" s="8">
        <f t="shared" ref="CJ3:CJ66" si="4">AC3+AE3+AG3+AI3+AK3+AM3+AO3+AQ3+AS3+AU3+AW3+AY3+BA3+BC3+BE3+BG3+BI3+BK3+BM3+BO3+BQ3+BS3+BU3+BW3+BY3+CA3+CC3+CE3+CG3+CI3</f>
        <v>0</v>
      </c>
      <c r="CK3" s="9"/>
      <c r="CL3" s="10"/>
      <c r="CM3" s="11"/>
      <c r="CN3" s="12"/>
      <c r="CO3" s="28"/>
      <c r="CP3" s="12"/>
      <c r="CQ3" s="9"/>
      <c r="CR3" s="10"/>
      <c r="CS3" s="68">
        <v>8</v>
      </c>
      <c r="EC3" s="340" t="str">
        <f t="shared" ref="EC3:EC66" si="5">B3&amp;"_"&amp;C3</f>
        <v>CALDAS_MARMATO</v>
      </c>
      <c r="ED3" s="341"/>
      <c r="EE3" s="342" t="s">
        <v>3219</v>
      </c>
      <c r="EF3" s="343" t="s">
        <v>4338</v>
      </c>
      <c r="EG3" s="342" t="s">
        <v>3219</v>
      </c>
      <c r="EH3" s="341"/>
      <c r="EI3" s="341" t="str">
        <f t="shared" ref="EI3:EI35" si="6">EF3&amp;"_"&amp;EH3</f>
        <v>Total AMAZONAS_</v>
      </c>
    </row>
    <row r="4" spans="1:139" ht="60">
      <c r="A4" s="228">
        <v>39221</v>
      </c>
      <c r="B4" s="102" t="s">
        <v>1972</v>
      </c>
      <c r="C4" s="102" t="s">
        <v>1524</v>
      </c>
      <c r="D4" s="206" t="s">
        <v>1902</v>
      </c>
      <c r="E4" s="320" t="s">
        <v>3335</v>
      </c>
      <c r="F4" s="320"/>
      <c r="G4" s="210"/>
      <c r="H4" s="133" t="s">
        <v>167</v>
      </c>
      <c r="I4" s="71"/>
      <c r="J4" s="71"/>
      <c r="K4" s="71"/>
      <c r="L4" s="1">
        <v>40400</v>
      </c>
      <c r="M4" s="73">
        <f t="shared" si="0"/>
        <v>0</v>
      </c>
      <c r="N4" s="73">
        <f t="shared" si="1"/>
        <v>0</v>
      </c>
      <c r="O4" s="73">
        <f t="shared" si="2"/>
        <v>0</v>
      </c>
      <c r="P4" s="73">
        <f t="shared" si="3"/>
        <v>0</v>
      </c>
      <c r="Q4" s="73"/>
      <c r="R4" s="73">
        <v>50000000</v>
      </c>
      <c r="S4" s="75">
        <f>M4+N4+O4+P4+Q4+R4</f>
        <v>50000000</v>
      </c>
      <c r="T4" s="77">
        <v>0</v>
      </c>
      <c r="U4" s="66">
        <v>40252</v>
      </c>
      <c r="V4" s="79"/>
      <c r="W4" s="66" t="s">
        <v>1606</v>
      </c>
      <c r="X4" s="24" t="s">
        <v>1607</v>
      </c>
      <c r="Y4" s="62">
        <v>389</v>
      </c>
      <c r="Z4" s="196" t="s">
        <v>1525</v>
      </c>
      <c r="AA4" s="88" t="s">
        <v>1474</v>
      </c>
      <c r="AB4" s="105"/>
      <c r="AC4" s="4"/>
      <c r="AD4" s="5"/>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6"/>
      <c r="CE4" s="7"/>
      <c r="CF4" s="6"/>
      <c r="CG4" s="7"/>
      <c r="CH4" s="6"/>
      <c r="CI4" s="7"/>
      <c r="CJ4" s="8">
        <f t="shared" si="4"/>
        <v>0</v>
      </c>
      <c r="CK4" s="9"/>
      <c r="CL4" s="10"/>
      <c r="CM4" s="11"/>
      <c r="CN4" s="12"/>
      <c r="CO4" s="28"/>
      <c r="CP4" s="12"/>
      <c r="CQ4" s="9"/>
      <c r="CR4" s="10"/>
      <c r="CS4" s="68">
        <v>8</v>
      </c>
      <c r="EC4" s="344" t="str">
        <f t="shared" si="5"/>
        <v>ANTIOQUIA_TARAZA</v>
      </c>
      <c r="ED4" s="341"/>
      <c r="EE4" s="342" t="s">
        <v>3103</v>
      </c>
      <c r="EF4" s="343" t="s">
        <v>4339</v>
      </c>
      <c r="EG4" s="342" t="s">
        <v>3103</v>
      </c>
      <c r="EH4" s="341"/>
      <c r="EI4" s="341" t="str">
        <f t="shared" si="6"/>
        <v>Total ANTIOQUIA_</v>
      </c>
    </row>
    <row r="5" spans="1:139" ht="48">
      <c r="A5" s="228">
        <v>39600</v>
      </c>
      <c r="B5" s="102" t="s">
        <v>1314</v>
      </c>
      <c r="C5" s="102" t="s">
        <v>1223</v>
      </c>
      <c r="D5" s="206" t="s">
        <v>1244</v>
      </c>
      <c r="E5" s="320" t="s">
        <v>3619</v>
      </c>
      <c r="F5" s="320"/>
      <c r="G5" s="210"/>
      <c r="H5" s="71"/>
      <c r="I5" s="71"/>
      <c r="J5" s="71"/>
      <c r="K5" s="71"/>
      <c r="L5" s="1">
        <v>40346</v>
      </c>
      <c r="M5" s="73">
        <f t="shared" si="0"/>
        <v>0</v>
      </c>
      <c r="N5" s="73">
        <f t="shared" si="1"/>
        <v>0</v>
      </c>
      <c r="O5" s="73">
        <f t="shared" si="2"/>
        <v>0</v>
      </c>
      <c r="P5" s="73">
        <f t="shared" si="3"/>
        <v>0</v>
      </c>
      <c r="Q5" s="73"/>
      <c r="R5" s="73">
        <v>30000000</v>
      </c>
      <c r="S5" s="75">
        <f>M5+N5+O5+P5+Q5+R5</f>
        <v>30000000</v>
      </c>
      <c r="T5" s="77">
        <v>0</v>
      </c>
      <c r="U5" s="66">
        <v>40290</v>
      </c>
      <c r="V5" s="79">
        <v>96842</v>
      </c>
      <c r="W5" s="66" t="s">
        <v>1606</v>
      </c>
      <c r="X5" s="24" t="s">
        <v>1607</v>
      </c>
      <c r="Y5" s="62">
        <v>311</v>
      </c>
      <c r="Z5" s="196" t="s">
        <v>1224</v>
      </c>
      <c r="AA5" s="88" t="s">
        <v>1225</v>
      </c>
      <c r="AB5" s="105"/>
      <c r="AC5" s="4"/>
      <c r="AD5" s="5"/>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6"/>
      <c r="CE5" s="7"/>
      <c r="CF5" s="6"/>
      <c r="CG5" s="7"/>
      <c r="CH5" s="6"/>
      <c r="CI5" s="7"/>
      <c r="CJ5" s="8">
        <f t="shared" si="4"/>
        <v>0</v>
      </c>
      <c r="CK5" s="9"/>
      <c r="CL5" s="10"/>
      <c r="CM5" s="11"/>
      <c r="CN5" s="12"/>
      <c r="CO5" s="28"/>
      <c r="CP5" s="12"/>
      <c r="CQ5" s="9"/>
      <c r="CR5" s="10"/>
      <c r="CS5" s="68">
        <v>4</v>
      </c>
      <c r="EC5" s="344" t="str">
        <f t="shared" si="5"/>
        <v>CAUCA_SILVIA</v>
      </c>
      <c r="ED5" s="341"/>
      <c r="EE5" s="342" t="s">
        <v>3206</v>
      </c>
      <c r="EF5" s="343" t="s">
        <v>4340</v>
      </c>
      <c r="EG5" s="342" t="s">
        <v>3206</v>
      </c>
      <c r="EH5" s="341"/>
      <c r="EI5" s="341" t="str">
        <f t="shared" si="6"/>
        <v>Total ARAUCA_</v>
      </c>
    </row>
    <row r="6" spans="1:139" ht="48">
      <c r="A6" s="228">
        <v>39754</v>
      </c>
      <c r="B6" s="102" t="s">
        <v>1551</v>
      </c>
      <c r="C6" s="102" t="s">
        <v>306</v>
      </c>
      <c r="D6" s="206" t="s">
        <v>1201</v>
      </c>
      <c r="E6" s="320" t="s">
        <v>3373</v>
      </c>
      <c r="F6" s="320"/>
      <c r="G6" s="210"/>
      <c r="H6" s="71"/>
      <c r="I6" s="71"/>
      <c r="J6" s="71"/>
      <c r="K6" s="71"/>
      <c r="L6" s="1">
        <v>40339</v>
      </c>
      <c r="M6" s="73">
        <f t="shared" si="0"/>
        <v>0</v>
      </c>
      <c r="N6" s="73">
        <f t="shared" si="1"/>
        <v>0</v>
      </c>
      <c r="O6" s="73">
        <f t="shared" si="2"/>
        <v>0</v>
      </c>
      <c r="P6" s="73">
        <f t="shared" si="3"/>
        <v>0</v>
      </c>
      <c r="Q6" s="73"/>
      <c r="R6" s="73">
        <v>66360000</v>
      </c>
      <c r="S6" s="75">
        <f>M6+N6+O6+P6+Q6+R6</f>
        <v>66360000</v>
      </c>
      <c r="T6" s="77">
        <v>0</v>
      </c>
      <c r="U6" s="66">
        <v>40234</v>
      </c>
      <c r="V6" s="79">
        <v>95544</v>
      </c>
      <c r="W6" s="66" t="s">
        <v>1606</v>
      </c>
      <c r="X6" s="24" t="s">
        <v>1607</v>
      </c>
      <c r="Y6" s="62">
        <v>303</v>
      </c>
      <c r="Z6" s="196" t="s">
        <v>2129</v>
      </c>
      <c r="AA6" s="88" t="s">
        <v>307</v>
      </c>
      <c r="AB6" s="105"/>
      <c r="AC6" s="4"/>
      <c r="AD6" s="5"/>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6"/>
      <c r="CE6" s="7"/>
      <c r="CF6" s="6"/>
      <c r="CG6" s="7"/>
      <c r="CH6" s="6"/>
      <c r="CI6" s="7"/>
      <c r="CJ6" s="8">
        <f t="shared" si="4"/>
        <v>0</v>
      </c>
      <c r="CK6" s="9"/>
      <c r="CL6" s="10"/>
      <c r="CM6" s="11"/>
      <c r="CN6" s="12"/>
      <c r="CO6" s="28"/>
      <c r="CP6" s="12"/>
      <c r="CQ6" s="9"/>
      <c r="CR6" s="10"/>
      <c r="CS6" s="68">
        <v>3</v>
      </c>
      <c r="EC6" s="344" t="str">
        <f t="shared" si="5"/>
        <v>ATLANTICO_TUBARA</v>
      </c>
      <c r="ED6" s="341"/>
      <c r="EE6" s="342" t="s">
        <v>3110</v>
      </c>
      <c r="EF6" s="343" t="s">
        <v>4341</v>
      </c>
      <c r="EG6" s="342" t="s">
        <v>3110</v>
      </c>
      <c r="EH6" s="341"/>
      <c r="EI6" s="341" t="str">
        <f t="shared" si="6"/>
        <v>Total ATLANTICO_</v>
      </c>
    </row>
    <row r="7" spans="1:139" ht="60">
      <c r="A7" s="228">
        <v>39880</v>
      </c>
      <c r="B7" s="102" t="s">
        <v>1314</v>
      </c>
      <c r="C7" s="102" t="s">
        <v>1180</v>
      </c>
      <c r="D7" s="206" t="s">
        <v>1878</v>
      </c>
      <c r="E7" s="320" t="s">
        <v>3621</v>
      </c>
      <c r="F7" s="320"/>
      <c r="G7" s="210"/>
      <c r="H7" s="71"/>
      <c r="I7" s="71"/>
      <c r="J7" s="71"/>
      <c r="K7" s="71"/>
      <c r="L7" s="1">
        <v>40311</v>
      </c>
      <c r="M7" s="73">
        <f t="shared" si="0"/>
        <v>0</v>
      </c>
      <c r="N7" s="73">
        <f t="shared" si="1"/>
        <v>0</v>
      </c>
      <c r="O7" s="73">
        <f t="shared" si="2"/>
        <v>0</v>
      </c>
      <c r="P7" s="73">
        <f t="shared" si="3"/>
        <v>0</v>
      </c>
      <c r="Q7" s="73"/>
      <c r="R7" s="73">
        <v>300000000</v>
      </c>
      <c r="S7" s="75">
        <f>M7+N7+O7+P7+Q7+R7</f>
        <v>300000000</v>
      </c>
      <c r="T7" s="77">
        <v>0</v>
      </c>
      <c r="U7" s="66">
        <v>40310</v>
      </c>
      <c r="V7" s="79">
        <v>96954</v>
      </c>
      <c r="W7" s="66" t="s">
        <v>1606</v>
      </c>
      <c r="X7" s="24" t="s">
        <v>1607</v>
      </c>
      <c r="Y7" s="62">
        <v>249</v>
      </c>
      <c r="Z7" s="196" t="s">
        <v>1325</v>
      </c>
      <c r="AA7" s="88" t="s">
        <v>1326</v>
      </c>
      <c r="AB7" s="105"/>
      <c r="AC7" s="4"/>
      <c r="AD7" s="5"/>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6"/>
      <c r="CE7" s="7"/>
      <c r="CF7" s="6"/>
      <c r="CG7" s="7"/>
      <c r="CH7" s="6"/>
      <c r="CI7" s="7"/>
      <c r="CJ7" s="8">
        <f t="shared" si="4"/>
        <v>0</v>
      </c>
      <c r="CK7" s="9"/>
      <c r="CL7" s="10"/>
      <c r="CM7" s="11"/>
      <c r="CN7" s="12"/>
      <c r="CO7" s="28"/>
      <c r="CP7" s="12"/>
      <c r="CQ7" s="9"/>
      <c r="CR7" s="10"/>
      <c r="CS7" s="68">
        <v>4</v>
      </c>
      <c r="EC7" s="344" t="str">
        <f t="shared" si="5"/>
        <v>CAUCA_SUAREZ</v>
      </c>
      <c r="ED7" s="341"/>
      <c r="EE7" s="342" t="s">
        <v>3113</v>
      </c>
      <c r="EF7" s="343" t="s">
        <v>4342</v>
      </c>
      <c r="EG7" s="342" t="s">
        <v>3113</v>
      </c>
      <c r="EH7" s="341"/>
      <c r="EI7" s="341" t="str">
        <f t="shared" si="6"/>
        <v>Total BOGOTA D.C._</v>
      </c>
    </row>
    <row r="8" spans="1:139" ht="60">
      <c r="A8" s="228">
        <v>40033</v>
      </c>
      <c r="B8" s="102" t="s">
        <v>1088</v>
      </c>
      <c r="C8" s="102" t="s">
        <v>1777</v>
      </c>
      <c r="D8" s="206" t="s">
        <v>1201</v>
      </c>
      <c r="E8" s="320" t="s">
        <v>4233</v>
      </c>
      <c r="F8" s="320"/>
      <c r="G8" s="210"/>
      <c r="H8" s="71"/>
      <c r="I8" s="71"/>
      <c r="J8" s="71">
        <f>42*5</f>
        <v>210</v>
      </c>
      <c r="K8" s="71">
        <f>100-44-14</f>
        <v>42</v>
      </c>
      <c r="L8" s="1">
        <v>40380</v>
      </c>
      <c r="M8" s="73">
        <f t="shared" si="0"/>
        <v>0</v>
      </c>
      <c r="N8" s="73">
        <f t="shared" si="1"/>
        <v>0</v>
      </c>
      <c r="O8" s="73">
        <f t="shared" si="2"/>
        <v>0</v>
      </c>
      <c r="P8" s="73">
        <f t="shared" si="3"/>
        <v>0</v>
      </c>
      <c r="Q8" s="73"/>
      <c r="R8" s="73">
        <v>0</v>
      </c>
      <c r="S8" s="75">
        <v>46933400</v>
      </c>
      <c r="T8" s="77">
        <v>0</v>
      </c>
      <c r="U8" s="66">
        <v>39948</v>
      </c>
      <c r="V8" s="79"/>
      <c r="W8" s="66" t="s">
        <v>1606</v>
      </c>
      <c r="X8" s="24" t="s">
        <v>1607</v>
      </c>
      <c r="Y8" s="62">
        <v>363</v>
      </c>
      <c r="Z8" s="196" t="s">
        <v>1779</v>
      </c>
      <c r="AA8" s="88" t="s">
        <v>1778</v>
      </c>
      <c r="AB8" s="105"/>
      <c r="AC8" s="4"/>
      <c r="AD8" s="5"/>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6"/>
      <c r="CE8" s="7"/>
      <c r="CF8" s="6"/>
      <c r="CG8" s="7"/>
      <c r="CH8" s="6"/>
      <c r="CI8" s="7"/>
      <c r="CJ8" s="8">
        <f t="shared" si="4"/>
        <v>0</v>
      </c>
      <c r="CK8" s="9"/>
      <c r="CL8" s="10"/>
      <c r="CM8" s="11"/>
      <c r="CN8" s="12"/>
      <c r="CO8" s="28"/>
      <c r="CP8" s="12"/>
      <c r="CQ8" s="9"/>
      <c r="CR8" s="10"/>
      <c r="CS8" s="68">
        <v>8</v>
      </c>
      <c r="EC8" s="344" t="str">
        <f t="shared" si="5"/>
        <v>VALLE DEL CAUCA_CAICEDONIA</v>
      </c>
      <c r="ED8" s="341"/>
      <c r="EE8" s="342" t="s">
        <v>3114</v>
      </c>
      <c r="EF8" s="343" t="s">
        <v>4343</v>
      </c>
      <c r="EG8" s="342" t="s">
        <v>3114</v>
      </c>
      <c r="EH8" s="341"/>
      <c r="EI8" s="341" t="str">
        <f t="shared" si="6"/>
        <v>Total BOLIVAR_</v>
      </c>
    </row>
    <row r="9" spans="1:139" ht="72">
      <c r="A9" s="228">
        <v>40063</v>
      </c>
      <c r="B9" s="102" t="s">
        <v>1821</v>
      </c>
      <c r="C9" s="102" t="s">
        <v>1770</v>
      </c>
      <c r="D9" s="206" t="s">
        <v>1201</v>
      </c>
      <c r="E9" s="320" t="s">
        <v>3639</v>
      </c>
      <c r="F9" s="320"/>
      <c r="G9" s="210"/>
      <c r="H9" s="71"/>
      <c r="I9" s="71"/>
      <c r="J9" s="71"/>
      <c r="K9" s="71"/>
      <c r="L9" s="1">
        <v>40322</v>
      </c>
      <c r="M9" s="73">
        <f t="shared" si="0"/>
        <v>0</v>
      </c>
      <c r="N9" s="73">
        <f t="shared" si="1"/>
        <v>0</v>
      </c>
      <c r="O9" s="73">
        <f t="shared" si="2"/>
        <v>0</v>
      </c>
      <c r="P9" s="73">
        <f t="shared" si="3"/>
        <v>27074400</v>
      </c>
      <c r="Q9" s="73"/>
      <c r="R9" s="73">
        <v>220484855</v>
      </c>
      <c r="S9" s="75">
        <f t="shared" ref="S9:S72" si="7">M9+N9+O9+P9+Q9+R9</f>
        <v>247559255</v>
      </c>
      <c r="T9" s="77">
        <v>0</v>
      </c>
      <c r="U9" s="66">
        <v>40063</v>
      </c>
      <c r="V9" s="89" t="s">
        <v>571</v>
      </c>
      <c r="W9" s="66" t="s">
        <v>1606</v>
      </c>
      <c r="X9" s="24" t="s">
        <v>1607</v>
      </c>
      <c r="Y9" s="83" t="s">
        <v>313</v>
      </c>
      <c r="Z9" s="196" t="s">
        <v>1771</v>
      </c>
      <c r="AA9" s="88" t="s">
        <v>1772</v>
      </c>
      <c r="AB9" s="105"/>
      <c r="AC9" s="4"/>
      <c r="AD9" s="5"/>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6"/>
      <c r="CE9" s="7"/>
      <c r="CF9" s="6"/>
      <c r="CG9" s="7"/>
      <c r="CH9" s="6"/>
      <c r="CI9" s="7"/>
      <c r="CJ9" s="8">
        <f t="shared" si="4"/>
        <v>0</v>
      </c>
      <c r="CK9" s="9">
        <v>30000</v>
      </c>
      <c r="CL9" s="10">
        <f>30000*902.48</f>
        <v>27074400</v>
      </c>
      <c r="CM9" s="11"/>
      <c r="CN9" s="12"/>
      <c r="CO9" s="28"/>
      <c r="CP9" s="12"/>
      <c r="CQ9" s="9"/>
      <c r="CR9" s="10"/>
      <c r="CS9" s="68">
        <v>8</v>
      </c>
      <c r="EC9" s="344" t="str">
        <f t="shared" si="5"/>
        <v>CESAR_GAMARRA</v>
      </c>
      <c r="ED9" s="341"/>
      <c r="EE9" s="342" t="s">
        <v>3120</v>
      </c>
      <c r="EF9" s="343" t="s">
        <v>4344</v>
      </c>
      <c r="EG9" s="342" t="s">
        <v>3120</v>
      </c>
      <c r="EH9" s="341"/>
      <c r="EI9" s="341" t="str">
        <f t="shared" si="6"/>
        <v>Total BOYACA_</v>
      </c>
    </row>
    <row r="10" spans="1:139" ht="78.75">
      <c r="A10" s="228">
        <v>40179</v>
      </c>
      <c r="B10" s="102" t="s">
        <v>1972</v>
      </c>
      <c r="C10" s="102" t="s">
        <v>2716</v>
      </c>
      <c r="D10" s="206" t="s">
        <v>2606</v>
      </c>
      <c r="E10" s="320" t="s">
        <v>3338</v>
      </c>
      <c r="F10" s="320"/>
      <c r="G10" s="210"/>
      <c r="H10" s="71"/>
      <c r="I10" s="71"/>
      <c r="J10" s="71"/>
      <c r="K10" s="71"/>
      <c r="L10" s="1">
        <v>40312</v>
      </c>
      <c r="M10" s="73">
        <f t="shared" si="0"/>
        <v>0</v>
      </c>
      <c r="N10" s="73">
        <f t="shared" si="1"/>
        <v>0</v>
      </c>
      <c r="O10" s="73">
        <f t="shared" si="2"/>
        <v>143426888</v>
      </c>
      <c r="P10" s="73">
        <f t="shared" si="3"/>
        <v>0</v>
      </c>
      <c r="Q10" s="73"/>
      <c r="R10" s="73">
        <v>0</v>
      </c>
      <c r="S10" s="75">
        <f t="shared" si="7"/>
        <v>143426888</v>
      </c>
      <c r="T10" s="77">
        <v>0</v>
      </c>
      <c r="U10" s="66">
        <v>40296</v>
      </c>
      <c r="V10" s="79">
        <v>97062</v>
      </c>
      <c r="W10" s="66" t="s">
        <v>1606</v>
      </c>
      <c r="X10" s="24" t="s">
        <v>1607</v>
      </c>
      <c r="Y10" s="62">
        <v>119</v>
      </c>
      <c r="Z10" s="196" t="s">
        <v>1908</v>
      </c>
      <c r="AA10" s="82" t="s">
        <v>1909</v>
      </c>
      <c r="AB10" s="105"/>
      <c r="AC10" s="4"/>
      <c r="AD10" s="5"/>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6"/>
      <c r="CE10" s="7"/>
      <c r="CF10" s="6"/>
      <c r="CG10" s="7"/>
      <c r="CH10" s="6"/>
      <c r="CI10" s="7"/>
      <c r="CJ10" s="8">
        <f t="shared" si="4"/>
        <v>0</v>
      </c>
      <c r="CK10" s="9"/>
      <c r="CL10" s="10"/>
      <c r="CM10" s="11"/>
      <c r="CN10" s="12"/>
      <c r="CO10" s="28"/>
      <c r="CP10" s="12"/>
      <c r="CQ10" s="9">
        <f>351+2000+2000+1000</f>
        <v>5351</v>
      </c>
      <c r="CR10" s="10">
        <f>351*26000+18106*348+2000*34000+2000*20000+1000*20000</f>
        <v>143426888</v>
      </c>
      <c r="CS10" s="68"/>
      <c r="CT10" s="22" t="s">
        <v>1910</v>
      </c>
      <c r="EC10" s="344" t="str">
        <f t="shared" si="5"/>
        <v>ANTIOQUIA_TOLEDO</v>
      </c>
      <c r="ED10" s="341"/>
      <c r="EE10" s="342" t="s">
        <v>3125</v>
      </c>
      <c r="EF10" s="343" t="s">
        <v>4345</v>
      </c>
      <c r="EG10" s="342" t="s">
        <v>3125</v>
      </c>
      <c r="EH10" s="341"/>
      <c r="EI10" s="341" t="str">
        <f t="shared" si="6"/>
        <v>Total CALDAS_</v>
      </c>
    </row>
    <row r="11" spans="1:139" ht="51">
      <c r="A11" s="228">
        <v>40182</v>
      </c>
      <c r="B11" s="102" t="s">
        <v>1604</v>
      </c>
      <c r="C11" s="102" t="s">
        <v>1605</v>
      </c>
      <c r="D11" s="206" t="s">
        <v>2389</v>
      </c>
      <c r="E11" s="320" t="s">
        <v>3139</v>
      </c>
      <c r="F11" s="320"/>
      <c r="G11" s="210"/>
      <c r="H11" s="71"/>
      <c r="I11" s="71"/>
      <c r="J11" s="71"/>
      <c r="K11" s="71"/>
      <c r="L11" s="1">
        <v>40206</v>
      </c>
      <c r="M11" s="73">
        <f t="shared" si="0"/>
        <v>0</v>
      </c>
      <c r="N11" s="73">
        <f t="shared" si="1"/>
        <v>0</v>
      </c>
      <c r="O11" s="73">
        <f t="shared" si="2"/>
        <v>0</v>
      </c>
      <c r="P11" s="73">
        <f t="shared" si="3"/>
        <v>0</v>
      </c>
      <c r="Q11" s="73">
        <f>600*22000</f>
        <v>13200000</v>
      </c>
      <c r="R11" s="73">
        <v>0</v>
      </c>
      <c r="S11" s="75">
        <f t="shared" si="7"/>
        <v>13200000</v>
      </c>
      <c r="T11" s="77">
        <v>0</v>
      </c>
      <c r="U11" s="66">
        <v>40183</v>
      </c>
      <c r="V11" s="79">
        <v>94298</v>
      </c>
      <c r="W11" s="66" t="s">
        <v>1606</v>
      </c>
      <c r="X11" s="24" t="s">
        <v>1607</v>
      </c>
      <c r="Y11" s="62">
        <v>13</v>
      </c>
      <c r="Z11" s="196" t="s">
        <v>1608</v>
      </c>
      <c r="AA11" s="82" t="s">
        <v>584</v>
      </c>
      <c r="AB11" s="105"/>
      <c r="AC11" s="4"/>
      <c r="AD11" s="5"/>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6"/>
      <c r="CE11" s="7"/>
      <c r="CF11" s="6"/>
      <c r="CG11" s="7"/>
      <c r="CH11" s="6"/>
      <c r="CI11" s="7"/>
      <c r="CJ11" s="8">
        <f t="shared" si="4"/>
        <v>0</v>
      </c>
      <c r="CK11" s="9"/>
      <c r="CL11" s="10"/>
      <c r="CM11" s="11"/>
      <c r="CN11" s="12"/>
      <c r="CO11" s="28"/>
      <c r="CP11" s="12"/>
      <c r="CQ11" s="9"/>
      <c r="CR11" s="10"/>
      <c r="CS11" s="68"/>
      <c r="EC11" s="344" t="str">
        <f t="shared" si="5"/>
        <v>CUNDINAMARCA_DEPARTAMENTO</v>
      </c>
      <c r="ED11" s="341"/>
      <c r="EE11" s="342" t="s">
        <v>3128</v>
      </c>
      <c r="EF11" s="343" t="s">
        <v>4346</v>
      </c>
      <c r="EG11" s="342" t="s">
        <v>3128</v>
      </c>
      <c r="EH11" s="341"/>
      <c r="EI11" s="341" t="str">
        <f t="shared" si="6"/>
        <v>Total CAQUETA_</v>
      </c>
    </row>
    <row r="12" spans="1:139" ht="63.75">
      <c r="A12" s="228">
        <v>40182</v>
      </c>
      <c r="B12" s="102" t="s">
        <v>1824</v>
      </c>
      <c r="C12" s="102" t="s">
        <v>3175</v>
      </c>
      <c r="D12" s="206" t="s">
        <v>1169</v>
      </c>
      <c r="E12" s="320" t="s">
        <v>3995</v>
      </c>
      <c r="F12" s="320"/>
      <c r="G12" s="210"/>
      <c r="H12" s="71"/>
      <c r="I12" s="71"/>
      <c r="J12" s="71">
        <v>640</v>
      </c>
      <c r="K12" s="71">
        <v>135</v>
      </c>
      <c r="L12" s="1"/>
      <c r="M12" s="73">
        <f t="shared" si="0"/>
        <v>0</v>
      </c>
      <c r="N12" s="73">
        <f t="shared" si="1"/>
        <v>0</v>
      </c>
      <c r="O12" s="73">
        <f t="shared" si="2"/>
        <v>0</v>
      </c>
      <c r="P12" s="73">
        <f t="shared" si="3"/>
        <v>0</v>
      </c>
      <c r="Q12" s="73"/>
      <c r="R12" s="73">
        <v>0</v>
      </c>
      <c r="S12" s="75">
        <f t="shared" si="7"/>
        <v>0</v>
      </c>
      <c r="T12" s="77">
        <v>0</v>
      </c>
      <c r="U12" s="66">
        <v>40218</v>
      </c>
      <c r="V12" s="79">
        <v>95066</v>
      </c>
      <c r="W12" s="66" t="s">
        <v>1585</v>
      </c>
      <c r="X12" s="24" t="s">
        <v>1586</v>
      </c>
      <c r="Y12" s="62"/>
      <c r="Z12" s="196" t="s">
        <v>1185</v>
      </c>
      <c r="AA12" s="82" t="s">
        <v>892</v>
      </c>
      <c r="AB12" s="105"/>
      <c r="AC12" s="4"/>
      <c r="AD12" s="5"/>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6"/>
      <c r="CE12" s="7"/>
      <c r="CF12" s="6"/>
      <c r="CG12" s="7"/>
      <c r="CH12" s="6"/>
      <c r="CI12" s="7"/>
      <c r="CJ12" s="8">
        <f t="shared" si="4"/>
        <v>0</v>
      </c>
      <c r="CK12" s="9"/>
      <c r="CL12" s="10"/>
      <c r="CM12" s="11"/>
      <c r="CN12" s="12"/>
      <c r="CO12" s="28"/>
      <c r="CP12" s="12"/>
      <c r="CQ12" s="9"/>
      <c r="CR12" s="10"/>
      <c r="CS12" s="68"/>
      <c r="EC12" s="344" t="str">
        <f t="shared" si="5"/>
        <v>NARIÑO_SAN ANDRES DE TUMACO</v>
      </c>
      <c r="ED12" s="341"/>
      <c r="EE12" s="342" t="s">
        <v>3208</v>
      </c>
      <c r="EF12" s="343" t="s">
        <v>4347</v>
      </c>
      <c r="EG12" s="342" t="s">
        <v>3208</v>
      </c>
      <c r="EH12" s="341"/>
      <c r="EI12" s="341" t="str">
        <f t="shared" si="6"/>
        <v>Total CASANARE_</v>
      </c>
    </row>
    <row r="13" spans="1:139" ht="60">
      <c r="A13" s="228">
        <v>40182</v>
      </c>
      <c r="B13" s="102" t="s">
        <v>1609</v>
      </c>
      <c r="C13" s="102" t="s">
        <v>1605</v>
      </c>
      <c r="D13" s="206" t="s">
        <v>2389</v>
      </c>
      <c r="E13" s="320" t="s">
        <v>3182</v>
      </c>
      <c r="F13" s="320"/>
      <c r="G13" s="210"/>
      <c r="H13" s="71"/>
      <c r="I13" s="71"/>
      <c r="J13" s="71"/>
      <c r="K13" s="71"/>
      <c r="L13" s="1">
        <v>40206</v>
      </c>
      <c r="M13" s="73">
        <f t="shared" si="0"/>
        <v>0</v>
      </c>
      <c r="N13" s="73">
        <f t="shared" si="1"/>
        <v>2101853</v>
      </c>
      <c r="O13" s="73">
        <f t="shared" si="2"/>
        <v>0</v>
      </c>
      <c r="P13" s="73">
        <f t="shared" si="3"/>
        <v>0</v>
      </c>
      <c r="Q13" s="73">
        <f>294*22000</f>
        <v>6468000</v>
      </c>
      <c r="R13" s="73">
        <v>0</v>
      </c>
      <c r="S13" s="75">
        <f t="shared" si="7"/>
        <v>8569853</v>
      </c>
      <c r="T13" s="77">
        <v>0</v>
      </c>
      <c r="U13" s="66">
        <v>40192</v>
      </c>
      <c r="V13" s="79">
        <v>94442</v>
      </c>
      <c r="W13" s="66" t="s">
        <v>1606</v>
      </c>
      <c r="X13" s="24" t="s">
        <v>1607</v>
      </c>
      <c r="Y13" s="62">
        <v>13</v>
      </c>
      <c r="Z13" s="196" t="s">
        <v>1608</v>
      </c>
      <c r="AA13" s="82" t="s">
        <v>1619</v>
      </c>
      <c r="AB13" s="105"/>
      <c r="AC13" s="4"/>
      <c r="AD13" s="5"/>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6"/>
      <c r="CE13" s="7"/>
      <c r="CF13" s="6"/>
      <c r="CG13" s="7"/>
      <c r="CH13" s="6"/>
      <c r="CI13" s="7"/>
      <c r="CJ13" s="8">
        <f t="shared" si="4"/>
        <v>0</v>
      </c>
      <c r="CK13" s="9"/>
      <c r="CL13" s="10"/>
      <c r="CM13" s="11">
        <v>1</v>
      </c>
      <c r="CN13" s="12">
        <v>2101853</v>
      </c>
      <c r="CO13" s="28"/>
      <c r="CP13" s="12"/>
      <c r="CQ13" s="9"/>
      <c r="CR13" s="10"/>
      <c r="CS13" s="68"/>
      <c r="EC13" s="344" t="str">
        <f t="shared" si="5"/>
        <v>RISARALDA_DEPARTAMENTO</v>
      </c>
      <c r="ED13" s="341"/>
      <c r="EE13" s="342" t="s">
        <v>3131</v>
      </c>
      <c r="EF13" s="343" t="s">
        <v>4348</v>
      </c>
      <c r="EG13" s="342" t="s">
        <v>3131</v>
      </c>
      <c r="EH13" s="341"/>
      <c r="EI13" s="341" t="str">
        <f t="shared" si="6"/>
        <v>Total CAUCA_</v>
      </c>
    </row>
    <row r="14" spans="1:139" ht="48">
      <c r="A14" s="228">
        <v>40184</v>
      </c>
      <c r="B14" s="102" t="s">
        <v>1314</v>
      </c>
      <c r="C14" s="218" t="s">
        <v>1598</v>
      </c>
      <c r="D14" s="206" t="s">
        <v>1589</v>
      </c>
      <c r="E14" s="320" t="s">
        <v>3626</v>
      </c>
      <c r="F14" s="320"/>
      <c r="G14" s="210"/>
      <c r="H14" s="71"/>
      <c r="I14" s="71"/>
      <c r="J14" s="71">
        <f>261*5</f>
        <v>1305</v>
      </c>
      <c r="K14" s="71">
        <v>261</v>
      </c>
      <c r="L14" s="1">
        <v>40262</v>
      </c>
      <c r="M14" s="73">
        <f t="shared" si="0"/>
        <v>0</v>
      </c>
      <c r="N14" s="73">
        <f t="shared" si="1"/>
        <v>44370000</v>
      </c>
      <c r="O14" s="73">
        <f t="shared" si="2"/>
        <v>0</v>
      </c>
      <c r="P14" s="73">
        <f t="shared" si="3"/>
        <v>0</v>
      </c>
      <c r="Q14" s="73"/>
      <c r="R14" s="73">
        <v>0</v>
      </c>
      <c r="S14" s="75">
        <f t="shared" si="7"/>
        <v>44370000</v>
      </c>
      <c r="T14" s="77">
        <v>0</v>
      </c>
      <c r="U14" s="66">
        <v>40186</v>
      </c>
      <c r="V14" s="79">
        <v>94895</v>
      </c>
      <c r="W14" s="66" t="s">
        <v>1606</v>
      </c>
      <c r="X14" s="24" t="s">
        <v>1607</v>
      </c>
      <c r="Y14" s="62">
        <v>52</v>
      </c>
      <c r="Z14" s="196" t="s">
        <v>567</v>
      </c>
      <c r="AA14" s="82" t="s">
        <v>503</v>
      </c>
      <c r="AB14" s="105"/>
      <c r="AC14" s="4"/>
      <c r="AD14" s="5"/>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6"/>
      <c r="CE14" s="7"/>
      <c r="CF14" s="6"/>
      <c r="CG14" s="7"/>
      <c r="CH14" s="6"/>
      <c r="CI14" s="7"/>
      <c r="CJ14" s="8">
        <f t="shared" si="4"/>
        <v>0</v>
      </c>
      <c r="CK14" s="9"/>
      <c r="CL14" s="10"/>
      <c r="CM14" s="11">
        <v>522</v>
      </c>
      <c r="CN14" s="12">
        <f>522*85000</f>
        <v>44370000</v>
      </c>
      <c r="CO14" s="28"/>
      <c r="CP14" s="12"/>
      <c r="CQ14" s="9"/>
      <c r="CR14" s="10"/>
      <c r="CS14" s="68"/>
      <c r="EC14" s="344" t="str">
        <f t="shared" si="5"/>
        <v>CAUCA_TOTORO</v>
      </c>
      <c r="ED14" s="341"/>
      <c r="EE14" s="342" t="s">
        <v>3134</v>
      </c>
      <c r="EF14" s="343" t="s">
        <v>4349</v>
      </c>
      <c r="EG14" s="342" t="s">
        <v>3134</v>
      </c>
      <c r="EH14" s="341"/>
      <c r="EI14" s="341" t="str">
        <f t="shared" si="6"/>
        <v>Total CESAR_</v>
      </c>
    </row>
    <row r="15" spans="1:139" ht="25.5">
      <c r="A15" s="228">
        <v>40186</v>
      </c>
      <c r="B15" s="102" t="s">
        <v>1314</v>
      </c>
      <c r="C15" s="102" t="s">
        <v>1315</v>
      </c>
      <c r="D15" s="206" t="s">
        <v>1316</v>
      </c>
      <c r="E15" s="320" t="s">
        <v>3586</v>
      </c>
      <c r="F15" s="320"/>
      <c r="G15" s="210"/>
      <c r="H15" s="71"/>
      <c r="I15" s="71"/>
      <c r="J15" s="71">
        <v>17</v>
      </c>
      <c r="K15" s="71">
        <v>3</v>
      </c>
      <c r="L15" s="1"/>
      <c r="M15" s="73">
        <f t="shared" si="0"/>
        <v>0</v>
      </c>
      <c r="N15" s="73">
        <f t="shared" si="1"/>
        <v>0</v>
      </c>
      <c r="O15" s="73">
        <f t="shared" si="2"/>
        <v>0</v>
      </c>
      <c r="P15" s="73">
        <f t="shared" si="3"/>
        <v>0</v>
      </c>
      <c r="Q15" s="73"/>
      <c r="R15" s="73">
        <v>0</v>
      </c>
      <c r="S15" s="75">
        <f t="shared" si="7"/>
        <v>0</v>
      </c>
      <c r="T15" s="77">
        <v>0</v>
      </c>
      <c r="U15" s="66">
        <v>40186</v>
      </c>
      <c r="V15" s="79"/>
      <c r="W15" s="66" t="s">
        <v>1585</v>
      </c>
      <c r="X15" s="24" t="s">
        <v>1586</v>
      </c>
      <c r="Y15" s="62"/>
      <c r="Z15" s="196" t="s">
        <v>894</v>
      </c>
      <c r="AA15" s="82" t="s">
        <v>1587</v>
      </c>
      <c r="AB15" s="105"/>
      <c r="AC15" s="4"/>
      <c r="AD15" s="5"/>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6"/>
      <c r="CE15" s="7"/>
      <c r="CF15" s="6"/>
      <c r="CG15" s="7"/>
      <c r="CH15" s="6"/>
      <c r="CI15" s="7"/>
      <c r="CJ15" s="8">
        <f t="shared" si="4"/>
        <v>0</v>
      </c>
      <c r="CK15" s="9"/>
      <c r="CL15" s="10"/>
      <c r="CM15" s="11"/>
      <c r="CN15" s="12"/>
      <c r="CO15" s="28"/>
      <c r="CP15" s="12"/>
      <c r="CQ15" s="9"/>
      <c r="CR15" s="10"/>
      <c r="CS15" s="68"/>
      <c r="EC15" s="344" t="str">
        <f t="shared" si="5"/>
        <v>CAUCA_POPAYAN</v>
      </c>
      <c r="ED15" s="341"/>
      <c r="EE15" s="342" t="s">
        <v>3136</v>
      </c>
      <c r="EF15" s="343" t="s">
        <v>4350</v>
      </c>
      <c r="EG15" s="342" t="s">
        <v>3136</v>
      </c>
      <c r="EH15" s="341"/>
      <c r="EI15" s="341" t="str">
        <f t="shared" si="6"/>
        <v>Total CORDOBA_</v>
      </c>
    </row>
    <row r="16" spans="1:139" ht="38.25">
      <c r="A16" s="228">
        <v>40186</v>
      </c>
      <c r="B16" s="102" t="s">
        <v>1314</v>
      </c>
      <c r="C16" s="218" t="s">
        <v>1588</v>
      </c>
      <c r="D16" s="206" t="s">
        <v>1589</v>
      </c>
      <c r="E16" s="320" t="s">
        <v>3616</v>
      </c>
      <c r="F16" s="320"/>
      <c r="G16" s="210"/>
      <c r="H16" s="71"/>
      <c r="I16" s="71"/>
      <c r="J16" s="71"/>
      <c r="K16" s="71"/>
      <c r="L16" s="1"/>
      <c r="M16" s="73">
        <f t="shared" si="0"/>
        <v>0</v>
      </c>
      <c r="N16" s="73">
        <f t="shared" si="1"/>
        <v>0</v>
      </c>
      <c r="O16" s="73">
        <f t="shared" si="2"/>
        <v>0</v>
      </c>
      <c r="P16" s="73">
        <f t="shared" si="3"/>
        <v>0</v>
      </c>
      <c r="Q16" s="73"/>
      <c r="R16" s="73">
        <v>0</v>
      </c>
      <c r="S16" s="75">
        <f t="shared" si="7"/>
        <v>0</v>
      </c>
      <c r="T16" s="77">
        <v>0</v>
      </c>
      <c r="U16" s="66">
        <v>40186</v>
      </c>
      <c r="V16" s="79"/>
      <c r="W16" s="66" t="s">
        <v>1585</v>
      </c>
      <c r="X16" s="24" t="s">
        <v>1586</v>
      </c>
      <c r="Y16" s="62"/>
      <c r="Z16" s="196" t="s">
        <v>894</v>
      </c>
      <c r="AA16" s="82" t="s">
        <v>1599</v>
      </c>
      <c r="AB16" s="105"/>
      <c r="AC16" s="4"/>
      <c r="AD16" s="5"/>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6"/>
      <c r="CE16" s="7"/>
      <c r="CF16" s="6"/>
      <c r="CG16" s="7"/>
      <c r="CH16" s="6"/>
      <c r="CI16" s="7"/>
      <c r="CJ16" s="8">
        <f t="shared" si="4"/>
        <v>0</v>
      </c>
      <c r="CK16" s="9"/>
      <c r="CL16" s="10"/>
      <c r="CM16" s="11"/>
      <c r="CN16" s="12"/>
      <c r="CO16" s="28"/>
      <c r="CP16" s="12"/>
      <c r="CQ16" s="9"/>
      <c r="CR16" s="10"/>
      <c r="CS16" s="68"/>
      <c r="EC16" s="344" t="str">
        <f t="shared" si="5"/>
        <v>CAUCA_SAN SEBASTIAN</v>
      </c>
      <c r="ED16" s="341"/>
      <c r="EE16" s="342" t="s">
        <v>3139</v>
      </c>
      <c r="EF16" s="343" t="s">
        <v>4351</v>
      </c>
      <c r="EG16" s="342" t="s">
        <v>3139</v>
      </c>
      <c r="EH16" s="341"/>
      <c r="EI16" s="341" t="str">
        <f t="shared" si="6"/>
        <v>Total CUNDINAMARCA_</v>
      </c>
    </row>
    <row r="17" spans="1:139" ht="67.5">
      <c r="A17" s="228">
        <v>40187</v>
      </c>
      <c r="B17" s="102" t="s">
        <v>1314</v>
      </c>
      <c r="C17" s="102" t="s">
        <v>895</v>
      </c>
      <c r="D17" s="206" t="s">
        <v>1589</v>
      </c>
      <c r="E17" s="320" t="s">
        <v>3602</v>
      </c>
      <c r="F17" s="320"/>
      <c r="G17" s="210"/>
      <c r="H17" s="71"/>
      <c r="I17" s="71"/>
      <c r="J17" s="71">
        <f>967*5</f>
        <v>4835</v>
      </c>
      <c r="K17" s="71">
        <v>967</v>
      </c>
      <c r="L17" s="1">
        <v>40262</v>
      </c>
      <c r="M17" s="73">
        <f t="shared" si="0"/>
        <v>0</v>
      </c>
      <c r="N17" s="73">
        <f t="shared" si="1"/>
        <v>82195000</v>
      </c>
      <c r="O17" s="73">
        <f t="shared" si="2"/>
        <v>0</v>
      </c>
      <c r="P17" s="73">
        <f t="shared" si="3"/>
        <v>0</v>
      </c>
      <c r="Q17" s="73"/>
      <c r="R17" s="73">
        <v>0</v>
      </c>
      <c r="S17" s="75">
        <f t="shared" si="7"/>
        <v>82195000</v>
      </c>
      <c r="T17" s="77">
        <v>0</v>
      </c>
      <c r="U17" s="66">
        <v>40226</v>
      </c>
      <c r="V17" s="79">
        <v>95320</v>
      </c>
      <c r="W17" s="66" t="s">
        <v>1606</v>
      </c>
      <c r="X17" s="24" t="s">
        <v>1607</v>
      </c>
      <c r="Y17" s="62">
        <v>52</v>
      </c>
      <c r="Z17" s="196" t="s">
        <v>1079</v>
      </c>
      <c r="AA17" s="82" t="s">
        <v>302</v>
      </c>
      <c r="AB17" s="105"/>
      <c r="AC17" s="4"/>
      <c r="AD17" s="5"/>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6"/>
      <c r="CE17" s="7"/>
      <c r="CF17" s="6"/>
      <c r="CG17" s="7"/>
      <c r="CH17" s="6"/>
      <c r="CI17" s="7"/>
      <c r="CJ17" s="8">
        <f t="shared" si="4"/>
        <v>0</v>
      </c>
      <c r="CK17" s="9"/>
      <c r="CL17" s="10"/>
      <c r="CM17" s="11">
        <v>967</v>
      </c>
      <c r="CN17" s="12">
        <f>967*85000</f>
        <v>82195000</v>
      </c>
      <c r="CO17" s="28"/>
      <c r="CP17" s="12"/>
      <c r="CQ17" s="9"/>
      <c r="CR17" s="10"/>
      <c r="CS17" s="68"/>
      <c r="EC17" s="344" t="str">
        <f t="shared" si="5"/>
        <v>CAUCA_LA SIERRA</v>
      </c>
      <c r="ED17" s="341"/>
      <c r="EE17" s="342" t="s">
        <v>3150</v>
      </c>
      <c r="EF17" s="343" t="s">
        <v>4352</v>
      </c>
      <c r="EG17" s="342" t="s">
        <v>3150</v>
      </c>
      <c r="EH17" s="341"/>
      <c r="EI17" s="341" t="str">
        <f t="shared" si="6"/>
        <v>Total CHOCO_</v>
      </c>
    </row>
    <row r="18" spans="1:139" ht="25.5">
      <c r="A18" s="228">
        <v>40188</v>
      </c>
      <c r="B18" s="102" t="s">
        <v>1314</v>
      </c>
      <c r="C18" s="218" t="s">
        <v>1600</v>
      </c>
      <c r="D18" s="206" t="s">
        <v>2606</v>
      </c>
      <c r="E18" s="320" t="s">
        <v>3609</v>
      </c>
      <c r="F18" s="320"/>
      <c r="G18" s="210"/>
      <c r="H18" s="71"/>
      <c r="I18" s="71"/>
      <c r="J18" s="71">
        <v>16</v>
      </c>
      <c r="K18" s="71">
        <v>5</v>
      </c>
      <c r="L18" s="1"/>
      <c r="M18" s="73">
        <f t="shared" si="0"/>
        <v>0</v>
      </c>
      <c r="N18" s="73">
        <f t="shared" si="1"/>
        <v>0</v>
      </c>
      <c r="O18" s="73">
        <f t="shared" si="2"/>
        <v>0</v>
      </c>
      <c r="P18" s="73">
        <f t="shared" si="3"/>
        <v>0</v>
      </c>
      <c r="Q18" s="73"/>
      <c r="R18" s="73">
        <v>0</v>
      </c>
      <c r="S18" s="75">
        <f t="shared" si="7"/>
        <v>0</v>
      </c>
      <c r="T18" s="77">
        <v>0</v>
      </c>
      <c r="U18" s="66">
        <v>40188</v>
      </c>
      <c r="V18" s="79"/>
      <c r="W18" s="66" t="s">
        <v>1585</v>
      </c>
      <c r="X18" s="24" t="s">
        <v>1586</v>
      </c>
      <c r="Y18" s="62"/>
      <c r="Z18" s="196" t="s">
        <v>894</v>
      </c>
      <c r="AA18" s="82" t="s">
        <v>1602</v>
      </c>
      <c r="AB18" s="105"/>
      <c r="AC18" s="4"/>
      <c r="AD18" s="5"/>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6"/>
      <c r="CE18" s="7"/>
      <c r="CF18" s="6"/>
      <c r="CG18" s="7"/>
      <c r="CH18" s="6"/>
      <c r="CI18" s="7"/>
      <c r="CJ18" s="8">
        <f t="shared" si="4"/>
        <v>0</v>
      </c>
      <c r="CK18" s="9"/>
      <c r="CL18" s="10"/>
      <c r="CM18" s="11"/>
      <c r="CN18" s="12"/>
      <c r="CO18" s="28"/>
      <c r="CP18" s="12"/>
      <c r="CQ18" s="9"/>
      <c r="CR18" s="10"/>
      <c r="CS18" s="68"/>
      <c r="EC18" s="344" t="str">
        <f t="shared" si="5"/>
        <v>CAUCA_PAEZ</v>
      </c>
      <c r="ED18" s="341"/>
      <c r="EE18" s="342" t="s">
        <v>3220</v>
      </c>
      <c r="EF18" s="343" t="s">
        <v>4353</v>
      </c>
      <c r="EG18" s="342" t="s">
        <v>3220</v>
      </c>
      <c r="EH18" s="341"/>
      <c r="EI18" s="341" t="str">
        <f t="shared" si="6"/>
        <v>Total GUAINIA_</v>
      </c>
    </row>
    <row r="19" spans="1:139" ht="45">
      <c r="A19" s="228">
        <v>40192</v>
      </c>
      <c r="B19" s="102" t="s">
        <v>2298</v>
      </c>
      <c r="C19" s="102" t="s">
        <v>1610</v>
      </c>
      <c r="D19" s="206" t="s">
        <v>2389</v>
      </c>
      <c r="E19" s="320" t="s">
        <v>3375</v>
      </c>
      <c r="F19" s="320"/>
      <c r="G19" s="210"/>
      <c r="H19" s="71"/>
      <c r="I19" s="71"/>
      <c r="J19" s="71"/>
      <c r="K19" s="71"/>
      <c r="L19" s="1">
        <v>40206</v>
      </c>
      <c r="M19" s="73">
        <f t="shared" si="0"/>
        <v>0</v>
      </c>
      <c r="N19" s="73">
        <f t="shared" si="1"/>
        <v>0</v>
      </c>
      <c r="O19" s="73">
        <f t="shared" si="2"/>
        <v>0</v>
      </c>
      <c r="P19" s="73">
        <f t="shared" si="3"/>
        <v>0</v>
      </c>
      <c r="Q19" s="73">
        <f>300*22000</f>
        <v>6600000</v>
      </c>
      <c r="R19" s="73">
        <v>0</v>
      </c>
      <c r="S19" s="75">
        <f t="shared" si="7"/>
        <v>6600000</v>
      </c>
      <c r="T19" s="77">
        <v>0</v>
      </c>
      <c r="U19" s="66">
        <v>40192</v>
      </c>
      <c r="V19" s="79">
        <v>94443</v>
      </c>
      <c r="W19" s="66" t="s">
        <v>1606</v>
      </c>
      <c r="X19" s="24" t="s">
        <v>1607</v>
      </c>
      <c r="Y19" s="62">
        <v>13</v>
      </c>
      <c r="Z19" s="196" t="s">
        <v>1608</v>
      </c>
      <c r="AA19" s="82" t="s">
        <v>1620</v>
      </c>
      <c r="AB19" s="105"/>
      <c r="AC19" s="4"/>
      <c r="AD19" s="5"/>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6"/>
      <c r="CE19" s="7"/>
      <c r="CF19" s="6"/>
      <c r="CG19" s="7"/>
      <c r="CH19" s="6"/>
      <c r="CI19" s="7"/>
      <c r="CJ19" s="8">
        <f t="shared" si="4"/>
        <v>0</v>
      </c>
      <c r="CK19" s="9"/>
      <c r="CL19" s="10"/>
      <c r="CM19" s="11"/>
      <c r="CN19" s="12"/>
      <c r="CO19" s="28"/>
      <c r="CP19" s="12"/>
      <c r="CQ19" s="9"/>
      <c r="CR19" s="10"/>
      <c r="CS19" s="68"/>
      <c r="EC19" s="344" t="str">
        <f t="shared" si="5"/>
        <v>BOGOTA D.C._BOGOTA</v>
      </c>
      <c r="ED19" s="341"/>
      <c r="EE19" s="342" t="s">
        <v>3159</v>
      </c>
      <c r="EF19" s="343" t="s">
        <v>4354</v>
      </c>
      <c r="EG19" s="342" t="s">
        <v>3159</v>
      </c>
      <c r="EH19" s="341"/>
      <c r="EI19" s="341" t="str">
        <f t="shared" si="6"/>
        <v>Total GUAJIRA_</v>
      </c>
    </row>
    <row r="20" spans="1:139" ht="72">
      <c r="A20" s="228">
        <v>40192</v>
      </c>
      <c r="B20" s="102" t="s">
        <v>1996</v>
      </c>
      <c r="C20" s="102" t="s">
        <v>1891</v>
      </c>
      <c r="D20" s="206" t="s">
        <v>620</v>
      </c>
      <c r="E20" s="320" t="s">
        <v>3812</v>
      </c>
      <c r="F20" s="320"/>
      <c r="G20" s="210"/>
      <c r="H20" s="71"/>
      <c r="I20" s="71"/>
      <c r="J20" s="71"/>
      <c r="K20" s="71"/>
      <c r="L20" s="1">
        <v>40287</v>
      </c>
      <c r="M20" s="73">
        <f t="shared" si="0"/>
        <v>0</v>
      </c>
      <c r="N20" s="73">
        <f t="shared" si="1"/>
        <v>0</v>
      </c>
      <c r="O20" s="73">
        <f t="shared" si="2"/>
        <v>0</v>
      </c>
      <c r="P20" s="73">
        <f t="shared" si="3"/>
        <v>0</v>
      </c>
      <c r="Q20" s="73"/>
      <c r="R20" s="73">
        <v>40000000</v>
      </c>
      <c r="S20" s="75">
        <f t="shared" si="7"/>
        <v>40000000</v>
      </c>
      <c r="T20" s="77">
        <v>0</v>
      </c>
      <c r="U20" s="66">
        <v>40218</v>
      </c>
      <c r="V20" s="79">
        <v>95080</v>
      </c>
      <c r="W20" s="66" t="s">
        <v>1606</v>
      </c>
      <c r="X20" s="24" t="s">
        <v>1607</v>
      </c>
      <c r="Y20" s="62">
        <v>202</v>
      </c>
      <c r="Z20" s="196" t="s">
        <v>1894</v>
      </c>
      <c r="AA20" s="88" t="s">
        <v>946</v>
      </c>
      <c r="AB20" s="105"/>
      <c r="AC20" s="4"/>
      <c r="AD20" s="5"/>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6"/>
      <c r="CE20" s="7"/>
      <c r="CF20" s="6"/>
      <c r="CG20" s="7"/>
      <c r="CH20" s="6"/>
      <c r="CI20" s="7"/>
      <c r="CJ20" s="8">
        <f t="shared" si="4"/>
        <v>0</v>
      </c>
      <c r="CK20" s="9"/>
      <c r="CL20" s="10"/>
      <c r="CM20" s="11"/>
      <c r="CN20" s="12"/>
      <c r="CO20" s="28"/>
      <c r="CP20" s="12"/>
      <c r="CQ20" s="9"/>
      <c r="CR20" s="10"/>
      <c r="CS20" s="68">
        <v>2</v>
      </c>
      <c r="EC20" s="344" t="str">
        <f t="shared" si="5"/>
        <v>CHOCO_MEDIO SAN JUAN</v>
      </c>
      <c r="ED20" s="341"/>
      <c r="EE20" s="342" t="s">
        <v>3222</v>
      </c>
      <c r="EF20" s="343" t="s">
        <v>4355</v>
      </c>
      <c r="EG20" s="342" t="s">
        <v>3222</v>
      </c>
      <c r="EH20" s="341"/>
      <c r="EI20" s="341" t="str">
        <f t="shared" si="6"/>
        <v>Total GUAVIARE_</v>
      </c>
    </row>
    <row r="21" spans="1:139" ht="45">
      <c r="A21" s="228">
        <v>40192</v>
      </c>
      <c r="B21" s="102" t="s">
        <v>1611</v>
      </c>
      <c r="C21" s="102" t="s">
        <v>1611</v>
      </c>
      <c r="D21" s="206" t="s">
        <v>2389</v>
      </c>
      <c r="E21" s="320" t="e">
        <v>#N/A</v>
      </c>
      <c r="F21" s="320"/>
      <c r="G21" s="210"/>
      <c r="H21" s="71"/>
      <c r="I21" s="71"/>
      <c r="J21" s="71"/>
      <c r="K21" s="71"/>
      <c r="L21" s="1">
        <v>40206</v>
      </c>
      <c r="M21" s="73">
        <f t="shared" si="0"/>
        <v>0</v>
      </c>
      <c r="N21" s="73">
        <f t="shared" si="1"/>
        <v>0</v>
      </c>
      <c r="O21" s="73">
        <f t="shared" si="2"/>
        <v>0</v>
      </c>
      <c r="P21" s="73">
        <f t="shared" si="3"/>
        <v>0</v>
      </c>
      <c r="Q21" s="73">
        <f>500*22000</f>
        <v>11000000</v>
      </c>
      <c r="R21" s="73">
        <v>0</v>
      </c>
      <c r="S21" s="75">
        <f t="shared" si="7"/>
        <v>11000000</v>
      </c>
      <c r="T21" s="77">
        <v>0</v>
      </c>
      <c r="U21" s="66">
        <v>40205</v>
      </c>
      <c r="V21" s="79">
        <v>94859</v>
      </c>
      <c r="W21" s="66" t="s">
        <v>1606</v>
      </c>
      <c r="X21" s="24" t="s">
        <v>1607</v>
      </c>
      <c r="Y21" s="62">
        <v>13</v>
      </c>
      <c r="Z21" s="196" t="s">
        <v>1608</v>
      </c>
      <c r="AA21" s="82" t="s">
        <v>1621</v>
      </c>
      <c r="AB21" s="105"/>
      <c r="AC21" s="4"/>
      <c r="AD21" s="5"/>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6"/>
      <c r="CE21" s="7"/>
      <c r="CF21" s="6"/>
      <c r="CG21" s="7"/>
      <c r="CH21" s="6"/>
      <c r="CI21" s="7"/>
      <c r="CJ21" s="8">
        <f t="shared" si="4"/>
        <v>0</v>
      </c>
      <c r="CK21" s="9"/>
      <c r="CL21" s="10"/>
      <c r="CM21" s="11"/>
      <c r="CN21" s="12"/>
      <c r="CO21" s="28"/>
      <c r="CP21" s="12"/>
      <c r="CQ21" s="9"/>
      <c r="CR21" s="10"/>
      <c r="CS21" s="68"/>
      <c r="EC21" s="344" t="str">
        <f t="shared" si="5"/>
        <v>NACION_NACION</v>
      </c>
      <c r="ED21" s="341"/>
      <c r="EE21" s="342" t="s">
        <v>3156</v>
      </c>
      <c r="EF21" s="343" t="s">
        <v>4356</v>
      </c>
      <c r="EG21" s="342" t="s">
        <v>3156</v>
      </c>
      <c r="EH21" s="341"/>
      <c r="EI21" s="341" t="str">
        <f t="shared" si="6"/>
        <v>Total HUILA_</v>
      </c>
    </row>
    <row r="22" spans="1:139" ht="84">
      <c r="A22" s="228">
        <v>40193</v>
      </c>
      <c r="B22" s="102" t="s">
        <v>1611</v>
      </c>
      <c r="C22" s="218" t="s">
        <v>1611</v>
      </c>
      <c r="D22" s="206" t="s">
        <v>2389</v>
      </c>
      <c r="E22" s="320" t="e">
        <v>#N/A</v>
      </c>
      <c r="F22" s="320"/>
      <c r="G22" s="210"/>
      <c r="H22" s="71"/>
      <c r="I22" s="71"/>
      <c r="J22" s="71"/>
      <c r="K22" s="71"/>
      <c r="L22" s="1">
        <v>40204</v>
      </c>
      <c r="M22" s="73">
        <f t="shared" si="0"/>
        <v>0</v>
      </c>
      <c r="N22" s="73">
        <f t="shared" si="1"/>
        <v>0</v>
      </c>
      <c r="O22" s="73">
        <f t="shared" si="2"/>
        <v>0</v>
      </c>
      <c r="P22" s="73">
        <f t="shared" si="3"/>
        <v>0</v>
      </c>
      <c r="Q22" s="73">
        <f>100*495267.8+200*406000</f>
        <v>130726780</v>
      </c>
      <c r="R22" s="73">
        <v>0</v>
      </c>
      <c r="S22" s="75">
        <f t="shared" si="7"/>
        <v>130726780</v>
      </c>
      <c r="T22" s="77">
        <v>0</v>
      </c>
      <c r="U22" s="66">
        <v>40193</v>
      </c>
      <c r="V22" s="79"/>
      <c r="W22" s="66" t="s">
        <v>1606</v>
      </c>
      <c r="X22" s="24" t="s">
        <v>1607</v>
      </c>
      <c r="Y22" s="83" t="s">
        <v>2583</v>
      </c>
      <c r="Z22" s="196" t="s">
        <v>1608</v>
      </c>
      <c r="AA22" s="82" t="s">
        <v>2582</v>
      </c>
      <c r="AB22" s="105"/>
      <c r="AC22" s="4"/>
      <c r="AD22" s="5"/>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6"/>
      <c r="CE22" s="7"/>
      <c r="CF22" s="6"/>
      <c r="CG22" s="7"/>
      <c r="CH22" s="6"/>
      <c r="CI22" s="7"/>
      <c r="CJ22" s="8">
        <f t="shared" si="4"/>
        <v>0</v>
      </c>
      <c r="CK22" s="9"/>
      <c r="CL22" s="10"/>
      <c r="CM22" s="11"/>
      <c r="CN22" s="12"/>
      <c r="CO22" s="28"/>
      <c r="CP22" s="12"/>
      <c r="CQ22" s="9"/>
      <c r="CR22" s="10"/>
      <c r="CS22" s="84"/>
      <c r="EC22" s="344" t="str">
        <f t="shared" si="5"/>
        <v>NACION_NACION</v>
      </c>
      <c r="ED22" s="341"/>
      <c r="EE22" s="342" t="s">
        <v>3162</v>
      </c>
      <c r="EF22" s="343" t="s">
        <v>4357</v>
      </c>
      <c r="EG22" s="342" t="s">
        <v>3162</v>
      </c>
      <c r="EH22" s="341"/>
      <c r="EI22" s="341" t="str">
        <f t="shared" si="6"/>
        <v>Total MAGDALENA_</v>
      </c>
    </row>
    <row r="23" spans="1:139" ht="60">
      <c r="A23" s="228">
        <v>40193</v>
      </c>
      <c r="B23" s="102" t="s">
        <v>1088</v>
      </c>
      <c r="C23" s="102" t="s">
        <v>1605</v>
      </c>
      <c r="D23" s="206" t="s">
        <v>2389</v>
      </c>
      <c r="E23" s="320" t="s">
        <v>3202</v>
      </c>
      <c r="F23" s="320"/>
      <c r="G23" s="210"/>
      <c r="H23" s="71"/>
      <c r="I23" s="71"/>
      <c r="J23" s="71"/>
      <c r="K23" s="71"/>
      <c r="L23" s="1">
        <v>40211</v>
      </c>
      <c r="M23" s="73">
        <f t="shared" si="0"/>
        <v>0</v>
      </c>
      <c r="N23" s="73">
        <f t="shared" si="1"/>
        <v>42500000</v>
      </c>
      <c r="O23" s="73">
        <f t="shared" si="2"/>
        <v>0</v>
      </c>
      <c r="P23" s="73">
        <f t="shared" si="3"/>
        <v>0</v>
      </c>
      <c r="Q23" s="73"/>
      <c r="R23" s="73">
        <v>0</v>
      </c>
      <c r="S23" s="75">
        <f t="shared" si="7"/>
        <v>42500000</v>
      </c>
      <c r="T23" s="77">
        <v>0</v>
      </c>
      <c r="U23" s="66">
        <v>40224</v>
      </c>
      <c r="V23" s="79">
        <v>94477</v>
      </c>
      <c r="W23" s="66" t="s">
        <v>1606</v>
      </c>
      <c r="X23" s="24" t="s">
        <v>1607</v>
      </c>
      <c r="Y23" s="62">
        <v>14</v>
      </c>
      <c r="Z23" s="196" t="s">
        <v>1608</v>
      </c>
      <c r="AA23" s="82" t="s">
        <v>648</v>
      </c>
      <c r="AB23" s="105"/>
      <c r="AC23" s="4"/>
      <c r="AD23" s="5"/>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6"/>
      <c r="CE23" s="7"/>
      <c r="CF23" s="6"/>
      <c r="CG23" s="7"/>
      <c r="CH23" s="6"/>
      <c r="CI23" s="7"/>
      <c r="CJ23" s="8">
        <f t="shared" si="4"/>
        <v>0</v>
      </c>
      <c r="CK23" s="9"/>
      <c r="CL23" s="10"/>
      <c r="CM23" s="11">
        <v>500</v>
      </c>
      <c r="CN23" s="12">
        <f>500*85000</f>
        <v>42500000</v>
      </c>
      <c r="CO23" s="28"/>
      <c r="CP23" s="12"/>
      <c r="CQ23" s="9"/>
      <c r="CR23" s="10"/>
      <c r="CS23" s="68"/>
      <c r="EC23" s="344" t="str">
        <f t="shared" si="5"/>
        <v>VALLE DEL CAUCA_DEPARTAMENTO</v>
      </c>
      <c r="ED23" s="341"/>
      <c r="EE23" s="342" t="s">
        <v>3168</v>
      </c>
      <c r="EF23" s="343" t="s">
        <v>4358</v>
      </c>
      <c r="EG23" s="342" t="s">
        <v>3168</v>
      </c>
      <c r="EH23" s="341"/>
      <c r="EI23" s="341" t="str">
        <f t="shared" si="6"/>
        <v>Total META_</v>
      </c>
    </row>
    <row r="24" spans="1:139" ht="147">
      <c r="A24" s="228">
        <v>40196</v>
      </c>
      <c r="B24" s="102" t="s">
        <v>1551</v>
      </c>
      <c r="C24" s="102" t="s">
        <v>1547</v>
      </c>
      <c r="D24" s="206" t="s">
        <v>1752</v>
      </c>
      <c r="E24" s="320" t="s">
        <v>3354</v>
      </c>
      <c r="F24" s="320"/>
      <c r="G24" s="210"/>
      <c r="H24" s="71"/>
      <c r="I24" s="71"/>
      <c r="J24" s="71"/>
      <c r="K24" s="71"/>
      <c r="L24" s="1"/>
      <c r="M24" s="73">
        <f t="shared" si="0"/>
        <v>0</v>
      </c>
      <c r="N24" s="73">
        <f t="shared" si="1"/>
        <v>0</v>
      </c>
      <c r="O24" s="73">
        <f t="shared" si="2"/>
        <v>0</v>
      </c>
      <c r="P24" s="73">
        <f t="shared" si="3"/>
        <v>0</v>
      </c>
      <c r="Q24" s="73"/>
      <c r="R24" s="73">
        <v>0</v>
      </c>
      <c r="S24" s="75">
        <f t="shared" si="7"/>
        <v>0</v>
      </c>
      <c r="T24" s="77">
        <v>0</v>
      </c>
      <c r="U24" s="66">
        <v>40210</v>
      </c>
      <c r="V24" s="79"/>
      <c r="W24" s="66" t="s">
        <v>1585</v>
      </c>
      <c r="X24" s="24" t="s">
        <v>1586</v>
      </c>
      <c r="Y24" s="62"/>
      <c r="Z24" s="196" t="s">
        <v>894</v>
      </c>
      <c r="AA24" s="274" t="s">
        <v>1069</v>
      </c>
      <c r="AB24" s="105"/>
      <c r="AC24" s="4"/>
      <c r="AD24" s="5"/>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6"/>
      <c r="CE24" s="7"/>
      <c r="CF24" s="6"/>
      <c r="CG24" s="7"/>
      <c r="CH24" s="6"/>
      <c r="CI24" s="7"/>
      <c r="CJ24" s="8">
        <f t="shared" si="4"/>
        <v>0</v>
      </c>
      <c r="CK24" s="9"/>
      <c r="CL24" s="10"/>
      <c r="CM24" s="11"/>
      <c r="CN24" s="12"/>
      <c r="CO24" s="28"/>
      <c r="CP24" s="12"/>
      <c r="CQ24" s="9"/>
      <c r="CR24" s="10"/>
      <c r="CS24" s="68"/>
      <c r="EC24" s="344" t="str">
        <f t="shared" si="5"/>
        <v>ATLANTICO_CAMPO DE LA CRUZ</v>
      </c>
      <c r="ED24" s="341"/>
      <c r="EE24" s="342" t="s">
        <v>3171</v>
      </c>
      <c r="EF24" s="343" t="s">
        <v>4359</v>
      </c>
      <c r="EG24" s="342" t="s">
        <v>3171</v>
      </c>
      <c r="EH24" s="341"/>
      <c r="EI24" s="341" t="str">
        <f t="shared" si="6"/>
        <v>Total NARIÑO_</v>
      </c>
    </row>
    <row r="25" spans="1:139" ht="147">
      <c r="A25" s="228">
        <v>40196</v>
      </c>
      <c r="B25" s="102" t="s">
        <v>1551</v>
      </c>
      <c r="C25" s="102" t="s">
        <v>1548</v>
      </c>
      <c r="D25" s="206" t="s">
        <v>1752</v>
      </c>
      <c r="E25" s="320" t="s">
        <v>3355</v>
      </c>
      <c r="F25" s="320"/>
      <c r="G25" s="210"/>
      <c r="H25" s="71"/>
      <c r="I25" s="71"/>
      <c r="J25" s="71"/>
      <c r="K25" s="71"/>
      <c r="L25" s="1"/>
      <c r="M25" s="73">
        <f t="shared" si="0"/>
        <v>0</v>
      </c>
      <c r="N25" s="73">
        <f t="shared" si="1"/>
        <v>0</v>
      </c>
      <c r="O25" s="73">
        <f t="shared" si="2"/>
        <v>0</v>
      </c>
      <c r="P25" s="73">
        <f t="shared" si="3"/>
        <v>0</v>
      </c>
      <c r="Q25" s="73"/>
      <c r="R25" s="73">
        <v>0</v>
      </c>
      <c r="S25" s="75">
        <f t="shared" si="7"/>
        <v>0</v>
      </c>
      <c r="T25" s="77">
        <v>0</v>
      </c>
      <c r="U25" s="66">
        <v>40210</v>
      </c>
      <c r="V25" s="79"/>
      <c r="W25" s="66" t="s">
        <v>1585</v>
      </c>
      <c r="X25" s="24" t="s">
        <v>1586</v>
      </c>
      <c r="Y25" s="62"/>
      <c r="Z25" s="196" t="s">
        <v>894</v>
      </c>
      <c r="AA25" s="274" t="s">
        <v>1068</v>
      </c>
      <c r="AB25" s="105"/>
      <c r="AC25" s="4"/>
      <c r="AD25" s="5"/>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6"/>
      <c r="CE25" s="7"/>
      <c r="CF25" s="6"/>
      <c r="CG25" s="7"/>
      <c r="CH25" s="6"/>
      <c r="CI25" s="7"/>
      <c r="CJ25" s="8">
        <f t="shared" si="4"/>
        <v>0</v>
      </c>
      <c r="CK25" s="9"/>
      <c r="CL25" s="10"/>
      <c r="CM25" s="11"/>
      <c r="CN25" s="12"/>
      <c r="CO25" s="28"/>
      <c r="CP25" s="12"/>
      <c r="CQ25" s="9"/>
      <c r="CR25" s="10"/>
      <c r="CS25" s="68"/>
      <c r="EC25" s="344" t="str">
        <f t="shared" si="5"/>
        <v>ATLANTICO_CANDELARIA</v>
      </c>
      <c r="ED25" s="341"/>
      <c r="EE25" s="342" t="s">
        <v>3176</v>
      </c>
      <c r="EF25" s="343" t="s">
        <v>4360</v>
      </c>
      <c r="EG25" s="342" t="s">
        <v>3176</v>
      </c>
      <c r="EH25" s="341"/>
      <c r="EI25" s="341" t="str">
        <f t="shared" si="6"/>
        <v>Total NORTE DE SANTANDER_</v>
      </c>
    </row>
    <row r="26" spans="1:139" s="85" customFormat="1" ht="147">
      <c r="A26" s="228">
        <v>40196</v>
      </c>
      <c r="B26" s="102" t="s">
        <v>1551</v>
      </c>
      <c r="C26" s="102" t="s">
        <v>1549</v>
      </c>
      <c r="D26" s="206" t="s">
        <v>1752</v>
      </c>
      <c r="E26" s="320" t="s">
        <v>3360</v>
      </c>
      <c r="F26" s="320"/>
      <c r="G26" s="210"/>
      <c r="H26" s="71"/>
      <c r="I26" s="71"/>
      <c r="J26" s="71"/>
      <c r="K26" s="71"/>
      <c r="L26" s="1"/>
      <c r="M26" s="73">
        <f t="shared" si="0"/>
        <v>0</v>
      </c>
      <c r="N26" s="73">
        <f t="shared" si="1"/>
        <v>0</v>
      </c>
      <c r="O26" s="73">
        <f t="shared" si="2"/>
        <v>0</v>
      </c>
      <c r="P26" s="73">
        <f t="shared" si="3"/>
        <v>0</v>
      </c>
      <c r="Q26" s="73"/>
      <c r="R26" s="73">
        <v>0</v>
      </c>
      <c r="S26" s="75">
        <f t="shared" si="7"/>
        <v>0</v>
      </c>
      <c r="T26" s="77">
        <v>0</v>
      </c>
      <c r="U26" s="66">
        <v>40210</v>
      </c>
      <c r="V26" s="79"/>
      <c r="W26" s="66" t="s">
        <v>1585</v>
      </c>
      <c r="X26" s="24" t="s">
        <v>1586</v>
      </c>
      <c r="Y26" s="62"/>
      <c r="Z26" s="177" t="s">
        <v>894</v>
      </c>
      <c r="AA26" s="81" t="s">
        <v>1437</v>
      </c>
      <c r="AB26" s="3"/>
      <c r="AC26" s="4"/>
      <c r="AD26" s="5"/>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6"/>
      <c r="CE26" s="7"/>
      <c r="CF26" s="6"/>
      <c r="CG26" s="7"/>
      <c r="CH26" s="6"/>
      <c r="CI26" s="7"/>
      <c r="CJ26" s="8">
        <f t="shared" si="4"/>
        <v>0</v>
      </c>
      <c r="CK26" s="9"/>
      <c r="CL26" s="10"/>
      <c r="CM26" s="11"/>
      <c r="CN26" s="12"/>
      <c r="CO26" s="28"/>
      <c r="CP26" s="12"/>
      <c r="CQ26" s="9"/>
      <c r="CR26" s="10"/>
      <c r="CS26" s="68"/>
      <c r="CT26" s="22"/>
      <c r="EC26" s="344" t="str">
        <f t="shared" si="5"/>
        <v>ATLANTICO_MANATI</v>
      </c>
      <c r="ED26" s="341"/>
      <c r="EE26" s="342" t="s">
        <v>3214</v>
      </c>
      <c r="EF26" s="343" t="s">
        <v>4361</v>
      </c>
      <c r="EG26" s="342" t="s">
        <v>3214</v>
      </c>
      <c r="EH26" s="341"/>
      <c r="EI26" s="341" t="str">
        <f t="shared" si="6"/>
        <v>Total PUTUMAYO_</v>
      </c>
    </row>
    <row r="27" spans="1:139" ht="74.25">
      <c r="A27" s="228">
        <v>40196</v>
      </c>
      <c r="B27" s="102" t="s">
        <v>1551</v>
      </c>
      <c r="C27" s="102" t="s">
        <v>386</v>
      </c>
      <c r="D27" s="206" t="s">
        <v>1752</v>
      </c>
      <c r="E27" s="320" t="s">
        <v>3361</v>
      </c>
      <c r="F27" s="320"/>
      <c r="G27" s="210"/>
      <c r="H27" s="71"/>
      <c r="I27" s="71"/>
      <c r="J27" s="71"/>
      <c r="K27" s="71"/>
      <c r="L27" s="1"/>
      <c r="M27" s="73">
        <f t="shared" si="0"/>
        <v>0</v>
      </c>
      <c r="N27" s="73">
        <f t="shared" si="1"/>
        <v>0</v>
      </c>
      <c r="O27" s="73">
        <f t="shared" si="2"/>
        <v>0</v>
      </c>
      <c r="P27" s="73">
        <f t="shared" si="3"/>
        <v>0</v>
      </c>
      <c r="Q27" s="73"/>
      <c r="R27" s="73">
        <v>0</v>
      </c>
      <c r="S27" s="75">
        <f t="shared" si="7"/>
        <v>0</v>
      </c>
      <c r="T27" s="77">
        <v>0</v>
      </c>
      <c r="U27" s="66">
        <v>40220</v>
      </c>
      <c r="V27" s="79">
        <v>95146</v>
      </c>
      <c r="W27" s="66" t="s">
        <v>1585</v>
      </c>
      <c r="X27" s="24" t="s">
        <v>1586</v>
      </c>
      <c r="Y27" s="62"/>
      <c r="Z27" s="177" t="s">
        <v>894</v>
      </c>
      <c r="AA27" s="80" t="s">
        <v>569</v>
      </c>
      <c r="AB27" s="3"/>
      <c r="AC27" s="4"/>
      <c r="AD27" s="5"/>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6"/>
      <c r="CE27" s="7"/>
      <c r="CF27" s="6"/>
      <c r="CG27" s="7"/>
      <c r="CH27" s="6"/>
      <c r="CI27" s="7"/>
      <c r="CJ27" s="8">
        <f t="shared" si="4"/>
        <v>0</v>
      </c>
      <c r="CK27" s="9"/>
      <c r="CL27" s="10"/>
      <c r="CM27" s="11"/>
      <c r="CN27" s="12"/>
      <c r="CO27" s="28"/>
      <c r="CP27" s="12"/>
      <c r="CQ27" s="9"/>
      <c r="CR27" s="10"/>
      <c r="CS27" s="68"/>
      <c r="EC27" s="344" t="str">
        <f t="shared" si="5"/>
        <v>ATLANTICO_PALMAR DE VARELA</v>
      </c>
      <c r="ED27" s="341"/>
      <c r="EE27" s="342" t="s">
        <v>3218</v>
      </c>
      <c r="EF27" s="343" t="s">
        <v>4362</v>
      </c>
      <c r="EG27" s="342" t="s">
        <v>3218</v>
      </c>
      <c r="EH27" s="341"/>
      <c r="EI27" s="341" t="str">
        <f t="shared" si="6"/>
        <v>Total SAN ANDRES_</v>
      </c>
    </row>
    <row r="28" spans="1:139" ht="110.25">
      <c r="A28" s="228">
        <v>40196</v>
      </c>
      <c r="B28" s="102" t="s">
        <v>1551</v>
      </c>
      <c r="C28" s="102" t="s">
        <v>1550</v>
      </c>
      <c r="D28" s="206" t="s">
        <v>1752</v>
      </c>
      <c r="E28" s="320" t="s">
        <v>3364</v>
      </c>
      <c r="F28" s="320"/>
      <c r="G28" s="210"/>
      <c r="H28" s="71"/>
      <c r="I28" s="71"/>
      <c r="J28" s="71"/>
      <c r="K28" s="71"/>
      <c r="L28" s="1"/>
      <c r="M28" s="73">
        <f t="shared" si="0"/>
        <v>0</v>
      </c>
      <c r="N28" s="73">
        <f t="shared" si="1"/>
        <v>0</v>
      </c>
      <c r="O28" s="73">
        <f t="shared" si="2"/>
        <v>0</v>
      </c>
      <c r="P28" s="73">
        <f t="shared" si="3"/>
        <v>0</v>
      </c>
      <c r="Q28" s="73"/>
      <c r="R28" s="73">
        <v>0</v>
      </c>
      <c r="S28" s="75">
        <f t="shared" si="7"/>
        <v>0</v>
      </c>
      <c r="T28" s="77">
        <v>0</v>
      </c>
      <c r="U28" s="66">
        <v>40210</v>
      </c>
      <c r="V28" s="79"/>
      <c r="W28" s="66" t="s">
        <v>1585</v>
      </c>
      <c r="X28" s="24" t="s">
        <v>1586</v>
      </c>
      <c r="Y28" s="62"/>
      <c r="Z28" s="177" t="s">
        <v>894</v>
      </c>
      <c r="AA28" s="81" t="s">
        <v>568</v>
      </c>
      <c r="AB28" s="3"/>
      <c r="AC28" s="4"/>
      <c r="AD28" s="5"/>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6"/>
      <c r="CE28" s="7"/>
      <c r="CF28" s="6"/>
      <c r="CG28" s="7"/>
      <c r="CH28" s="6"/>
      <c r="CI28" s="7"/>
      <c r="CJ28" s="8">
        <f t="shared" si="4"/>
        <v>0</v>
      </c>
      <c r="CK28" s="9"/>
      <c r="CL28" s="10"/>
      <c r="CM28" s="11"/>
      <c r="CN28" s="12"/>
      <c r="CO28" s="28"/>
      <c r="CP28" s="12"/>
      <c r="CQ28" s="9"/>
      <c r="CR28" s="10"/>
      <c r="CS28" s="68"/>
      <c r="EC28" s="344" t="str">
        <f t="shared" si="5"/>
        <v>ATLANTICO_PONEDERA</v>
      </c>
      <c r="ED28" s="341"/>
      <c r="EE28" s="342" t="s">
        <v>3180</v>
      </c>
      <c r="EF28" s="343" t="s">
        <v>4363</v>
      </c>
      <c r="EG28" s="342" t="s">
        <v>3180</v>
      </c>
      <c r="EH28" s="341"/>
      <c r="EI28" s="341" t="str">
        <f t="shared" si="6"/>
        <v>Total QUINDIO_</v>
      </c>
    </row>
    <row r="29" spans="1:139" ht="74.25">
      <c r="A29" s="228">
        <v>40196</v>
      </c>
      <c r="B29" s="102" t="s">
        <v>1551</v>
      </c>
      <c r="C29" s="102" t="s">
        <v>387</v>
      </c>
      <c r="D29" s="206" t="s">
        <v>1752</v>
      </c>
      <c r="E29" s="320" t="s">
        <v>3369</v>
      </c>
      <c r="F29" s="320"/>
      <c r="G29" s="210"/>
      <c r="H29" s="71"/>
      <c r="I29" s="71"/>
      <c r="J29" s="71"/>
      <c r="K29" s="71"/>
      <c r="L29" s="1"/>
      <c r="M29" s="73">
        <f t="shared" si="0"/>
        <v>0</v>
      </c>
      <c r="N29" s="73">
        <f t="shared" si="1"/>
        <v>0</v>
      </c>
      <c r="O29" s="73">
        <f t="shared" si="2"/>
        <v>0</v>
      </c>
      <c r="P29" s="73">
        <f t="shared" si="3"/>
        <v>0</v>
      </c>
      <c r="Q29" s="73"/>
      <c r="R29" s="73">
        <v>0</v>
      </c>
      <c r="S29" s="75">
        <f t="shared" si="7"/>
        <v>0</v>
      </c>
      <c r="T29" s="77">
        <v>0</v>
      </c>
      <c r="U29" s="66">
        <v>40220</v>
      </c>
      <c r="V29" s="79">
        <v>95146</v>
      </c>
      <c r="W29" s="66" t="s">
        <v>1585</v>
      </c>
      <c r="X29" s="24" t="s">
        <v>1586</v>
      </c>
      <c r="Y29" s="62"/>
      <c r="Z29" s="177" t="s">
        <v>894</v>
      </c>
      <c r="AA29" s="80" t="s">
        <v>844</v>
      </c>
      <c r="AB29" s="3"/>
      <c r="AC29" s="4"/>
      <c r="AD29" s="5"/>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6"/>
      <c r="CE29" s="7"/>
      <c r="CF29" s="6"/>
      <c r="CG29" s="7"/>
      <c r="CH29" s="6"/>
      <c r="CI29" s="7"/>
      <c r="CJ29" s="8">
        <f t="shared" si="4"/>
        <v>0</v>
      </c>
      <c r="CK29" s="9"/>
      <c r="CL29" s="10"/>
      <c r="CM29" s="11"/>
      <c r="CN29" s="12"/>
      <c r="CO29" s="28"/>
      <c r="CP29" s="12"/>
      <c r="CQ29" s="9"/>
      <c r="CR29" s="10"/>
      <c r="CS29" s="68"/>
      <c r="EC29" s="344" t="str">
        <f t="shared" si="5"/>
        <v>ATLANTICO_SANTA LUCIA</v>
      </c>
      <c r="ED29" s="341"/>
      <c r="EE29" s="342" t="s">
        <v>3182</v>
      </c>
      <c r="EF29" s="343" t="s">
        <v>4364</v>
      </c>
      <c r="EG29" s="342" t="s">
        <v>3182</v>
      </c>
      <c r="EH29" s="341"/>
      <c r="EI29" s="341" t="str">
        <f t="shared" si="6"/>
        <v>Total RISARALDA_</v>
      </c>
    </row>
    <row r="30" spans="1:139" ht="38.25">
      <c r="A30" s="228">
        <v>40196</v>
      </c>
      <c r="B30" s="102" t="s">
        <v>1612</v>
      </c>
      <c r="C30" s="218" t="s">
        <v>1613</v>
      </c>
      <c r="D30" s="206" t="s">
        <v>1316</v>
      </c>
      <c r="E30" s="320" t="s">
        <v>4038</v>
      </c>
      <c r="F30" s="320"/>
      <c r="G30" s="210"/>
      <c r="H30" s="71"/>
      <c r="I30" s="71"/>
      <c r="J30" s="71">
        <v>21</v>
      </c>
      <c r="K30" s="71">
        <v>4</v>
      </c>
      <c r="L30" s="1"/>
      <c r="M30" s="73">
        <f t="shared" si="0"/>
        <v>0</v>
      </c>
      <c r="N30" s="73">
        <f t="shared" si="1"/>
        <v>0</v>
      </c>
      <c r="O30" s="73">
        <f t="shared" si="2"/>
        <v>0</v>
      </c>
      <c r="P30" s="73">
        <f t="shared" si="3"/>
        <v>0</v>
      </c>
      <c r="Q30" s="73"/>
      <c r="R30" s="73">
        <v>0</v>
      </c>
      <c r="S30" s="75">
        <f t="shared" si="7"/>
        <v>0</v>
      </c>
      <c r="T30" s="77">
        <v>0</v>
      </c>
      <c r="U30" s="66">
        <v>40196</v>
      </c>
      <c r="V30" s="79"/>
      <c r="W30" s="66" t="s">
        <v>1585</v>
      </c>
      <c r="X30" s="24" t="s">
        <v>1586</v>
      </c>
      <c r="Y30" s="62"/>
      <c r="Z30" s="177" t="s">
        <v>894</v>
      </c>
      <c r="AA30" s="80" t="s">
        <v>1614</v>
      </c>
      <c r="AB30" s="3"/>
      <c r="AC30" s="4"/>
      <c r="AD30" s="5"/>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6"/>
      <c r="CE30" s="7"/>
      <c r="CF30" s="6"/>
      <c r="CG30" s="7"/>
      <c r="CH30" s="6"/>
      <c r="CI30" s="7"/>
      <c r="CJ30" s="8">
        <f t="shared" si="4"/>
        <v>0</v>
      </c>
      <c r="CK30" s="9"/>
      <c r="CL30" s="10"/>
      <c r="CM30" s="11"/>
      <c r="CN30" s="12"/>
      <c r="CO30" s="28"/>
      <c r="CP30" s="12"/>
      <c r="CQ30" s="9"/>
      <c r="CR30" s="10"/>
      <c r="CS30" s="68"/>
      <c r="EC30" s="344" t="str">
        <f t="shared" si="5"/>
        <v>QUINDIO_ARMENIA</v>
      </c>
      <c r="ED30" s="341"/>
      <c r="EE30" s="342" t="s">
        <v>3184</v>
      </c>
      <c r="EF30" s="343" t="s">
        <v>4365</v>
      </c>
      <c r="EG30" s="342" t="s">
        <v>3184</v>
      </c>
      <c r="EH30" s="341"/>
      <c r="EI30" s="341" t="str">
        <f t="shared" si="6"/>
        <v>Total SANTANDER_</v>
      </c>
    </row>
    <row r="31" spans="1:139" s="127" customFormat="1" ht="36">
      <c r="A31" s="228">
        <v>40197</v>
      </c>
      <c r="B31" s="102" t="s">
        <v>1615</v>
      </c>
      <c r="C31" s="218" t="s">
        <v>1695</v>
      </c>
      <c r="D31" s="206" t="s">
        <v>1316</v>
      </c>
      <c r="E31" s="320" t="s">
        <v>3409</v>
      </c>
      <c r="F31" s="320"/>
      <c r="G31" s="210"/>
      <c r="H31" s="71"/>
      <c r="I31" s="71"/>
      <c r="J31" s="71"/>
      <c r="K31" s="71"/>
      <c r="L31" s="1"/>
      <c r="M31" s="73">
        <f t="shared" si="0"/>
        <v>0</v>
      </c>
      <c r="N31" s="73">
        <f t="shared" si="1"/>
        <v>0</v>
      </c>
      <c r="O31" s="73">
        <f t="shared" si="2"/>
        <v>0</v>
      </c>
      <c r="P31" s="73">
        <f t="shared" si="3"/>
        <v>0</v>
      </c>
      <c r="Q31" s="73"/>
      <c r="R31" s="73">
        <v>0</v>
      </c>
      <c r="S31" s="75">
        <f t="shared" si="7"/>
        <v>0</v>
      </c>
      <c r="T31" s="77">
        <v>0</v>
      </c>
      <c r="U31" s="66">
        <v>40197</v>
      </c>
      <c r="V31" s="79"/>
      <c r="W31" s="66" t="s">
        <v>1585</v>
      </c>
      <c r="X31" s="24" t="s">
        <v>1586</v>
      </c>
      <c r="Y31" s="62"/>
      <c r="Z31" s="177" t="s">
        <v>894</v>
      </c>
      <c r="AA31" s="80" t="s">
        <v>1616</v>
      </c>
      <c r="AB31" s="3"/>
      <c r="AC31" s="4"/>
      <c r="AD31" s="5"/>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6"/>
      <c r="CE31" s="7"/>
      <c r="CF31" s="6"/>
      <c r="CG31" s="7"/>
      <c r="CH31" s="6"/>
      <c r="CI31" s="7"/>
      <c r="CJ31" s="8">
        <f t="shared" si="4"/>
        <v>0</v>
      </c>
      <c r="CK31" s="9"/>
      <c r="CL31" s="10"/>
      <c r="CM31" s="11"/>
      <c r="CN31" s="12"/>
      <c r="CO31" s="28"/>
      <c r="CP31" s="12"/>
      <c r="CQ31" s="9"/>
      <c r="CR31" s="10"/>
      <c r="CS31" s="68"/>
      <c r="CT31" s="22"/>
      <c r="EC31" s="344" t="str">
        <f t="shared" si="5"/>
        <v>BOLIVAR_SAN PABLO</v>
      </c>
      <c r="ED31" s="341"/>
      <c r="EE31" s="342" t="s">
        <v>3191</v>
      </c>
      <c r="EF31" s="343" t="s">
        <v>4366</v>
      </c>
      <c r="EG31" s="342" t="s">
        <v>3191</v>
      </c>
      <c r="EH31" s="341"/>
      <c r="EI31" s="341" t="str">
        <f t="shared" si="6"/>
        <v>Total SUCRE_</v>
      </c>
    </row>
    <row r="32" spans="1:139" ht="72">
      <c r="A32" s="229">
        <v>40197</v>
      </c>
      <c r="B32" s="219" t="s">
        <v>396</v>
      </c>
      <c r="C32" s="219" t="s">
        <v>2419</v>
      </c>
      <c r="D32" s="230" t="s">
        <v>2389</v>
      </c>
      <c r="E32" s="321" t="s">
        <v>3927</v>
      </c>
      <c r="F32" s="321"/>
      <c r="G32" s="210"/>
      <c r="H32" s="71"/>
      <c r="I32" s="71"/>
      <c r="J32" s="71"/>
      <c r="K32" s="71"/>
      <c r="L32" s="1">
        <v>40262</v>
      </c>
      <c r="M32" s="73">
        <f t="shared" si="0"/>
        <v>0</v>
      </c>
      <c r="N32" s="73">
        <f t="shared" si="1"/>
        <v>0</v>
      </c>
      <c r="O32" s="73">
        <f t="shared" si="2"/>
        <v>0</v>
      </c>
      <c r="P32" s="73">
        <f t="shared" si="3"/>
        <v>0</v>
      </c>
      <c r="Q32" s="73">
        <f>4*796293.1*1.16+2*123500*1.16+2*130000*1.16+6*106465.52*1.16+9*26897*1.16+9*9310*1.16+9*12046.55+9*6100*1.16+9*123500*1.16+3*30603+3*27155+2*130000*1.16+1*1316810*1.16+1*2630000*1.16+9*10500*1.16+1*2340000*1.16</f>
        <v>14740557.633199999</v>
      </c>
      <c r="R32" s="73">
        <v>0</v>
      </c>
      <c r="S32" s="75">
        <f t="shared" si="7"/>
        <v>14740557.633199999</v>
      </c>
      <c r="T32" s="77">
        <v>0</v>
      </c>
      <c r="U32" s="66">
        <v>40242</v>
      </c>
      <c r="V32" s="79">
        <v>95759</v>
      </c>
      <c r="W32" s="66" t="s">
        <v>1606</v>
      </c>
      <c r="X32" s="24" t="s">
        <v>1607</v>
      </c>
      <c r="Y32" s="62">
        <v>53</v>
      </c>
      <c r="Z32" s="177" t="s">
        <v>2421</v>
      </c>
      <c r="AA32" s="92" t="s">
        <v>1622</v>
      </c>
      <c r="AB32" s="3"/>
      <c r="AC32" s="4"/>
      <c r="AD32" s="5"/>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6"/>
      <c r="CE32" s="7"/>
      <c r="CF32" s="6"/>
      <c r="CG32" s="7"/>
      <c r="CH32" s="6"/>
      <c r="CI32" s="7"/>
      <c r="CJ32" s="8">
        <f t="shared" si="4"/>
        <v>0</v>
      </c>
      <c r="CK32" s="9"/>
      <c r="CL32" s="10"/>
      <c r="CM32" s="11"/>
      <c r="CN32" s="12"/>
      <c r="CO32" s="28"/>
      <c r="CP32" s="12"/>
      <c r="CQ32" s="9"/>
      <c r="CR32" s="10"/>
      <c r="CS32" s="68"/>
      <c r="EC32" s="344" t="str">
        <f t="shared" si="5"/>
        <v>META_PUERTO RICO</v>
      </c>
      <c r="ED32" s="341"/>
      <c r="EE32" s="342" t="s">
        <v>3197</v>
      </c>
      <c r="EF32" s="343" t="s">
        <v>4367</v>
      </c>
      <c r="EG32" s="342" t="s">
        <v>3197</v>
      </c>
      <c r="EH32" s="341"/>
      <c r="EI32" s="341" t="str">
        <f t="shared" si="6"/>
        <v>Total TOLIMA_</v>
      </c>
    </row>
    <row r="33" spans="1:139" s="85" customFormat="1" ht="156">
      <c r="A33" s="229">
        <v>40198</v>
      </c>
      <c r="B33" s="220" t="s">
        <v>1314</v>
      </c>
      <c r="C33" s="220" t="s">
        <v>1234</v>
      </c>
      <c r="D33" s="231" t="s">
        <v>1752</v>
      </c>
      <c r="E33" s="322" t="s">
        <v>3614</v>
      </c>
      <c r="F33" s="322"/>
      <c r="G33" s="211"/>
      <c r="H33" s="107"/>
      <c r="I33" s="107"/>
      <c r="J33" s="107">
        <f>271*5</f>
        <v>1355</v>
      </c>
      <c r="K33" s="107">
        <v>271</v>
      </c>
      <c r="L33" s="90">
        <v>40310</v>
      </c>
      <c r="M33" s="108">
        <f t="shared" si="0"/>
        <v>20189500</v>
      </c>
      <c r="N33" s="108">
        <f t="shared" si="1"/>
        <v>0</v>
      </c>
      <c r="O33" s="108">
        <f t="shared" si="2"/>
        <v>0</v>
      </c>
      <c r="P33" s="108">
        <f t="shared" si="3"/>
        <v>46070000</v>
      </c>
      <c r="Q33" s="108"/>
      <c r="R33" s="108">
        <v>0</v>
      </c>
      <c r="S33" s="109">
        <f t="shared" si="7"/>
        <v>66259500</v>
      </c>
      <c r="T33" s="110">
        <v>0</v>
      </c>
      <c r="U33" s="111">
        <v>40296</v>
      </c>
      <c r="V33" s="112">
        <v>97043</v>
      </c>
      <c r="W33" s="111" t="s">
        <v>1606</v>
      </c>
      <c r="X33" s="113" t="s">
        <v>1607</v>
      </c>
      <c r="Y33" s="114">
        <v>115</v>
      </c>
      <c r="Z33" s="197" t="s">
        <v>1349</v>
      </c>
      <c r="AA33" s="115" t="s">
        <v>899</v>
      </c>
      <c r="AB33" s="116"/>
      <c r="AC33" s="117"/>
      <c r="AD33" s="118"/>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9">
        <v>271</v>
      </c>
      <c r="CE33" s="120">
        <f>271*38500</f>
        <v>10433500</v>
      </c>
      <c r="CF33" s="119">
        <v>271</v>
      </c>
      <c r="CG33" s="120">
        <f>271*36000</f>
        <v>9756000</v>
      </c>
      <c r="CH33" s="119"/>
      <c r="CI33" s="120"/>
      <c r="CJ33" s="128">
        <f t="shared" si="4"/>
        <v>20189500</v>
      </c>
      <c r="CK33" s="121">
        <v>542</v>
      </c>
      <c r="CL33" s="122">
        <f>542*85000</f>
        <v>46070000</v>
      </c>
      <c r="CM33" s="123"/>
      <c r="CN33" s="124"/>
      <c r="CO33" s="125"/>
      <c r="CP33" s="124"/>
      <c r="CQ33" s="121"/>
      <c r="CR33" s="122"/>
      <c r="CS33" s="132"/>
      <c r="CT33" s="126"/>
      <c r="EC33" s="344" t="str">
        <f t="shared" si="5"/>
        <v>CAUCA_PURACE</v>
      </c>
      <c r="ED33" s="341"/>
      <c r="EE33" s="342" t="s">
        <v>3223</v>
      </c>
      <c r="EF33" s="343" t="s">
        <v>4368</v>
      </c>
      <c r="EG33" s="342" t="s">
        <v>3223</v>
      </c>
      <c r="EH33" s="341"/>
      <c r="EI33" s="341" t="str">
        <f t="shared" si="6"/>
        <v>Total VAUPES_</v>
      </c>
    </row>
    <row r="34" spans="1:139" ht="56.25">
      <c r="A34" s="228">
        <v>40198</v>
      </c>
      <c r="B34" s="102" t="s">
        <v>1611</v>
      </c>
      <c r="C34" s="102" t="s">
        <v>1611</v>
      </c>
      <c r="D34" s="206" t="s">
        <v>620</v>
      </c>
      <c r="E34" s="320" t="e">
        <v>#N/A</v>
      </c>
      <c r="F34" s="320"/>
      <c r="G34" s="210"/>
      <c r="H34" s="71"/>
      <c r="I34" s="71"/>
      <c r="J34" s="71"/>
      <c r="K34" s="71"/>
      <c r="L34" s="1"/>
      <c r="M34" s="73">
        <f t="shared" si="0"/>
        <v>3400424</v>
      </c>
      <c r="N34" s="73">
        <f t="shared" si="1"/>
        <v>0</v>
      </c>
      <c r="O34" s="73">
        <f t="shared" si="2"/>
        <v>0</v>
      </c>
      <c r="P34" s="73">
        <f t="shared" si="3"/>
        <v>0</v>
      </c>
      <c r="Q34" s="73"/>
      <c r="R34" s="73">
        <v>0</v>
      </c>
      <c r="S34" s="75">
        <f t="shared" si="7"/>
        <v>3400424</v>
      </c>
      <c r="T34" s="77">
        <v>0</v>
      </c>
      <c r="U34" s="66">
        <v>40226</v>
      </c>
      <c r="V34" s="79">
        <v>95310</v>
      </c>
      <c r="W34" s="66" t="s">
        <v>1606</v>
      </c>
      <c r="X34" s="24" t="s">
        <v>1607</v>
      </c>
      <c r="Y34" s="62">
        <v>18</v>
      </c>
      <c r="Z34" s="177" t="s">
        <v>1155</v>
      </c>
      <c r="AA34" s="80" t="s">
        <v>1156</v>
      </c>
      <c r="AB34" s="3"/>
      <c r="AC34" s="4"/>
      <c r="AD34" s="5"/>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v>5</v>
      </c>
      <c r="BO34" s="4">
        <f>5*680084.8</f>
        <v>3400424</v>
      </c>
      <c r="BP34" s="4"/>
      <c r="BQ34" s="4"/>
      <c r="BR34" s="4"/>
      <c r="BS34" s="4"/>
      <c r="BT34" s="4"/>
      <c r="BU34" s="4"/>
      <c r="BV34" s="4"/>
      <c r="BW34" s="4"/>
      <c r="BX34" s="4"/>
      <c r="BY34" s="4"/>
      <c r="BZ34" s="4"/>
      <c r="CA34" s="4"/>
      <c r="CB34" s="4"/>
      <c r="CC34" s="4"/>
      <c r="CD34" s="6"/>
      <c r="CE34" s="7"/>
      <c r="CF34" s="6"/>
      <c r="CG34" s="7"/>
      <c r="CH34" s="6"/>
      <c r="CI34" s="7"/>
      <c r="CJ34" s="8">
        <f t="shared" si="4"/>
        <v>3400424</v>
      </c>
      <c r="CK34" s="9"/>
      <c r="CL34" s="10"/>
      <c r="CM34" s="11"/>
      <c r="CN34" s="12"/>
      <c r="CO34" s="28"/>
      <c r="CP34" s="12"/>
      <c r="CQ34" s="9"/>
      <c r="CR34" s="10"/>
      <c r="CS34" s="68"/>
      <c r="EC34" s="344" t="str">
        <f t="shared" si="5"/>
        <v>NACION_NACION</v>
      </c>
      <c r="ED34" s="341"/>
      <c r="EE34" s="342" t="s">
        <v>3225</v>
      </c>
      <c r="EF34" s="343" t="s">
        <v>4369</v>
      </c>
      <c r="EG34" s="342" t="s">
        <v>3225</v>
      </c>
      <c r="EH34" s="341"/>
      <c r="EI34" s="341" t="str">
        <f t="shared" si="6"/>
        <v>Total VICHADA_</v>
      </c>
    </row>
    <row r="35" spans="1:139" ht="60.75" thickBot="1">
      <c r="A35" s="228">
        <v>40198</v>
      </c>
      <c r="B35" s="102" t="s">
        <v>1609</v>
      </c>
      <c r="C35" s="102" t="s">
        <v>1605</v>
      </c>
      <c r="D35" s="206" t="s">
        <v>2389</v>
      </c>
      <c r="E35" s="320" t="s">
        <v>3182</v>
      </c>
      <c r="F35" s="320"/>
      <c r="G35" s="210"/>
      <c r="H35" s="71"/>
      <c r="I35" s="71"/>
      <c r="J35" s="71"/>
      <c r="K35" s="71"/>
      <c r="L35" s="1">
        <v>40245</v>
      </c>
      <c r="M35" s="73">
        <f t="shared" si="0"/>
        <v>0</v>
      </c>
      <c r="N35" s="73">
        <f t="shared" si="1"/>
        <v>0</v>
      </c>
      <c r="O35" s="73">
        <f t="shared" si="2"/>
        <v>0</v>
      </c>
      <c r="P35" s="73">
        <f t="shared" si="3"/>
        <v>0</v>
      </c>
      <c r="Q35" s="73">
        <f>30*796293.1*1.16+30*123500*1.16+30*130000*1.16+80*106465.52*1.16+88*65000*1.16+88*26897*1.16+88*9310*1.16</f>
        <v>56744010.695999987</v>
      </c>
      <c r="R35" s="73">
        <v>0</v>
      </c>
      <c r="S35" s="75">
        <f t="shared" si="7"/>
        <v>56744010.695999987</v>
      </c>
      <c r="T35" s="77">
        <v>0</v>
      </c>
      <c r="U35" s="66">
        <v>40198</v>
      </c>
      <c r="V35" s="79">
        <v>94595</v>
      </c>
      <c r="W35" s="66" t="s">
        <v>1606</v>
      </c>
      <c r="X35" s="24" t="s">
        <v>1607</v>
      </c>
      <c r="Y35" s="62">
        <v>35</v>
      </c>
      <c r="Z35" s="177" t="s">
        <v>1608</v>
      </c>
      <c r="AA35" s="80" t="s">
        <v>513</v>
      </c>
      <c r="AB35" s="3"/>
      <c r="AC35" s="4"/>
      <c r="AD35" s="5"/>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6"/>
      <c r="CE35" s="7"/>
      <c r="CF35" s="6"/>
      <c r="CG35" s="7"/>
      <c r="CH35" s="6"/>
      <c r="CI35" s="7"/>
      <c r="CJ35" s="8">
        <f t="shared" si="4"/>
        <v>0</v>
      </c>
      <c r="CK35" s="9"/>
      <c r="CL35" s="10"/>
      <c r="CM35" s="11"/>
      <c r="CN35" s="12"/>
      <c r="CO35" s="28"/>
      <c r="CP35" s="12"/>
      <c r="CQ35" s="9"/>
      <c r="CR35" s="10"/>
      <c r="CS35" s="68"/>
      <c r="EC35" s="344" t="str">
        <f t="shared" si="5"/>
        <v>RISARALDA_DEPARTAMENTO</v>
      </c>
      <c r="ED35" s="341"/>
      <c r="EE35" s="345" t="s">
        <v>3202</v>
      </c>
      <c r="EF35" s="346" t="s">
        <v>4370</v>
      </c>
      <c r="EG35" s="345" t="s">
        <v>3202</v>
      </c>
      <c r="EH35" s="347"/>
      <c r="EI35" s="347" t="str">
        <f t="shared" si="6"/>
        <v>Total VALLE DEL CAUCA_</v>
      </c>
    </row>
    <row r="36" spans="1:139" ht="57" thickTop="1">
      <c r="A36" s="228">
        <v>40199</v>
      </c>
      <c r="B36" s="102" t="s">
        <v>2704</v>
      </c>
      <c r="C36" s="102" t="s">
        <v>296</v>
      </c>
      <c r="D36" s="206" t="s">
        <v>2606</v>
      </c>
      <c r="E36" s="320" t="s">
        <v>3571</v>
      </c>
      <c r="F36" s="320"/>
      <c r="G36" s="210"/>
      <c r="H36" s="71"/>
      <c r="I36" s="71"/>
      <c r="J36" s="71">
        <f>35*5</f>
        <v>175</v>
      </c>
      <c r="K36" s="71">
        <v>35</v>
      </c>
      <c r="L36" s="1">
        <v>40290</v>
      </c>
      <c r="M36" s="73">
        <f t="shared" si="0"/>
        <v>0</v>
      </c>
      <c r="N36" s="73">
        <f t="shared" si="1"/>
        <v>0</v>
      </c>
      <c r="O36" s="73">
        <f t="shared" si="2"/>
        <v>10798179</v>
      </c>
      <c r="P36" s="73">
        <f t="shared" si="3"/>
        <v>0</v>
      </c>
      <c r="Q36" s="73">
        <f>25*215000.2</f>
        <v>5375005</v>
      </c>
      <c r="R36" s="73">
        <v>0</v>
      </c>
      <c r="S36" s="75">
        <f t="shared" si="7"/>
        <v>16173184</v>
      </c>
      <c r="T36" s="77">
        <v>0</v>
      </c>
      <c r="U36" s="66">
        <v>40221</v>
      </c>
      <c r="V36" s="79">
        <v>95193</v>
      </c>
      <c r="W36" s="66" t="s">
        <v>1606</v>
      </c>
      <c r="X36" s="24" t="s">
        <v>1607</v>
      </c>
      <c r="Y36" s="62">
        <v>80</v>
      </c>
      <c r="Z36" s="177" t="s">
        <v>634</v>
      </c>
      <c r="AA36" s="92" t="s">
        <v>635</v>
      </c>
      <c r="AB36" s="3"/>
      <c r="AC36" s="4"/>
      <c r="AD36" s="5"/>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6"/>
      <c r="CE36" s="7"/>
      <c r="CF36" s="6"/>
      <c r="CG36" s="7"/>
      <c r="CH36" s="6"/>
      <c r="CI36" s="7"/>
      <c r="CJ36" s="8">
        <f t="shared" si="4"/>
        <v>0</v>
      </c>
      <c r="CK36" s="9"/>
      <c r="CL36" s="10"/>
      <c r="CM36" s="11"/>
      <c r="CN36" s="12"/>
      <c r="CO36" s="28">
        <v>175</v>
      </c>
      <c r="CP36" s="12">
        <f>175*24583.88</f>
        <v>4302179</v>
      </c>
      <c r="CQ36" s="9">
        <v>350</v>
      </c>
      <c r="CR36" s="10">
        <f>350*18560</f>
        <v>6496000</v>
      </c>
      <c r="CS36" s="68"/>
      <c r="EC36" s="344" t="str">
        <f t="shared" si="5"/>
        <v>CAQUETA_ALBANIA</v>
      </c>
      <c r="ED36" s="341"/>
      <c r="EE36" s="341"/>
      <c r="EF36" s="348"/>
      <c r="EG36" s="341"/>
      <c r="EH36" s="341"/>
      <c r="EI36" s="341"/>
    </row>
    <row r="37" spans="1:139" ht="25.5">
      <c r="A37" s="228">
        <v>40199</v>
      </c>
      <c r="B37" s="102" t="s">
        <v>1617</v>
      </c>
      <c r="C37" s="218" t="s">
        <v>1618</v>
      </c>
      <c r="D37" s="206" t="s">
        <v>2606</v>
      </c>
      <c r="E37" s="320" t="s">
        <v>4281</v>
      </c>
      <c r="F37" s="320"/>
      <c r="G37" s="210"/>
      <c r="H37" s="71"/>
      <c r="I37" s="71"/>
      <c r="J37" s="71">
        <v>65</v>
      </c>
      <c r="K37" s="71">
        <v>15</v>
      </c>
      <c r="L37" s="1"/>
      <c r="M37" s="73">
        <f t="shared" si="0"/>
        <v>0</v>
      </c>
      <c r="N37" s="73">
        <f t="shared" si="1"/>
        <v>0</v>
      </c>
      <c r="O37" s="73">
        <f t="shared" si="2"/>
        <v>0</v>
      </c>
      <c r="P37" s="73">
        <f t="shared" si="3"/>
        <v>0</v>
      </c>
      <c r="Q37" s="73"/>
      <c r="R37" s="73">
        <v>0</v>
      </c>
      <c r="S37" s="75">
        <f t="shared" si="7"/>
        <v>0</v>
      </c>
      <c r="T37" s="77">
        <v>0</v>
      </c>
      <c r="U37" s="66">
        <v>40199</v>
      </c>
      <c r="V37" s="79"/>
      <c r="W37" s="66" t="s">
        <v>1585</v>
      </c>
      <c r="X37" s="24" t="s">
        <v>1586</v>
      </c>
      <c r="Y37" s="62"/>
      <c r="Z37" s="177" t="s">
        <v>894</v>
      </c>
      <c r="AA37" s="80" t="s">
        <v>1971</v>
      </c>
      <c r="AB37" s="3"/>
      <c r="AC37" s="4"/>
      <c r="AD37" s="5"/>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6"/>
      <c r="CE37" s="7"/>
      <c r="CF37" s="6"/>
      <c r="CG37" s="7"/>
      <c r="CH37" s="6"/>
      <c r="CI37" s="7"/>
      <c r="CJ37" s="8">
        <f t="shared" si="4"/>
        <v>0</v>
      </c>
      <c r="CK37" s="9"/>
      <c r="CL37" s="10"/>
      <c r="CM37" s="11"/>
      <c r="CN37" s="12"/>
      <c r="CO37" s="28"/>
      <c r="CP37" s="12"/>
      <c r="CQ37" s="9"/>
      <c r="CR37" s="10"/>
      <c r="CS37" s="68"/>
      <c r="EC37" s="344" t="str">
        <f t="shared" si="5"/>
        <v>CASANARE_OROCUE</v>
      </c>
      <c r="ED37" s="341"/>
      <c r="EE37" s="341" t="s">
        <v>3103</v>
      </c>
      <c r="EF37" s="349" t="s">
        <v>3104</v>
      </c>
      <c r="EG37" s="341" t="s">
        <v>3227</v>
      </c>
      <c r="EH37" s="341" t="s">
        <v>4371</v>
      </c>
      <c r="EI37" s="341" t="str">
        <f t="shared" ref="EI37:EI100" si="8">EF37&amp;"_"&amp;EH37</f>
        <v>Antioquia_Medellin</v>
      </c>
    </row>
    <row r="38" spans="1:139" s="127" customFormat="1" ht="48">
      <c r="A38" s="228">
        <v>40199</v>
      </c>
      <c r="B38" s="102" t="s">
        <v>1996</v>
      </c>
      <c r="C38" s="102" t="s">
        <v>3155</v>
      </c>
      <c r="D38" s="206" t="s">
        <v>1752</v>
      </c>
      <c r="E38" s="320" t="s">
        <v>3807</v>
      </c>
      <c r="F38" s="320"/>
      <c r="G38" s="210"/>
      <c r="H38" s="71"/>
      <c r="I38" s="71"/>
      <c r="J38" s="71">
        <v>31011</v>
      </c>
      <c r="K38" s="71">
        <v>6202.2</v>
      </c>
      <c r="L38" s="1"/>
      <c r="M38" s="73">
        <f t="shared" si="0"/>
        <v>0</v>
      </c>
      <c r="N38" s="73">
        <f t="shared" si="1"/>
        <v>0</v>
      </c>
      <c r="O38" s="73">
        <f t="shared" si="2"/>
        <v>0</v>
      </c>
      <c r="P38" s="73">
        <f t="shared" si="3"/>
        <v>0</v>
      </c>
      <c r="Q38" s="73"/>
      <c r="R38" s="73">
        <v>0</v>
      </c>
      <c r="S38" s="75">
        <f t="shared" si="7"/>
        <v>0</v>
      </c>
      <c r="T38" s="77">
        <v>0</v>
      </c>
      <c r="U38" s="66">
        <v>40203</v>
      </c>
      <c r="V38" s="79">
        <v>94654</v>
      </c>
      <c r="W38" s="66" t="s">
        <v>1585</v>
      </c>
      <c r="X38" s="24" t="s">
        <v>1586</v>
      </c>
      <c r="Y38" s="62"/>
      <c r="Z38" s="177" t="s">
        <v>894</v>
      </c>
      <c r="AA38" s="81" t="s">
        <v>393</v>
      </c>
      <c r="AB38" s="3"/>
      <c r="AC38" s="4"/>
      <c r="AD38" s="5"/>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6"/>
      <c r="CE38" s="7"/>
      <c r="CF38" s="6"/>
      <c r="CG38" s="7"/>
      <c r="CH38" s="6"/>
      <c r="CI38" s="7"/>
      <c r="CJ38" s="8">
        <f t="shared" si="4"/>
        <v>0</v>
      </c>
      <c r="CK38" s="9"/>
      <c r="CL38" s="10"/>
      <c r="CM38" s="11"/>
      <c r="CN38" s="12"/>
      <c r="CO38" s="28"/>
      <c r="CP38" s="12"/>
      <c r="CQ38" s="9"/>
      <c r="CR38" s="10"/>
      <c r="CS38" s="68"/>
      <c r="CT38" s="22"/>
      <c r="EC38" s="344" t="str">
        <f t="shared" si="5"/>
        <v>CHOCO_ISTMINA</v>
      </c>
      <c r="ED38" s="341"/>
      <c r="EE38" s="341" t="s">
        <v>3103</v>
      </c>
      <c r="EF38" s="349" t="s">
        <v>3104</v>
      </c>
      <c r="EG38" s="341" t="s">
        <v>3228</v>
      </c>
      <c r="EH38" s="341" t="s">
        <v>4372</v>
      </c>
      <c r="EI38" s="341" t="str">
        <f t="shared" si="8"/>
        <v>Antioquia_Abejorral</v>
      </c>
    </row>
    <row r="39" spans="1:139" ht="48">
      <c r="A39" s="228">
        <v>40199</v>
      </c>
      <c r="B39" s="102" t="s">
        <v>1996</v>
      </c>
      <c r="C39" s="102" t="s">
        <v>1945</v>
      </c>
      <c r="D39" s="206" t="s">
        <v>1752</v>
      </c>
      <c r="E39" s="320" t="s">
        <v>3793</v>
      </c>
      <c r="F39" s="320"/>
      <c r="G39" s="210"/>
      <c r="H39" s="71"/>
      <c r="I39" s="71"/>
      <c r="J39" s="71">
        <v>120000</v>
      </c>
      <c r="K39" s="71">
        <f>120000/5</f>
        <v>24000</v>
      </c>
      <c r="L39" s="1"/>
      <c r="M39" s="73">
        <f t="shared" si="0"/>
        <v>0</v>
      </c>
      <c r="N39" s="73">
        <f t="shared" si="1"/>
        <v>0</v>
      </c>
      <c r="O39" s="73">
        <f t="shared" si="2"/>
        <v>0</v>
      </c>
      <c r="P39" s="73">
        <f t="shared" si="3"/>
        <v>0</v>
      </c>
      <c r="Q39" s="73"/>
      <c r="R39" s="73">
        <v>0</v>
      </c>
      <c r="S39" s="75">
        <f t="shared" si="7"/>
        <v>0</v>
      </c>
      <c r="T39" s="77">
        <v>0</v>
      </c>
      <c r="U39" s="66">
        <v>40203</v>
      </c>
      <c r="V39" s="79">
        <v>94654</v>
      </c>
      <c r="W39" s="66" t="s">
        <v>1585</v>
      </c>
      <c r="X39" s="24" t="s">
        <v>1586</v>
      </c>
      <c r="Y39" s="62"/>
      <c r="Z39" s="177" t="s">
        <v>894</v>
      </c>
      <c r="AA39" s="274" t="s">
        <v>393</v>
      </c>
      <c r="AB39" s="3"/>
      <c r="AC39" s="4"/>
      <c r="AD39" s="5"/>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6"/>
      <c r="CE39" s="7"/>
      <c r="CF39" s="6"/>
      <c r="CG39" s="7"/>
      <c r="CH39" s="6"/>
      <c r="CI39" s="7"/>
      <c r="CJ39" s="8">
        <f t="shared" si="4"/>
        <v>0</v>
      </c>
      <c r="CK39" s="9"/>
      <c r="CL39" s="10"/>
      <c r="CM39" s="11"/>
      <c r="CN39" s="12"/>
      <c r="CO39" s="28"/>
      <c r="CP39" s="12"/>
      <c r="CQ39" s="9"/>
      <c r="CR39" s="10"/>
      <c r="CS39" s="68"/>
      <c r="EC39" s="344" t="str">
        <f t="shared" si="5"/>
        <v>CHOCO_QUIBDO</v>
      </c>
      <c r="ED39" s="341"/>
      <c r="EE39" s="341" t="s">
        <v>3103</v>
      </c>
      <c r="EF39" s="349" t="s">
        <v>3104</v>
      </c>
      <c r="EG39" s="341" t="s">
        <v>3229</v>
      </c>
      <c r="EH39" s="341" t="s">
        <v>4373</v>
      </c>
      <c r="EI39" s="341" t="str">
        <f t="shared" si="8"/>
        <v>Antioquia_Abriaqui</v>
      </c>
    </row>
    <row r="40" spans="1:139" ht="36">
      <c r="A40" s="228">
        <v>40201</v>
      </c>
      <c r="B40" s="102" t="s">
        <v>1972</v>
      </c>
      <c r="C40" s="218" t="s">
        <v>1973</v>
      </c>
      <c r="D40" s="206" t="s">
        <v>1308</v>
      </c>
      <c r="E40" s="320" t="s">
        <v>3297</v>
      </c>
      <c r="F40" s="320"/>
      <c r="G40" s="210"/>
      <c r="H40" s="71"/>
      <c r="I40" s="71"/>
      <c r="J40" s="71"/>
      <c r="K40" s="71"/>
      <c r="L40" s="1"/>
      <c r="M40" s="73">
        <f t="shared" si="0"/>
        <v>0</v>
      </c>
      <c r="N40" s="73">
        <f t="shared" si="1"/>
        <v>0</v>
      </c>
      <c r="O40" s="73">
        <f t="shared" si="2"/>
        <v>0</v>
      </c>
      <c r="P40" s="73">
        <f t="shared" si="3"/>
        <v>0</v>
      </c>
      <c r="Q40" s="73"/>
      <c r="R40" s="73">
        <v>0</v>
      </c>
      <c r="S40" s="75">
        <f t="shared" si="7"/>
        <v>0</v>
      </c>
      <c r="T40" s="77">
        <v>0</v>
      </c>
      <c r="U40" s="66">
        <v>40201</v>
      </c>
      <c r="V40" s="79"/>
      <c r="W40" s="66" t="s">
        <v>1585</v>
      </c>
      <c r="X40" s="67" t="s">
        <v>1586</v>
      </c>
      <c r="Y40" s="68"/>
      <c r="Z40" s="196" t="s">
        <v>894</v>
      </c>
      <c r="AA40" s="82" t="s">
        <v>1087</v>
      </c>
      <c r="AB40" s="3"/>
      <c r="AC40" s="4"/>
      <c r="AD40" s="5"/>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6"/>
      <c r="CE40" s="7"/>
      <c r="CF40" s="6"/>
      <c r="CG40" s="7"/>
      <c r="CH40" s="6"/>
      <c r="CI40" s="7"/>
      <c r="CJ40" s="8">
        <f t="shared" si="4"/>
        <v>0</v>
      </c>
      <c r="CK40" s="9"/>
      <c r="CL40" s="10"/>
      <c r="CM40" s="11"/>
      <c r="CN40" s="12"/>
      <c r="CO40" s="28"/>
      <c r="CP40" s="12"/>
      <c r="CQ40" s="9"/>
      <c r="CR40" s="10"/>
      <c r="CS40" s="68"/>
      <c r="EC40" s="344" t="str">
        <f t="shared" si="5"/>
        <v>ANTIOQUIA_MURINDO</v>
      </c>
      <c r="ED40" s="341"/>
      <c r="EE40" s="341" t="s">
        <v>3103</v>
      </c>
      <c r="EF40" s="349" t="s">
        <v>3104</v>
      </c>
      <c r="EG40" s="341" t="s">
        <v>3230</v>
      </c>
      <c r="EH40" s="341" t="s">
        <v>4374</v>
      </c>
      <c r="EI40" s="341" t="str">
        <f t="shared" si="8"/>
        <v>Antioquia_Alejandria</v>
      </c>
    </row>
    <row r="41" spans="1:139" ht="45">
      <c r="A41" s="229">
        <v>40201</v>
      </c>
      <c r="B41" s="220" t="s">
        <v>1314</v>
      </c>
      <c r="C41" s="220" t="s">
        <v>896</v>
      </c>
      <c r="D41" s="231" t="s">
        <v>1752</v>
      </c>
      <c r="E41" s="322" t="s">
        <v>3605</v>
      </c>
      <c r="F41" s="322"/>
      <c r="G41" s="211"/>
      <c r="H41" s="107"/>
      <c r="I41" s="107"/>
      <c r="J41" s="107">
        <f>3022*5</f>
        <v>15110</v>
      </c>
      <c r="K41" s="107">
        <v>3022</v>
      </c>
      <c r="L41" s="90">
        <v>40310</v>
      </c>
      <c r="M41" s="108">
        <f t="shared" si="0"/>
        <v>55428000</v>
      </c>
      <c r="N41" s="108">
        <f t="shared" si="1"/>
        <v>127500000</v>
      </c>
      <c r="O41" s="108">
        <f t="shared" si="2"/>
        <v>0</v>
      </c>
      <c r="P41" s="108">
        <f t="shared" si="3"/>
        <v>0</v>
      </c>
      <c r="Q41" s="108"/>
      <c r="R41" s="108">
        <v>0</v>
      </c>
      <c r="S41" s="109">
        <f t="shared" si="7"/>
        <v>182928000</v>
      </c>
      <c r="T41" s="110">
        <v>0</v>
      </c>
      <c r="U41" s="111">
        <v>40289</v>
      </c>
      <c r="V41" s="112">
        <v>96780</v>
      </c>
      <c r="W41" s="111" t="s">
        <v>1606</v>
      </c>
      <c r="X41" s="272" t="s">
        <v>1607</v>
      </c>
      <c r="Y41" s="131" t="s">
        <v>1211</v>
      </c>
      <c r="Z41" s="273" t="s">
        <v>922</v>
      </c>
      <c r="AA41" s="276" t="s">
        <v>642</v>
      </c>
      <c r="AB41" s="116"/>
      <c r="AC41" s="117"/>
      <c r="AD41" s="118"/>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9">
        <v>1500</v>
      </c>
      <c r="CE41" s="120">
        <f>1500*36952</f>
        <v>55428000</v>
      </c>
      <c r="CF41" s="119"/>
      <c r="CG41" s="120"/>
      <c r="CH41" s="119"/>
      <c r="CI41" s="120"/>
      <c r="CJ41" s="128">
        <f t="shared" si="4"/>
        <v>55428000</v>
      </c>
      <c r="CK41" s="121"/>
      <c r="CL41" s="122"/>
      <c r="CM41" s="123">
        <f>500+1000</f>
        <v>1500</v>
      </c>
      <c r="CN41" s="124">
        <f>500*85000+1000*85000</f>
        <v>127500000</v>
      </c>
      <c r="CO41" s="125"/>
      <c r="CP41" s="124"/>
      <c r="CQ41" s="121"/>
      <c r="CR41" s="122"/>
      <c r="CS41" s="132"/>
      <c r="CT41" s="126"/>
      <c r="EC41" s="344" t="str">
        <f t="shared" si="5"/>
        <v>CAUCA_MERCADERES</v>
      </c>
      <c r="ED41" s="341"/>
      <c r="EE41" s="341" t="s">
        <v>3103</v>
      </c>
      <c r="EF41" s="349" t="s">
        <v>3104</v>
      </c>
      <c r="EG41" s="341" t="s">
        <v>3231</v>
      </c>
      <c r="EH41" s="341" t="s">
        <v>4375</v>
      </c>
      <c r="EI41" s="341" t="str">
        <f t="shared" si="8"/>
        <v>Antioquia_Amaga</v>
      </c>
    </row>
    <row r="42" spans="1:139" ht="38.25">
      <c r="A42" s="228">
        <v>40201</v>
      </c>
      <c r="B42" s="102" t="s">
        <v>1824</v>
      </c>
      <c r="C42" s="102" t="s">
        <v>384</v>
      </c>
      <c r="D42" s="206" t="s">
        <v>1752</v>
      </c>
      <c r="E42" s="320" t="s">
        <v>3987</v>
      </c>
      <c r="F42" s="320"/>
      <c r="G42" s="210"/>
      <c r="H42" s="71"/>
      <c r="I42" s="71"/>
      <c r="J42" s="71">
        <v>23000</v>
      </c>
      <c r="K42" s="71">
        <v>4600</v>
      </c>
      <c r="L42" s="1"/>
      <c r="M42" s="73">
        <f t="shared" si="0"/>
        <v>0</v>
      </c>
      <c r="N42" s="73">
        <f t="shared" si="1"/>
        <v>0</v>
      </c>
      <c r="O42" s="73">
        <f t="shared" si="2"/>
        <v>0</v>
      </c>
      <c r="P42" s="73">
        <f t="shared" si="3"/>
        <v>0</v>
      </c>
      <c r="Q42" s="73"/>
      <c r="R42" s="73">
        <v>0</v>
      </c>
      <c r="S42" s="75">
        <f t="shared" si="7"/>
        <v>0</v>
      </c>
      <c r="T42" s="77">
        <v>0</v>
      </c>
      <c r="U42" s="66">
        <v>40220</v>
      </c>
      <c r="V42" s="79">
        <v>95088</v>
      </c>
      <c r="W42" s="66" t="s">
        <v>1585</v>
      </c>
      <c r="X42" s="67" t="s">
        <v>1586</v>
      </c>
      <c r="Y42" s="68"/>
      <c r="Z42" s="196" t="s">
        <v>894</v>
      </c>
      <c r="AA42" s="82" t="s">
        <v>385</v>
      </c>
      <c r="AB42" s="3"/>
      <c r="AC42" s="4"/>
      <c r="AD42" s="5"/>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6"/>
      <c r="CE42" s="7"/>
      <c r="CF42" s="6"/>
      <c r="CG42" s="7"/>
      <c r="CH42" s="6"/>
      <c r="CI42" s="7"/>
      <c r="CJ42" s="8">
        <f t="shared" si="4"/>
        <v>0</v>
      </c>
      <c r="CK42" s="9"/>
      <c r="CL42" s="10"/>
      <c r="CM42" s="11"/>
      <c r="CN42" s="12"/>
      <c r="CO42" s="28"/>
      <c r="CP42" s="12"/>
      <c r="CQ42" s="9"/>
      <c r="CR42" s="10"/>
      <c r="CS42" s="68"/>
      <c r="EC42" s="350" t="str">
        <f t="shared" si="5"/>
        <v>NARIÑO_SAN LORENZO</v>
      </c>
      <c r="ED42" s="351"/>
      <c r="EE42" s="341" t="s">
        <v>3103</v>
      </c>
      <c r="EF42" s="349" t="s">
        <v>3104</v>
      </c>
      <c r="EG42" s="341" t="s">
        <v>3232</v>
      </c>
      <c r="EH42" s="341" t="s">
        <v>4376</v>
      </c>
      <c r="EI42" s="341" t="str">
        <f t="shared" si="8"/>
        <v>Antioquia_Amalfi</v>
      </c>
    </row>
    <row r="43" spans="1:139" ht="25.5">
      <c r="A43" s="228">
        <v>40204</v>
      </c>
      <c r="B43" s="102" t="s">
        <v>1609</v>
      </c>
      <c r="C43" s="218" t="s">
        <v>2004</v>
      </c>
      <c r="D43" s="206" t="s">
        <v>2606</v>
      </c>
      <c r="E43" s="320" t="s">
        <v>4050</v>
      </c>
      <c r="F43" s="320"/>
      <c r="G43" s="210"/>
      <c r="H43" s="71"/>
      <c r="I43" s="71"/>
      <c r="J43" s="71">
        <v>105</v>
      </c>
      <c r="K43" s="71">
        <v>21</v>
      </c>
      <c r="L43" s="1"/>
      <c r="M43" s="73">
        <f t="shared" si="0"/>
        <v>0</v>
      </c>
      <c r="N43" s="73">
        <f t="shared" si="1"/>
        <v>0</v>
      </c>
      <c r="O43" s="73">
        <f t="shared" si="2"/>
        <v>0</v>
      </c>
      <c r="P43" s="73">
        <f t="shared" si="3"/>
        <v>0</v>
      </c>
      <c r="Q43" s="73"/>
      <c r="R43" s="73">
        <v>0</v>
      </c>
      <c r="S43" s="75">
        <f t="shared" si="7"/>
        <v>0</v>
      </c>
      <c r="T43" s="77">
        <v>0</v>
      </c>
      <c r="U43" s="66">
        <v>40204</v>
      </c>
      <c r="V43" s="79"/>
      <c r="W43" s="66" t="s">
        <v>1585</v>
      </c>
      <c r="X43" s="67" t="s">
        <v>1586</v>
      </c>
      <c r="Y43" s="68"/>
      <c r="Z43" s="196" t="s">
        <v>894</v>
      </c>
      <c r="AA43" s="82" t="s">
        <v>1190</v>
      </c>
      <c r="AB43" s="3"/>
      <c r="AC43" s="4"/>
      <c r="AD43" s="5"/>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6"/>
      <c r="CE43" s="7"/>
      <c r="CF43" s="6"/>
      <c r="CG43" s="7"/>
      <c r="CH43" s="6"/>
      <c r="CI43" s="7"/>
      <c r="CJ43" s="8">
        <f t="shared" si="4"/>
        <v>0</v>
      </c>
      <c r="CK43" s="9"/>
      <c r="CL43" s="10"/>
      <c r="CM43" s="11"/>
      <c r="CN43" s="12"/>
      <c r="CO43" s="28"/>
      <c r="CP43" s="12"/>
      <c r="CQ43" s="9"/>
      <c r="CR43" s="10"/>
      <c r="CS43" s="68"/>
      <c r="EC43" s="344" t="str">
        <f t="shared" si="5"/>
        <v>RISARALDA_PEREIRA</v>
      </c>
      <c r="ED43" s="341"/>
      <c r="EE43" s="341" t="s">
        <v>3103</v>
      </c>
      <c r="EF43" s="349" t="s">
        <v>3104</v>
      </c>
      <c r="EG43" s="341" t="s">
        <v>3233</v>
      </c>
      <c r="EH43" s="341" t="s">
        <v>4377</v>
      </c>
      <c r="EI43" s="341" t="str">
        <f t="shared" si="8"/>
        <v>Antioquia_Andes</v>
      </c>
    </row>
    <row r="44" spans="1:139" ht="48">
      <c r="A44" s="228">
        <v>40205</v>
      </c>
      <c r="B44" s="102" t="s">
        <v>1192</v>
      </c>
      <c r="C44" s="218" t="s">
        <v>1193</v>
      </c>
      <c r="D44" s="206" t="s">
        <v>1308</v>
      </c>
      <c r="E44" s="320" t="s">
        <v>3504</v>
      </c>
      <c r="F44" s="320"/>
      <c r="G44" s="210"/>
      <c r="H44" s="71"/>
      <c r="I44" s="71"/>
      <c r="J44" s="71"/>
      <c r="K44" s="71"/>
      <c r="L44" s="1"/>
      <c r="M44" s="73">
        <f t="shared" si="0"/>
        <v>0</v>
      </c>
      <c r="N44" s="73">
        <f t="shared" si="1"/>
        <v>0</v>
      </c>
      <c r="O44" s="73">
        <f t="shared" si="2"/>
        <v>0</v>
      </c>
      <c r="P44" s="73">
        <f t="shared" si="3"/>
        <v>0</v>
      </c>
      <c r="Q44" s="73"/>
      <c r="R44" s="73">
        <v>0</v>
      </c>
      <c r="S44" s="75">
        <f t="shared" si="7"/>
        <v>0</v>
      </c>
      <c r="T44" s="77">
        <v>0</v>
      </c>
      <c r="U44" s="66">
        <v>40205</v>
      </c>
      <c r="V44" s="79"/>
      <c r="W44" s="66" t="s">
        <v>1585</v>
      </c>
      <c r="X44" s="67" t="s">
        <v>1586</v>
      </c>
      <c r="Y44" s="68"/>
      <c r="Z44" s="196" t="s">
        <v>894</v>
      </c>
      <c r="AA44" s="82" t="s">
        <v>2221</v>
      </c>
      <c r="AB44" s="3"/>
      <c r="AC44" s="4"/>
      <c r="AD44" s="5"/>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6"/>
      <c r="CE44" s="7"/>
      <c r="CF44" s="6"/>
      <c r="CG44" s="7"/>
      <c r="CH44" s="6"/>
      <c r="CI44" s="7"/>
      <c r="CJ44" s="8">
        <f t="shared" si="4"/>
        <v>0</v>
      </c>
      <c r="CK44" s="9"/>
      <c r="CL44" s="10"/>
      <c r="CM44" s="11"/>
      <c r="CN44" s="12"/>
      <c r="CO44" s="28"/>
      <c r="CP44" s="12"/>
      <c r="CQ44" s="9"/>
      <c r="CR44" s="10"/>
      <c r="CS44" s="68"/>
      <c r="EC44" s="344" t="str">
        <f t="shared" si="5"/>
        <v>BOYACA_SAN LUIS DE GACENO</v>
      </c>
      <c r="ED44" s="341"/>
      <c r="EE44" s="341" t="s">
        <v>3103</v>
      </c>
      <c r="EF44" s="349" t="s">
        <v>3104</v>
      </c>
      <c r="EG44" s="341" t="s">
        <v>3234</v>
      </c>
      <c r="EH44" s="341" t="s">
        <v>4378</v>
      </c>
      <c r="EI44" s="341" t="str">
        <f t="shared" si="8"/>
        <v>Antioquia_Angelopolis</v>
      </c>
    </row>
    <row r="45" spans="1:139" ht="48">
      <c r="A45" s="228">
        <v>40205</v>
      </c>
      <c r="B45" s="102" t="s">
        <v>4321</v>
      </c>
      <c r="C45" s="218" t="s">
        <v>1995</v>
      </c>
      <c r="D45" s="206" t="s">
        <v>1308</v>
      </c>
      <c r="E45" s="320" t="s">
        <v>3870</v>
      </c>
      <c r="F45" s="320"/>
      <c r="G45" s="210"/>
      <c r="H45" s="71"/>
      <c r="I45" s="71"/>
      <c r="J45" s="71"/>
      <c r="K45" s="71"/>
      <c r="L45" s="1"/>
      <c r="M45" s="73">
        <f t="shared" si="0"/>
        <v>0</v>
      </c>
      <c r="N45" s="73">
        <f t="shared" si="1"/>
        <v>0</v>
      </c>
      <c r="O45" s="73">
        <f t="shared" si="2"/>
        <v>0</v>
      </c>
      <c r="P45" s="73">
        <f t="shared" si="3"/>
        <v>0</v>
      </c>
      <c r="Q45" s="73"/>
      <c r="R45" s="73">
        <v>0</v>
      </c>
      <c r="S45" s="75">
        <f t="shared" si="7"/>
        <v>0</v>
      </c>
      <c r="T45" s="77">
        <v>0</v>
      </c>
      <c r="U45" s="66">
        <v>40205</v>
      </c>
      <c r="V45" s="79"/>
      <c r="W45" s="66" t="s">
        <v>1585</v>
      </c>
      <c r="X45" s="67" t="s">
        <v>1586</v>
      </c>
      <c r="Y45" s="68"/>
      <c r="Z45" s="196" t="s">
        <v>894</v>
      </c>
      <c r="AA45" s="82" t="s">
        <v>2002</v>
      </c>
      <c r="AB45" s="3"/>
      <c r="AC45" s="4"/>
      <c r="AD45" s="5"/>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6"/>
      <c r="CE45" s="7"/>
      <c r="CF45" s="6"/>
      <c r="CG45" s="7"/>
      <c r="CH45" s="6"/>
      <c r="CI45" s="7"/>
      <c r="CJ45" s="8">
        <f t="shared" si="4"/>
        <v>0</v>
      </c>
      <c r="CK45" s="9"/>
      <c r="CL45" s="10"/>
      <c r="CM45" s="11"/>
      <c r="CN45" s="12"/>
      <c r="CO45" s="28"/>
      <c r="CP45" s="12"/>
      <c r="CQ45" s="9"/>
      <c r="CR45" s="10"/>
      <c r="CS45" s="68"/>
      <c r="EC45" s="344" t="str">
        <f t="shared" si="5"/>
        <v>LA GUAJIRA_MANAURE</v>
      </c>
      <c r="ED45" s="341"/>
      <c r="EE45" s="341" t="s">
        <v>3103</v>
      </c>
      <c r="EF45" s="349" t="s">
        <v>3104</v>
      </c>
      <c r="EG45" s="341" t="s">
        <v>3235</v>
      </c>
      <c r="EH45" s="341" t="s">
        <v>4379</v>
      </c>
      <c r="EI45" s="341" t="str">
        <f t="shared" si="8"/>
        <v>Antioquia_Angostura</v>
      </c>
    </row>
    <row r="46" spans="1:139" ht="108">
      <c r="A46" s="228">
        <v>40205</v>
      </c>
      <c r="B46" s="102" t="s">
        <v>1998</v>
      </c>
      <c r="C46" s="102" t="s">
        <v>1653</v>
      </c>
      <c r="D46" s="206" t="s">
        <v>1752</v>
      </c>
      <c r="E46" s="320" t="s">
        <v>4110</v>
      </c>
      <c r="F46" s="320"/>
      <c r="G46" s="210"/>
      <c r="H46" s="71"/>
      <c r="I46" s="71"/>
      <c r="J46" s="71"/>
      <c r="K46" s="71"/>
      <c r="L46" s="1">
        <v>40316</v>
      </c>
      <c r="M46" s="73">
        <f t="shared" si="0"/>
        <v>0</v>
      </c>
      <c r="N46" s="73">
        <f t="shared" si="1"/>
        <v>0</v>
      </c>
      <c r="O46" s="73">
        <f t="shared" si="2"/>
        <v>0</v>
      </c>
      <c r="P46" s="73">
        <f t="shared" si="3"/>
        <v>0</v>
      </c>
      <c r="Q46" s="73"/>
      <c r="R46" s="73">
        <v>33000000</v>
      </c>
      <c r="S46" s="75">
        <f t="shared" si="7"/>
        <v>33000000</v>
      </c>
      <c r="T46" s="77">
        <v>0</v>
      </c>
      <c r="U46" s="66">
        <v>40304</v>
      </c>
      <c r="V46" s="79">
        <v>97277</v>
      </c>
      <c r="W46" s="66" t="s">
        <v>1606</v>
      </c>
      <c r="X46" s="67" t="s">
        <v>1607</v>
      </c>
      <c r="Y46" s="68">
        <v>243</v>
      </c>
      <c r="Z46" s="196" t="s">
        <v>1567</v>
      </c>
      <c r="AA46" s="88" t="s">
        <v>1568</v>
      </c>
      <c r="AB46" s="3"/>
      <c r="AC46" s="4"/>
      <c r="AD46" s="5"/>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6"/>
      <c r="CE46" s="7"/>
      <c r="CF46" s="6"/>
      <c r="CG46" s="7"/>
      <c r="CH46" s="6"/>
      <c r="CI46" s="7"/>
      <c r="CJ46" s="8">
        <f t="shared" si="4"/>
        <v>0</v>
      </c>
      <c r="CK46" s="9"/>
      <c r="CL46" s="10"/>
      <c r="CM46" s="11"/>
      <c r="CN46" s="12"/>
      <c r="CO46" s="28"/>
      <c r="CP46" s="12"/>
      <c r="CQ46" s="9"/>
      <c r="CR46" s="10"/>
      <c r="CS46" s="68">
        <v>2</v>
      </c>
      <c r="EC46" s="344" t="str">
        <f t="shared" si="5"/>
        <v>SANTANDER_LA PAZ</v>
      </c>
      <c r="ED46" s="341"/>
      <c r="EE46" s="351" t="s">
        <v>3103</v>
      </c>
      <c r="EF46" s="349" t="s">
        <v>3104</v>
      </c>
      <c r="EG46" s="351" t="s">
        <v>3236</v>
      </c>
      <c r="EH46" s="351" t="s">
        <v>4380</v>
      </c>
      <c r="EI46" s="351" t="str">
        <f t="shared" si="8"/>
        <v>Antioquia_Anori</v>
      </c>
    </row>
    <row r="47" spans="1:139" ht="96">
      <c r="A47" s="228">
        <v>40205</v>
      </c>
      <c r="B47" s="102" t="s">
        <v>1088</v>
      </c>
      <c r="C47" s="218" t="s">
        <v>1089</v>
      </c>
      <c r="D47" s="206" t="s">
        <v>2606</v>
      </c>
      <c r="E47" s="320" t="s">
        <v>4249</v>
      </c>
      <c r="F47" s="320"/>
      <c r="G47" s="210"/>
      <c r="H47" s="71"/>
      <c r="I47" s="71"/>
      <c r="J47" s="71">
        <f>620*5</f>
        <v>3100</v>
      </c>
      <c r="K47" s="71">
        <v>620</v>
      </c>
      <c r="L47" s="1">
        <v>40211</v>
      </c>
      <c r="M47" s="73">
        <f t="shared" si="0"/>
        <v>30699342</v>
      </c>
      <c r="N47" s="73">
        <f t="shared" si="1"/>
        <v>25499538.000000004</v>
      </c>
      <c r="O47" s="73">
        <f t="shared" si="2"/>
        <v>10499160</v>
      </c>
      <c r="P47" s="73">
        <f t="shared" si="3"/>
        <v>0</v>
      </c>
      <c r="Q47" s="73"/>
      <c r="R47" s="73">
        <v>0</v>
      </c>
      <c r="S47" s="75">
        <f t="shared" si="7"/>
        <v>66698040</v>
      </c>
      <c r="T47" s="77">
        <v>0</v>
      </c>
      <c r="U47" s="66">
        <v>40205</v>
      </c>
      <c r="V47" s="79">
        <v>94996</v>
      </c>
      <c r="W47" s="66" t="s">
        <v>1606</v>
      </c>
      <c r="X47" s="67" t="s">
        <v>1607</v>
      </c>
      <c r="Y47" s="68">
        <v>15</v>
      </c>
      <c r="Z47" s="196" t="s">
        <v>893</v>
      </c>
      <c r="AA47" s="82" t="s">
        <v>1993</v>
      </c>
      <c r="AB47" s="3"/>
      <c r="AC47" s="4"/>
      <c r="AD47" s="5"/>
      <c r="AE47" s="4"/>
      <c r="AF47" s="4"/>
      <c r="AG47" s="4"/>
      <c r="AH47" s="4"/>
      <c r="AI47" s="4"/>
      <c r="AJ47" s="4">
        <v>300</v>
      </c>
      <c r="AK47" s="4">
        <f>300*20998.32</f>
        <v>6299496</v>
      </c>
      <c r="AL47" s="4"/>
      <c r="AM47" s="4"/>
      <c r="AN47" s="4">
        <v>300</v>
      </c>
      <c r="AO47" s="4">
        <f>300*55999.58</f>
        <v>16799874</v>
      </c>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6">
        <v>200</v>
      </c>
      <c r="CE47" s="7">
        <f>200*37999.86</f>
        <v>7599972</v>
      </c>
      <c r="CF47" s="6"/>
      <c r="CG47" s="7"/>
      <c r="CH47" s="6"/>
      <c r="CI47" s="7"/>
      <c r="CJ47" s="8">
        <f t="shared" si="4"/>
        <v>30699342</v>
      </c>
      <c r="CK47" s="9"/>
      <c r="CL47" s="10"/>
      <c r="CM47" s="11">
        <v>300</v>
      </c>
      <c r="CN47" s="12">
        <f>300*84998.46</f>
        <v>25499538.000000004</v>
      </c>
      <c r="CO47" s="28"/>
      <c r="CP47" s="12"/>
      <c r="CQ47" s="9">
        <v>500</v>
      </c>
      <c r="CR47" s="10">
        <f>500*20998.32</f>
        <v>10499160</v>
      </c>
      <c r="CS47" s="68"/>
      <c r="EC47" s="344" t="str">
        <f t="shared" si="5"/>
        <v>VALLE DEL CAUCA_OBANDO</v>
      </c>
      <c r="ED47" s="341"/>
      <c r="EE47" s="341" t="s">
        <v>3103</v>
      </c>
      <c r="EF47" s="349" t="s">
        <v>3104</v>
      </c>
      <c r="EG47" s="341" t="s">
        <v>3237</v>
      </c>
      <c r="EH47" s="341" t="s">
        <v>4381</v>
      </c>
      <c r="EI47" s="341" t="str">
        <f t="shared" si="8"/>
        <v>Antioquia_Santafe de Antioquia</v>
      </c>
    </row>
    <row r="48" spans="1:139" ht="67.5">
      <c r="A48" s="228">
        <v>40206</v>
      </c>
      <c r="B48" s="102" t="s">
        <v>1617</v>
      </c>
      <c r="C48" s="102" t="s">
        <v>649</v>
      </c>
      <c r="D48" s="206" t="s">
        <v>2606</v>
      </c>
      <c r="E48" s="320" t="s">
        <v>4274</v>
      </c>
      <c r="F48" s="320"/>
      <c r="G48" s="210"/>
      <c r="H48" s="71"/>
      <c r="I48" s="71"/>
      <c r="J48" s="71">
        <v>40</v>
      </c>
      <c r="K48" s="71">
        <v>8</v>
      </c>
      <c r="L48" s="1">
        <v>40261</v>
      </c>
      <c r="M48" s="73">
        <f t="shared" si="0"/>
        <v>0</v>
      </c>
      <c r="N48" s="73">
        <f t="shared" si="1"/>
        <v>0</v>
      </c>
      <c r="O48" s="73">
        <f t="shared" si="2"/>
        <v>3387200</v>
      </c>
      <c r="P48" s="73">
        <f t="shared" si="3"/>
        <v>0</v>
      </c>
      <c r="Q48" s="73"/>
      <c r="R48" s="73">
        <v>0</v>
      </c>
      <c r="S48" s="75">
        <f t="shared" si="7"/>
        <v>3387200</v>
      </c>
      <c r="T48" s="77">
        <v>0</v>
      </c>
      <c r="U48" s="66">
        <v>40239</v>
      </c>
      <c r="V48" s="79">
        <v>95642</v>
      </c>
      <c r="W48" s="66" t="s">
        <v>1606</v>
      </c>
      <c r="X48" s="67" t="s">
        <v>1607</v>
      </c>
      <c r="Y48" s="68">
        <v>50</v>
      </c>
      <c r="Z48" s="196" t="s">
        <v>576</v>
      </c>
      <c r="AA48" s="82" t="s">
        <v>564</v>
      </c>
      <c r="AB48" s="3"/>
      <c r="AC48" s="4"/>
      <c r="AD48" s="5"/>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6"/>
      <c r="CE48" s="7"/>
      <c r="CF48" s="6"/>
      <c r="CG48" s="7"/>
      <c r="CH48" s="6"/>
      <c r="CI48" s="7"/>
      <c r="CJ48" s="8">
        <f t="shared" si="4"/>
        <v>0</v>
      </c>
      <c r="CK48" s="9"/>
      <c r="CL48" s="10"/>
      <c r="CM48" s="11"/>
      <c r="CN48" s="12"/>
      <c r="CO48" s="28">
        <v>50</v>
      </c>
      <c r="CP48" s="12">
        <f>50*30160</f>
        <v>1508000</v>
      </c>
      <c r="CQ48" s="9">
        <v>100</v>
      </c>
      <c r="CR48" s="10">
        <f>100*18792</f>
        <v>1879200</v>
      </c>
      <c r="CS48" s="68"/>
      <c r="EC48" s="344" t="str">
        <f t="shared" si="5"/>
        <v>CASANARE_AGUAZUL</v>
      </c>
      <c r="ED48" s="341"/>
      <c r="EE48" s="341" t="s">
        <v>3103</v>
      </c>
      <c r="EF48" s="349" t="s">
        <v>3104</v>
      </c>
      <c r="EG48" s="341" t="s">
        <v>3238</v>
      </c>
      <c r="EH48" s="341" t="s">
        <v>4382</v>
      </c>
      <c r="EI48" s="341" t="str">
        <f t="shared" si="8"/>
        <v>Antioquia_Anza</v>
      </c>
    </row>
    <row r="49" spans="1:139" ht="67.5">
      <c r="A49" s="228">
        <v>40206</v>
      </c>
      <c r="B49" s="102" t="s">
        <v>1617</v>
      </c>
      <c r="C49" s="102" t="s">
        <v>650</v>
      </c>
      <c r="D49" s="206" t="s">
        <v>2606</v>
      </c>
      <c r="E49" s="320" t="s">
        <v>4290</v>
      </c>
      <c r="F49" s="320"/>
      <c r="G49" s="210"/>
      <c r="H49" s="71"/>
      <c r="I49" s="71"/>
      <c r="J49" s="71">
        <v>70</v>
      </c>
      <c r="K49" s="71">
        <v>14</v>
      </c>
      <c r="L49" s="1">
        <v>40261</v>
      </c>
      <c r="M49" s="73">
        <f t="shared" si="0"/>
        <v>0</v>
      </c>
      <c r="N49" s="73">
        <f t="shared" si="1"/>
        <v>0</v>
      </c>
      <c r="O49" s="73">
        <f t="shared" si="2"/>
        <v>4326800</v>
      </c>
      <c r="P49" s="73">
        <f t="shared" si="3"/>
        <v>0</v>
      </c>
      <c r="Q49" s="73"/>
      <c r="R49" s="73">
        <v>0</v>
      </c>
      <c r="S49" s="75">
        <f t="shared" si="7"/>
        <v>4326800</v>
      </c>
      <c r="T49" s="77">
        <v>0</v>
      </c>
      <c r="U49" s="66">
        <v>40239</v>
      </c>
      <c r="V49" s="79">
        <v>95642</v>
      </c>
      <c r="W49" s="66" t="s">
        <v>1606</v>
      </c>
      <c r="X49" s="67" t="s">
        <v>1607</v>
      </c>
      <c r="Y49" s="68">
        <v>50</v>
      </c>
      <c r="Z49" s="196" t="s">
        <v>576</v>
      </c>
      <c r="AA49" s="82" t="s">
        <v>565</v>
      </c>
      <c r="AB49" s="3"/>
      <c r="AC49" s="4"/>
      <c r="AD49" s="5"/>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6"/>
      <c r="CE49" s="7"/>
      <c r="CF49" s="6"/>
      <c r="CG49" s="7"/>
      <c r="CH49" s="6"/>
      <c r="CI49" s="7"/>
      <c r="CJ49" s="8">
        <f t="shared" si="4"/>
        <v>0</v>
      </c>
      <c r="CK49" s="9"/>
      <c r="CL49" s="10"/>
      <c r="CM49" s="11"/>
      <c r="CN49" s="12"/>
      <c r="CO49" s="28">
        <v>50</v>
      </c>
      <c r="CP49" s="12">
        <f>50*30160</f>
        <v>1508000</v>
      </c>
      <c r="CQ49" s="9">
        <v>150</v>
      </c>
      <c r="CR49" s="10">
        <f>150*18792</f>
        <v>2818800</v>
      </c>
      <c r="CS49" s="68"/>
      <c r="EC49" s="352" t="str">
        <f t="shared" si="5"/>
        <v>CASANARE_TRINIDAD</v>
      </c>
      <c r="ED49" s="353"/>
      <c r="EE49" s="341" t="s">
        <v>3103</v>
      </c>
      <c r="EF49" s="349" t="s">
        <v>3104</v>
      </c>
      <c r="EG49" s="341" t="s">
        <v>3239</v>
      </c>
      <c r="EH49" s="341" t="s">
        <v>4383</v>
      </c>
      <c r="EI49" s="341" t="str">
        <f t="shared" si="8"/>
        <v>Antioquia_Apartado</v>
      </c>
    </row>
    <row r="50" spans="1:139" ht="38.25">
      <c r="A50" s="228">
        <v>40206</v>
      </c>
      <c r="B50" s="102" t="s">
        <v>1996</v>
      </c>
      <c r="C50" s="218" t="s">
        <v>1997</v>
      </c>
      <c r="D50" s="206" t="s">
        <v>1308</v>
      </c>
      <c r="E50" s="320" t="s">
        <v>3798</v>
      </c>
      <c r="F50" s="320"/>
      <c r="G50" s="210"/>
      <c r="H50" s="71"/>
      <c r="I50" s="71"/>
      <c r="J50" s="71"/>
      <c r="K50" s="71"/>
      <c r="L50" s="1"/>
      <c r="M50" s="73">
        <f t="shared" si="0"/>
        <v>0</v>
      </c>
      <c r="N50" s="73">
        <f t="shared" si="1"/>
        <v>0</v>
      </c>
      <c r="O50" s="73">
        <f t="shared" si="2"/>
        <v>0</v>
      </c>
      <c r="P50" s="73">
        <f t="shared" si="3"/>
        <v>0</v>
      </c>
      <c r="Q50" s="73"/>
      <c r="R50" s="73">
        <v>0</v>
      </c>
      <c r="S50" s="75">
        <f t="shared" si="7"/>
        <v>0</v>
      </c>
      <c r="T50" s="77">
        <v>0</v>
      </c>
      <c r="U50" s="66">
        <v>40206</v>
      </c>
      <c r="V50" s="79"/>
      <c r="W50" s="66" t="s">
        <v>1585</v>
      </c>
      <c r="X50" s="67" t="s">
        <v>1586</v>
      </c>
      <c r="Y50" s="68"/>
      <c r="Z50" s="196" t="s">
        <v>894</v>
      </c>
      <c r="AA50" s="82" t="s">
        <v>2001</v>
      </c>
      <c r="AB50" s="3"/>
      <c r="AC50" s="4"/>
      <c r="AD50" s="5"/>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6"/>
      <c r="CE50" s="7"/>
      <c r="CF50" s="6"/>
      <c r="CG50" s="7"/>
      <c r="CH50" s="6"/>
      <c r="CI50" s="7"/>
      <c r="CJ50" s="8">
        <f t="shared" si="4"/>
        <v>0</v>
      </c>
      <c r="CK50" s="9"/>
      <c r="CL50" s="10"/>
      <c r="CM50" s="11"/>
      <c r="CN50" s="12"/>
      <c r="CO50" s="28"/>
      <c r="CP50" s="12"/>
      <c r="CQ50" s="9"/>
      <c r="CR50" s="10"/>
      <c r="CS50" s="68"/>
      <c r="EC50" s="352" t="str">
        <f t="shared" si="5"/>
        <v>CHOCO_BAHIA SOLANO</v>
      </c>
      <c r="ED50" s="353"/>
      <c r="EE50" s="341" t="s">
        <v>3103</v>
      </c>
      <c r="EF50" s="349" t="s">
        <v>3104</v>
      </c>
      <c r="EG50" s="341" t="s">
        <v>3240</v>
      </c>
      <c r="EH50" s="341" t="s">
        <v>4384</v>
      </c>
      <c r="EI50" s="341" t="str">
        <f t="shared" si="8"/>
        <v>Antioquia_Arboletes</v>
      </c>
    </row>
    <row r="51" spans="1:139" ht="60">
      <c r="A51" s="228">
        <v>40206</v>
      </c>
      <c r="B51" s="102" t="s">
        <v>1996</v>
      </c>
      <c r="C51" s="102" t="s">
        <v>947</v>
      </c>
      <c r="D51" s="206" t="s">
        <v>620</v>
      </c>
      <c r="E51" s="320" t="s">
        <v>3811</v>
      </c>
      <c r="F51" s="320"/>
      <c r="G51" s="210"/>
      <c r="H51" s="71"/>
      <c r="I51" s="71"/>
      <c r="J51" s="71"/>
      <c r="K51" s="71"/>
      <c r="L51" s="1">
        <v>40287</v>
      </c>
      <c r="M51" s="73">
        <f t="shared" si="0"/>
        <v>0</v>
      </c>
      <c r="N51" s="73">
        <f t="shared" si="1"/>
        <v>0</v>
      </c>
      <c r="O51" s="73">
        <f t="shared" si="2"/>
        <v>0</v>
      </c>
      <c r="P51" s="73">
        <f t="shared" si="3"/>
        <v>0</v>
      </c>
      <c r="Q51" s="73"/>
      <c r="R51" s="73">
        <v>45000000</v>
      </c>
      <c r="S51" s="75">
        <f t="shared" si="7"/>
        <v>45000000</v>
      </c>
      <c r="T51" s="77">
        <v>0</v>
      </c>
      <c r="U51" s="66">
        <v>40218</v>
      </c>
      <c r="V51" s="79">
        <v>95058</v>
      </c>
      <c r="W51" s="66" t="s">
        <v>1606</v>
      </c>
      <c r="X51" s="67" t="s">
        <v>1607</v>
      </c>
      <c r="Y51" s="68"/>
      <c r="Z51" s="196" t="s">
        <v>1894</v>
      </c>
      <c r="AA51" s="88" t="s">
        <v>948</v>
      </c>
      <c r="AB51" s="3"/>
      <c r="AC51" s="4"/>
      <c r="AD51" s="5"/>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6"/>
      <c r="CE51" s="7"/>
      <c r="CF51" s="6"/>
      <c r="CG51" s="7"/>
      <c r="CH51" s="6"/>
      <c r="CI51" s="7"/>
      <c r="CJ51" s="8">
        <f t="shared" si="4"/>
        <v>0</v>
      </c>
      <c r="CK51" s="9"/>
      <c r="CL51" s="10"/>
      <c r="CM51" s="11"/>
      <c r="CN51" s="12"/>
      <c r="CO51" s="28"/>
      <c r="CP51" s="12"/>
      <c r="CQ51" s="9"/>
      <c r="CR51" s="10"/>
      <c r="CS51" s="68">
        <v>2</v>
      </c>
      <c r="EC51" s="344" t="str">
        <f t="shared" si="5"/>
        <v>CHOCO_MEDIO BAUDO</v>
      </c>
      <c r="ED51" s="341"/>
      <c r="EE51" s="341" t="s">
        <v>3103</v>
      </c>
      <c r="EF51" s="349" t="s">
        <v>3104</v>
      </c>
      <c r="EG51" s="341" t="s">
        <v>3241</v>
      </c>
      <c r="EH51" s="341" t="s">
        <v>4385</v>
      </c>
      <c r="EI51" s="341" t="str">
        <f t="shared" si="8"/>
        <v>Antioquia_Argelia</v>
      </c>
    </row>
    <row r="52" spans="1:139" ht="72">
      <c r="A52" s="228">
        <v>40206</v>
      </c>
      <c r="B52" s="102" t="s">
        <v>1611</v>
      </c>
      <c r="C52" s="218" t="s">
        <v>1611</v>
      </c>
      <c r="D52" s="206" t="s">
        <v>2389</v>
      </c>
      <c r="E52" s="320" t="e">
        <v>#N/A</v>
      </c>
      <c r="F52" s="320"/>
      <c r="G52" s="210"/>
      <c r="H52" s="71"/>
      <c r="I52" s="71"/>
      <c r="J52" s="71"/>
      <c r="K52" s="71"/>
      <c r="L52" s="1">
        <v>40224</v>
      </c>
      <c r="M52" s="73">
        <f t="shared" si="0"/>
        <v>0</v>
      </c>
      <c r="N52" s="73">
        <f t="shared" si="1"/>
        <v>0</v>
      </c>
      <c r="O52" s="73">
        <f t="shared" si="2"/>
        <v>0</v>
      </c>
      <c r="P52" s="73">
        <f t="shared" si="3"/>
        <v>0</v>
      </c>
      <c r="Q52" s="73">
        <f>100*22000+53040+127488+82176+16800+9750+24300</f>
        <v>2513554</v>
      </c>
      <c r="R52" s="73">
        <v>0</v>
      </c>
      <c r="S52" s="75">
        <f t="shared" si="7"/>
        <v>2513554</v>
      </c>
      <c r="T52" s="77">
        <v>0</v>
      </c>
      <c r="U52" s="66">
        <v>40217</v>
      </c>
      <c r="V52" s="79">
        <v>95038</v>
      </c>
      <c r="W52" s="66" t="s">
        <v>1606</v>
      </c>
      <c r="X52" s="67" t="s">
        <v>1607</v>
      </c>
      <c r="Y52" s="68"/>
      <c r="Z52" s="196" t="s">
        <v>1608</v>
      </c>
      <c r="AA52" s="82" t="s">
        <v>383</v>
      </c>
      <c r="AB52" s="3"/>
      <c r="AC52" s="4"/>
      <c r="AD52" s="5"/>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6"/>
      <c r="CE52" s="7"/>
      <c r="CF52" s="6"/>
      <c r="CG52" s="7"/>
      <c r="CH52" s="6"/>
      <c r="CI52" s="7"/>
      <c r="CJ52" s="8">
        <f t="shared" si="4"/>
        <v>0</v>
      </c>
      <c r="CK52" s="9"/>
      <c r="CL52" s="10"/>
      <c r="CM52" s="11"/>
      <c r="CN52" s="12"/>
      <c r="CO52" s="28"/>
      <c r="CP52" s="12"/>
      <c r="CQ52" s="9"/>
      <c r="CR52" s="10"/>
      <c r="CS52" s="68"/>
      <c r="EC52" s="344" t="str">
        <f t="shared" si="5"/>
        <v>NACION_NACION</v>
      </c>
      <c r="ED52" s="341"/>
      <c r="EE52" s="341" t="s">
        <v>3103</v>
      </c>
      <c r="EF52" s="349" t="s">
        <v>3104</v>
      </c>
      <c r="EG52" s="341" t="s">
        <v>3242</v>
      </c>
      <c r="EH52" s="341" t="s">
        <v>4386</v>
      </c>
      <c r="EI52" s="341" t="str">
        <f t="shared" si="8"/>
        <v>Antioquia_Armenia</v>
      </c>
    </row>
    <row r="53" spans="1:139" ht="25.5">
      <c r="A53" s="228">
        <v>40206</v>
      </c>
      <c r="B53" s="102" t="s">
        <v>1609</v>
      </c>
      <c r="C53" s="218" t="s">
        <v>2004</v>
      </c>
      <c r="D53" s="206" t="s">
        <v>2606</v>
      </c>
      <c r="E53" s="320" t="s">
        <v>4050</v>
      </c>
      <c r="F53" s="320"/>
      <c r="G53" s="210"/>
      <c r="H53" s="71"/>
      <c r="I53" s="71"/>
      <c r="J53" s="71">
        <v>95</v>
      </c>
      <c r="K53" s="71">
        <v>19</v>
      </c>
      <c r="L53" s="1"/>
      <c r="M53" s="73">
        <f t="shared" si="0"/>
        <v>0</v>
      </c>
      <c r="N53" s="73">
        <f t="shared" si="1"/>
        <v>0</v>
      </c>
      <c r="O53" s="73">
        <f t="shared" si="2"/>
        <v>0</v>
      </c>
      <c r="P53" s="73">
        <f t="shared" si="3"/>
        <v>0</v>
      </c>
      <c r="Q53" s="73"/>
      <c r="R53" s="73">
        <v>0</v>
      </c>
      <c r="S53" s="75">
        <f t="shared" si="7"/>
        <v>0</v>
      </c>
      <c r="T53" s="77">
        <v>0</v>
      </c>
      <c r="U53" s="66">
        <v>40206</v>
      </c>
      <c r="V53" s="79"/>
      <c r="W53" s="66" t="s">
        <v>1585</v>
      </c>
      <c r="X53" s="67" t="s">
        <v>1586</v>
      </c>
      <c r="Y53" s="68"/>
      <c r="Z53" s="196" t="s">
        <v>894</v>
      </c>
      <c r="AA53" s="82" t="s">
        <v>1191</v>
      </c>
      <c r="AB53" s="3"/>
      <c r="AC53" s="4"/>
      <c r="AD53" s="5"/>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6"/>
      <c r="CE53" s="7"/>
      <c r="CF53" s="6"/>
      <c r="CG53" s="7"/>
      <c r="CH53" s="6"/>
      <c r="CI53" s="7"/>
      <c r="CJ53" s="8">
        <f t="shared" si="4"/>
        <v>0</v>
      </c>
      <c r="CK53" s="9"/>
      <c r="CL53" s="10"/>
      <c r="CM53" s="11"/>
      <c r="CN53" s="12"/>
      <c r="CO53" s="28"/>
      <c r="CP53" s="12"/>
      <c r="CQ53" s="9"/>
      <c r="CR53" s="10"/>
      <c r="CS53" s="68"/>
      <c r="EC53" s="350" t="str">
        <f t="shared" si="5"/>
        <v>RISARALDA_PEREIRA</v>
      </c>
      <c r="ED53" s="351"/>
      <c r="EE53" s="353" t="s">
        <v>3103</v>
      </c>
      <c r="EF53" s="349" t="s">
        <v>3104</v>
      </c>
      <c r="EG53" s="353" t="s">
        <v>3243</v>
      </c>
      <c r="EH53" s="353" t="s">
        <v>4387</v>
      </c>
      <c r="EI53" s="353" t="str">
        <f t="shared" si="8"/>
        <v>Antioquia_Barbosa</v>
      </c>
    </row>
    <row r="54" spans="1:139" ht="38.25">
      <c r="A54" s="228">
        <v>40206</v>
      </c>
      <c r="B54" s="102" t="s">
        <v>1998</v>
      </c>
      <c r="C54" s="218" t="s">
        <v>1999</v>
      </c>
      <c r="D54" s="206" t="s">
        <v>1308</v>
      </c>
      <c r="E54" s="320" t="s">
        <v>4112</v>
      </c>
      <c r="F54" s="320"/>
      <c r="G54" s="210"/>
      <c r="H54" s="71"/>
      <c r="I54" s="71"/>
      <c r="J54" s="71"/>
      <c r="K54" s="71"/>
      <c r="L54" s="1"/>
      <c r="M54" s="73">
        <f t="shared" si="0"/>
        <v>0</v>
      </c>
      <c r="N54" s="73">
        <f t="shared" si="1"/>
        <v>0</v>
      </c>
      <c r="O54" s="73">
        <f t="shared" si="2"/>
        <v>0</v>
      </c>
      <c r="P54" s="73">
        <f t="shared" si="3"/>
        <v>0</v>
      </c>
      <c r="Q54" s="73"/>
      <c r="R54" s="73">
        <v>0</v>
      </c>
      <c r="S54" s="75">
        <f t="shared" si="7"/>
        <v>0</v>
      </c>
      <c r="T54" s="77">
        <v>0</v>
      </c>
      <c r="U54" s="66">
        <v>40206</v>
      </c>
      <c r="V54" s="79"/>
      <c r="W54" s="66" t="s">
        <v>1585</v>
      </c>
      <c r="X54" s="67" t="s">
        <v>1586</v>
      </c>
      <c r="Y54" s="68"/>
      <c r="Z54" s="196" t="s">
        <v>894</v>
      </c>
      <c r="AA54" s="82" t="s">
        <v>2000</v>
      </c>
      <c r="AB54" s="3"/>
      <c r="AC54" s="4"/>
      <c r="AD54" s="5"/>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6"/>
      <c r="CE54" s="7"/>
      <c r="CF54" s="6"/>
      <c r="CG54" s="7"/>
      <c r="CH54" s="6"/>
      <c r="CI54" s="7"/>
      <c r="CJ54" s="8">
        <f t="shared" si="4"/>
        <v>0</v>
      </c>
      <c r="CK54" s="9"/>
      <c r="CL54" s="10"/>
      <c r="CM54" s="11"/>
      <c r="CN54" s="12"/>
      <c r="CO54" s="28"/>
      <c r="CP54" s="12"/>
      <c r="CQ54" s="9"/>
      <c r="CR54" s="10"/>
      <c r="CS54" s="68"/>
      <c r="EC54" s="350" t="str">
        <f t="shared" si="5"/>
        <v>SANTANDER_LOS SANTOS</v>
      </c>
      <c r="ED54" s="351"/>
      <c r="EE54" s="353" t="s">
        <v>3103</v>
      </c>
      <c r="EF54" s="349" t="s">
        <v>3104</v>
      </c>
      <c r="EG54" s="353" t="s">
        <v>3244</v>
      </c>
      <c r="EH54" s="353" t="s">
        <v>4388</v>
      </c>
      <c r="EI54" s="353" t="str">
        <f t="shared" si="8"/>
        <v>Antioquia_Belmira</v>
      </c>
    </row>
    <row r="55" spans="1:139" ht="144">
      <c r="A55" s="228">
        <v>40207</v>
      </c>
      <c r="B55" s="102" t="s">
        <v>1192</v>
      </c>
      <c r="C55" s="102" t="s">
        <v>1168</v>
      </c>
      <c r="D55" s="206" t="s">
        <v>2389</v>
      </c>
      <c r="E55" s="320" t="s">
        <v>3471</v>
      </c>
      <c r="F55" s="320"/>
      <c r="G55" s="210"/>
      <c r="H55" s="71"/>
      <c r="I55" s="71"/>
      <c r="J55" s="71"/>
      <c r="K55" s="71"/>
      <c r="L55" s="1">
        <v>40241</v>
      </c>
      <c r="M55" s="73">
        <f t="shared" si="0"/>
        <v>0</v>
      </c>
      <c r="N55" s="73">
        <f t="shared" si="1"/>
        <v>0</v>
      </c>
      <c r="O55" s="73">
        <f t="shared" si="2"/>
        <v>0</v>
      </c>
      <c r="P55" s="73">
        <f t="shared" si="3"/>
        <v>0</v>
      </c>
      <c r="Q55" s="73">
        <f>500*22000</f>
        <v>11000000</v>
      </c>
      <c r="R55" s="73">
        <v>50000000</v>
      </c>
      <c r="S55" s="75">
        <f t="shared" si="7"/>
        <v>61000000</v>
      </c>
      <c r="T55" s="77">
        <v>0</v>
      </c>
      <c r="U55" s="66">
        <v>40213</v>
      </c>
      <c r="V55" s="79">
        <v>94953</v>
      </c>
      <c r="W55" s="66" t="s">
        <v>1606</v>
      </c>
      <c r="X55" s="67" t="s">
        <v>1607</v>
      </c>
      <c r="Y55" s="84" t="s">
        <v>632</v>
      </c>
      <c r="Z55" s="196" t="s">
        <v>1608</v>
      </c>
      <c r="AA55" s="88" t="s">
        <v>1064</v>
      </c>
      <c r="AB55" s="3"/>
      <c r="AC55" s="4"/>
      <c r="AD55" s="5"/>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6"/>
      <c r="CE55" s="7"/>
      <c r="CF55" s="6"/>
      <c r="CG55" s="7"/>
      <c r="CH55" s="6"/>
      <c r="CI55" s="7"/>
      <c r="CJ55" s="8">
        <f t="shared" si="4"/>
        <v>0</v>
      </c>
      <c r="CK55" s="9"/>
      <c r="CL55" s="10"/>
      <c r="CM55" s="11"/>
      <c r="CN55" s="12"/>
      <c r="CO55" s="28"/>
      <c r="CP55" s="12"/>
      <c r="CQ55" s="9"/>
      <c r="CR55" s="10"/>
      <c r="CS55" s="84">
        <v>2</v>
      </c>
      <c r="EC55" s="344" t="str">
        <f t="shared" si="5"/>
        <v>BOYACA_VILLA DE LEYVA</v>
      </c>
      <c r="ED55" s="341"/>
      <c r="EE55" s="341" t="s">
        <v>3103</v>
      </c>
      <c r="EF55" s="349" t="s">
        <v>3104</v>
      </c>
      <c r="EG55" s="341" t="s">
        <v>3245</v>
      </c>
      <c r="EH55" s="341" t="s">
        <v>4389</v>
      </c>
      <c r="EI55" s="341" t="str">
        <f t="shared" si="8"/>
        <v>Antioquia_Bello</v>
      </c>
    </row>
    <row r="56" spans="1:139" ht="48">
      <c r="A56" s="228">
        <v>40207</v>
      </c>
      <c r="B56" s="102" t="s">
        <v>1314</v>
      </c>
      <c r="C56" s="218" t="s">
        <v>2241</v>
      </c>
      <c r="D56" s="206" t="s">
        <v>1308</v>
      </c>
      <c r="E56" s="320" t="s">
        <v>3599</v>
      </c>
      <c r="F56" s="320"/>
      <c r="G56" s="210"/>
      <c r="H56" s="71"/>
      <c r="I56" s="71"/>
      <c r="J56" s="71"/>
      <c r="K56" s="71"/>
      <c r="L56" s="1"/>
      <c r="M56" s="73">
        <f t="shared" si="0"/>
        <v>0</v>
      </c>
      <c r="N56" s="73">
        <f t="shared" si="1"/>
        <v>0</v>
      </c>
      <c r="O56" s="73">
        <f t="shared" si="2"/>
        <v>0</v>
      </c>
      <c r="P56" s="73">
        <f t="shared" si="3"/>
        <v>0</v>
      </c>
      <c r="Q56" s="73"/>
      <c r="R56" s="73">
        <v>0</v>
      </c>
      <c r="S56" s="75">
        <f t="shared" si="7"/>
        <v>0</v>
      </c>
      <c r="T56" s="77">
        <v>0</v>
      </c>
      <c r="U56" s="66">
        <v>40207</v>
      </c>
      <c r="V56" s="79"/>
      <c r="W56" s="66" t="s">
        <v>1585</v>
      </c>
      <c r="X56" s="67" t="s">
        <v>1586</v>
      </c>
      <c r="Y56" s="68"/>
      <c r="Z56" s="196" t="s">
        <v>894</v>
      </c>
      <c r="AA56" s="82" t="s">
        <v>1439</v>
      </c>
      <c r="AB56" s="3"/>
      <c r="AC56" s="4"/>
      <c r="AD56" s="5"/>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6"/>
      <c r="CE56" s="7"/>
      <c r="CF56" s="6"/>
      <c r="CG56" s="7"/>
      <c r="CH56" s="6"/>
      <c r="CI56" s="7"/>
      <c r="CJ56" s="8">
        <f t="shared" si="4"/>
        <v>0</v>
      </c>
      <c r="CK56" s="9"/>
      <c r="CL56" s="10"/>
      <c r="CM56" s="11"/>
      <c r="CN56" s="12"/>
      <c r="CO56" s="28"/>
      <c r="CP56" s="12"/>
      <c r="CQ56" s="9"/>
      <c r="CR56" s="10"/>
      <c r="CS56" s="68"/>
      <c r="EC56" s="344" t="str">
        <f t="shared" si="5"/>
        <v>CAUCA_GUAPI</v>
      </c>
      <c r="ED56" s="341"/>
      <c r="EE56" s="341" t="s">
        <v>3103</v>
      </c>
      <c r="EF56" s="349" t="s">
        <v>3104</v>
      </c>
      <c r="EG56" s="341" t="s">
        <v>3246</v>
      </c>
      <c r="EH56" s="341" t="s">
        <v>4390</v>
      </c>
      <c r="EI56" s="341" t="str">
        <f t="shared" si="8"/>
        <v>Antioquia_Betania</v>
      </c>
    </row>
    <row r="57" spans="1:139" ht="96">
      <c r="A57" s="228">
        <v>40207</v>
      </c>
      <c r="B57" s="102" t="s">
        <v>1892</v>
      </c>
      <c r="C57" s="102" t="s">
        <v>1893</v>
      </c>
      <c r="D57" s="206" t="s">
        <v>2389</v>
      </c>
      <c r="E57" s="320" t="s">
        <v>4310</v>
      </c>
      <c r="F57" s="320"/>
      <c r="G57" s="210"/>
      <c r="H57" s="71"/>
      <c r="I57" s="71"/>
      <c r="J57" s="71"/>
      <c r="K57" s="71"/>
      <c r="L57" s="1">
        <v>40287</v>
      </c>
      <c r="M57" s="73">
        <f t="shared" si="0"/>
        <v>0</v>
      </c>
      <c r="N57" s="73">
        <f t="shared" si="1"/>
        <v>0</v>
      </c>
      <c r="O57" s="73">
        <f t="shared" si="2"/>
        <v>0</v>
      </c>
      <c r="P57" s="73">
        <f t="shared" si="3"/>
        <v>0</v>
      </c>
      <c r="Q57" s="73">
        <v>29760000</v>
      </c>
      <c r="R57" s="73">
        <v>13425000</v>
      </c>
      <c r="S57" s="75">
        <f t="shared" si="7"/>
        <v>43185000</v>
      </c>
      <c r="T57" s="77">
        <v>0</v>
      </c>
      <c r="U57" s="66">
        <v>40263</v>
      </c>
      <c r="V57" s="79">
        <v>96279</v>
      </c>
      <c r="W57" s="66" t="s">
        <v>1606</v>
      </c>
      <c r="X57" s="67" t="s">
        <v>1607</v>
      </c>
      <c r="Y57" s="84" t="s">
        <v>2414</v>
      </c>
      <c r="Z57" s="196" t="s">
        <v>2580</v>
      </c>
      <c r="AA57" s="88" t="s">
        <v>2413</v>
      </c>
      <c r="AB57" s="3"/>
      <c r="AC57" s="4"/>
      <c r="AD57" s="5"/>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6"/>
      <c r="CE57" s="7"/>
      <c r="CF57" s="6"/>
      <c r="CG57" s="7"/>
      <c r="CH57" s="6"/>
      <c r="CI57" s="7"/>
      <c r="CJ57" s="8">
        <f t="shared" si="4"/>
        <v>0</v>
      </c>
      <c r="CK57" s="9"/>
      <c r="CL57" s="10"/>
      <c r="CM57" s="11"/>
      <c r="CN57" s="12"/>
      <c r="CO57" s="28"/>
      <c r="CP57" s="12"/>
      <c r="CQ57" s="9"/>
      <c r="CR57" s="10"/>
      <c r="CS57" s="84">
        <v>2</v>
      </c>
      <c r="EC57" s="344" t="str">
        <f t="shared" si="5"/>
        <v>GUAVIARE_SAN JOSE DEL GUAVIARE</v>
      </c>
      <c r="ED57" s="341"/>
      <c r="EE57" s="351" t="s">
        <v>3103</v>
      </c>
      <c r="EF57" s="349" t="s">
        <v>3104</v>
      </c>
      <c r="EG57" s="351" t="s">
        <v>3247</v>
      </c>
      <c r="EH57" s="351" t="s">
        <v>4391</v>
      </c>
      <c r="EI57" s="351" t="str">
        <f t="shared" si="8"/>
        <v>Antioquia_Betulia</v>
      </c>
    </row>
    <row r="58" spans="1:139" ht="60">
      <c r="A58" s="228">
        <v>40207</v>
      </c>
      <c r="B58" s="102" t="s">
        <v>1088</v>
      </c>
      <c r="C58" s="218" t="s">
        <v>2003</v>
      </c>
      <c r="D58" s="206" t="s">
        <v>1308</v>
      </c>
      <c r="E58" s="320" t="s">
        <v>4228</v>
      </c>
      <c r="F58" s="320"/>
      <c r="G58" s="210"/>
      <c r="H58" s="71"/>
      <c r="I58" s="71"/>
      <c r="J58" s="71"/>
      <c r="K58" s="71"/>
      <c r="L58" s="1"/>
      <c r="M58" s="73">
        <f t="shared" si="0"/>
        <v>0</v>
      </c>
      <c r="N58" s="73">
        <f t="shared" si="1"/>
        <v>0</v>
      </c>
      <c r="O58" s="73">
        <f t="shared" si="2"/>
        <v>0</v>
      </c>
      <c r="P58" s="73">
        <f t="shared" si="3"/>
        <v>0</v>
      </c>
      <c r="Q58" s="73"/>
      <c r="R58" s="73">
        <v>0</v>
      </c>
      <c r="S58" s="75">
        <f t="shared" si="7"/>
        <v>0</v>
      </c>
      <c r="T58" s="77">
        <v>0</v>
      </c>
      <c r="U58" s="66">
        <v>40207</v>
      </c>
      <c r="V58" s="79"/>
      <c r="W58" s="66" t="s">
        <v>1585</v>
      </c>
      <c r="X58" s="67" t="s">
        <v>1586</v>
      </c>
      <c r="Y58" s="68"/>
      <c r="Z58" s="196" t="s">
        <v>894</v>
      </c>
      <c r="AA58" s="82" t="s">
        <v>2707</v>
      </c>
      <c r="AB58" s="3"/>
      <c r="AC58" s="4"/>
      <c r="AD58" s="5"/>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6"/>
      <c r="CE58" s="7"/>
      <c r="CF58" s="6"/>
      <c r="CG58" s="7"/>
      <c r="CH58" s="6"/>
      <c r="CI58" s="7"/>
      <c r="CJ58" s="8">
        <f t="shared" si="4"/>
        <v>0</v>
      </c>
      <c r="CK58" s="9"/>
      <c r="CL58" s="10"/>
      <c r="CM58" s="11"/>
      <c r="CN58" s="12"/>
      <c r="CO58" s="28"/>
      <c r="CP58" s="12"/>
      <c r="CQ58" s="9"/>
      <c r="CR58" s="10"/>
      <c r="CS58" s="68"/>
      <c r="EC58" s="344" t="str">
        <f t="shared" si="5"/>
        <v>VALLE DEL CAUCA_ARGELIA</v>
      </c>
      <c r="ED58" s="341"/>
      <c r="EE58" s="351" t="s">
        <v>3103</v>
      </c>
      <c r="EF58" s="349" t="s">
        <v>3104</v>
      </c>
      <c r="EG58" s="351" t="s">
        <v>3248</v>
      </c>
      <c r="EH58" s="351" t="s">
        <v>4392</v>
      </c>
      <c r="EI58" s="351" t="str">
        <f t="shared" si="8"/>
        <v>Antioquia_Ciudad Bolivar</v>
      </c>
    </row>
    <row r="59" spans="1:139" ht="84">
      <c r="A59" s="228">
        <v>40207</v>
      </c>
      <c r="B59" s="102" t="s">
        <v>1088</v>
      </c>
      <c r="C59" s="218" t="s">
        <v>2708</v>
      </c>
      <c r="D59" s="206" t="s">
        <v>1308</v>
      </c>
      <c r="E59" s="320" t="s">
        <v>4257</v>
      </c>
      <c r="F59" s="320"/>
      <c r="G59" s="210"/>
      <c r="H59" s="71"/>
      <c r="I59" s="71"/>
      <c r="J59" s="71">
        <v>75</v>
      </c>
      <c r="K59" s="71">
        <v>15</v>
      </c>
      <c r="L59" s="1"/>
      <c r="M59" s="73">
        <f t="shared" si="0"/>
        <v>0</v>
      </c>
      <c r="N59" s="73">
        <f t="shared" si="1"/>
        <v>0</v>
      </c>
      <c r="O59" s="73">
        <f t="shared" si="2"/>
        <v>0</v>
      </c>
      <c r="P59" s="73">
        <f t="shared" si="3"/>
        <v>0</v>
      </c>
      <c r="Q59" s="73"/>
      <c r="R59" s="73">
        <v>0</v>
      </c>
      <c r="S59" s="75">
        <f t="shared" si="7"/>
        <v>0</v>
      </c>
      <c r="T59" s="77">
        <v>0</v>
      </c>
      <c r="U59" s="66">
        <v>40207</v>
      </c>
      <c r="V59" s="79"/>
      <c r="W59" s="66" t="s">
        <v>1585</v>
      </c>
      <c r="X59" s="67" t="s">
        <v>1586</v>
      </c>
      <c r="Y59" s="68"/>
      <c r="Z59" s="196" t="s">
        <v>894</v>
      </c>
      <c r="AA59" s="82" t="s">
        <v>1870</v>
      </c>
      <c r="AB59" s="3"/>
      <c r="AC59" s="4"/>
      <c r="AD59" s="5"/>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6"/>
      <c r="CE59" s="7"/>
      <c r="CF59" s="6"/>
      <c r="CG59" s="7"/>
      <c r="CH59" s="6"/>
      <c r="CI59" s="7"/>
      <c r="CJ59" s="8">
        <f t="shared" si="4"/>
        <v>0</v>
      </c>
      <c r="CK59" s="9"/>
      <c r="CL59" s="10"/>
      <c r="CM59" s="11"/>
      <c r="CN59" s="12"/>
      <c r="CO59" s="28"/>
      <c r="CP59" s="12"/>
      <c r="CQ59" s="9"/>
      <c r="CR59" s="10"/>
      <c r="CS59" s="68"/>
      <c r="EC59" s="344" t="str">
        <f t="shared" si="5"/>
        <v>VALLE DEL CAUCA_TORO</v>
      </c>
      <c r="ED59" s="341"/>
      <c r="EE59" s="341" t="s">
        <v>3103</v>
      </c>
      <c r="EF59" s="349" t="s">
        <v>3104</v>
      </c>
      <c r="EG59" s="341" t="s">
        <v>3249</v>
      </c>
      <c r="EH59" s="341" t="s">
        <v>4393</v>
      </c>
      <c r="EI59" s="341" t="str">
        <f t="shared" si="8"/>
        <v>Antioquia_Briceño</v>
      </c>
    </row>
    <row r="60" spans="1:139" ht="36">
      <c r="A60" s="228">
        <v>40208</v>
      </c>
      <c r="B60" s="102" t="s">
        <v>1821</v>
      </c>
      <c r="C60" s="218" t="s">
        <v>1822</v>
      </c>
      <c r="D60" s="206" t="s">
        <v>1308</v>
      </c>
      <c r="E60" s="320" t="s">
        <v>3644</v>
      </c>
      <c r="F60" s="320"/>
      <c r="G60" s="210"/>
      <c r="H60" s="71"/>
      <c r="I60" s="71"/>
      <c r="J60" s="71"/>
      <c r="K60" s="71"/>
      <c r="L60" s="1"/>
      <c r="M60" s="73">
        <f t="shared" si="0"/>
        <v>0</v>
      </c>
      <c r="N60" s="73">
        <f t="shared" si="1"/>
        <v>0</v>
      </c>
      <c r="O60" s="73">
        <f t="shared" si="2"/>
        <v>0</v>
      </c>
      <c r="P60" s="73">
        <f t="shared" si="3"/>
        <v>0</v>
      </c>
      <c r="Q60" s="73"/>
      <c r="R60" s="73">
        <v>0</v>
      </c>
      <c r="S60" s="75">
        <f t="shared" si="7"/>
        <v>0</v>
      </c>
      <c r="T60" s="77">
        <v>0</v>
      </c>
      <c r="U60" s="66">
        <v>40208</v>
      </c>
      <c r="V60" s="79"/>
      <c r="W60" s="66" t="s">
        <v>1585</v>
      </c>
      <c r="X60" s="67" t="s">
        <v>1586</v>
      </c>
      <c r="Y60" s="68"/>
      <c r="Z60" s="196" t="s">
        <v>894</v>
      </c>
      <c r="AA60" s="82" t="s">
        <v>1823</v>
      </c>
      <c r="AB60" s="3"/>
      <c r="AC60" s="4"/>
      <c r="AD60" s="5"/>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6"/>
      <c r="CE60" s="7"/>
      <c r="CF60" s="6"/>
      <c r="CG60" s="7"/>
      <c r="CH60" s="6"/>
      <c r="CI60" s="7"/>
      <c r="CJ60" s="8">
        <f t="shared" si="4"/>
        <v>0</v>
      </c>
      <c r="CK60" s="9"/>
      <c r="CL60" s="10"/>
      <c r="CM60" s="11"/>
      <c r="CN60" s="12"/>
      <c r="CO60" s="28"/>
      <c r="CP60" s="12"/>
      <c r="CQ60" s="9"/>
      <c r="CR60" s="10"/>
      <c r="CS60" s="68"/>
      <c r="EC60" s="344" t="str">
        <f t="shared" si="5"/>
        <v>CESAR_PAILITAS</v>
      </c>
      <c r="ED60" s="341"/>
      <c r="EE60" s="341" t="s">
        <v>3103</v>
      </c>
      <c r="EF60" s="349" t="s">
        <v>3104</v>
      </c>
      <c r="EG60" s="341" t="s">
        <v>3250</v>
      </c>
      <c r="EH60" s="341" t="s">
        <v>4394</v>
      </c>
      <c r="EI60" s="341" t="str">
        <f t="shared" si="8"/>
        <v>Antioquia_Buritica</v>
      </c>
    </row>
    <row r="61" spans="1:139" ht="132">
      <c r="A61" s="228">
        <v>40208</v>
      </c>
      <c r="B61" s="102" t="s">
        <v>1440</v>
      </c>
      <c r="C61" s="218" t="s">
        <v>1441</v>
      </c>
      <c r="D61" s="206" t="s">
        <v>1923</v>
      </c>
      <c r="E61" s="320" t="s">
        <v>3883</v>
      </c>
      <c r="F61" s="320"/>
      <c r="G61" s="210"/>
      <c r="H61" s="71"/>
      <c r="I61" s="71"/>
      <c r="J61" s="71">
        <v>20</v>
      </c>
      <c r="K61" s="71">
        <v>4</v>
      </c>
      <c r="L61" s="1"/>
      <c r="M61" s="73">
        <f t="shared" si="0"/>
        <v>0</v>
      </c>
      <c r="N61" s="73">
        <f t="shared" si="1"/>
        <v>0</v>
      </c>
      <c r="O61" s="73">
        <f t="shared" si="2"/>
        <v>0</v>
      </c>
      <c r="P61" s="73">
        <f t="shared" si="3"/>
        <v>0</v>
      </c>
      <c r="Q61" s="73"/>
      <c r="R61" s="73">
        <v>0</v>
      </c>
      <c r="S61" s="75">
        <f t="shared" si="7"/>
        <v>0</v>
      </c>
      <c r="T61" s="77">
        <v>0</v>
      </c>
      <c r="U61" s="66">
        <v>40208</v>
      </c>
      <c r="V61" s="79"/>
      <c r="W61" s="66" t="s">
        <v>1585</v>
      </c>
      <c r="X61" s="67" t="s">
        <v>1586</v>
      </c>
      <c r="Y61" s="68"/>
      <c r="Z61" s="196" t="s">
        <v>894</v>
      </c>
      <c r="AA61" s="82" t="s">
        <v>1820</v>
      </c>
      <c r="AB61" s="3"/>
      <c r="AC61" s="4"/>
      <c r="AD61" s="5"/>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6"/>
      <c r="CE61" s="7"/>
      <c r="CF61" s="6"/>
      <c r="CG61" s="7"/>
      <c r="CH61" s="6"/>
      <c r="CI61" s="7"/>
      <c r="CJ61" s="8">
        <f t="shared" si="4"/>
        <v>0</v>
      </c>
      <c r="CK61" s="9"/>
      <c r="CL61" s="10"/>
      <c r="CM61" s="11"/>
      <c r="CN61" s="12"/>
      <c r="CO61" s="28"/>
      <c r="CP61" s="12"/>
      <c r="CQ61" s="9"/>
      <c r="CR61" s="10"/>
      <c r="CS61" s="68"/>
      <c r="EC61" s="344" t="str">
        <f t="shared" si="5"/>
        <v>MAGDALENA_EL BANCO</v>
      </c>
      <c r="ED61" s="341"/>
      <c r="EE61" s="341" t="s">
        <v>3103</v>
      </c>
      <c r="EF61" s="349" t="s">
        <v>3104</v>
      </c>
      <c r="EG61" s="341" t="s">
        <v>3251</v>
      </c>
      <c r="EH61" s="341" t="s">
        <v>4395</v>
      </c>
      <c r="EI61" s="341" t="str">
        <f t="shared" si="8"/>
        <v>Antioquia_Caceres</v>
      </c>
    </row>
    <row r="62" spans="1:139" ht="78.75">
      <c r="A62" s="228">
        <v>40208</v>
      </c>
      <c r="B62" s="102" t="s">
        <v>1998</v>
      </c>
      <c r="C62" s="218" t="s">
        <v>1605</v>
      </c>
      <c r="D62" s="206" t="s">
        <v>2606</v>
      </c>
      <c r="E62" s="320" t="s">
        <v>3184</v>
      </c>
      <c r="F62" s="320"/>
      <c r="G62" s="210"/>
      <c r="H62" s="71"/>
      <c r="I62" s="71"/>
      <c r="J62" s="71">
        <f>250+500+450+500+200</f>
        <v>1900</v>
      </c>
      <c r="K62" s="71">
        <f>50+100+90+50+40</f>
        <v>330</v>
      </c>
      <c r="L62" s="1">
        <v>40232</v>
      </c>
      <c r="M62" s="73">
        <f t="shared" si="0"/>
        <v>0</v>
      </c>
      <c r="N62" s="73">
        <f t="shared" si="1"/>
        <v>0</v>
      </c>
      <c r="O62" s="73">
        <f t="shared" si="2"/>
        <v>27840000</v>
      </c>
      <c r="P62" s="73">
        <f t="shared" si="3"/>
        <v>0</v>
      </c>
      <c r="Q62" s="73"/>
      <c r="R62" s="73">
        <v>0</v>
      </c>
      <c r="S62" s="75">
        <f t="shared" si="7"/>
        <v>27840000</v>
      </c>
      <c r="T62" s="77">
        <v>0</v>
      </c>
      <c r="U62" s="66">
        <v>40213</v>
      </c>
      <c r="V62" s="79">
        <v>94929</v>
      </c>
      <c r="W62" s="66" t="s">
        <v>1606</v>
      </c>
      <c r="X62" s="67" t="s">
        <v>1607</v>
      </c>
      <c r="Y62" s="68">
        <v>25</v>
      </c>
      <c r="Z62" s="196" t="s">
        <v>301</v>
      </c>
      <c r="AA62" s="82" t="s">
        <v>1528</v>
      </c>
      <c r="AB62" s="3"/>
      <c r="AC62" s="4"/>
      <c r="AD62" s="5"/>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6"/>
      <c r="CE62" s="7"/>
      <c r="CF62" s="6"/>
      <c r="CG62" s="7"/>
      <c r="CH62" s="6"/>
      <c r="CI62" s="7"/>
      <c r="CJ62" s="8">
        <f t="shared" si="4"/>
        <v>0</v>
      </c>
      <c r="CK62" s="9"/>
      <c r="CL62" s="10"/>
      <c r="CM62" s="11"/>
      <c r="CN62" s="12"/>
      <c r="CO62" s="28"/>
      <c r="CP62" s="12"/>
      <c r="CQ62" s="9">
        <v>1500</v>
      </c>
      <c r="CR62" s="10">
        <f>1500*18560</f>
        <v>27840000</v>
      </c>
      <c r="CS62" s="68"/>
      <c r="EC62" s="344" t="str">
        <f t="shared" si="5"/>
        <v>SANTANDER_DEPARTAMENTO</v>
      </c>
      <c r="ED62" s="341"/>
      <c r="EE62" s="341" t="s">
        <v>3103</v>
      </c>
      <c r="EF62" s="349" t="s">
        <v>3104</v>
      </c>
      <c r="EG62" s="341" t="s">
        <v>3252</v>
      </c>
      <c r="EH62" s="341" t="s">
        <v>4396</v>
      </c>
      <c r="EI62" s="341" t="str">
        <f t="shared" si="8"/>
        <v>Antioquia_Caicedo</v>
      </c>
    </row>
    <row r="63" spans="1:139" ht="84">
      <c r="A63" s="228">
        <v>40210</v>
      </c>
      <c r="B63" s="102" t="s">
        <v>2367</v>
      </c>
      <c r="C63" s="218" t="s">
        <v>1605</v>
      </c>
      <c r="D63" s="206" t="s">
        <v>2389</v>
      </c>
      <c r="E63" s="320" t="s">
        <v>3206</v>
      </c>
      <c r="F63" s="320"/>
      <c r="G63" s="210"/>
      <c r="H63" s="71"/>
      <c r="I63" s="71"/>
      <c r="J63" s="71"/>
      <c r="K63" s="71"/>
      <c r="L63" s="1">
        <v>40218</v>
      </c>
      <c r="M63" s="73">
        <f t="shared" si="0"/>
        <v>0</v>
      </c>
      <c r="N63" s="73">
        <f t="shared" si="1"/>
        <v>0</v>
      </c>
      <c r="O63" s="73">
        <f t="shared" si="2"/>
        <v>0</v>
      </c>
      <c r="P63" s="73">
        <f t="shared" si="3"/>
        <v>0</v>
      </c>
      <c r="Q63" s="73">
        <f>38641800+200*22000+300*22000+600*1400</f>
        <v>50481800</v>
      </c>
      <c r="R63" s="73">
        <v>0</v>
      </c>
      <c r="S63" s="75">
        <f t="shared" si="7"/>
        <v>50481800</v>
      </c>
      <c r="T63" s="77">
        <v>0</v>
      </c>
      <c r="U63" s="66">
        <v>40210</v>
      </c>
      <c r="V63" s="79">
        <v>94834</v>
      </c>
      <c r="W63" s="66" t="s">
        <v>1606</v>
      </c>
      <c r="X63" s="67" t="s">
        <v>1607</v>
      </c>
      <c r="Y63" s="84" t="s">
        <v>1294</v>
      </c>
      <c r="Z63" s="196" t="s">
        <v>1608</v>
      </c>
      <c r="AA63" s="82" t="s">
        <v>1197</v>
      </c>
      <c r="AB63" s="3"/>
      <c r="AC63" s="4"/>
      <c r="AD63" s="5"/>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6"/>
      <c r="CE63" s="7"/>
      <c r="CF63" s="6"/>
      <c r="CG63" s="7"/>
      <c r="CH63" s="6"/>
      <c r="CI63" s="7"/>
      <c r="CJ63" s="8">
        <f t="shared" si="4"/>
        <v>0</v>
      </c>
      <c r="CK63" s="9"/>
      <c r="CL63" s="10"/>
      <c r="CM63" s="11"/>
      <c r="CN63" s="12"/>
      <c r="CO63" s="28"/>
      <c r="CP63" s="12"/>
      <c r="CQ63" s="9"/>
      <c r="CR63" s="10"/>
      <c r="CS63" s="84"/>
      <c r="EC63" s="352" t="str">
        <f t="shared" si="5"/>
        <v>ARAUCA_DEPARTAMENTO</v>
      </c>
      <c r="ED63" s="353"/>
      <c r="EE63" s="341" t="s">
        <v>3103</v>
      </c>
      <c r="EF63" s="349" t="s">
        <v>3104</v>
      </c>
      <c r="EG63" s="341" t="s">
        <v>3253</v>
      </c>
      <c r="EH63" s="341" t="s">
        <v>3126</v>
      </c>
      <c r="EI63" s="341" t="str">
        <f t="shared" si="8"/>
        <v>Antioquia_Caldas</v>
      </c>
    </row>
    <row r="64" spans="1:139" ht="84">
      <c r="A64" s="228">
        <v>40210</v>
      </c>
      <c r="B64" s="102" t="s">
        <v>1615</v>
      </c>
      <c r="C64" s="102" t="s">
        <v>174</v>
      </c>
      <c r="D64" s="206" t="s">
        <v>1752</v>
      </c>
      <c r="E64" s="320" t="s">
        <v>3379</v>
      </c>
      <c r="F64" s="320"/>
      <c r="G64" s="210"/>
      <c r="H64" s="71"/>
      <c r="I64" s="71"/>
      <c r="J64" s="71"/>
      <c r="K64" s="71"/>
      <c r="L64" s="1"/>
      <c r="M64" s="73">
        <f t="shared" si="0"/>
        <v>29000000</v>
      </c>
      <c r="N64" s="73">
        <f t="shared" si="1"/>
        <v>0</v>
      </c>
      <c r="O64" s="73">
        <f t="shared" si="2"/>
        <v>0</v>
      </c>
      <c r="P64" s="73">
        <f t="shared" si="3"/>
        <v>0</v>
      </c>
      <c r="Q64" s="73"/>
      <c r="R64" s="73">
        <v>0</v>
      </c>
      <c r="S64" s="75">
        <f t="shared" si="7"/>
        <v>29000000</v>
      </c>
      <c r="T64" s="77">
        <v>0</v>
      </c>
      <c r="U64" s="66">
        <v>40210</v>
      </c>
      <c r="V64" s="79"/>
      <c r="W64" s="66" t="s">
        <v>1606</v>
      </c>
      <c r="X64" s="67" t="s">
        <v>1607</v>
      </c>
      <c r="Y64" s="68"/>
      <c r="Z64" s="196" t="s">
        <v>894</v>
      </c>
      <c r="AA64" s="274" t="s">
        <v>3086</v>
      </c>
      <c r="AB64" s="3"/>
      <c r="AC64" s="4"/>
      <c r="AD64" s="5"/>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v>500</v>
      </c>
      <c r="BY64" s="4">
        <f>500*21000</f>
        <v>10500000</v>
      </c>
      <c r="BZ64" s="4"/>
      <c r="CA64" s="4"/>
      <c r="CB64" s="4"/>
      <c r="CC64" s="4"/>
      <c r="CD64" s="6">
        <v>500</v>
      </c>
      <c r="CE64" s="7">
        <f>500*37000</f>
        <v>18500000</v>
      </c>
      <c r="CF64" s="6"/>
      <c r="CG64" s="7"/>
      <c r="CH64" s="6"/>
      <c r="CI64" s="7"/>
      <c r="CJ64" s="8">
        <f t="shared" si="4"/>
        <v>29000000</v>
      </c>
      <c r="CK64" s="9"/>
      <c r="CL64" s="10"/>
      <c r="CM64" s="11"/>
      <c r="CN64" s="12"/>
      <c r="CO64" s="28"/>
      <c r="CP64" s="12"/>
      <c r="CQ64" s="9"/>
      <c r="CR64" s="10"/>
      <c r="CS64" s="68"/>
      <c r="EC64" s="344" t="str">
        <f t="shared" si="5"/>
        <v>BOLIVAR_ARENAL</v>
      </c>
      <c r="ED64" s="341"/>
      <c r="EE64" s="341" t="s">
        <v>3103</v>
      </c>
      <c r="EF64" s="349" t="s">
        <v>3104</v>
      </c>
      <c r="EG64" s="341" t="s">
        <v>3254</v>
      </c>
      <c r="EH64" s="341" t="s">
        <v>4397</v>
      </c>
      <c r="EI64" s="341" t="str">
        <f t="shared" si="8"/>
        <v>Antioquia_Campamento</v>
      </c>
    </row>
    <row r="65" spans="1:139" ht="163.5">
      <c r="A65" s="228">
        <v>40210</v>
      </c>
      <c r="B65" s="102" t="s">
        <v>1615</v>
      </c>
      <c r="C65" s="102" t="s">
        <v>3116</v>
      </c>
      <c r="D65" s="206" t="s">
        <v>1752</v>
      </c>
      <c r="E65" s="320" t="s">
        <v>3381</v>
      </c>
      <c r="F65" s="320"/>
      <c r="G65" s="210"/>
      <c r="H65" s="71"/>
      <c r="I65" s="71"/>
      <c r="J65" s="71"/>
      <c r="K65" s="71"/>
      <c r="L65" s="1"/>
      <c r="M65" s="73">
        <f t="shared" si="0"/>
        <v>1998000</v>
      </c>
      <c r="N65" s="73">
        <f t="shared" si="1"/>
        <v>0</v>
      </c>
      <c r="O65" s="73">
        <f t="shared" si="2"/>
        <v>0</v>
      </c>
      <c r="P65" s="73">
        <f t="shared" si="3"/>
        <v>0</v>
      </c>
      <c r="Q65" s="73"/>
      <c r="R65" s="73">
        <v>0</v>
      </c>
      <c r="S65" s="75">
        <f t="shared" si="7"/>
        <v>1998000</v>
      </c>
      <c r="T65" s="77">
        <v>0</v>
      </c>
      <c r="U65" s="66">
        <v>40210</v>
      </c>
      <c r="V65" s="79"/>
      <c r="W65" s="66" t="s">
        <v>1606</v>
      </c>
      <c r="X65" s="67" t="s">
        <v>1607</v>
      </c>
      <c r="Y65" s="68"/>
      <c r="Z65" s="196" t="s">
        <v>894</v>
      </c>
      <c r="AA65" s="274" t="s">
        <v>14</v>
      </c>
      <c r="AB65" s="3"/>
      <c r="AC65" s="4"/>
      <c r="AD65" s="5"/>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6">
        <v>54</v>
      </c>
      <c r="CE65" s="7">
        <f>54*37000</f>
        <v>1998000</v>
      </c>
      <c r="CF65" s="6"/>
      <c r="CG65" s="7"/>
      <c r="CH65" s="6"/>
      <c r="CI65" s="7"/>
      <c r="CJ65" s="8">
        <f t="shared" si="4"/>
        <v>1998000</v>
      </c>
      <c r="CK65" s="9"/>
      <c r="CL65" s="10"/>
      <c r="CM65" s="11"/>
      <c r="CN65" s="12"/>
      <c r="CO65" s="28"/>
      <c r="CP65" s="12"/>
      <c r="CQ65" s="9"/>
      <c r="CR65" s="10"/>
      <c r="CS65" s="68"/>
      <c r="EC65" s="344" t="str">
        <f t="shared" si="5"/>
        <v>BOLIVAR_ARROYOHONDO</v>
      </c>
      <c r="ED65" s="341"/>
      <c r="EE65" s="341" t="s">
        <v>3103</v>
      </c>
      <c r="EF65" s="349" t="s">
        <v>3104</v>
      </c>
      <c r="EG65" s="341" t="s">
        <v>3255</v>
      </c>
      <c r="EH65" s="341" t="s">
        <v>4398</v>
      </c>
      <c r="EI65" s="341" t="str">
        <f t="shared" si="8"/>
        <v>Antioquia_Cañasgordas</v>
      </c>
    </row>
    <row r="66" spans="1:139" ht="137.25">
      <c r="A66" s="228">
        <v>40210</v>
      </c>
      <c r="B66" s="102" t="s">
        <v>1615</v>
      </c>
      <c r="C66" s="102" t="s">
        <v>1564</v>
      </c>
      <c r="D66" s="206" t="s">
        <v>1752</v>
      </c>
      <c r="E66" s="320" t="s">
        <v>3382</v>
      </c>
      <c r="F66" s="320"/>
      <c r="G66" s="210"/>
      <c r="H66" s="71"/>
      <c r="I66" s="71"/>
      <c r="J66" s="71"/>
      <c r="K66" s="71"/>
      <c r="L66" s="1"/>
      <c r="M66" s="73">
        <f t="shared" si="0"/>
        <v>0</v>
      </c>
      <c r="N66" s="73">
        <f t="shared" si="1"/>
        <v>0</v>
      </c>
      <c r="O66" s="73">
        <f t="shared" si="2"/>
        <v>0</v>
      </c>
      <c r="P66" s="73">
        <f t="shared" si="3"/>
        <v>0</v>
      </c>
      <c r="Q66" s="73"/>
      <c r="R66" s="73">
        <v>0</v>
      </c>
      <c r="S66" s="75">
        <f t="shared" si="7"/>
        <v>0</v>
      </c>
      <c r="T66" s="77">
        <v>0</v>
      </c>
      <c r="U66" s="66">
        <v>40210</v>
      </c>
      <c r="V66" s="79"/>
      <c r="W66" s="66" t="s">
        <v>1585</v>
      </c>
      <c r="X66" s="67" t="s">
        <v>1586</v>
      </c>
      <c r="Y66" s="68"/>
      <c r="Z66" s="196" t="s">
        <v>894</v>
      </c>
      <c r="AA66" s="274" t="s">
        <v>549</v>
      </c>
      <c r="AB66" s="3"/>
      <c r="AC66" s="4"/>
      <c r="AD66" s="5"/>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6"/>
      <c r="CE66" s="7"/>
      <c r="CF66" s="6"/>
      <c r="CG66" s="7"/>
      <c r="CH66" s="6"/>
      <c r="CI66" s="7"/>
      <c r="CJ66" s="8">
        <f t="shared" si="4"/>
        <v>0</v>
      </c>
      <c r="CK66" s="9"/>
      <c r="CL66" s="10"/>
      <c r="CM66" s="11"/>
      <c r="CN66" s="12"/>
      <c r="CO66" s="28"/>
      <c r="CP66" s="12"/>
      <c r="CQ66" s="9"/>
      <c r="CR66" s="10"/>
      <c r="CS66" s="68"/>
      <c r="EC66" s="344" t="str">
        <f t="shared" si="5"/>
        <v>BOLIVAR_BARRANCO DE LOBA</v>
      </c>
      <c r="ED66" s="341"/>
      <c r="EE66" s="341" t="s">
        <v>3103</v>
      </c>
      <c r="EF66" s="349" t="s">
        <v>3104</v>
      </c>
      <c r="EG66" s="341" t="s">
        <v>3256</v>
      </c>
      <c r="EH66" s="341" t="s">
        <v>4399</v>
      </c>
      <c r="EI66" s="341" t="str">
        <f t="shared" si="8"/>
        <v>Antioquia_Caracoli</v>
      </c>
    </row>
    <row r="67" spans="1:139" ht="150.75">
      <c r="A67" s="228">
        <v>40210</v>
      </c>
      <c r="B67" s="102" t="s">
        <v>1615</v>
      </c>
      <c r="C67" s="102" t="s">
        <v>1558</v>
      </c>
      <c r="D67" s="206" t="s">
        <v>1752</v>
      </c>
      <c r="E67" s="320" t="s">
        <v>3383</v>
      </c>
      <c r="F67" s="320"/>
      <c r="G67" s="210"/>
      <c r="H67" s="71"/>
      <c r="I67" s="71"/>
      <c r="J67" s="71"/>
      <c r="K67" s="71"/>
      <c r="L67" s="1"/>
      <c r="M67" s="73">
        <f t="shared" ref="M67:M130" si="9">CJ67</f>
        <v>0</v>
      </c>
      <c r="N67" s="73">
        <f t="shared" ref="N67:N130" si="10">CN67</f>
        <v>0</v>
      </c>
      <c r="O67" s="73">
        <f t="shared" ref="O67:O130" si="11">CP67+CR67</f>
        <v>0</v>
      </c>
      <c r="P67" s="73">
        <f t="shared" ref="P67:P130" si="12">CL67</f>
        <v>0</v>
      </c>
      <c r="Q67" s="73"/>
      <c r="R67" s="73">
        <v>0</v>
      </c>
      <c r="S67" s="75">
        <f t="shared" si="7"/>
        <v>0</v>
      </c>
      <c r="T67" s="77">
        <v>0</v>
      </c>
      <c r="U67" s="66">
        <v>40210</v>
      </c>
      <c r="V67" s="79"/>
      <c r="W67" s="66" t="s">
        <v>1585</v>
      </c>
      <c r="X67" s="67" t="s">
        <v>1586</v>
      </c>
      <c r="Y67" s="68"/>
      <c r="Z67" s="196" t="s">
        <v>894</v>
      </c>
      <c r="AA67" s="274" t="s">
        <v>667</v>
      </c>
      <c r="AB67" s="3"/>
      <c r="AC67" s="4"/>
      <c r="AD67" s="5"/>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6"/>
      <c r="CE67" s="7"/>
      <c r="CF67" s="6"/>
      <c r="CG67" s="7"/>
      <c r="CH67" s="6"/>
      <c r="CI67" s="7"/>
      <c r="CJ67" s="8">
        <f t="shared" ref="CJ67:CJ130" si="13">AC67+AE67+AG67+AI67+AK67+AM67+AO67+AQ67+AS67+AU67+AW67+AY67+BA67+BC67+BE67+BG67+BI67+BK67+BM67+BO67+BQ67+BS67+BU67+BW67+BY67+CA67+CC67+CE67+CG67+CI67</f>
        <v>0</v>
      </c>
      <c r="CK67" s="9"/>
      <c r="CL67" s="10"/>
      <c r="CM67" s="11"/>
      <c r="CN67" s="12"/>
      <c r="CO67" s="28"/>
      <c r="CP67" s="12"/>
      <c r="CQ67" s="9"/>
      <c r="CR67" s="10"/>
      <c r="CS67" s="68"/>
      <c r="EC67" s="344" t="str">
        <f t="shared" ref="EC67:EC130" si="14">B67&amp;"_"&amp;C67</f>
        <v>BOLIVAR_CALAMAR</v>
      </c>
      <c r="ED67" s="341"/>
      <c r="EE67" s="353" t="s">
        <v>3103</v>
      </c>
      <c r="EF67" s="349" t="s">
        <v>3104</v>
      </c>
      <c r="EG67" s="353" t="s">
        <v>3257</v>
      </c>
      <c r="EH67" s="353" t="s">
        <v>4400</v>
      </c>
      <c r="EI67" s="353" t="str">
        <f t="shared" si="8"/>
        <v>Antioquia_Caramanta</v>
      </c>
    </row>
    <row r="68" spans="1:139" ht="74.25">
      <c r="A68" s="228">
        <v>40210</v>
      </c>
      <c r="B68" s="102" t="s">
        <v>1615</v>
      </c>
      <c r="C68" s="102" t="s">
        <v>1563</v>
      </c>
      <c r="D68" s="206" t="s">
        <v>1752</v>
      </c>
      <c r="E68" s="320" t="s">
        <v>3385</v>
      </c>
      <c r="F68" s="320"/>
      <c r="G68" s="210"/>
      <c r="H68" s="71"/>
      <c r="I68" s="71"/>
      <c r="J68" s="71"/>
      <c r="K68" s="71"/>
      <c r="L68" s="1"/>
      <c r="M68" s="73">
        <f t="shared" si="9"/>
        <v>0</v>
      </c>
      <c r="N68" s="73">
        <f t="shared" si="10"/>
        <v>0</v>
      </c>
      <c r="O68" s="73">
        <f t="shared" si="11"/>
        <v>0</v>
      </c>
      <c r="P68" s="73">
        <f t="shared" si="12"/>
        <v>0</v>
      </c>
      <c r="Q68" s="73"/>
      <c r="R68" s="73">
        <v>0</v>
      </c>
      <c r="S68" s="75">
        <f t="shared" si="7"/>
        <v>0</v>
      </c>
      <c r="T68" s="77">
        <v>0</v>
      </c>
      <c r="U68" s="66">
        <v>40210</v>
      </c>
      <c r="V68" s="79"/>
      <c r="W68" s="66" t="s">
        <v>1585</v>
      </c>
      <c r="X68" s="67" t="s">
        <v>1586</v>
      </c>
      <c r="Y68" s="68"/>
      <c r="Z68" s="196" t="s">
        <v>894</v>
      </c>
      <c r="AA68" s="274" t="s">
        <v>1584</v>
      </c>
      <c r="AB68" s="3"/>
      <c r="AC68" s="4"/>
      <c r="AD68" s="5"/>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6"/>
      <c r="CE68" s="7"/>
      <c r="CF68" s="6"/>
      <c r="CG68" s="7"/>
      <c r="CH68" s="6"/>
      <c r="CI68" s="7"/>
      <c r="CJ68" s="8">
        <f t="shared" si="13"/>
        <v>0</v>
      </c>
      <c r="CK68" s="9"/>
      <c r="CL68" s="10"/>
      <c r="CM68" s="11"/>
      <c r="CN68" s="12"/>
      <c r="CO68" s="28"/>
      <c r="CP68" s="12"/>
      <c r="CQ68" s="9"/>
      <c r="CR68" s="10"/>
      <c r="CS68" s="68"/>
      <c r="EC68" s="344" t="str">
        <f t="shared" si="14"/>
        <v>BOLIVAR_CICUCO</v>
      </c>
      <c r="ED68" s="341"/>
      <c r="EE68" s="341" t="s">
        <v>3103</v>
      </c>
      <c r="EF68" s="349" t="s">
        <v>3104</v>
      </c>
      <c r="EG68" s="341" t="s">
        <v>3258</v>
      </c>
      <c r="EH68" s="341" t="s">
        <v>4401</v>
      </c>
      <c r="EI68" s="341" t="str">
        <f t="shared" si="8"/>
        <v>Antioquia_Carepa</v>
      </c>
    </row>
    <row r="69" spans="1:139" ht="99.75">
      <c r="A69" s="228">
        <v>40210</v>
      </c>
      <c r="B69" s="102" t="s">
        <v>1615</v>
      </c>
      <c r="C69" s="102" t="s">
        <v>1552</v>
      </c>
      <c r="D69" s="206" t="s">
        <v>1752</v>
      </c>
      <c r="E69" s="320" t="s">
        <v>3387</v>
      </c>
      <c r="F69" s="320"/>
      <c r="G69" s="210"/>
      <c r="H69" s="71"/>
      <c r="I69" s="71"/>
      <c r="J69" s="71"/>
      <c r="K69" s="71"/>
      <c r="L69" s="1"/>
      <c r="M69" s="73">
        <f t="shared" si="9"/>
        <v>0</v>
      </c>
      <c r="N69" s="73">
        <f t="shared" si="10"/>
        <v>0</v>
      </c>
      <c r="O69" s="73">
        <f t="shared" si="11"/>
        <v>0</v>
      </c>
      <c r="P69" s="73">
        <f t="shared" si="12"/>
        <v>0</v>
      </c>
      <c r="Q69" s="73"/>
      <c r="R69" s="73">
        <v>0</v>
      </c>
      <c r="S69" s="75">
        <f t="shared" si="7"/>
        <v>0</v>
      </c>
      <c r="T69" s="77">
        <v>0</v>
      </c>
      <c r="U69" s="66">
        <v>40210</v>
      </c>
      <c r="V69" s="79"/>
      <c r="W69" s="66" t="s">
        <v>1585</v>
      </c>
      <c r="X69" s="67" t="s">
        <v>1586</v>
      </c>
      <c r="Y69" s="68"/>
      <c r="Z69" s="196" t="s">
        <v>894</v>
      </c>
      <c r="AA69" s="274" t="s">
        <v>1856</v>
      </c>
      <c r="AB69" s="3"/>
      <c r="AC69" s="4"/>
      <c r="AD69" s="5"/>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6"/>
      <c r="CE69" s="7"/>
      <c r="CF69" s="6"/>
      <c r="CG69" s="7"/>
      <c r="CH69" s="6"/>
      <c r="CI69" s="7"/>
      <c r="CJ69" s="8">
        <f t="shared" si="13"/>
        <v>0</v>
      </c>
      <c r="CK69" s="9"/>
      <c r="CL69" s="10"/>
      <c r="CM69" s="11"/>
      <c r="CN69" s="12"/>
      <c r="CO69" s="28"/>
      <c r="CP69" s="12"/>
      <c r="CQ69" s="9"/>
      <c r="CR69" s="10"/>
      <c r="CS69" s="68"/>
      <c r="EC69" s="344" t="str">
        <f t="shared" si="14"/>
        <v>BOLIVAR_CLEMENCIA</v>
      </c>
      <c r="ED69" s="341"/>
      <c r="EE69" s="341" t="s">
        <v>3103</v>
      </c>
      <c r="EF69" s="349" t="s">
        <v>3104</v>
      </c>
      <c r="EG69" s="341" t="s">
        <v>3259</v>
      </c>
      <c r="EH69" s="341" t="s">
        <v>4402</v>
      </c>
      <c r="EI69" s="341" t="str">
        <f t="shared" si="8"/>
        <v>Antioquia_El Carmen de Viboral</v>
      </c>
    </row>
    <row r="70" spans="1:139" ht="60">
      <c r="A70" s="228">
        <v>40210</v>
      </c>
      <c r="B70" s="102" t="s">
        <v>1615</v>
      </c>
      <c r="C70" s="102" t="s">
        <v>175</v>
      </c>
      <c r="D70" s="206" t="s">
        <v>1752</v>
      </c>
      <c r="E70" s="320" t="s">
        <v>3388</v>
      </c>
      <c r="F70" s="320"/>
      <c r="G70" s="210"/>
      <c r="H70" s="71"/>
      <c r="I70" s="71"/>
      <c r="J70" s="71"/>
      <c r="K70" s="71"/>
      <c r="L70" s="1"/>
      <c r="M70" s="73">
        <f t="shared" si="9"/>
        <v>0</v>
      </c>
      <c r="N70" s="73">
        <f t="shared" si="10"/>
        <v>0</v>
      </c>
      <c r="O70" s="73">
        <f t="shared" si="11"/>
        <v>0</v>
      </c>
      <c r="P70" s="73">
        <f t="shared" si="12"/>
        <v>0</v>
      </c>
      <c r="Q70" s="73"/>
      <c r="R70" s="73">
        <v>0</v>
      </c>
      <c r="S70" s="75">
        <f t="shared" si="7"/>
        <v>0</v>
      </c>
      <c r="T70" s="77">
        <v>0</v>
      </c>
      <c r="U70" s="66">
        <v>40210</v>
      </c>
      <c r="V70" s="79"/>
      <c r="W70" s="66" t="s">
        <v>1585</v>
      </c>
      <c r="X70" s="67" t="s">
        <v>1586</v>
      </c>
      <c r="Y70" s="68"/>
      <c r="Z70" s="196" t="s">
        <v>894</v>
      </c>
      <c r="AA70" s="274" t="s">
        <v>2796</v>
      </c>
      <c r="AB70" s="3"/>
      <c r="AC70" s="4"/>
      <c r="AD70" s="5"/>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6"/>
      <c r="CE70" s="7"/>
      <c r="CF70" s="6"/>
      <c r="CG70" s="7"/>
      <c r="CH70" s="6"/>
      <c r="CI70" s="7"/>
      <c r="CJ70" s="8">
        <f t="shared" si="13"/>
        <v>0</v>
      </c>
      <c r="CK70" s="9"/>
      <c r="CL70" s="10"/>
      <c r="CM70" s="11"/>
      <c r="CN70" s="12"/>
      <c r="CO70" s="28"/>
      <c r="CP70" s="12"/>
      <c r="CQ70" s="9"/>
      <c r="CR70" s="10"/>
      <c r="CS70" s="68"/>
      <c r="EC70" s="344" t="str">
        <f t="shared" si="14"/>
        <v>BOLIVAR_EL CARMEN DE BOLIVAR</v>
      </c>
      <c r="ED70" s="341"/>
      <c r="EE70" s="341" t="s">
        <v>3103</v>
      </c>
      <c r="EF70" s="349" t="s">
        <v>3104</v>
      </c>
      <c r="EG70" s="341" t="s">
        <v>3260</v>
      </c>
      <c r="EH70" s="341" t="s">
        <v>4403</v>
      </c>
      <c r="EI70" s="341" t="str">
        <f t="shared" si="8"/>
        <v>Antioquia_Carolina</v>
      </c>
    </row>
    <row r="71" spans="1:139" ht="150.75">
      <c r="A71" s="228">
        <v>40210</v>
      </c>
      <c r="B71" s="102" t="s">
        <v>1615</v>
      </c>
      <c r="C71" s="102" t="s">
        <v>1559</v>
      </c>
      <c r="D71" s="206" t="s">
        <v>1752</v>
      </c>
      <c r="E71" s="320" t="s">
        <v>3389</v>
      </c>
      <c r="F71" s="320"/>
      <c r="G71" s="210"/>
      <c r="H71" s="71"/>
      <c r="I71" s="71"/>
      <c r="J71" s="71"/>
      <c r="K71" s="71"/>
      <c r="L71" s="1"/>
      <c r="M71" s="73">
        <f t="shared" si="9"/>
        <v>0</v>
      </c>
      <c r="N71" s="73">
        <f t="shared" si="10"/>
        <v>0</v>
      </c>
      <c r="O71" s="73">
        <f t="shared" si="11"/>
        <v>0</v>
      </c>
      <c r="P71" s="73">
        <f t="shared" si="12"/>
        <v>0</v>
      </c>
      <c r="Q71" s="73"/>
      <c r="R71" s="73">
        <v>0</v>
      </c>
      <c r="S71" s="75">
        <f t="shared" si="7"/>
        <v>0</v>
      </c>
      <c r="T71" s="77">
        <v>0</v>
      </c>
      <c r="U71" s="66">
        <v>40210</v>
      </c>
      <c r="V71" s="79"/>
      <c r="W71" s="66" t="s">
        <v>1585</v>
      </c>
      <c r="X71" s="67" t="s">
        <v>1586</v>
      </c>
      <c r="Y71" s="68"/>
      <c r="Z71" s="196" t="s">
        <v>894</v>
      </c>
      <c r="AA71" s="274" t="s">
        <v>667</v>
      </c>
      <c r="AB71" s="3"/>
      <c r="AC71" s="4"/>
      <c r="AD71" s="5"/>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6"/>
      <c r="CE71" s="7"/>
      <c r="CF71" s="6"/>
      <c r="CG71" s="7"/>
      <c r="CH71" s="6"/>
      <c r="CI71" s="7"/>
      <c r="CJ71" s="8">
        <f t="shared" si="13"/>
        <v>0</v>
      </c>
      <c r="CK71" s="9"/>
      <c r="CL71" s="10"/>
      <c r="CM71" s="11"/>
      <c r="CN71" s="12"/>
      <c r="CO71" s="28"/>
      <c r="CP71" s="12"/>
      <c r="CQ71" s="9"/>
      <c r="CR71" s="10"/>
      <c r="CS71" s="68"/>
      <c r="EC71" s="344" t="str">
        <f t="shared" si="14"/>
        <v>BOLIVAR_EL GUAMO</v>
      </c>
      <c r="ED71" s="341"/>
      <c r="EE71" s="341" t="s">
        <v>3103</v>
      </c>
      <c r="EF71" s="349" t="s">
        <v>3104</v>
      </c>
      <c r="EG71" s="341" t="s">
        <v>3261</v>
      </c>
      <c r="EH71" s="341" t="s">
        <v>4404</v>
      </c>
      <c r="EI71" s="341" t="str">
        <f t="shared" si="8"/>
        <v>Antioquia_Caucasia</v>
      </c>
    </row>
    <row r="72" spans="1:139" ht="150.75">
      <c r="A72" s="228">
        <v>40210</v>
      </c>
      <c r="B72" s="102" t="s">
        <v>1615</v>
      </c>
      <c r="C72" s="102" t="s">
        <v>1562</v>
      </c>
      <c r="D72" s="206" t="s">
        <v>1752</v>
      </c>
      <c r="E72" s="320" t="s">
        <v>3392</v>
      </c>
      <c r="F72" s="320"/>
      <c r="G72" s="210"/>
      <c r="H72" s="71"/>
      <c r="I72" s="71"/>
      <c r="J72" s="71"/>
      <c r="K72" s="71"/>
      <c r="L72" s="1"/>
      <c r="M72" s="73">
        <f t="shared" si="9"/>
        <v>0</v>
      </c>
      <c r="N72" s="73">
        <f t="shared" si="10"/>
        <v>0</v>
      </c>
      <c r="O72" s="73">
        <f t="shared" si="11"/>
        <v>0</v>
      </c>
      <c r="P72" s="73">
        <f t="shared" si="12"/>
        <v>0</v>
      </c>
      <c r="Q72" s="73"/>
      <c r="R72" s="73">
        <v>0</v>
      </c>
      <c r="S72" s="75">
        <f t="shared" si="7"/>
        <v>0</v>
      </c>
      <c r="T72" s="77">
        <v>0</v>
      </c>
      <c r="U72" s="66">
        <v>40210</v>
      </c>
      <c r="V72" s="79"/>
      <c r="W72" s="66" t="s">
        <v>1585</v>
      </c>
      <c r="X72" s="67" t="s">
        <v>1586</v>
      </c>
      <c r="Y72" s="68"/>
      <c r="Z72" s="196" t="s">
        <v>894</v>
      </c>
      <c r="AA72" s="274" t="s">
        <v>1583</v>
      </c>
      <c r="AB72" s="3"/>
      <c r="AC72" s="4"/>
      <c r="AD72" s="5"/>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6"/>
      <c r="CE72" s="7"/>
      <c r="CF72" s="6"/>
      <c r="CG72" s="7"/>
      <c r="CH72" s="6"/>
      <c r="CI72" s="7"/>
      <c r="CJ72" s="8">
        <f t="shared" si="13"/>
        <v>0</v>
      </c>
      <c r="CK72" s="9"/>
      <c r="CL72" s="10"/>
      <c r="CM72" s="11"/>
      <c r="CN72" s="12"/>
      <c r="CO72" s="28"/>
      <c r="CP72" s="12"/>
      <c r="CQ72" s="9"/>
      <c r="CR72" s="10"/>
      <c r="CS72" s="68"/>
      <c r="EC72" s="344" t="str">
        <f t="shared" si="14"/>
        <v>BOLIVAR_MAGANGUE</v>
      </c>
      <c r="ED72" s="341"/>
      <c r="EE72" s="341" t="s">
        <v>3103</v>
      </c>
      <c r="EF72" s="349" t="s">
        <v>3104</v>
      </c>
      <c r="EG72" s="341" t="s">
        <v>3262</v>
      </c>
      <c r="EH72" s="341" t="s">
        <v>4405</v>
      </c>
      <c r="EI72" s="341" t="str">
        <f t="shared" si="8"/>
        <v>Antioquia_Chigorodo</v>
      </c>
    </row>
    <row r="73" spans="1:139" ht="132">
      <c r="A73" s="228">
        <v>40210</v>
      </c>
      <c r="B73" s="102" t="s">
        <v>1615</v>
      </c>
      <c r="C73" s="102" t="s">
        <v>1555</v>
      </c>
      <c r="D73" s="206" t="s">
        <v>1752</v>
      </c>
      <c r="E73" s="320" t="s">
        <v>3393</v>
      </c>
      <c r="F73" s="320"/>
      <c r="G73" s="210"/>
      <c r="H73" s="71"/>
      <c r="I73" s="71"/>
      <c r="J73" s="71"/>
      <c r="K73" s="71"/>
      <c r="L73" s="1"/>
      <c r="M73" s="73">
        <f t="shared" si="9"/>
        <v>0</v>
      </c>
      <c r="N73" s="73">
        <f t="shared" si="10"/>
        <v>0</v>
      </c>
      <c r="O73" s="73">
        <f t="shared" si="11"/>
        <v>0</v>
      </c>
      <c r="P73" s="73">
        <f t="shared" si="12"/>
        <v>0</v>
      </c>
      <c r="Q73" s="73"/>
      <c r="R73" s="73">
        <v>0</v>
      </c>
      <c r="S73" s="75">
        <f t="shared" ref="S73:S136" si="15">M73+N73+O73+P73+Q73+R73</f>
        <v>0</v>
      </c>
      <c r="T73" s="77">
        <v>0</v>
      </c>
      <c r="U73" s="66">
        <v>40210</v>
      </c>
      <c r="V73" s="79"/>
      <c r="W73" s="66" t="s">
        <v>1585</v>
      </c>
      <c r="X73" s="67" t="s">
        <v>1586</v>
      </c>
      <c r="Y73" s="68"/>
      <c r="Z73" s="196" t="s">
        <v>894</v>
      </c>
      <c r="AA73" s="274" t="s">
        <v>666</v>
      </c>
      <c r="AB73" s="3"/>
      <c r="AC73" s="4"/>
      <c r="AD73" s="5"/>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6"/>
      <c r="CE73" s="7"/>
      <c r="CF73" s="6"/>
      <c r="CG73" s="7"/>
      <c r="CH73" s="6"/>
      <c r="CI73" s="7"/>
      <c r="CJ73" s="8">
        <f t="shared" si="13"/>
        <v>0</v>
      </c>
      <c r="CK73" s="9"/>
      <c r="CL73" s="10"/>
      <c r="CM73" s="11"/>
      <c r="CN73" s="12"/>
      <c r="CO73" s="28"/>
      <c r="CP73" s="12"/>
      <c r="CQ73" s="9"/>
      <c r="CR73" s="10"/>
      <c r="CS73" s="68"/>
      <c r="EC73" s="344" t="str">
        <f t="shared" si="14"/>
        <v>BOLIVAR_MAHATES</v>
      </c>
      <c r="ED73" s="341"/>
      <c r="EE73" s="341" t="s">
        <v>3103</v>
      </c>
      <c r="EF73" s="349" t="s">
        <v>3104</v>
      </c>
      <c r="EG73" s="341" t="s">
        <v>3263</v>
      </c>
      <c r="EH73" s="341" t="s">
        <v>4406</v>
      </c>
      <c r="EI73" s="341" t="str">
        <f t="shared" si="8"/>
        <v>Antioquia_Cisneros</v>
      </c>
    </row>
    <row r="74" spans="1:139" ht="61.5">
      <c r="A74" s="228">
        <v>40210</v>
      </c>
      <c r="B74" s="102" t="s">
        <v>1615</v>
      </c>
      <c r="C74" s="102" t="s">
        <v>1561</v>
      </c>
      <c r="D74" s="206" t="s">
        <v>1752</v>
      </c>
      <c r="E74" s="320" t="s">
        <v>3395</v>
      </c>
      <c r="F74" s="320"/>
      <c r="G74" s="210"/>
      <c r="H74" s="71"/>
      <c r="I74" s="71"/>
      <c r="J74" s="71"/>
      <c r="K74" s="71"/>
      <c r="L74" s="1"/>
      <c r="M74" s="73">
        <f t="shared" si="9"/>
        <v>0</v>
      </c>
      <c r="N74" s="73">
        <f t="shared" si="10"/>
        <v>0</v>
      </c>
      <c r="O74" s="73">
        <f t="shared" si="11"/>
        <v>0</v>
      </c>
      <c r="P74" s="73">
        <f t="shared" si="12"/>
        <v>0</v>
      </c>
      <c r="Q74" s="73"/>
      <c r="R74" s="73">
        <v>0</v>
      </c>
      <c r="S74" s="75">
        <f t="shared" si="15"/>
        <v>0</v>
      </c>
      <c r="T74" s="77">
        <v>0</v>
      </c>
      <c r="U74" s="66">
        <v>40210</v>
      </c>
      <c r="V74" s="79"/>
      <c r="W74" s="66" t="s">
        <v>1585</v>
      </c>
      <c r="X74" s="67" t="s">
        <v>1586</v>
      </c>
      <c r="Y74" s="68"/>
      <c r="Z74" s="196" t="s">
        <v>894</v>
      </c>
      <c r="AA74" s="274" t="s">
        <v>2423</v>
      </c>
      <c r="AB74" s="3"/>
      <c r="AC74" s="4"/>
      <c r="AD74" s="5"/>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6"/>
      <c r="CE74" s="7"/>
      <c r="CF74" s="6"/>
      <c r="CG74" s="7"/>
      <c r="CH74" s="6"/>
      <c r="CI74" s="7"/>
      <c r="CJ74" s="8">
        <f t="shared" si="13"/>
        <v>0</v>
      </c>
      <c r="CK74" s="9"/>
      <c r="CL74" s="10"/>
      <c r="CM74" s="11"/>
      <c r="CN74" s="12"/>
      <c r="CO74" s="28"/>
      <c r="CP74" s="12"/>
      <c r="CQ74" s="9"/>
      <c r="CR74" s="10"/>
      <c r="CS74" s="68"/>
      <c r="EC74" s="344" t="str">
        <f t="shared" si="14"/>
        <v>BOLIVAR_MARIA LA BAJA</v>
      </c>
      <c r="ED74" s="341"/>
      <c r="EE74" s="341" t="s">
        <v>3103</v>
      </c>
      <c r="EF74" s="349" t="s">
        <v>3104</v>
      </c>
      <c r="EG74" s="341" t="s">
        <v>3264</v>
      </c>
      <c r="EH74" s="341" t="s">
        <v>4407</v>
      </c>
      <c r="EI74" s="341" t="str">
        <f t="shared" si="8"/>
        <v>Antioquia_Cocorna</v>
      </c>
    </row>
    <row r="75" spans="1:139" ht="150.75">
      <c r="A75" s="228">
        <v>40210</v>
      </c>
      <c r="B75" s="102" t="s">
        <v>1615</v>
      </c>
      <c r="C75" s="102" t="s">
        <v>3117</v>
      </c>
      <c r="D75" s="206" t="s">
        <v>1752</v>
      </c>
      <c r="E75" s="320" t="s">
        <v>3397</v>
      </c>
      <c r="F75" s="320"/>
      <c r="G75" s="210"/>
      <c r="H75" s="71"/>
      <c r="I75" s="71"/>
      <c r="J75" s="71"/>
      <c r="K75" s="71"/>
      <c r="L75" s="1"/>
      <c r="M75" s="73">
        <f t="shared" si="9"/>
        <v>0</v>
      </c>
      <c r="N75" s="73">
        <f t="shared" si="10"/>
        <v>0</v>
      </c>
      <c r="O75" s="73">
        <f t="shared" si="11"/>
        <v>0</v>
      </c>
      <c r="P75" s="73">
        <f t="shared" si="12"/>
        <v>0</v>
      </c>
      <c r="Q75" s="73"/>
      <c r="R75" s="73">
        <v>0</v>
      </c>
      <c r="S75" s="75">
        <f t="shared" si="15"/>
        <v>0</v>
      </c>
      <c r="T75" s="77">
        <v>0</v>
      </c>
      <c r="U75" s="66">
        <v>40210</v>
      </c>
      <c r="V75" s="79"/>
      <c r="W75" s="66" t="s">
        <v>1585</v>
      </c>
      <c r="X75" s="67" t="s">
        <v>1586</v>
      </c>
      <c r="Y75" s="68"/>
      <c r="Z75" s="196" t="s">
        <v>894</v>
      </c>
      <c r="AA75" s="274" t="s">
        <v>1085</v>
      </c>
      <c r="AB75" s="3"/>
      <c r="AC75" s="4"/>
      <c r="AD75" s="5"/>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6"/>
      <c r="CE75" s="7"/>
      <c r="CF75" s="6"/>
      <c r="CG75" s="7"/>
      <c r="CH75" s="6"/>
      <c r="CI75" s="7"/>
      <c r="CJ75" s="8">
        <f t="shared" si="13"/>
        <v>0</v>
      </c>
      <c r="CK75" s="9"/>
      <c r="CL75" s="10"/>
      <c r="CM75" s="11"/>
      <c r="CN75" s="12"/>
      <c r="CO75" s="28"/>
      <c r="CP75" s="12"/>
      <c r="CQ75" s="9"/>
      <c r="CR75" s="10"/>
      <c r="CS75" s="68"/>
      <c r="EC75" s="344" t="str">
        <f t="shared" si="14"/>
        <v>BOLIVAR_MOMPOS</v>
      </c>
      <c r="ED75" s="341"/>
      <c r="EE75" s="341" t="s">
        <v>3103</v>
      </c>
      <c r="EF75" s="349" t="s">
        <v>3104</v>
      </c>
      <c r="EG75" s="341" t="s">
        <v>3265</v>
      </c>
      <c r="EH75" s="341" t="s">
        <v>4408</v>
      </c>
      <c r="EI75" s="341" t="str">
        <f t="shared" si="8"/>
        <v>Antioquia_Concepcion</v>
      </c>
    </row>
    <row r="76" spans="1:139" ht="132">
      <c r="A76" s="228">
        <v>40210</v>
      </c>
      <c r="B76" s="102" t="s">
        <v>1615</v>
      </c>
      <c r="C76" s="102" t="s">
        <v>1565</v>
      </c>
      <c r="D76" s="206" t="s">
        <v>1752</v>
      </c>
      <c r="E76" s="320" t="s">
        <v>4322</v>
      </c>
      <c r="F76" s="320"/>
      <c r="G76" s="210"/>
      <c r="H76" s="71"/>
      <c r="I76" s="71"/>
      <c r="J76" s="71"/>
      <c r="K76" s="71"/>
      <c r="L76" s="1"/>
      <c r="M76" s="73">
        <f t="shared" si="9"/>
        <v>0</v>
      </c>
      <c r="N76" s="73">
        <f t="shared" si="10"/>
        <v>0</v>
      </c>
      <c r="O76" s="73">
        <f t="shared" si="11"/>
        <v>0</v>
      </c>
      <c r="P76" s="73">
        <f t="shared" si="12"/>
        <v>0</v>
      </c>
      <c r="Q76" s="73"/>
      <c r="R76" s="73">
        <v>0</v>
      </c>
      <c r="S76" s="75">
        <f t="shared" si="15"/>
        <v>0</v>
      </c>
      <c r="T76" s="77">
        <v>0</v>
      </c>
      <c r="U76" s="66">
        <v>40210</v>
      </c>
      <c r="V76" s="79"/>
      <c r="W76" s="66" t="s">
        <v>1585</v>
      </c>
      <c r="X76" s="67" t="s">
        <v>1586</v>
      </c>
      <c r="Y76" s="68"/>
      <c r="Z76" s="196" t="s">
        <v>894</v>
      </c>
      <c r="AA76" s="274" t="s">
        <v>1388</v>
      </c>
      <c r="AB76" s="3"/>
      <c r="AC76" s="4"/>
      <c r="AD76" s="5"/>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6"/>
      <c r="CE76" s="7"/>
      <c r="CF76" s="6"/>
      <c r="CG76" s="7"/>
      <c r="CH76" s="6"/>
      <c r="CI76" s="7"/>
      <c r="CJ76" s="8">
        <f t="shared" si="13"/>
        <v>0</v>
      </c>
      <c r="CK76" s="9"/>
      <c r="CL76" s="10"/>
      <c r="CM76" s="11"/>
      <c r="CN76" s="12"/>
      <c r="CO76" s="28"/>
      <c r="CP76" s="12"/>
      <c r="CQ76" s="9"/>
      <c r="CR76" s="10"/>
      <c r="CS76" s="68"/>
      <c r="EC76" s="344" t="str">
        <f t="shared" si="14"/>
        <v>BOLIVAR_NOROSI</v>
      </c>
      <c r="ED76" s="341"/>
      <c r="EE76" s="341" t="s">
        <v>3103</v>
      </c>
      <c r="EF76" s="349" t="s">
        <v>3104</v>
      </c>
      <c r="EG76" s="341" t="s">
        <v>3266</v>
      </c>
      <c r="EH76" s="341" t="s">
        <v>4409</v>
      </c>
      <c r="EI76" s="341" t="str">
        <f t="shared" si="8"/>
        <v>Antioquia_Concordia</v>
      </c>
    </row>
    <row r="77" spans="1:139" ht="150.75">
      <c r="A77" s="228">
        <v>40210</v>
      </c>
      <c r="B77" s="102" t="s">
        <v>1615</v>
      </c>
      <c r="C77" s="102" t="s">
        <v>1560</v>
      </c>
      <c r="D77" s="206" t="s">
        <v>1752</v>
      </c>
      <c r="E77" s="320" t="s">
        <v>3403</v>
      </c>
      <c r="F77" s="320"/>
      <c r="G77" s="210"/>
      <c r="H77" s="71"/>
      <c r="I77" s="71"/>
      <c r="J77" s="71"/>
      <c r="K77" s="71"/>
      <c r="L77" s="1"/>
      <c r="M77" s="73">
        <f t="shared" si="9"/>
        <v>0</v>
      </c>
      <c r="N77" s="73">
        <f t="shared" si="10"/>
        <v>0</v>
      </c>
      <c r="O77" s="73">
        <f t="shared" si="11"/>
        <v>0</v>
      </c>
      <c r="P77" s="73">
        <f t="shared" si="12"/>
        <v>0</v>
      </c>
      <c r="Q77" s="73"/>
      <c r="R77" s="73">
        <v>0</v>
      </c>
      <c r="S77" s="75">
        <f t="shared" si="15"/>
        <v>0</v>
      </c>
      <c r="T77" s="77">
        <v>0</v>
      </c>
      <c r="U77" s="66">
        <v>40210</v>
      </c>
      <c r="V77" s="79"/>
      <c r="W77" s="66" t="s">
        <v>1585</v>
      </c>
      <c r="X77" s="67" t="s">
        <v>1586</v>
      </c>
      <c r="Y77" s="68"/>
      <c r="Z77" s="196" t="s">
        <v>894</v>
      </c>
      <c r="AA77" s="274" t="s">
        <v>667</v>
      </c>
      <c r="AB77" s="3"/>
      <c r="AC77" s="4"/>
      <c r="AD77" s="5"/>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6"/>
      <c r="CE77" s="7"/>
      <c r="CF77" s="6"/>
      <c r="CG77" s="7"/>
      <c r="CH77" s="6"/>
      <c r="CI77" s="7"/>
      <c r="CJ77" s="8">
        <f t="shared" si="13"/>
        <v>0</v>
      </c>
      <c r="CK77" s="9"/>
      <c r="CL77" s="10"/>
      <c r="CM77" s="11"/>
      <c r="CN77" s="12"/>
      <c r="CO77" s="28"/>
      <c r="CP77" s="12"/>
      <c r="CQ77" s="9"/>
      <c r="CR77" s="10"/>
      <c r="CS77" s="68"/>
      <c r="EC77" s="344" t="str">
        <f t="shared" si="14"/>
        <v>BOLIVAR_SAN ESTANISLAO</v>
      </c>
      <c r="ED77" s="341"/>
      <c r="EE77" s="341" t="s">
        <v>3103</v>
      </c>
      <c r="EF77" s="349" t="s">
        <v>3104</v>
      </c>
      <c r="EG77" s="341" t="s">
        <v>3267</v>
      </c>
      <c r="EH77" s="341" t="s">
        <v>4410</v>
      </c>
      <c r="EI77" s="341" t="str">
        <f t="shared" si="8"/>
        <v>Antioquia_Copacabana</v>
      </c>
    </row>
    <row r="78" spans="1:139" ht="184.5">
      <c r="A78" s="228">
        <v>40210</v>
      </c>
      <c r="B78" s="102" t="s">
        <v>1615</v>
      </c>
      <c r="C78" s="102" t="s">
        <v>1430</v>
      </c>
      <c r="D78" s="206" t="s">
        <v>1752</v>
      </c>
      <c r="E78" s="320" t="s">
        <v>3406</v>
      </c>
      <c r="F78" s="320"/>
      <c r="G78" s="210"/>
      <c r="H78" s="71"/>
      <c r="I78" s="71"/>
      <c r="J78" s="71"/>
      <c r="K78" s="71"/>
      <c r="L78" s="1"/>
      <c r="M78" s="73">
        <f t="shared" si="9"/>
        <v>0</v>
      </c>
      <c r="N78" s="73">
        <f t="shared" si="10"/>
        <v>0</v>
      </c>
      <c r="O78" s="73">
        <f t="shared" si="11"/>
        <v>0</v>
      </c>
      <c r="P78" s="73">
        <f t="shared" si="12"/>
        <v>0</v>
      </c>
      <c r="Q78" s="73"/>
      <c r="R78" s="73">
        <v>0</v>
      </c>
      <c r="S78" s="75">
        <f t="shared" si="15"/>
        <v>0</v>
      </c>
      <c r="T78" s="77">
        <v>0</v>
      </c>
      <c r="U78" s="66">
        <v>40210</v>
      </c>
      <c r="V78" s="79"/>
      <c r="W78" s="66" t="s">
        <v>1585</v>
      </c>
      <c r="X78" s="67" t="s">
        <v>1586</v>
      </c>
      <c r="Y78" s="68"/>
      <c r="Z78" s="196" t="s">
        <v>894</v>
      </c>
      <c r="AA78" s="274" t="s">
        <v>1436</v>
      </c>
      <c r="AB78" s="3"/>
      <c r="AC78" s="4"/>
      <c r="AD78" s="5"/>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6"/>
      <c r="CE78" s="7"/>
      <c r="CF78" s="6"/>
      <c r="CG78" s="7"/>
      <c r="CH78" s="6"/>
      <c r="CI78" s="7"/>
      <c r="CJ78" s="8">
        <f t="shared" si="13"/>
        <v>0</v>
      </c>
      <c r="CK78" s="9"/>
      <c r="CL78" s="10"/>
      <c r="CM78" s="11"/>
      <c r="CN78" s="12"/>
      <c r="CO78" s="28"/>
      <c r="CP78" s="12"/>
      <c r="CQ78" s="9"/>
      <c r="CR78" s="10"/>
      <c r="CS78" s="68"/>
      <c r="EC78" s="344" t="str">
        <f t="shared" si="14"/>
        <v>BOLIVAR_SAN JACINTO DEL CAUCA</v>
      </c>
      <c r="ED78" s="341"/>
      <c r="EE78" s="341" t="s">
        <v>3103</v>
      </c>
      <c r="EF78" s="349" t="s">
        <v>3104</v>
      </c>
      <c r="EG78" s="341" t="s">
        <v>3268</v>
      </c>
      <c r="EH78" s="341" t="s">
        <v>4411</v>
      </c>
      <c r="EI78" s="341" t="str">
        <f t="shared" si="8"/>
        <v>Antioquia_Dabeiba</v>
      </c>
    </row>
    <row r="79" spans="1:139" ht="150.75">
      <c r="A79" s="228">
        <v>40210</v>
      </c>
      <c r="B79" s="102" t="s">
        <v>1615</v>
      </c>
      <c r="C79" s="102" t="s">
        <v>2081</v>
      </c>
      <c r="D79" s="206" t="s">
        <v>1752</v>
      </c>
      <c r="E79" s="320" t="s">
        <v>3407</v>
      </c>
      <c r="F79" s="320"/>
      <c r="G79" s="210"/>
      <c r="H79" s="71"/>
      <c r="I79" s="71"/>
      <c r="J79" s="71"/>
      <c r="K79" s="71"/>
      <c r="L79" s="1"/>
      <c r="M79" s="73">
        <f t="shared" si="9"/>
        <v>0</v>
      </c>
      <c r="N79" s="73">
        <f t="shared" si="10"/>
        <v>0</v>
      </c>
      <c r="O79" s="73">
        <f t="shared" si="11"/>
        <v>0</v>
      </c>
      <c r="P79" s="73">
        <f t="shared" si="12"/>
        <v>0</v>
      </c>
      <c r="Q79" s="73"/>
      <c r="R79" s="73">
        <v>0</v>
      </c>
      <c r="S79" s="75">
        <f t="shared" si="15"/>
        <v>0</v>
      </c>
      <c r="T79" s="77">
        <v>0</v>
      </c>
      <c r="U79" s="66">
        <v>40210</v>
      </c>
      <c r="V79" s="79"/>
      <c r="W79" s="66" t="s">
        <v>1585</v>
      </c>
      <c r="X79" s="67" t="s">
        <v>1586</v>
      </c>
      <c r="Y79" s="68"/>
      <c r="Z79" s="196" t="s">
        <v>894</v>
      </c>
      <c r="AA79" s="274" t="s">
        <v>845</v>
      </c>
      <c r="AB79" s="3"/>
      <c r="AC79" s="4"/>
      <c r="AD79" s="5"/>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6"/>
      <c r="CE79" s="7"/>
      <c r="CF79" s="6"/>
      <c r="CG79" s="7"/>
      <c r="CH79" s="6"/>
      <c r="CI79" s="7"/>
      <c r="CJ79" s="8">
        <f t="shared" si="13"/>
        <v>0</v>
      </c>
      <c r="CK79" s="9"/>
      <c r="CL79" s="10"/>
      <c r="CM79" s="11"/>
      <c r="CN79" s="12"/>
      <c r="CO79" s="28"/>
      <c r="CP79" s="12"/>
      <c r="CQ79" s="9"/>
      <c r="CR79" s="10"/>
      <c r="CS79" s="68"/>
      <c r="EC79" s="344" t="str">
        <f t="shared" si="14"/>
        <v>BOLIVAR_SAN JUAN NEPOMUCENO</v>
      </c>
      <c r="ED79" s="341"/>
      <c r="EE79" s="341" t="s">
        <v>3103</v>
      </c>
      <c r="EF79" s="349" t="s">
        <v>3104</v>
      </c>
      <c r="EG79" s="341" t="s">
        <v>3269</v>
      </c>
      <c r="EH79" s="341" t="s">
        <v>4412</v>
      </c>
      <c r="EI79" s="341" t="str">
        <f t="shared" si="8"/>
        <v>Antioquia_Don Matias</v>
      </c>
    </row>
    <row r="80" spans="1:139" ht="74.25">
      <c r="A80" s="228">
        <v>40210</v>
      </c>
      <c r="B80" s="102" t="s">
        <v>1615</v>
      </c>
      <c r="C80" s="102" t="s">
        <v>1554</v>
      </c>
      <c r="D80" s="206" t="s">
        <v>1752</v>
      </c>
      <c r="E80" s="320" t="s">
        <v>3410</v>
      </c>
      <c r="F80" s="320"/>
      <c r="G80" s="210"/>
      <c r="H80" s="71"/>
      <c r="I80" s="71"/>
      <c r="J80" s="71"/>
      <c r="K80" s="71"/>
      <c r="L80" s="1"/>
      <c r="M80" s="73">
        <f t="shared" si="9"/>
        <v>0</v>
      </c>
      <c r="N80" s="73">
        <f t="shared" si="10"/>
        <v>0</v>
      </c>
      <c r="O80" s="73">
        <f t="shared" si="11"/>
        <v>0</v>
      </c>
      <c r="P80" s="73">
        <f t="shared" si="12"/>
        <v>0</v>
      </c>
      <c r="Q80" s="73"/>
      <c r="R80" s="73">
        <v>0</v>
      </c>
      <c r="S80" s="75">
        <f t="shared" si="15"/>
        <v>0</v>
      </c>
      <c r="T80" s="77">
        <v>0</v>
      </c>
      <c r="U80" s="66">
        <v>40210</v>
      </c>
      <c r="V80" s="79"/>
      <c r="W80" s="66" t="s">
        <v>1585</v>
      </c>
      <c r="X80" s="67" t="s">
        <v>1586</v>
      </c>
      <c r="Y80" s="68"/>
      <c r="Z80" s="196" t="s">
        <v>894</v>
      </c>
      <c r="AA80" s="274" t="s">
        <v>1872</v>
      </c>
      <c r="AB80" s="3"/>
      <c r="AC80" s="4"/>
      <c r="AD80" s="5"/>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6"/>
      <c r="CE80" s="7"/>
      <c r="CF80" s="6"/>
      <c r="CG80" s="7"/>
      <c r="CH80" s="6"/>
      <c r="CI80" s="7"/>
      <c r="CJ80" s="8">
        <f t="shared" si="13"/>
        <v>0</v>
      </c>
      <c r="CK80" s="9"/>
      <c r="CL80" s="10"/>
      <c r="CM80" s="11"/>
      <c r="CN80" s="12"/>
      <c r="CO80" s="28"/>
      <c r="CP80" s="12"/>
      <c r="CQ80" s="9"/>
      <c r="CR80" s="10"/>
      <c r="CS80" s="68"/>
      <c r="EC80" s="344" t="str">
        <f t="shared" si="14"/>
        <v>BOLIVAR_SANTA CATALINA</v>
      </c>
      <c r="ED80" s="341"/>
      <c r="EE80" s="341" t="s">
        <v>3103</v>
      </c>
      <c r="EF80" s="349" t="s">
        <v>3104</v>
      </c>
      <c r="EG80" s="341" t="s">
        <v>3270</v>
      </c>
      <c r="EH80" s="341" t="s">
        <v>4413</v>
      </c>
      <c r="EI80" s="341" t="str">
        <f t="shared" si="8"/>
        <v>Antioquia_Ebejico</v>
      </c>
    </row>
    <row r="81" spans="1:139" ht="99.75">
      <c r="A81" s="228">
        <v>40210</v>
      </c>
      <c r="B81" s="102" t="s">
        <v>1615</v>
      </c>
      <c r="C81" s="102" t="s">
        <v>1037</v>
      </c>
      <c r="D81" s="206" t="s">
        <v>1752</v>
      </c>
      <c r="E81" s="320" t="s">
        <v>3411</v>
      </c>
      <c r="F81" s="320"/>
      <c r="G81" s="210"/>
      <c r="H81" s="71"/>
      <c r="I81" s="71"/>
      <c r="J81" s="71"/>
      <c r="K81" s="71"/>
      <c r="L81" s="1"/>
      <c r="M81" s="73">
        <f t="shared" si="9"/>
        <v>0</v>
      </c>
      <c r="N81" s="73">
        <f t="shared" si="10"/>
        <v>0</v>
      </c>
      <c r="O81" s="73">
        <f t="shared" si="11"/>
        <v>0</v>
      </c>
      <c r="P81" s="73">
        <f t="shared" si="12"/>
        <v>0</v>
      </c>
      <c r="Q81" s="73"/>
      <c r="R81" s="73">
        <v>0</v>
      </c>
      <c r="S81" s="75">
        <f t="shared" si="15"/>
        <v>0</v>
      </c>
      <c r="T81" s="77">
        <v>0</v>
      </c>
      <c r="U81" s="66">
        <v>40210</v>
      </c>
      <c r="V81" s="79"/>
      <c r="W81" s="66" t="s">
        <v>1585</v>
      </c>
      <c r="X81" s="67" t="s">
        <v>1586</v>
      </c>
      <c r="Y81" s="68"/>
      <c r="Z81" s="196" t="s">
        <v>894</v>
      </c>
      <c r="AA81" s="274" t="s">
        <v>668</v>
      </c>
      <c r="AB81" s="3"/>
      <c r="AC81" s="4"/>
      <c r="AD81" s="5"/>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6"/>
      <c r="CE81" s="7"/>
      <c r="CF81" s="6"/>
      <c r="CG81" s="7"/>
      <c r="CH81" s="6"/>
      <c r="CI81" s="7"/>
      <c r="CJ81" s="8">
        <f t="shared" si="13"/>
        <v>0</v>
      </c>
      <c r="CK81" s="9"/>
      <c r="CL81" s="10"/>
      <c r="CM81" s="11"/>
      <c r="CN81" s="12"/>
      <c r="CO81" s="28"/>
      <c r="CP81" s="12"/>
      <c r="CQ81" s="9"/>
      <c r="CR81" s="10"/>
      <c r="CS81" s="68"/>
      <c r="EC81" s="344" t="str">
        <f t="shared" si="14"/>
        <v>BOLIVAR_SANTA ROSA</v>
      </c>
      <c r="ED81" s="341"/>
      <c r="EE81" s="341" t="s">
        <v>3103</v>
      </c>
      <c r="EF81" s="349" t="s">
        <v>3104</v>
      </c>
      <c r="EG81" s="341" t="s">
        <v>3271</v>
      </c>
      <c r="EH81" s="341" t="s">
        <v>4414</v>
      </c>
      <c r="EI81" s="341" t="str">
        <f t="shared" si="8"/>
        <v>Antioquia_El Bagre</v>
      </c>
    </row>
    <row r="82" spans="1:139" ht="150.75">
      <c r="A82" s="228">
        <v>40210</v>
      </c>
      <c r="B82" s="102" t="s">
        <v>1615</v>
      </c>
      <c r="C82" s="102" t="s">
        <v>1556</v>
      </c>
      <c r="D82" s="206" t="s">
        <v>1752</v>
      </c>
      <c r="E82" s="320" t="s">
        <v>3417</v>
      </c>
      <c r="F82" s="320"/>
      <c r="G82" s="210"/>
      <c r="H82" s="71"/>
      <c r="I82" s="71"/>
      <c r="J82" s="71"/>
      <c r="K82" s="71"/>
      <c r="L82" s="1"/>
      <c r="M82" s="73">
        <f t="shared" si="9"/>
        <v>0</v>
      </c>
      <c r="N82" s="73">
        <f t="shared" si="10"/>
        <v>0</v>
      </c>
      <c r="O82" s="73">
        <f t="shared" si="11"/>
        <v>0</v>
      </c>
      <c r="P82" s="73">
        <f t="shared" si="12"/>
        <v>0</v>
      </c>
      <c r="Q82" s="73"/>
      <c r="R82" s="73">
        <v>0</v>
      </c>
      <c r="S82" s="75">
        <f t="shared" si="15"/>
        <v>0</v>
      </c>
      <c r="T82" s="77">
        <v>0</v>
      </c>
      <c r="U82" s="66">
        <v>40210</v>
      </c>
      <c r="V82" s="79"/>
      <c r="W82" s="66" t="s">
        <v>1585</v>
      </c>
      <c r="X82" s="67" t="s">
        <v>1586</v>
      </c>
      <c r="Y82" s="68"/>
      <c r="Z82" s="196" t="s">
        <v>894</v>
      </c>
      <c r="AA82" s="274" t="s">
        <v>1085</v>
      </c>
      <c r="AB82" s="3"/>
      <c r="AC82" s="4"/>
      <c r="AD82" s="5"/>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6"/>
      <c r="CE82" s="7"/>
      <c r="CF82" s="6"/>
      <c r="CG82" s="7"/>
      <c r="CH82" s="6"/>
      <c r="CI82" s="7"/>
      <c r="CJ82" s="8">
        <f t="shared" si="13"/>
        <v>0</v>
      </c>
      <c r="CK82" s="9"/>
      <c r="CL82" s="10"/>
      <c r="CM82" s="11"/>
      <c r="CN82" s="12"/>
      <c r="CO82" s="28"/>
      <c r="CP82" s="12"/>
      <c r="CQ82" s="9"/>
      <c r="CR82" s="10"/>
      <c r="CS82" s="68"/>
      <c r="EC82" s="344" t="str">
        <f t="shared" si="14"/>
        <v>BOLIVAR_TURBACO</v>
      </c>
      <c r="ED82" s="341"/>
      <c r="EE82" s="341" t="s">
        <v>3103</v>
      </c>
      <c r="EF82" s="349" t="s">
        <v>3104</v>
      </c>
      <c r="EG82" s="341" t="s">
        <v>3272</v>
      </c>
      <c r="EH82" s="341" t="s">
        <v>4415</v>
      </c>
      <c r="EI82" s="341" t="str">
        <f t="shared" si="8"/>
        <v>Antioquia_Entrerrios</v>
      </c>
    </row>
    <row r="83" spans="1:139" ht="150.75">
      <c r="A83" s="228">
        <v>40210</v>
      </c>
      <c r="B83" s="102" t="s">
        <v>1615</v>
      </c>
      <c r="C83" s="102" t="s">
        <v>1557</v>
      </c>
      <c r="D83" s="206" t="s">
        <v>1752</v>
      </c>
      <c r="E83" s="320" t="s">
        <v>3418</v>
      </c>
      <c r="F83" s="320"/>
      <c r="G83" s="210"/>
      <c r="H83" s="71"/>
      <c r="I83" s="71"/>
      <c r="J83" s="71"/>
      <c r="K83" s="71"/>
      <c r="L83" s="1"/>
      <c r="M83" s="73">
        <f t="shared" si="9"/>
        <v>0</v>
      </c>
      <c r="N83" s="73">
        <f t="shared" si="10"/>
        <v>0</v>
      </c>
      <c r="O83" s="73">
        <f t="shared" si="11"/>
        <v>0</v>
      </c>
      <c r="P83" s="73">
        <f t="shared" si="12"/>
        <v>0</v>
      </c>
      <c r="Q83" s="73"/>
      <c r="R83" s="73">
        <v>0</v>
      </c>
      <c r="S83" s="75">
        <f t="shared" si="15"/>
        <v>0</v>
      </c>
      <c r="T83" s="77">
        <v>0</v>
      </c>
      <c r="U83" s="66">
        <v>40210</v>
      </c>
      <c r="V83" s="79"/>
      <c r="W83" s="66" t="s">
        <v>1585</v>
      </c>
      <c r="X83" s="67" t="s">
        <v>1586</v>
      </c>
      <c r="Y83" s="68"/>
      <c r="Z83" s="196" t="s">
        <v>894</v>
      </c>
      <c r="AA83" s="274" t="s">
        <v>1085</v>
      </c>
      <c r="AB83" s="3"/>
      <c r="AC83" s="4"/>
      <c r="AD83" s="5"/>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6"/>
      <c r="CE83" s="7"/>
      <c r="CF83" s="6"/>
      <c r="CG83" s="7"/>
      <c r="CH83" s="6"/>
      <c r="CI83" s="7"/>
      <c r="CJ83" s="8">
        <f t="shared" si="13"/>
        <v>0</v>
      </c>
      <c r="CK83" s="9"/>
      <c r="CL83" s="10"/>
      <c r="CM83" s="11"/>
      <c r="CN83" s="12"/>
      <c r="CO83" s="28"/>
      <c r="CP83" s="12"/>
      <c r="CQ83" s="9"/>
      <c r="CR83" s="10"/>
      <c r="CS83" s="68"/>
      <c r="EC83" s="344" t="str">
        <f t="shared" si="14"/>
        <v>BOLIVAR_TURBANA</v>
      </c>
      <c r="ED83" s="341"/>
      <c r="EE83" s="341" t="s">
        <v>3103</v>
      </c>
      <c r="EF83" s="349" t="s">
        <v>3104</v>
      </c>
      <c r="EG83" s="341" t="s">
        <v>3273</v>
      </c>
      <c r="EH83" s="341" t="s">
        <v>4416</v>
      </c>
      <c r="EI83" s="341" t="str">
        <f t="shared" si="8"/>
        <v>Antioquia_Envigado</v>
      </c>
    </row>
    <row r="84" spans="1:139" ht="74.25">
      <c r="A84" s="228">
        <v>40210</v>
      </c>
      <c r="B84" s="102" t="s">
        <v>1615</v>
      </c>
      <c r="C84" s="102" t="s">
        <v>1553</v>
      </c>
      <c r="D84" s="206" t="s">
        <v>1752</v>
      </c>
      <c r="E84" s="320" t="s">
        <v>3419</v>
      </c>
      <c r="F84" s="320"/>
      <c r="G84" s="210"/>
      <c r="H84" s="71"/>
      <c r="I84" s="71"/>
      <c r="J84" s="71"/>
      <c r="K84" s="71"/>
      <c r="L84" s="1"/>
      <c r="M84" s="73">
        <f t="shared" si="9"/>
        <v>0</v>
      </c>
      <c r="N84" s="73">
        <f t="shared" si="10"/>
        <v>0</v>
      </c>
      <c r="O84" s="73">
        <f t="shared" si="11"/>
        <v>0</v>
      </c>
      <c r="P84" s="73">
        <f t="shared" si="12"/>
        <v>0</v>
      </c>
      <c r="Q84" s="73"/>
      <c r="R84" s="73">
        <v>0</v>
      </c>
      <c r="S84" s="75">
        <f t="shared" si="15"/>
        <v>0</v>
      </c>
      <c r="T84" s="77">
        <v>0</v>
      </c>
      <c r="U84" s="66">
        <v>40210</v>
      </c>
      <c r="V84" s="79"/>
      <c r="W84" s="66" t="s">
        <v>1585</v>
      </c>
      <c r="X84" s="67" t="s">
        <v>1586</v>
      </c>
      <c r="Y84" s="68"/>
      <c r="Z84" s="196" t="s">
        <v>894</v>
      </c>
      <c r="AA84" s="274" t="s">
        <v>1872</v>
      </c>
      <c r="AB84" s="3"/>
      <c r="AC84" s="4"/>
      <c r="AD84" s="5"/>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6"/>
      <c r="CE84" s="7"/>
      <c r="CF84" s="6"/>
      <c r="CG84" s="7"/>
      <c r="CH84" s="6"/>
      <c r="CI84" s="7"/>
      <c r="CJ84" s="8">
        <f t="shared" si="13"/>
        <v>0</v>
      </c>
      <c r="CK84" s="9"/>
      <c r="CL84" s="10"/>
      <c r="CM84" s="11"/>
      <c r="CN84" s="12"/>
      <c r="CO84" s="28"/>
      <c r="CP84" s="12"/>
      <c r="CQ84" s="9"/>
      <c r="CR84" s="10"/>
      <c r="CS84" s="68"/>
      <c r="EC84" s="344" t="str">
        <f t="shared" si="14"/>
        <v>BOLIVAR_VILLANUEVA</v>
      </c>
      <c r="ED84" s="341"/>
      <c r="EE84" s="341" t="s">
        <v>3103</v>
      </c>
      <c r="EF84" s="349" t="s">
        <v>3104</v>
      </c>
      <c r="EG84" s="341" t="s">
        <v>3274</v>
      </c>
      <c r="EH84" s="341" t="s">
        <v>4417</v>
      </c>
      <c r="EI84" s="341" t="str">
        <f t="shared" si="8"/>
        <v>Antioquia_Fredonia</v>
      </c>
    </row>
    <row r="85" spans="1:139" ht="192">
      <c r="A85" s="228">
        <v>40210</v>
      </c>
      <c r="B85" s="102" t="s">
        <v>1192</v>
      </c>
      <c r="C85" s="102" t="s">
        <v>1911</v>
      </c>
      <c r="D85" s="206" t="s">
        <v>1752</v>
      </c>
      <c r="E85" s="320" t="s">
        <v>3423</v>
      </c>
      <c r="F85" s="320"/>
      <c r="G85" s="210"/>
      <c r="H85" s="71"/>
      <c r="I85" s="71"/>
      <c r="J85" s="71"/>
      <c r="K85" s="71"/>
      <c r="L85" s="1"/>
      <c r="M85" s="73">
        <f t="shared" si="9"/>
        <v>0</v>
      </c>
      <c r="N85" s="73">
        <f t="shared" si="10"/>
        <v>0</v>
      </c>
      <c r="O85" s="73">
        <f t="shared" si="11"/>
        <v>0</v>
      </c>
      <c r="P85" s="73">
        <f t="shared" si="12"/>
        <v>0</v>
      </c>
      <c r="Q85" s="73"/>
      <c r="R85" s="73">
        <v>0</v>
      </c>
      <c r="S85" s="75">
        <f t="shared" si="15"/>
        <v>0</v>
      </c>
      <c r="T85" s="77">
        <v>0</v>
      </c>
      <c r="U85" s="66">
        <v>40210</v>
      </c>
      <c r="V85" s="79"/>
      <c r="W85" s="66" t="s">
        <v>1585</v>
      </c>
      <c r="X85" s="67" t="s">
        <v>1586</v>
      </c>
      <c r="Y85" s="68"/>
      <c r="Z85" s="196" t="s">
        <v>894</v>
      </c>
      <c r="AA85" s="274" t="s">
        <v>1262</v>
      </c>
      <c r="AB85" s="3"/>
      <c r="AC85" s="4"/>
      <c r="AD85" s="5"/>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6"/>
      <c r="CE85" s="7"/>
      <c r="CF85" s="6"/>
      <c r="CG85" s="7"/>
      <c r="CH85" s="6"/>
      <c r="CI85" s="7"/>
      <c r="CJ85" s="8">
        <f t="shared" si="13"/>
        <v>0</v>
      </c>
      <c r="CK85" s="9"/>
      <c r="CL85" s="10"/>
      <c r="CM85" s="11"/>
      <c r="CN85" s="12"/>
      <c r="CO85" s="28"/>
      <c r="CP85" s="12"/>
      <c r="CQ85" s="9"/>
      <c r="CR85" s="10"/>
      <c r="CS85" s="68"/>
      <c r="EC85" s="344" t="str">
        <f t="shared" si="14"/>
        <v>BOYACA_AQUITANIA</v>
      </c>
      <c r="ED85" s="341"/>
      <c r="EE85" s="341" t="s">
        <v>3103</v>
      </c>
      <c r="EF85" s="349" t="s">
        <v>3104</v>
      </c>
      <c r="EG85" s="341" t="s">
        <v>3275</v>
      </c>
      <c r="EH85" s="341" t="s">
        <v>4418</v>
      </c>
      <c r="EI85" s="341" t="str">
        <f t="shared" si="8"/>
        <v>Antioquia_Frontino</v>
      </c>
    </row>
    <row r="86" spans="1:139" ht="108">
      <c r="A86" s="228">
        <v>40210</v>
      </c>
      <c r="B86" s="102" t="s">
        <v>1192</v>
      </c>
      <c r="C86" s="102" t="s">
        <v>1913</v>
      </c>
      <c r="D86" s="206" t="s">
        <v>1752</v>
      </c>
      <c r="E86" s="320" t="s">
        <v>3437</v>
      </c>
      <c r="F86" s="320"/>
      <c r="G86" s="210"/>
      <c r="H86" s="71"/>
      <c r="I86" s="71"/>
      <c r="J86" s="71"/>
      <c r="K86" s="71"/>
      <c r="L86" s="1"/>
      <c r="M86" s="73">
        <f t="shared" si="9"/>
        <v>0</v>
      </c>
      <c r="N86" s="73">
        <f t="shared" si="10"/>
        <v>0</v>
      </c>
      <c r="O86" s="73">
        <f t="shared" si="11"/>
        <v>0</v>
      </c>
      <c r="P86" s="73">
        <f t="shared" si="12"/>
        <v>0</v>
      </c>
      <c r="Q86" s="73"/>
      <c r="R86" s="73">
        <v>0</v>
      </c>
      <c r="S86" s="75">
        <f t="shared" si="15"/>
        <v>0</v>
      </c>
      <c r="T86" s="77">
        <v>0</v>
      </c>
      <c r="U86" s="66">
        <v>40210</v>
      </c>
      <c r="V86" s="79"/>
      <c r="W86" s="66" t="s">
        <v>1585</v>
      </c>
      <c r="X86" s="67" t="s">
        <v>1586</v>
      </c>
      <c r="Y86" s="68"/>
      <c r="Z86" s="196" t="s">
        <v>894</v>
      </c>
      <c r="AA86" s="274" t="s">
        <v>1905</v>
      </c>
      <c r="AB86" s="3"/>
      <c r="AC86" s="4"/>
      <c r="AD86" s="5"/>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6"/>
      <c r="CE86" s="7"/>
      <c r="CF86" s="6"/>
      <c r="CG86" s="7"/>
      <c r="CH86" s="6"/>
      <c r="CI86" s="7"/>
      <c r="CJ86" s="8">
        <f t="shared" si="13"/>
        <v>0</v>
      </c>
      <c r="CK86" s="9"/>
      <c r="CL86" s="10"/>
      <c r="CM86" s="11"/>
      <c r="CN86" s="12"/>
      <c r="CO86" s="28"/>
      <c r="CP86" s="12"/>
      <c r="CQ86" s="9"/>
      <c r="CR86" s="10"/>
      <c r="CS86" s="68"/>
      <c r="EC86" s="344" t="str">
        <f t="shared" si="14"/>
        <v>BOYACA_CHIQUINQUIRA</v>
      </c>
      <c r="ED86" s="341"/>
      <c r="EE86" s="341" t="s">
        <v>3103</v>
      </c>
      <c r="EF86" s="349" t="s">
        <v>3104</v>
      </c>
      <c r="EG86" s="341" t="s">
        <v>3276</v>
      </c>
      <c r="EH86" s="341" t="s">
        <v>4419</v>
      </c>
      <c r="EI86" s="341" t="str">
        <f t="shared" si="8"/>
        <v>Antioquia_Giraldo</v>
      </c>
    </row>
    <row r="87" spans="1:139" ht="84">
      <c r="A87" s="228">
        <v>40210</v>
      </c>
      <c r="B87" s="102" t="s">
        <v>1192</v>
      </c>
      <c r="C87" s="102" t="s">
        <v>1914</v>
      </c>
      <c r="D87" s="206" t="s">
        <v>1752</v>
      </c>
      <c r="E87" s="320" t="s">
        <v>3438</v>
      </c>
      <c r="F87" s="320"/>
      <c r="G87" s="210"/>
      <c r="H87" s="71"/>
      <c r="I87" s="71"/>
      <c r="J87" s="71"/>
      <c r="K87" s="71"/>
      <c r="L87" s="1"/>
      <c r="M87" s="73">
        <f t="shared" si="9"/>
        <v>0</v>
      </c>
      <c r="N87" s="73">
        <f t="shared" si="10"/>
        <v>0</v>
      </c>
      <c r="O87" s="73">
        <f t="shared" si="11"/>
        <v>0</v>
      </c>
      <c r="P87" s="73">
        <f t="shared" si="12"/>
        <v>0</v>
      </c>
      <c r="Q87" s="73"/>
      <c r="R87" s="73">
        <v>0</v>
      </c>
      <c r="S87" s="75">
        <f t="shared" si="15"/>
        <v>0</v>
      </c>
      <c r="T87" s="77">
        <v>0</v>
      </c>
      <c r="U87" s="66">
        <v>40210</v>
      </c>
      <c r="V87" s="79"/>
      <c r="W87" s="66" t="s">
        <v>1585</v>
      </c>
      <c r="X87" s="67" t="s">
        <v>1586</v>
      </c>
      <c r="Y87" s="68"/>
      <c r="Z87" s="196" t="s">
        <v>894</v>
      </c>
      <c r="AA87" s="274" t="s">
        <v>1906</v>
      </c>
      <c r="AB87" s="3"/>
      <c r="AC87" s="4"/>
      <c r="AD87" s="5"/>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6"/>
      <c r="CE87" s="7"/>
      <c r="CF87" s="6"/>
      <c r="CG87" s="7"/>
      <c r="CH87" s="6"/>
      <c r="CI87" s="7"/>
      <c r="CJ87" s="8">
        <f t="shared" si="13"/>
        <v>0</v>
      </c>
      <c r="CK87" s="9"/>
      <c r="CL87" s="10"/>
      <c r="CM87" s="11"/>
      <c r="CN87" s="12"/>
      <c r="CO87" s="28"/>
      <c r="CP87" s="12"/>
      <c r="CQ87" s="9"/>
      <c r="CR87" s="10"/>
      <c r="CS87" s="68"/>
      <c r="EC87" s="344" t="str">
        <f t="shared" si="14"/>
        <v>BOYACA_CHISCAS</v>
      </c>
      <c r="ED87" s="341"/>
      <c r="EE87" s="341" t="s">
        <v>3103</v>
      </c>
      <c r="EF87" s="349" t="s">
        <v>3104</v>
      </c>
      <c r="EG87" s="341" t="s">
        <v>3277</v>
      </c>
      <c r="EH87" s="341" t="s">
        <v>4420</v>
      </c>
      <c r="EI87" s="341" t="str">
        <f t="shared" si="8"/>
        <v>Antioquia_Girardota</v>
      </c>
    </row>
    <row r="88" spans="1:139" ht="276">
      <c r="A88" s="228">
        <v>40210</v>
      </c>
      <c r="B88" s="102" t="s">
        <v>1192</v>
      </c>
      <c r="C88" s="102" t="s">
        <v>1915</v>
      </c>
      <c r="D88" s="206" t="s">
        <v>1752</v>
      </c>
      <c r="E88" s="320" t="s">
        <v>3443</v>
      </c>
      <c r="F88" s="320"/>
      <c r="G88" s="210"/>
      <c r="H88" s="71"/>
      <c r="I88" s="71"/>
      <c r="J88" s="71">
        <v>10400</v>
      </c>
      <c r="K88" s="71">
        <v>2080</v>
      </c>
      <c r="L88" s="1">
        <v>40280</v>
      </c>
      <c r="M88" s="73">
        <f t="shared" si="9"/>
        <v>0</v>
      </c>
      <c r="N88" s="73">
        <f t="shared" si="10"/>
        <v>0</v>
      </c>
      <c r="O88" s="73">
        <f t="shared" si="11"/>
        <v>0</v>
      </c>
      <c r="P88" s="73">
        <f t="shared" si="12"/>
        <v>0</v>
      </c>
      <c r="Q88" s="73">
        <f>510*11503.72</f>
        <v>5866897.1999999993</v>
      </c>
      <c r="R88" s="73">
        <v>0</v>
      </c>
      <c r="S88" s="75">
        <f t="shared" si="15"/>
        <v>5866897.1999999993</v>
      </c>
      <c r="T88" s="77">
        <v>0</v>
      </c>
      <c r="U88" s="66">
        <v>40210</v>
      </c>
      <c r="V88" s="79">
        <v>95507</v>
      </c>
      <c r="W88" s="66" t="s">
        <v>1606</v>
      </c>
      <c r="X88" s="67" t="s">
        <v>1607</v>
      </c>
      <c r="Y88" s="68">
        <v>67</v>
      </c>
      <c r="Z88" s="196" t="s">
        <v>1333</v>
      </c>
      <c r="AA88" s="274" t="s">
        <v>2288</v>
      </c>
      <c r="AB88" s="3"/>
      <c r="AC88" s="4"/>
      <c r="AD88" s="5"/>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6"/>
      <c r="CE88" s="7"/>
      <c r="CF88" s="6"/>
      <c r="CG88" s="7"/>
      <c r="CH88" s="6"/>
      <c r="CI88" s="7"/>
      <c r="CJ88" s="8">
        <f t="shared" si="13"/>
        <v>0</v>
      </c>
      <c r="CK88" s="9"/>
      <c r="CL88" s="10"/>
      <c r="CM88" s="11"/>
      <c r="CN88" s="12"/>
      <c r="CO88" s="28"/>
      <c r="CP88" s="12"/>
      <c r="CQ88" s="9"/>
      <c r="CR88" s="10"/>
      <c r="CS88" s="68"/>
      <c r="EC88" s="344" t="str">
        <f t="shared" si="14"/>
        <v>BOYACA_COMBITA</v>
      </c>
      <c r="ED88" s="341"/>
      <c r="EE88" s="341" t="s">
        <v>3103</v>
      </c>
      <c r="EF88" s="349" t="s">
        <v>3104</v>
      </c>
      <c r="EG88" s="341" t="s">
        <v>3278</v>
      </c>
      <c r="EH88" s="341" t="s">
        <v>4421</v>
      </c>
      <c r="EI88" s="341" t="str">
        <f t="shared" si="8"/>
        <v>Antioquia_Gomez Plata</v>
      </c>
    </row>
    <row r="89" spans="1:139" ht="84">
      <c r="A89" s="228">
        <v>40210</v>
      </c>
      <c r="B89" s="102" t="s">
        <v>1192</v>
      </c>
      <c r="C89" s="102" t="s">
        <v>100</v>
      </c>
      <c r="D89" s="206" t="s">
        <v>1752</v>
      </c>
      <c r="E89" s="320" t="s">
        <v>3444</v>
      </c>
      <c r="F89" s="320"/>
      <c r="G89" s="210"/>
      <c r="H89" s="71"/>
      <c r="I89" s="71"/>
      <c r="J89" s="71"/>
      <c r="K89" s="71"/>
      <c r="L89" s="1"/>
      <c r="M89" s="73">
        <f t="shared" si="9"/>
        <v>0</v>
      </c>
      <c r="N89" s="73">
        <f t="shared" si="10"/>
        <v>0</v>
      </c>
      <c r="O89" s="73">
        <f t="shared" si="11"/>
        <v>0</v>
      </c>
      <c r="P89" s="73">
        <f t="shared" si="12"/>
        <v>0</v>
      </c>
      <c r="Q89" s="73"/>
      <c r="R89" s="73">
        <v>0</v>
      </c>
      <c r="S89" s="75">
        <f t="shared" si="15"/>
        <v>0</v>
      </c>
      <c r="T89" s="77">
        <v>0</v>
      </c>
      <c r="U89" s="66">
        <v>40210</v>
      </c>
      <c r="V89" s="79"/>
      <c r="W89" s="66" t="s">
        <v>1585</v>
      </c>
      <c r="X89" s="67" t="s">
        <v>1586</v>
      </c>
      <c r="Y89" s="68"/>
      <c r="Z89" s="196" t="s">
        <v>894</v>
      </c>
      <c r="AA89" s="274" t="s">
        <v>1157</v>
      </c>
      <c r="AB89" s="3"/>
      <c r="AC89" s="4"/>
      <c r="AD89" s="5"/>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6"/>
      <c r="CE89" s="7"/>
      <c r="CF89" s="6"/>
      <c r="CG89" s="7"/>
      <c r="CH89" s="6"/>
      <c r="CI89" s="7"/>
      <c r="CJ89" s="8">
        <f t="shared" si="13"/>
        <v>0</v>
      </c>
      <c r="CK89" s="9"/>
      <c r="CL89" s="10"/>
      <c r="CM89" s="11"/>
      <c r="CN89" s="12"/>
      <c r="CO89" s="28"/>
      <c r="CP89" s="12"/>
      <c r="CQ89" s="9"/>
      <c r="CR89" s="10"/>
      <c r="CS89" s="68"/>
      <c r="EC89" s="344" t="str">
        <f t="shared" si="14"/>
        <v>BOYACA_COPER</v>
      </c>
      <c r="ED89" s="341"/>
      <c r="EE89" s="341" t="s">
        <v>3103</v>
      </c>
      <c r="EF89" s="349" t="s">
        <v>3104</v>
      </c>
      <c r="EG89" s="341" t="s">
        <v>3279</v>
      </c>
      <c r="EH89" s="341" t="s">
        <v>4422</v>
      </c>
      <c r="EI89" s="341" t="str">
        <f t="shared" si="8"/>
        <v>Antioquia_Granada</v>
      </c>
    </row>
    <row r="90" spans="1:139" ht="72">
      <c r="A90" s="228">
        <v>40210</v>
      </c>
      <c r="B90" s="102" t="s">
        <v>1192</v>
      </c>
      <c r="C90" s="102" t="s">
        <v>1916</v>
      </c>
      <c r="D90" s="206" t="s">
        <v>1752</v>
      </c>
      <c r="E90" s="320" t="s">
        <v>3445</v>
      </c>
      <c r="F90" s="320"/>
      <c r="G90" s="210"/>
      <c r="H90" s="71"/>
      <c r="I90" s="71"/>
      <c r="J90" s="71"/>
      <c r="K90" s="71"/>
      <c r="L90" s="1"/>
      <c r="M90" s="73">
        <f t="shared" si="9"/>
        <v>0</v>
      </c>
      <c r="N90" s="73">
        <f t="shared" si="10"/>
        <v>0</v>
      </c>
      <c r="O90" s="73">
        <f t="shared" si="11"/>
        <v>0</v>
      </c>
      <c r="P90" s="73">
        <f t="shared" si="12"/>
        <v>0</v>
      </c>
      <c r="Q90" s="73"/>
      <c r="R90" s="73">
        <v>0</v>
      </c>
      <c r="S90" s="75">
        <f t="shared" si="15"/>
        <v>0</v>
      </c>
      <c r="T90" s="77">
        <v>0</v>
      </c>
      <c r="U90" s="66">
        <v>40210</v>
      </c>
      <c r="V90" s="79"/>
      <c r="W90" s="66" t="s">
        <v>1585</v>
      </c>
      <c r="X90" s="67" t="s">
        <v>1586</v>
      </c>
      <c r="Y90" s="68"/>
      <c r="Z90" s="196" t="s">
        <v>894</v>
      </c>
      <c r="AA90" s="274" t="s">
        <v>1160</v>
      </c>
      <c r="AB90" s="3"/>
      <c r="AC90" s="4"/>
      <c r="AD90" s="5"/>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6"/>
      <c r="CE90" s="7"/>
      <c r="CF90" s="6"/>
      <c r="CG90" s="7"/>
      <c r="CH90" s="6"/>
      <c r="CI90" s="7"/>
      <c r="CJ90" s="8">
        <f t="shared" si="13"/>
        <v>0</v>
      </c>
      <c r="CK90" s="9"/>
      <c r="CL90" s="10"/>
      <c r="CM90" s="11"/>
      <c r="CN90" s="12"/>
      <c r="CO90" s="28"/>
      <c r="CP90" s="12"/>
      <c r="CQ90" s="9"/>
      <c r="CR90" s="10"/>
      <c r="CS90" s="68"/>
      <c r="EC90" s="344" t="str">
        <f t="shared" si="14"/>
        <v>BOYACA_CORRALES</v>
      </c>
      <c r="ED90" s="341"/>
      <c r="EE90" s="341" t="s">
        <v>3103</v>
      </c>
      <c r="EF90" s="349" t="s">
        <v>3104</v>
      </c>
      <c r="EG90" s="341" t="s">
        <v>3280</v>
      </c>
      <c r="EH90" s="341" t="s">
        <v>4423</v>
      </c>
      <c r="EI90" s="341" t="str">
        <f t="shared" si="8"/>
        <v>Antioquia_Guadalupe</v>
      </c>
    </row>
    <row r="91" spans="1:139" ht="125.25">
      <c r="A91" s="228">
        <v>40210</v>
      </c>
      <c r="B91" s="102" t="s">
        <v>1192</v>
      </c>
      <c r="C91" s="102" t="s">
        <v>1917</v>
      </c>
      <c r="D91" s="206" t="s">
        <v>1752</v>
      </c>
      <c r="E91" s="320" t="s">
        <v>3448</v>
      </c>
      <c r="F91" s="320"/>
      <c r="G91" s="210"/>
      <c r="H91" s="71"/>
      <c r="I91" s="71"/>
      <c r="J91" s="71">
        <v>4700</v>
      </c>
      <c r="K91" s="71">
        <v>940</v>
      </c>
      <c r="L91" s="1"/>
      <c r="M91" s="73">
        <f t="shared" si="9"/>
        <v>0</v>
      </c>
      <c r="N91" s="73">
        <f t="shared" si="10"/>
        <v>0</v>
      </c>
      <c r="O91" s="73">
        <f t="shared" si="11"/>
        <v>0</v>
      </c>
      <c r="P91" s="73">
        <f t="shared" si="12"/>
        <v>0</v>
      </c>
      <c r="Q91" s="73"/>
      <c r="R91" s="73">
        <v>0</v>
      </c>
      <c r="S91" s="75">
        <f t="shared" si="15"/>
        <v>0</v>
      </c>
      <c r="T91" s="77">
        <v>0</v>
      </c>
      <c r="U91" s="66">
        <v>40210</v>
      </c>
      <c r="V91" s="79"/>
      <c r="W91" s="66" t="s">
        <v>1585</v>
      </c>
      <c r="X91" s="67" t="s">
        <v>1586</v>
      </c>
      <c r="Y91" s="68"/>
      <c r="Z91" s="196" t="s">
        <v>894</v>
      </c>
      <c r="AA91" s="274" t="s">
        <v>1805</v>
      </c>
      <c r="AB91" s="3"/>
      <c r="AC91" s="4"/>
      <c r="AD91" s="5"/>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6"/>
      <c r="CE91" s="7"/>
      <c r="CF91" s="6"/>
      <c r="CG91" s="7"/>
      <c r="CH91" s="6"/>
      <c r="CI91" s="7"/>
      <c r="CJ91" s="8">
        <f t="shared" si="13"/>
        <v>0</v>
      </c>
      <c r="CK91" s="9"/>
      <c r="CL91" s="10"/>
      <c r="CM91" s="11"/>
      <c r="CN91" s="12"/>
      <c r="CO91" s="28"/>
      <c r="CP91" s="12"/>
      <c r="CQ91" s="9"/>
      <c r="CR91" s="10"/>
      <c r="CS91" s="68"/>
      <c r="EC91" s="344" t="str">
        <f t="shared" si="14"/>
        <v>BOYACA_CUCAITA</v>
      </c>
      <c r="ED91" s="341"/>
      <c r="EE91" s="341" t="s">
        <v>3103</v>
      </c>
      <c r="EF91" s="349" t="s">
        <v>3104</v>
      </c>
      <c r="EG91" s="341" t="s">
        <v>3281</v>
      </c>
      <c r="EH91" s="341" t="s">
        <v>4424</v>
      </c>
      <c r="EI91" s="341" t="str">
        <f t="shared" si="8"/>
        <v>Antioquia_Guarne</v>
      </c>
    </row>
    <row r="92" spans="1:139" ht="214.5">
      <c r="A92" s="228">
        <v>40210</v>
      </c>
      <c r="B92" s="102" t="s">
        <v>1192</v>
      </c>
      <c r="C92" s="102" t="s">
        <v>1566</v>
      </c>
      <c r="D92" s="206" t="s">
        <v>1752</v>
      </c>
      <c r="E92" s="320" t="s">
        <v>3449</v>
      </c>
      <c r="F92" s="320"/>
      <c r="G92" s="210"/>
      <c r="H92" s="71"/>
      <c r="I92" s="71"/>
      <c r="J92" s="71"/>
      <c r="K92" s="71"/>
      <c r="L92" s="1"/>
      <c r="M92" s="73">
        <f t="shared" si="9"/>
        <v>0</v>
      </c>
      <c r="N92" s="73">
        <f t="shared" si="10"/>
        <v>0</v>
      </c>
      <c r="O92" s="73">
        <f t="shared" si="11"/>
        <v>0</v>
      </c>
      <c r="P92" s="73">
        <f t="shared" si="12"/>
        <v>0</v>
      </c>
      <c r="Q92" s="73"/>
      <c r="R92" s="73">
        <v>0</v>
      </c>
      <c r="S92" s="75">
        <f t="shared" si="15"/>
        <v>0</v>
      </c>
      <c r="T92" s="77">
        <v>0</v>
      </c>
      <c r="U92" s="66">
        <v>40210</v>
      </c>
      <c r="V92" s="79"/>
      <c r="W92" s="66" t="s">
        <v>1585</v>
      </c>
      <c r="X92" s="67" t="s">
        <v>1586</v>
      </c>
      <c r="Y92" s="68"/>
      <c r="Z92" s="196" t="s">
        <v>894</v>
      </c>
      <c r="AA92" s="274" t="s">
        <v>2728</v>
      </c>
      <c r="AB92" s="3"/>
      <c r="AC92" s="4"/>
      <c r="AD92" s="5"/>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6"/>
      <c r="CE92" s="7"/>
      <c r="CF92" s="6"/>
      <c r="CG92" s="7"/>
      <c r="CH92" s="6"/>
      <c r="CI92" s="7"/>
      <c r="CJ92" s="8">
        <f t="shared" si="13"/>
        <v>0</v>
      </c>
      <c r="CK92" s="9"/>
      <c r="CL92" s="10"/>
      <c r="CM92" s="11"/>
      <c r="CN92" s="12"/>
      <c r="CO92" s="28"/>
      <c r="CP92" s="12"/>
      <c r="CQ92" s="9"/>
      <c r="CR92" s="10"/>
      <c r="CS92" s="68"/>
      <c r="EC92" s="344" t="str">
        <f t="shared" si="14"/>
        <v>BOYACA_CUITIVA</v>
      </c>
      <c r="ED92" s="341"/>
      <c r="EE92" s="341" t="s">
        <v>3103</v>
      </c>
      <c r="EF92" s="349" t="s">
        <v>3104</v>
      </c>
      <c r="EG92" s="341" t="s">
        <v>3282</v>
      </c>
      <c r="EH92" s="341" t="s">
        <v>4425</v>
      </c>
      <c r="EI92" s="341" t="str">
        <f t="shared" si="8"/>
        <v>Antioquia_Guatape</v>
      </c>
    </row>
    <row r="93" spans="1:139" ht="360">
      <c r="A93" s="228">
        <v>40210</v>
      </c>
      <c r="B93" s="102" t="s">
        <v>1192</v>
      </c>
      <c r="C93" s="102" t="s">
        <v>1918</v>
      </c>
      <c r="D93" s="206" t="s">
        <v>1752</v>
      </c>
      <c r="E93" s="320" t="s">
        <v>3452</v>
      </c>
      <c r="F93" s="320"/>
      <c r="G93" s="210"/>
      <c r="H93" s="71"/>
      <c r="I93" s="71"/>
      <c r="J93" s="71"/>
      <c r="K93" s="71"/>
      <c r="L93" s="1"/>
      <c r="M93" s="73">
        <f t="shared" si="9"/>
        <v>0</v>
      </c>
      <c r="N93" s="73">
        <f t="shared" si="10"/>
        <v>0</v>
      </c>
      <c r="O93" s="73">
        <f t="shared" si="11"/>
        <v>0</v>
      </c>
      <c r="P93" s="73">
        <f t="shared" si="12"/>
        <v>0</v>
      </c>
      <c r="Q93" s="73"/>
      <c r="R93" s="73">
        <v>0</v>
      </c>
      <c r="S93" s="75">
        <f t="shared" si="15"/>
        <v>0</v>
      </c>
      <c r="T93" s="77">
        <v>0</v>
      </c>
      <c r="U93" s="66">
        <v>40210</v>
      </c>
      <c r="V93" s="79"/>
      <c r="W93" s="66" t="s">
        <v>1585</v>
      </c>
      <c r="X93" s="67" t="s">
        <v>1586</v>
      </c>
      <c r="Y93" s="68"/>
      <c r="Z93" s="196" t="s">
        <v>894</v>
      </c>
      <c r="AA93" s="274" t="s">
        <v>1091</v>
      </c>
      <c r="AB93" s="3"/>
      <c r="AC93" s="4"/>
      <c r="AD93" s="5"/>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6"/>
      <c r="CE93" s="7"/>
      <c r="CF93" s="6"/>
      <c r="CG93" s="7"/>
      <c r="CH93" s="6"/>
      <c r="CI93" s="7"/>
      <c r="CJ93" s="8">
        <f t="shared" si="13"/>
        <v>0</v>
      </c>
      <c r="CK93" s="9"/>
      <c r="CL93" s="10"/>
      <c r="CM93" s="11"/>
      <c r="CN93" s="12"/>
      <c r="CO93" s="28"/>
      <c r="CP93" s="12"/>
      <c r="CQ93" s="9"/>
      <c r="CR93" s="10"/>
      <c r="CS93" s="68"/>
      <c r="EC93" s="344" t="str">
        <f t="shared" si="14"/>
        <v>BOYACA_DUITAMA</v>
      </c>
      <c r="ED93" s="341"/>
      <c r="EE93" s="341" t="s">
        <v>3103</v>
      </c>
      <c r="EF93" s="349" t="s">
        <v>3104</v>
      </c>
      <c r="EG93" s="341" t="s">
        <v>3283</v>
      </c>
      <c r="EH93" s="341" t="s">
        <v>4426</v>
      </c>
      <c r="EI93" s="341" t="str">
        <f t="shared" si="8"/>
        <v>Antioquia_Heliconia</v>
      </c>
    </row>
    <row r="94" spans="1:139" ht="84">
      <c r="A94" s="228">
        <v>40210</v>
      </c>
      <c r="B94" s="102" t="s">
        <v>1192</v>
      </c>
      <c r="C94" s="102" t="s">
        <v>1919</v>
      </c>
      <c r="D94" s="206" t="s">
        <v>1752</v>
      </c>
      <c r="E94" s="320" t="s">
        <v>3455</v>
      </c>
      <c r="F94" s="320"/>
      <c r="G94" s="210"/>
      <c r="H94" s="71"/>
      <c r="I94" s="71"/>
      <c r="J94" s="71"/>
      <c r="K94" s="71"/>
      <c r="L94" s="1"/>
      <c r="M94" s="73">
        <f t="shared" si="9"/>
        <v>0</v>
      </c>
      <c r="N94" s="73">
        <f t="shared" si="10"/>
        <v>0</v>
      </c>
      <c r="O94" s="73">
        <f t="shared" si="11"/>
        <v>0</v>
      </c>
      <c r="P94" s="73">
        <f t="shared" si="12"/>
        <v>0</v>
      </c>
      <c r="Q94" s="73"/>
      <c r="R94" s="73">
        <v>0</v>
      </c>
      <c r="S94" s="75">
        <f t="shared" si="15"/>
        <v>0</v>
      </c>
      <c r="T94" s="77">
        <v>0</v>
      </c>
      <c r="U94" s="66">
        <v>40210</v>
      </c>
      <c r="V94" s="79"/>
      <c r="W94" s="66" t="s">
        <v>1585</v>
      </c>
      <c r="X94" s="67" t="s">
        <v>1586</v>
      </c>
      <c r="Y94" s="68"/>
      <c r="Z94" s="196" t="s">
        <v>894</v>
      </c>
      <c r="AA94" s="274" t="s">
        <v>1157</v>
      </c>
      <c r="AB94" s="3"/>
      <c r="AC94" s="4"/>
      <c r="AD94" s="5"/>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6"/>
      <c r="CE94" s="7"/>
      <c r="CF94" s="6"/>
      <c r="CG94" s="7"/>
      <c r="CH94" s="6"/>
      <c r="CI94" s="7"/>
      <c r="CJ94" s="8">
        <f t="shared" si="13"/>
        <v>0</v>
      </c>
      <c r="CK94" s="9"/>
      <c r="CL94" s="10"/>
      <c r="CM94" s="11"/>
      <c r="CN94" s="12"/>
      <c r="CO94" s="28"/>
      <c r="CP94" s="12"/>
      <c r="CQ94" s="9"/>
      <c r="CR94" s="10"/>
      <c r="CS94" s="68"/>
      <c r="EC94" s="344" t="str">
        <f t="shared" si="14"/>
        <v>BOYACA_FIRAVITOBA</v>
      </c>
      <c r="ED94" s="341"/>
      <c r="EE94" s="341" t="s">
        <v>3103</v>
      </c>
      <c r="EF94" s="349" t="s">
        <v>3104</v>
      </c>
      <c r="EG94" s="341" t="s">
        <v>3284</v>
      </c>
      <c r="EH94" s="341" t="s">
        <v>4427</v>
      </c>
      <c r="EI94" s="341" t="str">
        <f t="shared" si="8"/>
        <v>Antioquia_Hispania</v>
      </c>
    </row>
    <row r="95" spans="1:139" ht="72">
      <c r="A95" s="228">
        <v>40210</v>
      </c>
      <c r="B95" s="102" t="s">
        <v>1192</v>
      </c>
      <c r="C95" s="102" t="s">
        <v>502</v>
      </c>
      <c r="D95" s="206" t="s">
        <v>1752</v>
      </c>
      <c r="E95" s="320" t="s">
        <v>3456</v>
      </c>
      <c r="F95" s="320"/>
      <c r="G95" s="210"/>
      <c r="H95" s="71"/>
      <c r="I95" s="71"/>
      <c r="J95" s="71"/>
      <c r="K95" s="71"/>
      <c r="L95" s="1"/>
      <c r="M95" s="73">
        <f t="shared" si="9"/>
        <v>0</v>
      </c>
      <c r="N95" s="73">
        <f t="shared" si="10"/>
        <v>0</v>
      </c>
      <c r="O95" s="73">
        <f t="shared" si="11"/>
        <v>0</v>
      </c>
      <c r="P95" s="73">
        <f t="shared" si="12"/>
        <v>0</v>
      </c>
      <c r="Q95" s="73"/>
      <c r="R95" s="73">
        <v>0</v>
      </c>
      <c r="S95" s="75">
        <f t="shared" si="15"/>
        <v>0</v>
      </c>
      <c r="T95" s="77">
        <v>0</v>
      </c>
      <c r="U95" s="66">
        <v>40210</v>
      </c>
      <c r="V95" s="79"/>
      <c r="W95" s="66" t="s">
        <v>1585</v>
      </c>
      <c r="X95" s="67" t="s">
        <v>1586</v>
      </c>
      <c r="Y95" s="68"/>
      <c r="Z95" s="196" t="s">
        <v>894</v>
      </c>
      <c r="AA95" s="274" t="s">
        <v>501</v>
      </c>
      <c r="AB95" s="3"/>
      <c r="AC95" s="4"/>
      <c r="AD95" s="5"/>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6"/>
      <c r="CE95" s="7"/>
      <c r="CF95" s="6"/>
      <c r="CG95" s="7"/>
      <c r="CH95" s="6"/>
      <c r="CI95" s="7"/>
      <c r="CJ95" s="8">
        <f t="shared" si="13"/>
        <v>0</v>
      </c>
      <c r="CK95" s="9"/>
      <c r="CL95" s="10"/>
      <c r="CM95" s="11"/>
      <c r="CN95" s="12"/>
      <c r="CO95" s="28"/>
      <c r="CP95" s="12"/>
      <c r="CQ95" s="9"/>
      <c r="CR95" s="10"/>
      <c r="CS95" s="68"/>
      <c r="EC95" s="344" t="str">
        <f t="shared" si="14"/>
        <v>BOYACA_FLORESTA</v>
      </c>
      <c r="ED95" s="341"/>
      <c r="EE95" s="341" t="s">
        <v>3103</v>
      </c>
      <c r="EF95" s="349" t="s">
        <v>3104</v>
      </c>
      <c r="EG95" s="341" t="s">
        <v>3285</v>
      </c>
      <c r="EH95" s="341" t="s">
        <v>4428</v>
      </c>
      <c r="EI95" s="341" t="str">
        <f t="shared" si="8"/>
        <v>Antioquia_Itagui</v>
      </c>
    </row>
    <row r="96" spans="1:139" s="86" customFormat="1" ht="84">
      <c r="A96" s="228">
        <v>40210</v>
      </c>
      <c r="B96" s="102" t="s">
        <v>1192</v>
      </c>
      <c r="C96" s="102" t="s">
        <v>1920</v>
      </c>
      <c r="D96" s="206" t="s">
        <v>1752</v>
      </c>
      <c r="E96" s="320" t="s">
        <v>3457</v>
      </c>
      <c r="F96" s="320"/>
      <c r="G96" s="210"/>
      <c r="H96" s="71"/>
      <c r="I96" s="71"/>
      <c r="J96" s="71"/>
      <c r="K96" s="71"/>
      <c r="L96" s="1"/>
      <c r="M96" s="73">
        <f t="shared" si="9"/>
        <v>0</v>
      </c>
      <c r="N96" s="73">
        <f t="shared" si="10"/>
        <v>0</v>
      </c>
      <c r="O96" s="73">
        <f t="shared" si="11"/>
        <v>0</v>
      </c>
      <c r="P96" s="73">
        <f t="shared" si="12"/>
        <v>0</v>
      </c>
      <c r="Q96" s="73"/>
      <c r="R96" s="73">
        <v>0</v>
      </c>
      <c r="S96" s="75">
        <f t="shared" si="15"/>
        <v>0</v>
      </c>
      <c r="T96" s="77">
        <v>0</v>
      </c>
      <c r="U96" s="66">
        <v>40210</v>
      </c>
      <c r="V96" s="79"/>
      <c r="W96" s="66" t="s">
        <v>1585</v>
      </c>
      <c r="X96" s="67" t="s">
        <v>1586</v>
      </c>
      <c r="Y96" s="68"/>
      <c r="Z96" s="196" t="s">
        <v>894</v>
      </c>
      <c r="AA96" s="274" t="s">
        <v>1157</v>
      </c>
      <c r="AB96" s="3"/>
      <c r="AC96" s="4"/>
      <c r="AD96" s="5"/>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6"/>
      <c r="CE96" s="7"/>
      <c r="CF96" s="6"/>
      <c r="CG96" s="7"/>
      <c r="CH96" s="6"/>
      <c r="CI96" s="7"/>
      <c r="CJ96" s="8">
        <f t="shared" si="13"/>
        <v>0</v>
      </c>
      <c r="CK96" s="9"/>
      <c r="CL96" s="10"/>
      <c r="CM96" s="11"/>
      <c r="CN96" s="12"/>
      <c r="CO96" s="28"/>
      <c r="CP96" s="12"/>
      <c r="CQ96" s="9"/>
      <c r="CR96" s="10"/>
      <c r="CS96" s="68"/>
      <c r="CT96" s="22"/>
      <c r="EC96" s="344" t="str">
        <f t="shared" si="14"/>
        <v>BOYACA_GACHANTIVA</v>
      </c>
      <c r="ED96" s="341"/>
      <c r="EE96" s="341" t="s">
        <v>3103</v>
      </c>
      <c r="EF96" s="349" t="s">
        <v>3104</v>
      </c>
      <c r="EG96" s="341" t="s">
        <v>3286</v>
      </c>
      <c r="EH96" s="341" t="s">
        <v>4429</v>
      </c>
      <c r="EI96" s="341" t="str">
        <f t="shared" si="8"/>
        <v>Antioquia_Ituango</v>
      </c>
    </row>
    <row r="97" spans="1:139" ht="156">
      <c r="A97" s="228">
        <v>40210</v>
      </c>
      <c r="B97" s="102" t="s">
        <v>1192</v>
      </c>
      <c r="C97" s="102" t="s">
        <v>1921</v>
      </c>
      <c r="D97" s="206" t="s">
        <v>1752</v>
      </c>
      <c r="E97" s="320" t="s">
        <v>3459</v>
      </c>
      <c r="F97" s="320"/>
      <c r="G97" s="210"/>
      <c r="H97" s="71"/>
      <c r="I97" s="71"/>
      <c r="J97" s="71">
        <f>3072*5</f>
        <v>15360</v>
      </c>
      <c r="K97" s="71">
        <v>3072</v>
      </c>
      <c r="L97" s="1"/>
      <c r="M97" s="73">
        <f t="shared" si="9"/>
        <v>0</v>
      </c>
      <c r="N97" s="73">
        <f t="shared" si="10"/>
        <v>0</v>
      </c>
      <c r="O97" s="73">
        <f t="shared" si="11"/>
        <v>0</v>
      </c>
      <c r="P97" s="73">
        <f t="shared" si="12"/>
        <v>0</v>
      </c>
      <c r="Q97" s="73"/>
      <c r="R97" s="73">
        <v>0</v>
      </c>
      <c r="S97" s="75">
        <f t="shared" si="15"/>
        <v>0</v>
      </c>
      <c r="T97" s="77">
        <v>0</v>
      </c>
      <c r="U97" s="66">
        <v>40210</v>
      </c>
      <c r="V97" s="79"/>
      <c r="W97" s="66" t="s">
        <v>1585</v>
      </c>
      <c r="X97" s="67" t="s">
        <v>1586</v>
      </c>
      <c r="Y97" s="68"/>
      <c r="Z97" s="196" t="s">
        <v>894</v>
      </c>
      <c r="AA97" s="274" t="s">
        <v>583</v>
      </c>
      <c r="AB97" s="3"/>
      <c r="AC97" s="4"/>
      <c r="AD97" s="5"/>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6"/>
      <c r="CE97" s="7"/>
      <c r="CF97" s="6"/>
      <c r="CG97" s="7"/>
      <c r="CH97" s="6"/>
      <c r="CI97" s="7"/>
      <c r="CJ97" s="8">
        <f t="shared" si="13"/>
        <v>0</v>
      </c>
      <c r="CK97" s="9"/>
      <c r="CL97" s="10"/>
      <c r="CM97" s="11"/>
      <c r="CN97" s="12"/>
      <c r="CO97" s="28"/>
      <c r="CP97" s="12"/>
      <c r="CQ97" s="9"/>
      <c r="CR97" s="10"/>
      <c r="CS97" s="68"/>
      <c r="EC97" s="344" t="str">
        <f t="shared" si="14"/>
        <v>BOYACA_GARAGOA</v>
      </c>
      <c r="ED97" s="341"/>
      <c r="EE97" s="341" t="s">
        <v>3103</v>
      </c>
      <c r="EF97" s="349" t="s">
        <v>3104</v>
      </c>
      <c r="EG97" s="341" t="s">
        <v>3287</v>
      </c>
      <c r="EH97" s="341" t="s">
        <v>4430</v>
      </c>
      <c r="EI97" s="341" t="str">
        <f t="shared" si="8"/>
        <v>Antioquia_Jardin</v>
      </c>
    </row>
    <row r="98" spans="1:139" ht="72">
      <c r="A98" s="228">
        <v>40210</v>
      </c>
      <c r="B98" s="102" t="s">
        <v>1192</v>
      </c>
      <c r="C98" s="102" t="s">
        <v>1922</v>
      </c>
      <c r="D98" s="206" t="s">
        <v>1752</v>
      </c>
      <c r="E98" s="320" t="s">
        <v>3460</v>
      </c>
      <c r="F98" s="320"/>
      <c r="G98" s="210"/>
      <c r="H98" s="71"/>
      <c r="I98" s="71"/>
      <c r="J98" s="71"/>
      <c r="K98" s="71"/>
      <c r="L98" s="1"/>
      <c r="M98" s="73">
        <f t="shared" si="9"/>
        <v>0</v>
      </c>
      <c r="N98" s="73">
        <f t="shared" si="10"/>
        <v>0</v>
      </c>
      <c r="O98" s="73">
        <f t="shared" si="11"/>
        <v>0</v>
      </c>
      <c r="P98" s="73">
        <f t="shared" si="12"/>
        <v>0</v>
      </c>
      <c r="Q98" s="73"/>
      <c r="R98" s="73">
        <v>0</v>
      </c>
      <c r="S98" s="75">
        <f t="shared" si="15"/>
        <v>0</v>
      </c>
      <c r="T98" s="77">
        <v>0</v>
      </c>
      <c r="U98" s="66">
        <v>40210</v>
      </c>
      <c r="V98" s="79"/>
      <c r="W98" s="66" t="s">
        <v>1585</v>
      </c>
      <c r="X98" s="67" t="s">
        <v>1586</v>
      </c>
      <c r="Y98" s="68"/>
      <c r="Z98" s="196" t="s">
        <v>894</v>
      </c>
      <c r="AA98" s="274" t="s">
        <v>501</v>
      </c>
      <c r="AB98" s="3"/>
      <c r="AC98" s="4"/>
      <c r="AD98" s="5"/>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6"/>
      <c r="CE98" s="7"/>
      <c r="CF98" s="6"/>
      <c r="CG98" s="7"/>
      <c r="CH98" s="6"/>
      <c r="CI98" s="7"/>
      <c r="CJ98" s="8">
        <f t="shared" si="13"/>
        <v>0</v>
      </c>
      <c r="CK98" s="9"/>
      <c r="CL98" s="10"/>
      <c r="CM98" s="11"/>
      <c r="CN98" s="12"/>
      <c r="CO98" s="28"/>
      <c r="CP98" s="12"/>
      <c r="CQ98" s="9"/>
      <c r="CR98" s="10"/>
      <c r="CS98" s="68"/>
      <c r="EC98" s="344" t="str">
        <f t="shared" si="14"/>
        <v>BOYACA_GUACAMAYAS</v>
      </c>
      <c r="ED98" s="341"/>
      <c r="EE98" s="341" t="s">
        <v>3103</v>
      </c>
      <c r="EF98" s="349" t="s">
        <v>3104</v>
      </c>
      <c r="EG98" s="341" t="s">
        <v>3288</v>
      </c>
      <c r="EH98" s="341" t="s">
        <v>4431</v>
      </c>
      <c r="EI98" s="341" t="str">
        <f t="shared" si="8"/>
        <v>Antioquia_Jerico</v>
      </c>
    </row>
    <row r="99" spans="1:139" ht="48">
      <c r="A99" s="228">
        <v>40210</v>
      </c>
      <c r="B99" s="102" t="s">
        <v>1192</v>
      </c>
      <c r="C99" s="102" t="s">
        <v>1925</v>
      </c>
      <c r="D99" s="206" t="s">
        <v>1752</v>
      </c>
      <c r="E99" s="320" t="s">
        <v>3461</v>
      </c>
      <c r="F99" s="320"/>
      <c r="G99" s="210"/>
      <c r="H99" s="71"/>
      <c r="I99" s="71"/>
      <c r="J99" s="71"/>
      <c r="K99" s="71"/>
      <c r="L99" s="1"/>
      <c r="M99" s="73">
        <f t="shared" si="9"/>
        <v>0</v>
      </c>
      <c r="N99" s="73">
        <f t="shared" si="10"/>
        <v>0</v>
      </c>
      <c r="O99" s="73">
        <f t="shared" si="11"/>
        <v>0</v>
      </c>
      <c r="P99" s="73">
        <f t="shared" si="12"/>
        <v>0</v>
      </c>
      <c r="Q99" s="73"/>
      <c r="R99" s="73">
        <v>0</v>
      </c>
      <c r="S99" s="75">
        <f t="shared" si="15"/>
        <v>0</v>
      </c>
      <c r="T99" s="77">
        <v>0</v>
      </c>
      <c r="U99" s="66">
        <v>40210</v>
      </c>
      <c r="V99" s="79"/>
      <c r="W99" s="66" t="s">
        <v>1585</v>
      </c>
      <c r="X99" s="67" t="s">
        <v>1586</v>
      </c>
      <c r="Y99" s="68"/>
      <c r="Z99" s="196" t="s">
        <v>894</v>
      </c>
      <c r="AA99" s="274" t="s">
        <v>2578</v>
      </c>
      <c r="AB99" s="3"/>
      <c r="AC99" s="4"/>
      <c r="AD99" s="5"/>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6"/>
      <c r="CE99" s="7"/>
      <c r="CF99" s="6"/>
      <c r="CG99" s="7"/>
      <c r="CH99" s="6"/>
      <c r="CI99" s="7"/>
      <c r="CJ99" s="8">
        <f t="shared" si="13"/>
        <v>0</v>
      </c>
      <c r="CK99" s="9"/>
      <c r="CL99" s="10"/>
      <c r="CM99" s="11"/>
      <c r="CN99" s="12"/>
      <c r="CO99" s="28"/>
      <c r="CP99" s="12"/>
      <c r="CQ99" s="9"/>
      <c r="CR99" s="10"/>
      <c r="CS99" s="68"/>
      <c r="EC99" s="344" t="str">
        <f t="shared" si="14"/>
        <v>BOYACA_GUATEQUE</v>
      </c>
      <c r="ED99" s="341"/>
      <c r="EE99" s="341" t="s">
        <v>3103</v>
      </c>
      <c r="EF99" s="349" t="s">
        <v>3104</v>
      </c>
      <c r="EG99" s="341" t="s">
        <v>3289</v>
      </c>
      <c r="EH99" s="341" t="s">
        <v>4432</v>
      </c>
      <c r="EI99" s="341" t="str">
        <f t="shared" si="8"/>
        <v>Antioquia_La Ceja</v>
      </c>
    </row>
    <row r="100" spans="1:139" ht="132">
      <c r="A100" s="228">
        <v>40210</v>
      </c>
      <c r="B100" s="102" t="s">
        <v>1192</v>
      </c>
      <c r="C100" s="102" t="s">
        <v>1927</v>
      </c>
      <c r="D100" s="206" t="s">
        <v>1752</v>
      </c>
      <c r="E100" s="320" t="s">
        <v>3466</v>
      </c>
      <c r="F100" s="320"/>
      <c r="G100" s="210"/>
      <c r="H100" s="71"/>
      <c r="I100" s="71"/>
      <c r="J100" s="71">
        <f>258*5</f>
        <v>1290</v>
      </c>
      <c r="K100" s="71">
        <v>258</v>
      </c>
      <c r="L100" s="1"/>
      <c r="M100" s="73">
        <f t="shared" si="9"/>
        <v>0</v>
      </c>
      <c r="N100" s="73">
        <f t="shared" si="10"/>
        <v>0</v>
      </c>
      <c r="O100" s="73">
        <f t="shared" si="11"/>
        <v>0</v>
      </c>
      <c r="P100" s="73">
        <f t="shared" si="12"/>
        <v>0</v>
      </c>
      <c r="Q100" s="73"/>
      <c r="R100" s="73">
        <v>0</v>
      </c>
      <c r="S100" s="75">
        <f t="shared" si="15"/>
        <v>0</v>
      </c>
      <c r="T100" s="77">
        <v>0</v>
      </c>
      <c r="U100" s="66">
        <v>40210</v>
      </c>
      <c r="V100" s="79"/>
      <c r="W100" s="66" t="s">
        <v>1585</v>
      </c>
      <c r="X100" s="67" t="s">
        <v>1586</v>
      </c>
      <c r="Y100" s="68"/>
      <c r="Z100" s="196" t="s">
        <v>894</v>
      </c>
      <c r="AA100" s="274" t="s">
        <v>2593</v>
      </c>
      <c r="AB100" s="3"/>
      <c r="AC100" s="4"/>
      <c r="AD100" s="5"/>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6"/>
      <c r="CE100" s="7"/>
      <c r="CF100" s="6"/>
      <c r="CG100" s="7"/>
      <c r="CH100" s="6"/>
      <c r="CI100" s="7"/>
      <c r="CJ100" s="8">
        <f t="shared" si="13"/>
        <v>0</v>
      </c>
      <c r="CK100" s="9"/>
      <c r="CL100" s="10"/>
      <c r="CM100" s="11"/>
      <c r="CN100" s="12"/>
      <c r="CO100" s="28"/>
      <c r="CP100" s="12"/>
      <c r="CQ100" s="9"/>
      <c r="CR100" s="10"/>
      <c r="CS100" s="68"/>
      <c r="EC100" s="344" t="str">
        <f t="shared" si="14"/>
        <v>BOYACA_JERICO</v>
      </c>
      <c r="ED100" s="341"/>
      <c r="EE100" s="341" t="s">
        <v>3103</v>
      </c>
      <c r="EF100" s="349" t="s">
        <v>3104</v>
      </c>
      <c r="EG100" s="341" t="s">
        <v>3290</v>
      </c>
      <c r="EH100" s="341" t="s">
        <v>4433</v>
      </c>
      <c r="EI100" s="341" t="str">
        <f t="shared" si="8"/>
        <v>Antioquia_La Estrella</v>
      </c>
    </row>
    <row r="101" spans="1:139" ht="48">
      <c r="A101" s="228">
        <v>40210</v>
      </c>
      <c r="B101" s="102" t="s">
        <v>1192</v>
      </c>
      <c r="C101" s="102" t="s">
        <v>1926</v>
      </c>
      <c r="D101" s="206" t="s">
        <v>1752</v>
      </c>
      <c r="E101" s="320" t="s">
        <v>3468</v>
      </c>
      <c r="F101" s="320"/>
      <c r="G101" s="210"/>
      <c r="H101" s="71"/>
      <c r="I101" s="71"/>
      <c r="J101" s="71"/>
      <c r="K101" s="71"/>
      <c r="L101" s="1"/>
      <c r="M101" s="73">
        <f t="shared" si="9"/>
        <v>0</v>
      </c>
      <c r="N101" s="73">
        <f t="shared" si="10"/>
        <v>0</v>
      </c>
      <c r="O101" s="73">
        <f t="shared" si="11"/>
        <v>0</v>
      </c>
      <c r="P101" s="73">
        <f t="shared" si="12"/>
        <v>0</v>
      </c>
      <c r="Q101" s="73"/>
      <c r="R101" s="73">
        <v>0</v>
      </c>
      <c r="S101" s="75">
        <f t="shared" si="15"/>
        <v>0</v>
      </c>
      <c r="T101" s="77">
        <v>0</v>
      </c>
      <c r="U101" s="66">
        <v>40210</v>
      </c>
      <c r="V101" s="79"/>
      <c r="W101" s="66" t="s">
        <v>1585</v>
      </c>
      <c r="X101" s="67" t="s">
        <v>1586</v>
      </c>
      <c r="Y101" s="68"/>
      <c r="Z101" s="196" t="s">
        <v>894</v>
      </c>
      <c r="AA101" s="274" t="s">
        <v>2578</v>
      </c>
      <c r="AB101" s="3"/>
      <c r="AC101" s="4"/>
      <c r="AD101" s="5"/>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6"/>
      <c r="CE101" s="7"/>
      <c r="CF101" s="6"/>
      <c r="CG101" s="7"/>
      <c r="CH101" s="6"/>
      <c r="CI101" s="7"/>
      <c r="CJ101" s="8">
        <f t="shared" si="13"/>
        <v>0</v>
      </c>
      <c r="CK101" s="9"/>
      <c r="CL101" s="10"/>
      <c r="CM101" s="11"/>
      <c r="CN101" s="12"/>
      <c r="CO101" s="28"/>
      <c r="CP101" s="12"/>
      <c r="CQ101" s="9"/>
      <c r="CR101" s="10"/>
      <c r="CS101" s="68"/>
      <c r="EC101" s="344" t="str">
        <f t="shared" si="14"/>
        <v>BOYACA_LA CAPILLA</v>
      </c>
      <c r="ED101" s="341"/>
      <c r="EE101" s="341" t="s">
        <v>3103</v>
      </c>
      <c r="EF101" s="349" t="s">
        <v>3104</v>
      </c>
      <c r="EG101" s="341" t="s">
        <v>3291</v>
      </c>
      <c r="EH101" s="341" t="s">
        <v>4434</v>
      </c>
      <c r="EI101" s="341" t="str">
        <f t="shared" ref="EI101:EI164" si="16">EF101&amp;"_"&amp;EH101</f>
        <v>Antioquia_La Pintada</v>
      </c>
    </row>
    <row r="102" spans="1:139" ht="168">
      <c r="A102" s="228">
        <v>40210</v>
      </c>
      <c r="B102" s="102" t="s">
        <v>1192</v>
      </c>
      <c r="C102" s="102" t="s">
        <v>1930</v>
      </c>
      <c r="D102" s="206" t="s">
        <v>1752</v>
      </c>
      <c r="E102" s="320" t="s">
        <v>3469</v>
      </c>
      <c r="F102" s="320"/>
      <c r="G102" s="210"/>
      <c r="H102" s="71"/>
      <c r="I102" s="71"/>
      <c r="J102" s="71">
        <v>1700</v>
      </c>
      <c r="K102" s="71">
        <v>340</v>
      </c>
      <c r="L102" s="1"/>
      <c r="M102" s="73">
        <f t="shared" si="9"/>
        <v>0</v>
      </c>
      <c r="N102" s="73">
        <f t="shared" si="10"/>
        <v>0</v>
      </c>
      <c r="O102" s="73">
        <f t="shared" si="11"/>
        <v>0</v>
      </c>
      <c r="P102" s="73">
        <f t="shared" si="12"/>
        <v>0</v>
      </c>
      <c r="Q102" s="73"/>
      <c r="R102" s="73">
        <v>0</v>
      </c>
      <c r="S102" s="75">
        <f t="shared" si="15"/>
        <v>0</v>
      </c>
      <c r="T102" s="77">
        <v>0</v>
      </c>
      <c r="U102" s="66">
        <v>40210</v>
      </c>
      <c r="V102" s="79"/>
      <c r="W102" s="66" t="s">
        <v>1585</v>
      </c>
      <c r="X102" s="67" t="s">
        <v>1586</v>
      </c>
      <c r="Y102" s="68"/>
      <c r="Z102" s="196" t="s">
        <v>894</v>
      </c>
      <c r="AA102" s="274" t="s">
        <v>1829</v>
      </c>
      <c r="AB102" s="3"/>
      <c r="AC102" s="4"/>
      <c r="AD102" s="5"/>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6"/>
      <c r="CE102" s="7"/>
      <c r="CF102" s="6"/>
      <c r="CG102" s="7"/>
      <c r="CH102" s="6"/>
      <c r="CI102" s="7"/>
      <c r="CJ102" s="8">
        <f t="shared" si="13"/>
        <v>0</v>
      </c>
      <c r="CK102" s="9"/>
      <c r="CL102" s="10"/>
      <c r="CM102" s="11"/>
      <c r="CN102" s="12"/>
      <c r="CO102" s="28"/>
      <c r="CP102" s="12"/>
      <c r="CQ102" s="9"/>
      <c r="CR102" s="10"/>
      <c r="CS102" s="68"/>
      <c r="EC102" s="344" t="str">
        <f t="shared" si="14"/>
        <v>BOYACA_LA VICTORIA</v>
      </c>
      <c r="ED102" s="341"/>
      <c r="EE102" s="341" t="s">
        <v>3103</v>
      </c>
      <c r="EF102" s="349" t="s">
        <v>3104</v>
      </c>
      <c r="EG102" s="341" t="s">
        <v>3292</v>
      </c>
      <c r="EH102" s="341" t="s">
        <v>4435</v>
      </c>
      <c r="EI102" s="341" t="str">
        <f t="shared" si="16"/>
        <v>Antioquia_La Union</v>
      </c>
    </row>
    <row r="103" spans="1:139" ht="72">
      <c r="A103" s="228">
        <v>40210</v>
      </c>
      <c r="B103" s="102" t="s">
        <v>1192</v>
      </c>
      <c r="C103" s="102" t="s">
        <v>1929</v>
      </c>
      <c r="D103" s="206" t="s">
        <v>1752</v>
      </c>
      <c r="E103" s="320" t="s">
        <v>3474</v>
      </c>
      <c r="F103" s="320"/>
      <c r="G103" s="210"/>
      <c r="H103" s="71"/>
      <c r="I103" s="71"/>
      <c r="J103" s="71"/>
      <c r="K103" s="71"/>
      <c r="L103" s="1"/>
      <c r="M103" s="73">
        <f t="shared" si="9"/>
        <v>0</v>
      </c>
      <c r="N103" s="73">
        <f t="shared" si="10"/>
        <v>0</v>
      </c>
      <c r="O103" s="73">
        <f t="shared" si="11"/>
        <v>0</v>
      </c>
      <c r="P103" s="73">
        <f t="shared" si="12"/>
        <v>0</v>
      </c>
      <c r="Q103" s="73"/>
      <c r="R103" s="73">
        <v>0</v>
      </c>
      <c r="S103" s="75">
        <f t="shared" si="15"/>
        <v>0</v>
      </c>
      <c r="T103" s="77">
        <v>0</v>
      </c>
      <c r="U103" s="66">
        <v>40210</v>
      </c>
      <c r="V103" s="79"/>
      <c r="W103" s="66" t="s">
        <v>1585</v>
      </c>
      <c r="X103" s="67" t="s">
        <v>1586</v>
      </c>
      <c r="Y103" s="68"/>
      <c r="Z103" s="196" t="s">
        <v>894</v>
      </c>
      <c r="AA103" s="274" t="s">
        <v>1887</v>
      </c>
      <c r="AB103" s="3"/>
      <c r="AC103" s="4"/>
      <c r="AD103" s="5"/>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6"/>
      <c r="CE103" s="7"/>
      <c r="CF103" s="6"/>
      <c r="CG103" s="7"/>
      <c r="CH103" s="6"/>
      <c r="CI103" s="7"/>
      <c r="CJ103" s="8">
        <f t="shared" si="13"/>
        <v>0</v>
      </c>
      <c r="CK103" s="9"/>
      <c r="CL103" s="10"/>
      <c r="CM103" s="11"/>
      <c r="CN103" s="12"/>
      <c r="CO103" s="28"/>
      <c r="CP103" s="12"/>
      <c r="CQ103" s="9"/>
      <c r="CR103" s="10"/>
      <c r="CS103" s="68"/>
      <c r="EC103" s="344" t="str">
        <f t="shared" si="14"/>
        <v>BOYACA_MIRAFLORES</v>
      </c>
      <c r="ED103" s="341"/>
      <c r="EE103" s="341" t="s">
        <v>3103</v>
      </c>
      <c r="EF103" s="349" t="s">
        <v>3104</v>
      </c>
      <c r="EG103" s="341" t="s">
        <v>3293</v>
      </c>
      <c r="EH103" s="341" t="s">
        <v>4436</v>
      </c>
      <c r="EI103" s="341" t="str">
        <f t="shared" si="16"/>
        <v>Antioquia_Liborina</v>
      </c>
    </row>
    <row r="104" spans="1:139" s="101" customFormat="1" ht="108">
      <c r="A104" s="228">
        <v>40210</v>
      </c>
      <c r="B104" s="102" t="s">
        <v>1192</v>
      </c>
      <c r="C104" s="102" t="s">
        <v>1928</v>
      </c>
      <c r="D104" s="206" t="s">
        <v>1752</v>
      </c>
      <c r="E104" s="320" t="s">
        <v>3476</v>
      </c>
      <c r="F104" s="320"/>
      <c r="G104" s="210"/>
      <c r="H104" s="71"/>
      <c r="I104" s="71"/>
      <c r="J104" s="71">
        <f>840*5</f>
        <v>4200</v>
      </c>
      <c r="K104" s="71">
        <v>840</v>
      </c>
      <c r="L104" s="1"/>
      <c r="M104" s="73">
        <f t="shared" si="9"/>
        <v>0</v>
      </c>
      <c r="N104" s="73">
        <f t="shared" si="10"/>
        <v>0</v>
      </c>
      <c r="O104" s="73">
        <f t="shared" si="11"/>
        <v>0</v>
      </c>
      <c r="P104" s="73">
        <f t="shared" si="12"/>
        <v>0</v>
      </c>
      <c r="Q104" s="73"/>
      <c r="R104" s="73">
        <v>0</v>
      </c>
      <c r="S104" s="75">
        <f t="shared" si="15"/>
        <v>0</v>
      </c>
      <c r="T104" s="77">
        <v>0</v>
      </c>
      <c r="U104" s="66">
        <v>40210</v>
      </c>
      <c r="V104" s="79"/>
      <c r="W104" s="66" t="s">
        <v>1585</v>
      </c>
      <c r="X104" s="67" t="s">
        <v>1586</v>
      </c>
      <c r="Y104" s="68"/>
      <c r="Z104" s="196" t="s">
        <v>894</v>
      </c>
      <c r="AA104" s="274" t="s">
        <v>1379</v>
      </c>
      <c r="AB104" s="3"/>
      <c r="AC104" s="4"/>
      <c r="AD104" s="5"/>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6"/>
      <c r="CE104" s="7"/>
      <c r="CF104" s="6"/>
      <c r="CG104" s="7"/>
      <c r="CH104" s="6"/>
      <c r="CI104" s="7"/>
      <c r="CJ104" s="8">
        <f t="shared" si="13"/>
        <v>0</v>
      </c>
      <c r="CK104" s="9"/>
      <c r="CL104" s="10"/>
      <c r="CM104" s="11"/>
      <c r="CN104" s="12"/>
      <c r="CO104" s="28"/>
      <c r="CP104" s="12"/>
      <c r="CQ104" s="9"/>
      <c r="CR104" s="10"/>
      <c r="CS104" s="68"/>
      <c r="CT104" s="22"/>
      <c r="EC104" s="344" t="str">
        <f t="shared" si="14"/>
        <v>BOYACA_MONGUI</v>
      </c>
      <c r="ED104" s="341"/>
      <c r="EE104" s="341" t="s">
        <v>3103</v>
      </c>
      <c r="EF104" s="349" t="s">
        <v>3104</v>
      </c>
      <c r="EG104" s="341" t="s">
        <v>3294</v>
      </c>
      <c r="EH104" s="341" t="s">
        <v>4437</v>
      </c>
      <c r="EI104" s="341" t="str">
        <f t="shared" si="16"/>
        <v>Antioquia_Maceo</v>
      </c>
    </row>
    <row r="105" spans="1:139" ht="180">
      <c r="A105" s="228">
        <v>40210</v>
      </c>
      <c r="B105" s="102" t="s">
        <v>1192</v>
      </c>
      <c r="C105" s="102" t="s">
        <v>1931</v>
      </c>
      <c r="D105" s="206" t="s">
        <v>1752</v>
      </c>
      <c r="E105" s="320" t="s">
        <v>3478</v>
      </c>
      <c r="F105" s="320"/>
      <c r="G105" s="210"/>
      <c r="H105" s="71"/>
      <c r="I105" s="71"/>
      <c r="J105" s="71">
        <v>7200</v>
      </c>
      <c r="K105" s="71">
        <v>1440</v>
      </c>
      <c r="L105" s="1"/>
      <c r="M105" s="73">
        <f t="shared" si="9"/>
        <v>0</v>
      </c>
      <c r="N105" s="73">
        <f t="shared" si="10"/>
        <v>0</v>
      </c>
      <c r="O105" s="73">
        <f t="shared" si="11"/>
        <v>0</v>
      </c>
      <c r="P105" s="73">
        <f t="shared" si="12"/>
        <v>0</v>
      </c>
      <c r="Q105" s="73"/>
      <c r="R105" s="73">
        <v>0</v>
      </c>
      <c r="S105" s="75">
        <f t="shared" si="15"/>
        <v>0</v>
      </c>
      <c r="T105" s="77">
        <v>0</v>
      </c>
      <c r="U105" s="66">
        <v>40210</v>
      </c>
      <c r="V105" s="79"/>
      <c r="W105" s="66" t="s">
        <v>1585</v>
      </c>
      <c r="X105" s="67" t="s">
        <v>1586</v>
      </c>
      <c r="Y105" s="68"/>
      <c r="Z105" s="196" t="s">
        <v>894</v>
      </c>
      <c r="AA105" s="274" t="s">
        <v>1339</v>
      </c>
      <c r="AB105" s="3"/>
      <c r="AC105" s="4"/>
      <c r="AD105" s="5"/>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6"/>
      <c r="CE105" s="7"/>
      <c r="CF105" s="6"/>
      <c r="CG105" s="7"/>
      <c r="CH105" s="6"/>
      <c r="CI105" s="7"/>
      <c r="CJ105" s="8">
        <f t="shared" si="13"/>
        <v>0</v>
      </c>
      <c r="CK105" s="9"/>
      <c r="CL105" s="10"/>
      <c r="CM105" s="11"/>
      <c r="CN105" s="12"/>
      <c r="CO105" s="28"/>
      <c r="CP105" s="12"/>
      <c r="CQ105" s="9"/>
      <c r="CR105" s="10"/>
      <c r="CS105" s="68"/>
      <c r="EC105" s="344" t="str">
        <f t="shared" si="14"/>
        <v>BOYACA_MOTAVITA</v>
      </c>
      <c r="ED105" s="341"/>
      <c r="EE105" s="341" t="s">
        <v>3103</v>
      </c>
      <c r="EF105" s="349" t="s">
        <v>3104</v>
      </c>
      <c r="EG105" s="341" t="s">
        <v>3295</v>
      </c>
      <c r="EH105" s="341" t="s">
        <v>4438</v>
      </c>
      <c r="EI105" s="341" t="str">
        <f t="shared" si="16"/>
        <v>Antioquia_Marinilla</v>
      </c>
    </row>
    <row r="106" spans="1:139" ht="156">
      <c r="A106" s="228">
        <v>40210</v>
      </c>
      <c r="B106" s="102" t="s">
        <v>1192</v>
      </c>
      <c r="C106" s="102" t="s">
        <v>1932</v>
      </c>
      <c r="D106" s="206" t="s">
        <v>1752</v>
      </c>
      <c r="E106" s="320" t="s">
        <v>3480</v>
      </c>
      <c r="F106" s="320"/>
      <c r="G106" s="210"/>
      <c r="H106" s="71"/>
      <c r="I106" s="71"/>
      <c r="J106" s="71">
        <v>3871</v>
      </c>
      <c r="K106" s="71">
        <v>774.2</v>
      </c>
      <c r="L106" s="1"/>
      <c r="M106" s="73">
        <f t="shared" si="9"/>
        <v>0</v>
      </c>
      <c r="N106" s="73">
        <f t="shared" si="10"/>
        <v>0</v>
      </c>
      <c r="O106" s="73">
        <f t="shared" si="11"/>
        <v>0</v>
      </c>
      <c r="P106" s="73">
        <f t="shared" si="12"/>
        <v>0</v>
      </c>
      <c r="Q106" s="73"/>
      <c r="R106" s="73">
        <v>0</v>
      </c>
      <c r="S106" s="75">
        <f t="shared" si="15"/>
        <v>0</v>
      </c>
      <c r="T106" s="77">
        <v>0</v>
      </c>
      <c r="U106" s="66">
        <v>40210</v>
      </c>
      <c r="V106" s="79"/>
      <c r="W106" s="66" t="s">
        <v>1585</v>
      </c>
      <c r="X106" s="67" t="s">
        <v>1586</v>
      </c>
      <c r="Y106" s="68"/>
      <c r="Z106" s="196" t="s">
        <v>894</v>
      </c>
      <c r="AA106" s="274" t="s">
        <v>2715</v>
      </c>
      <c r="AB106" s="3"/>
      <c r="AC106" s="4"/>
      <c r="AD106" s="5"/>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6"/>
      <c r="CE106" s="7"/>
      <c r="CF106" s="6"/>
      <c r="CG106" s="7"/>
      <c r="CH106" s="6"/>
      <c r="CI106" s="7"/>
      <c r="CJ106" s="8">
        <f t="shared" si="13"/>
        <v>0</v>
      </c>
      <c r="CK106" s="9"/>
      <c r="CL106" s="10"/>
      <c r="CM106" s="11"/>
      <c r="CN106" s="12"/>
      <c r="CO106" s="28"/>
      <c r="CP106" s="12"/>
      <c r="CQ106" s="9"/>
      <c r="CR106" s="10"/>
      <c r="CS106" s="68"/>
      <c r="EC106" s="344" t="str">
        <f t="shared" si="14"/>
        <v>BOYACA_NOBSA</v>
      </c>
      <c r="ED106" s="341"/>
      <c r="EE106" s="341" t="s">
        <v>3103</v>
      </c>
      <c r="EF106" s="349" t="s">
        <v>3104</v>
      </c>
      <c r="EG106" s="341" t="s">
        <v>3296</v>
      </c>
      <c r="EH106" s="341" t="s">
        <v>4439</v>
      </c>
      <c r="EI106" s="341" t="str">
        <f t="shared" si="16"/>
        <v>Antioquia_Montebello</v>
      </c>
    </row>
    <row r="107" spans="1:139" ht="120">
      <c r="A107" s="228">
        <v>40210</v>
      </c>
      <c r="B107" s="102" t="s">
        <v>1192</v>
      </c>
      <c r="C107" s="102" t="s">
        <v>1933</v>
      </c>
      <c r="D107" s="206" t="s">
        <v>1752</v>
      </c>
      <c r="E107" s="320" t="s">
        <v>3482</v>
      </c>
      <c r="F107" s="320"/>
      <c r="G107" s="210"/>
      <c r="H107" s="71"/>
      <c r="I107" s="71"/>
      <c r="J107" s="71">
        <v>300</v>
      </c>
      <c r="K107" s="71">
        <v>60</v>
      </c>
      <c r="L107" s="1"/>
      <c r="M107" s="73">
        <f t="shared" si="9"/>
        <v>0</v>
      </c>
      <c r="N107" s="73">
        <f t="shared" si="10"/>
        <v>0</v>
      </c>
      <c r="O107" s="73">
        <f t="shared" si="11"/>
        <v>0</v>
      </c>
      <c r="P107" s="73">
        <f t="shared" si="12"/>
        <v>0</v>
      </c>
      <c r="Q107" s="73"/>
      <c r="R107" s="73">
        <v>0</v>
      </c>
      <c r="S107" s="75">
        <f t="shared" si="15"/>
        <v>0</v>
      </c>
      <c r="T107" s="77">
        <v>0</v>
      </c>
      <c r="U107" s="66">
        <v>40210</v>
      </c>
      <c r="V107" s="79"/>
      <c r="W107" s="66" t="s">
        <v>1585</v>
      </c>
      <c r="X107" s="67" t="s">
        <v>1586</v>
      </c>
      <c r="Y107" s="68"/>
      <c r="Z107" s="196" t="s">
        <v>894</v>
      </c>
      <c r="AA107" s="274" t="s">
        <v>1759</v>
      </c>
      <c r="AB107" s="3"/>
      <c r="AC107" s="4"/>
      <c r="AD107" s="5"/>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6"/>
      <c r="CE107" s="7"/>
      <c r="CF107" s="6"/>
      <c r="CG107" s="7"/>
      <c r="CH107" s="6"/>
      <c r="CI107" s="7"/>
      <c r="CJ107" s="8">
        <f t="shared" si="13"/>
        <v>0</v>
      </c>
      <c r="CK107" s="9"/>
      <c r="CL107" s="10"/>
      <c r="CM107" s="11"/>
      <c r="CN107" s="12"/>
      <c r="CO107" s="28"/>
      <c r="CP107" s="12"/>
      <c r="CQ107" s="9"/>
      <c r="CR107" s="10"/>
      <c r="CS107" s="68"/>
      <c r="EC107" s="344" t="str">
        <f t="shared" si="14"/>
        <v>BOYACA_OICATA</v>
      </c>
      <c r="ED107" s="341"/>
      <c r="EE107" s="341" t="s">
        <v>3103</v>
      </c>
      <c r="EF107" s="349" t="s">
        <v>3104</v>
      </c>
      <c r="EG107" s="341" t="s">
        <v>3297</v>
      </c>
      <c r="EH107" s="341" t="s">
        <v>4440</v>
      </c>
      <c r="EI107" s="341" t="str">
        <f t="shared" si="16"/>
        <v>Antioquia_Murindo</v>
      </c>
    </row>
    <row r="108" spans="1:139" ht="48">
      <c r="A108" s="228">
        <v>40210</v>
      </c>
      <c r="B108" s="102" t="s">
        <v>1192</v>
      </c>
      <c r="C108" s="102" t="s">
        <v>1600</v>
      </c>
      <c r="D108" s="206" t="s">
        <v>1752</v>
      </c>
      <c r="E108" s="320" t="s">
        <v>3485</v>
      </c>
      <c r="F108" s="320"/>
      <c r="G108" s="210"/>
      <c r="H108" s="71"/>
      <c r="I108" s="71"/>
      <c r="J108" s="71"/>
      <c r="K108" s="71"/>
      <c r="L108" s="1"/>
      <c r="M108" s="73">
        <f t="shared" si="9"/>
        <v>0</v>
      </c>
      <c r="N108" s="73">
        <f t="shared" si="10"/>
        <v>0</v>
      </c>
      <c r="O108" s="73">
        <f t="shared" si="11"/>
        <v>0</v>
      </c>
      <c r="P108" s="73">
        <f t="shared" si="12"/>
        <v>0</v>
      </c>
      <c r="Q108" s="73"/>
      <c r="R108" s="73">
        <v>0</v>
      </c>
      <c r="S108" s="75">
        <f t="shared" si="15"/>
        <v>0</v>
      </c>
      <c r="T108" s="77">
        <v>0</v>
      </c>
      <c r="U108" s="66">
        <v>40210</v>
      </c>
      <c r="V108" s="79"/>
      <c r="W108" s="66" t="s">
        <v>1585</v>
      </c>
      <c r="X108" s="67" t="s">
        <v>1586</v>
      </c>
      <c r="Y108" s="68"/>
      <c r="Z108" s="196" t="s">
        <v>894</v>
      </c>
      <c r="AA108" s="274" t="s">
        <v>1761</v>
      </c>
      <c r="AB108" s="3"/>
      <c r="AC108" s="4"/>
      <c r="AD108" s="5"/>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6"/>
      <c r="CE108" s="7"/>
      <c r="CF108" s="6"/>
      <c r="CG108" s="7"/>
      <c r="CH108" s="6"/>
      <c r="CI108" s="7"/>
      <c r="CJ108" s="8">
        <f t="shared" si="13"/>
        <v>0</v>
      </c>
      <c r="CK108" s="9"/>
      <c r="CL108" s="10"/>
      <c r="CM108" s="11"/>
      <c r="CN108" s="12"/>
      <c r="CO108" s="28"/>
      <c r="CP108" s="12"/>
      <c r="CQ108" s="9"/>
      <c r="CR108" s="10"/>
      <c r="CS108" s="68"/>
      <c r="EC108" s="344" t="str">
        <f t="shared" si="14"/>
        <v>BOYACA_PAEZ</v>
      </c>
      <c r="ED108" s="341"/>
      <c r="EE108" s="341" t="s">
        <v>3103</v>
      </c>
      <c r="EF108" s="349" t="s">
        <v>3104</v>
      </c>
      <c r="EG108" s="341" t="s">
        <v>3298</v>
      </c>
      <c r="EH108" s="341" t="s">
        <v>4441</v>
      </c>
      <c r="EI108" s="341" t="str">
        <f t="shared" si="16"/>
        <v>Antioquia_Mutata</v>
      </c>
    </row>
    <row r="109" spans="1:139" ht="96">
      <c r="A109" s="228">
        <v>40210</v>
      </c>
      <c r="B109" s="102" t="s">
        <v>1192</v>
      </c>
      <c r="C109" s="102" t="s">
        <v>1934</v>
      </c>
      <c r="D109" s="206" t="s">
        <v>1752</v>
      </c>
      <c r="E109" s="320" t="s">
        <v>3486</v>
      </c>
      <c r="F109" s="320"/>
      <c r="G109" s="210"/>
      <c r="H109" s="71"/>
      <c r="I109" s="71"/>
      <c r="J109" s="71"/>
      <c r="K109" s="71"/>
      <c r="L109" s="1"/>
      <c r="M109" s="73">
        <f t="shared" si="9"/>
        <v>0</v>
      </c>
      <c r="N109" s="73">
        <f t="shared" si="10"/>
        <v>0</v>
      </c>
      <c r="O109" s="73">
        <f t="shared" si="11"/>
        <v>0</v>
      </c>
      <c r="P109" s="73">
        <f t="shared" si="12"/>
        <v>0</v>
      </c>
      <c r="Q109" s="73"/>
      <c r="R109" s="73">
        <v>0</v>
      </c>
      <c r="S109" s="75">
        <f t="shared" si="15"/>
        <v>0</v>
      </c>
      <c r="T109" s="77">
        <v>0</v>
      </c>
      <c r="U109" s="66">
        <v>40210</v>
      </c>
      <c r="V109" s="79"/>
      <c r="W109" s="66" t="s">
        <v>1585</v>
      </c>
      <c r="X109" s="67" t="s">
        <v>1586</v>
      </c>
      <c r="Y109" s="68"/>
      <c r="Z109" s="196" t="s">
        <v>894</v>
      </c>
      <c r="AA109" s="274" t="s">
        <v>1760</v>
      </c>
      <c r="AB109" s="3"/>
      <c r="AC109" s="4"/>
      <c r="AD109" s="5"/>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6"/>
      <c r="CE109" s="7"/>
      <c r="CF109" s="6"/>
      <c r="CG109" s="7"/>
      <c r="CH109" s="6"/>
      <c r="CI109" s="7"/>
      <c r="CJ109" s="8">
        <f t="shared" si="13"/>
        <v>0</v>
      </c>
      <c r="CK109" s="9"/>
      <c r="CL109" s="10"/>
      <c r="CM109" s="11"/>
      <c r="CN109" s="12"/>
      <c r="CO109" s="28"/>
      <c r="CP109" s="12"/>
      <c r="CQ109" s="9"/>
      <c r="CR109" s="10"/>
      <c r="CS109" s="68"/>
      <c r="EC109" s="344" t="str">
        <f t="shared" si="14"/>
        <v>BOYACA_PAIPA</v>
      </c>
      <c r="ED109" s="341"/>
      <c r="EE109" s="341" t="s">
        <v>3103</v>
      </c>
      <c r="EF109" s="349" t="s">
        <v>3104</v>
      </c>
      <c r="EG109" s="341" t="s">
        <v>3299</v>
      </c>
      <c r="EH109" s="341" t="s">
        <v>3172</v>
      </c>
      <c r="EI109" s="341" t="str">
        <f t="shared" si="16"/>
        <v>Antioquia_Nariño</v>
      </c>
    </row>
    <row r="110" spans="1:139" ht="72">
      <c r="A110" s="228">
        <v>40210</v>
      </c>
      <c r="B110" s="102" t="s">
        <v>1192</v>
      </c>
      <c r="C110" s="102" t="s">
        <v>3122</v>
      </c>
      <c r="D110" s="206" t="s">
        <v>1752</v>
      </c>
      <c r="E110" s="320" t="s">
        <v>3492</v>
      </c>
      <c r="F110" s="320"/>
      <c r="G110" s="210"/>
      <c r="H110" s="71"/>
      <c r="I110" s="71"/>
      <c r="J110" s="71"/>
      <c r="K110" s="71"/>
      <c r="L110" s="1"/>
      <c r="M110" s="73">
        <f t="shared" si="9"/>
        <v>0</v>
      </c>
      <c r="N110" s="73">
        <f t="shared" si="10"/>
        <v>0</v>
      </c>
      <c r="O110" s="73">
        <f t="shared" si="11"/>
        <v>0</v>
      </c>
      <c r="P110" s="73">
        <f t="shared" si="12"/>
        <v>0</v>
      </c>
      <c r="Q110" s="73"/>
      <c r="R110" s="73">
        <v>0</v>
      </c>
      <c r="S110" s="75">
        <f t="shared" si="15"/>
        <v>0</v>
      </c>
      <c r="T110" s="77">
        <v>0</v>
      </c>
      <c r="U110" s="66">
        <v>40210</v>
      </c>
      <c r="V110" s="79"/>
      <c r="W110" s="66" t="s">
        <v>1585</v>
      </c>
      <c r="X110" s="67" t="s">
        <v>1586</v>
      </c>
      <c r="Y110" s="68"/>
      <c r="Z110" s="196" t="s">
        <v>894</v>
      </c>
      <c r="AA110" s="274" t="s">
        <v>501</v>
      </c>
      <c r="AB110" s="3"/>
      <c r="AC110" s="4"/>
      <c r="AD110" s="5"/>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6"/>
      <c r="CE110" s="7"/>
      <c r="CF110" s="6"/>
      <c r="CG110" s="7"/>
      <c r="CH110" s="6"/>
      <c r="CI110" s="7"/>
      <c r="CJ110" s="8">
        <f t="shared" si="13"/>
        <v>0</v>
      </c>
      <c r="CK110" s="9"/>
      <c r="CL110" s="10"/>
      <c r="CM110" s="11"/>
      <c r="CN110" s="12"/>
      <c r="CO110" s="28"/>
      <c r="CP110" s="12"/>
      <c r="CQ110" s="9"/>
      <c r="CR110" s="10"/>
      <c r="CS110" s="68"/>
      <c r="EC110" s="344" t="str">
        <f t="shared" si="14"/>
        <v>BOYACA_PESCA</v>
      </c>
      <c r="ED110" s="341"/>
      <c r="EE110" s="341" t="s">
        <v>3103</v>
      </c>
      <c r="EF110" s="349" t="s">
        <v>3104</v>
      </c>
      <c r="EG110" s="341" t="s">
        <v>3300</v>
      </c>
      <c r="EH110" s="341" t="s">
        <v>4442</v>
      </c>
      <c r="EI110" s="341" t="str">
        <f t="shared" si="16"/>
        <v>Antioquia_Necocli</v>
      </c>
    </row>
    <row r="111" spans="1:139" ht="144">
      <c r="A111" s="228">
        <v>40210</v>
      </c>
      <c r="B111" s="102" t="s">
        <v>1192</v>
      </c>
      <c r="C111" s="102" t="s">
        <v>1935</v>
      </c>
      <c r="D111" s="206" t="s">
        <v>1752</v>
      </c>
      <c r="E111" s="320" t="s">
        <v>3494</v>
      </c>
      <c r="F111" s="320"/>
      <c r="G111" s="210"/>
      <c r="H111" s="71"/>
      <c r="I111" s="71"/>
      <c r="J111" s="71">
        <v>34000</v>
      </c>
      <c r="K111" s="71">
        <f>34000/5</f>
        <v>6800</v>
      </c>
      <c r="L111" s="1"/>
      <c r="M111" s="73">
        <f t="shared" si="9"/>
        <v>0</v>
      </c>
      <c r="N111" s="73">
        <f t="shared" si="10"/>
        <v>0</v>
      </c>
      <c r="O111" s="73">
        <f t="shared" si="11"/>
        <v>0</v>
      </c>
      <c r="P111" s="73">
        <f t="shared" si="12"/>
        <v>0</v>
      </c>
      <c r="Q111" s="73"/>
      <c r="R111" s="73">
        <v>0</v>
      </c>
      <c r="S111" s="75">
        <f t="shared" si="15"/>
        <v>0</v>
      </c>
      <c r="T111" s="77">
        <v>0</v>
      </c>
      <c r="U111" s="66">
        <v>40210</v>
      </c>
      <c r="V111" s="79"/>
      <c r="W111" s="66" t="s">
        <v>1585</v>
      </c>
      <c r="X111" s="67" t="s">
        <v>1586</v>
      </c>
      <c r="Y111" s="68"/>
      <c r="Z111" s="196" t="s">
        <v>894</v>
      </c>
      <c r="AA111" s="274" t="s">
        <v>1762</v>
      </c>
      <c r="AB111" s="3"/>
      <c r="AC111" s="4"/>
      <c r="AD111" s="5"/>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6"/>
      <c r="CE111" s="7"/>
      <c r="CF111" s="6"/>
      <c r="CG111" s="7"/>
      <c r="CH111" s="6"/>
      <c r="CI111" s="7"/>
      <c r="CJ111" s="8">
        <f t="shared" si="13"/>
        <v>0</v>
      </c>
      <c r="CK111" s="9"/>
      <c r="CL111" s="10"/>
      <c r="CM111" s="11"/>
      <c r="CN111" s="12"/>
      <c r="CO111" s="28"/>
      <c r="CP111" s="12"/>
      <c r="CQ111" s="9"/>
      <c r="CR111" s="10"/>
      <c r="CS111" s="68"/>
      <c r="EC111" s="344" t="str">
        <f t="shared" si="14"/>
        <v>BOYACA_PUERTO BOYACA</v>
      </c>
      <c r="ED111" s="341"/>
      <c r="EE111" s="341" t="s">
        <v>3103</v>
      </c>
      <c r="EF111" s="349" t="s">
        <v>3104</v>
      </c>
      <c r="EG111" s="341" t="s">
        <v>3301</v>
      </c>
      <c r="EH111" s="341" t="s">
        <v>4443</v>
      </c>
      <c r="EI111" s="341" t="str">
        <f t="shared" si="16"/>
        <v>Antioquia_Nechi</v>
      </c>
    </row>
    <row r="112" spans="1:139" ht="156">
      <c r="A112" s="228">
        <v>40210</v>
      </c>
      <c r="B112" s="102" t="s">
        <v>1192</v>
      </c>
      <c r="C112" s="102" t="s">
        <v>1936</v>
      </c>
      <c r="D112" s="206" t="s">
        <v>1752</v>
      </c>
      <c r="E112" s="320" t="s">
        <v>3495</v>
      </c>
      <c r="F112" s="320"/>
      <c r="G112" s="210"/>
      <c r="H112" s="71"/>
      <c r="I112" s="71"/>
      <c r="J112" s="71">
        <f>500*5</f>
        <v>2500</v>
      </c>
      <c r="K112" s="71">
        <v>500</v>
      </c>
      <c r="L112" s="1"/>
      <c r="M112" s="73">
        <f t="shared" si="9"/>
        <v>0</v>
      </c>
      <c r="N112" s="73">
        <f t="shared" si="10"/>
        <v>0</v>
      </c>
      <c r="O112" s="73">
        <f t="shared" si="11"/>
        <v>0</v>
      </c>
      <c r="P112" s="73">
        <f t="shared" si="12"/>
        <v>0</v>
      </c>
      <c r="Q112" s="73"/>
      <c r="R112" s="73">
        <v>0</v>
      </c>
      <c r="S112" s="75">
        <f t="shared" si="15"/>
        <v>0</v>
      </c>
      <c r="T112" s="77">
        <v>0</v>
      </c>
      <c r="U112" s="66">
        <v>40210</v>
      </c>
      <c r="V112" s="79"/>
      <c r="W112" s="66" t="s">
        <v>1585</v>
      </c>
      <c r="X112" s="67" t="s">
        <v>1586</v>
      </c>
      <c r="Y112" s="68"/>
      <c r="Z112" s="196" t="s">
        <v>894</v>
      </c>
      <c r="AA112" s="274" t="s">
        <v>846</v>
      </c>
      <c r="AB112" s="3"/>
      <c r="AC112" s="4"/>
      <c r="AD112" s="5"/>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6"/>
      <c r="CE112" s="7"/>
      <c r="CF112" s="6"/>
      <c r="CG112" s="7"/>
      <c r="CH112" s="6"/>
      <c r="CI112" s="7"/>
      <c r="CJ112" s="8">
        <f t="shared" si="13"/>
        <v>0</v>
      </c>
      <c r="CK112" s="9"/>
      <c r="CL112" s="10"/>
      <c r="CM112" s="11"/>
      <c r="CN112" s="12"/>
      <c r="CO112" s="28"/>
      <c r="CP112" s="12"/>
      <c r="CQ112" s="9"/>
      <c r="CR112" s="10"/>
      <c r="CS112" s="68"/>
      <c r="EC112" s="344" t="str">
        <f t="shared" si="14"/>
        <v>BOYACA_QUIPAMA</v>
      </c>
      <c r="ED112" s="341"/>
      <c r="EE112" s="341" t="s">
        <v>3103</v>
      </c>
      <c r="EF112" s="349" t="s">
        <v>3104</v>
      </c>
      <c r="EG112" s="341" t="s">
        <v>3302</v>
      </c>
      <c r="EH112" s="341" t="s">
        <v>4444</v>
      </c>
      <c r="EI112" s="341" t="str">
        <f t="shared" si="16"/>
        <v>Antioquia_Olaya</v>
      </c>
    </row>
    <row r="113" spans="1:139" ht="144">
      <c r="A113" s="228">
        <v>40210</v>
      </c>
      <c r="B113" s="102" t="s">
        <v>1192</v>
      </c>
      <c r="C113" s="102" t="s">
        <v>1937</v>
      </c>
      <c r="D113" s="206" t="s">
        <v>1752</v>
      </c>
      <c r="E113" s="320" t="s">
        <v>3499</v>
      </c>
      <c r="F113" s="320"/>
      <c r="G113" s="210"/>
      <c r="H113" s="71"/>
      <c r="I113" s="71"/>
      <c r="J113" s="71">
        <v>13000</v>
      </c>
      <c r="K113" s="71">
        <v>2600</v>
      </c>
      <c r="L113" s="1"/>
      <c r="M113" s="73">
        <f t="shared" si="9"/>
        <v>0</v>
      </c>
      <c r="N113" s="73">
        <f t="shared" si="10"/>
        <v>0</v>
      </c>
      <c r="O113" s="73">
        <f t="shared" si="11"/>
        <v>0</v>
      </c>
      <c r="P113" s="73">
        <f t="shared" si="12"/>
        <v>0</v>
      </c>
      <c r="Q113" s="73"/>
      <c r="R113" s="73">
        <v>0</v>
      </c>
      <c r="S113" s="75">
        <f t="shared" si="15"/>
        <v>0</v>
      </c>
      <c r="T113" s="77">
        <v>0</v>
      </c>
      <c r="U113" s="66">
        <v>40210</v>
      </c>
      <c r="V113" s="79"/>
      <c r="W113" s="66" t="s">
        <v>1585</v>
      </c>
      <c r="X113" s="67" t="s">
        <v>1586</v>
      </c>
      <c r="Y113" s="68"/>
      <c r="Z113" s="196" t="s">
        <v>894</v>
      </c>
      <c r="AA113" s="274" t="s">
        <v>2424</v>
      </c>
      <c r="AB113" s="3"/>
      <c r="AC113" s="4"/>
      <c r="AD113" s="5"/>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6"/>
      <c r="CE113" s="7"/>
      <c r="CF113" s="6"/>
      <c r="CG113" s="7"/>
      <c r="CH113" s="6"/>
      <c r="CI113" s="7"/>
      <c r="CJ113" s="8">
        <f t="shared" si="13"/>
        <v>0</v>
      </c>
      <c r="CK113" s="9"/>
      <c r="CL113" s="10"/>
      <c r="CM113" s="11"/>
      <c r="CN113" s="12"/>
      <c r="CO113" s="28"/>
      <c r="CP113" s="12"/>
      <c r="CQ113" s="9"/>
      <c r="CR113" s="10"/>
      <c r="CS113" s="68"/>
      <c r="EC113" s="344" t="str">
        <f t="shared" si="14"/>
        <v>BOYACA_SABOYA</v>
      </c>
      <c r="ED113" s="341"/>
      <c r="EE113" s="341" t="s">
        <v>3103</v>
      </c>
      <c r="EF113" s="349" t="s">
        <v>3104</v>
      </c>
      <c r="EG113" s="341" t="s">
        <v>3303</v>
      </c>
      <c r="EH113" s="341" t="s">
        <v>4445</v>
      </c>
      <c r="EI113" s="341" t="str">
        <f t="shared" si="16"/>
        <v>Antioquia_Peñol</v>
      </c>
    </row>
    <row r="114" spans="1:139" ht="192">
      <c r="A114" s="228">
        <v>40210</v>
      </c>
      <c r="B114" s="102" t="s">
        <v>1192</v>
      </c>
      <c r="C114" s="102" t="s">
        <v>1938</v>
      </c>
      <c r="D114" s="206" t="s">
        <v>1752</v>
      </c>
      <c r="E114" s="320" t="s">
        <v>3506</v>
      </c>
      <c r="F114" s="320"/>
      <c r="G114" s="210"/>
      <c r="H114" s="71"/>
      <c r="I114" s="71"/>
      <c r="J114" s="71">
        <f>1900*5</f>
        <v>9500</v>
      </c>
      <c r="K114" s="71">
        <v>1900</v>
      </c>
      <c r="L114" s="1"/>
      <c r="M114" s="73">
        <f t="shared" si="9"/>
        <v>0</v>
      </c>
      <c r="N114" s="73">
        <f t="shared" si="10"/>
        <v>0</v>
      </c>
      <c r="O114" s="73">
        <f t="shared" si="11"/>
        <v>0</v>
      </c>
      <c r="P114" s="73">
        <f t="shared" si="12"/>
        <v>0</v>
      </c>
      <c r="Q114" s="73"/>
      <c r="R114" s="73">
        <v>0</v>
      </c>
      <c r="S114" s="75">
        <f t="shared" si="15"/>
        <v>0</v>
      </c>
      <c r="T114" s="77">
        <v>0</v>
      </c>
      <c r="U114" s="66">
        <v>40210</v>
      </c>
      <c r="V114" s="79"/>
      <c r="W114" s="66" t="s">
        <v>1585</v>
      </c>
      <c r="X114" s="67" t="s">
        <v>1586</v>
      </c>
      <c r="Y114" s="68"/>
      <c r="Z114" s="196" t="s">
        <v>894</v>
      </c>
      <c r="AA114" s="82" t="s">
        <v>2243</v>
      </c>
      <c r="AB114" s="3"/>
      <c r="AC114" s="4"/>
      <c r="AD114" s="5"/>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93"/>
      <c r="CE114" s="94"/>
      <c r="CF114" s="93"/>
      <c r="CG114" s="94"/>
      <c r="CH114" s="93"/>
      <c r="CI114" s="94"/>
      <c r="CJ114" s="8">
        <f t="shared" si="13"/>
        <v>0</v>
      </c>
      <c r="CK114" s="95"/>
      <c r="CL114" s="96"/>
      <c r="CM114" s="97"/>
      <c r="CN114" s="98"/>
      <c r="CO114" s="99"/>
      <c r="CP114" s="98"/>
      <c r="CQ114" s="95"/>
      <c r="CR114" s="96"/>
      <c r="CS114" s="68"/>
      <c r="CT114" s="100"/>
      <c r="EC114" s="344" t="str">
        <f t="shared" si="14"/>
        <v>BOYACA_SAN MIGUEL DE SEMA</v>
      </c>
      <c r="ED114" s="341"/>
      <c r="EE114" s="341" t="s">
        <v>3103</v>
      </c>
      <c r="EF114" s="349" t="s">
        <v>3104</v>
      </c>
      <c r="EG114" s="341" t="s">
        <v>3304</v>
      </c>
      <c r="EH114" s="341" t="s">
        <v>4446</v>
      </c>
      <c r="EI114" s="341" t="str">
        <f t="shared" si="16"/>
        <v>Antioquia_Peque</v>
      </c>
    </row>
    <row r="115" spans="1:139" ht="72">
      <c r="A115" s="228">
        <v>40210</v>
      </c>
      <c r="B115" s="102" t="s">
        <v>1192</v>
      </c>
      <c r="C115" s="102" t="s">
        <v>1334</v>
      </c>
      <c r="D115" s="206" t="s">
        <v>1752</v>
      </c>
      <c r="E115" s="320" t="s">
        <v>3522</v>
      </c>
      <c r="F115" s="320"/>
      <c r="G115" s="210"/>
      <c r="H115" s="71"/>
      <c r="I115" s="71"/>
      <c r="J115" s="71"/>
      <c r="K115" s="71"/>
      <c r="L115" s="1"/>
      <c r="M115" s="73">
        <f t="shared" si="9"/>
        <v>0</v>
      </c>
      <c r="N115" s="73">
        <f t="shared" si="10"/>
        <v>0</v>
      </c>
      <c r="O115" s="73">
        <f t="shared" si="11"/>
        <v>0</v>
      </c>
      <c r="P115" s="73">
        <f t="shared" si="12"/>
        <v>0</v>
      </c>
      <c r="Q115" s="73"/>
      <c r="R115" s="73">
        <v>0</v>
      </c>
      <c r="S115" s="75">
        <f t="shared" si="15"/>
        <v>0</v>
      </c>
      <c r="T115" s="77">
        <v>0</v>
      </c>
      <c r="U115" s="66">
        <v>40210</v>
      </c>
      <c r="V115" s="79"/>
      <c r="W115" s="66" t="s">
        <v>1585</v>
      </c>
      <c r="X115" s="67" t="s">
        <v>1586</v>
      </c>
      <c r="Y115" s="68"/>
      <c r="Z115" s="196" t="s">
        <v>894</v>
      </c>
      <c r="AA115" s="274" t="s">
        <v>501</v>
      </c>
      <c r="AB115" s="3"/>
      <c r="AC115" s="4"/>
      <c r="AD115" s="5"/>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6"/>
      <c r="CE115" s="7"/>
      <c r="CF115" s="6"/>
      <c r="CG115" s="7"/>
      <c r="CH115" s="6"/>
      <c r="CI115" s="7"/>
      <c r="CJ115" s="8">
        <f t="shared" si="13"/>
        <v>0</v>
      </c>
      <c r="CK115" s="9"/>
      <c r="CL115" s="10"/>
      <c r="CM115" s="11"/>
      <c r="CN115" s="12"/>
      <c r="CO115" s="28"/>
      <c r="CP115" s="12"/>
      <c r="CQ115" s="9"/>
      <c r="CR115" s="10"/>
      <c r="CS115" s="68"/>
      <c r="EC115" s="344" t="str">
        <f t="shared" si="14"/>
        <v>BOYACA_SORACA</v>
      </c>
      <c r="ED115" s="341"/>
      <c r="EE115" s="341" t="s">
        <v>3103</v>
      </c>
      <c r="EF115" s="349" t="s">
        <v>3104</v>
      </c>
      <c r="EG115" s="341" t="s">
        <v>3305</v>
      </c>
      <c r="EH115" s="341" t="s">
        <v>4447</v>
      </c>
      <c r="EI115" s="341" t="str">
        <f t="shared" si="16"/>
        <v>Antioquia_Pueblorrico</v>
      </c>
    </row>
    <row r="116" spans="1:139" ht="246">
      <c r="A116" s="228">
        <v>40210</v>
      </c>
      <c r="B116" s="102" t="s">
        <v>1192</v>
      </c>
      <c r="C116" s="102" t="s">
        <v>1939</v>
      </c>
      <c r="D116" s="206" t="s">
        <v>1752</v>
      </c>
      <c r="E116" s="320" t="s">
        <v>3525</v>
      </c>
      <c r="F116" s="320"/>
      <c r="G116" s="210"/>
      <c r="H116" s="71"/>
      <c r="I116" s="71"/>
      <c r="J116" s="71"/>
      <c r="K116" s="71"/>
      <c r="L116" s="1"/>
      <c r="M116" s="73">
        <f t="shared" si="9"/>
        <v>0</v>
      </c>
      <c r="N116" s="73">
        <f t="shared" si="10"/>
        <v>0</v>
      </c>
      <c r="O116" s="73">
        <f t="shared" si="11"/>
        <v>0</v>
      </c>
      <c r="P116" s="73">
        <f t="shared" si="12"/>
        <v>0</v>
      </c>
      <c r="Q116" s="73"/>
      <c r="R116" s="73">
        <v>0</v>
      </c>
      <c r="S116" s="75">
        <f t="shared" si="15"/>
        <v>0</v>
      </c>
      <c r="T116" s="77">
        <v>0</v>
      </c>
      <c r="U116" s="66">
        <v>40210</v>
      </c>
      <c r="V116" s="79"/>
      <c r="W116" s="66" t="s">
        <v>1585</v>
      </c>
      <c r="X116" s="67" t="s">
        <v>1586</v>
      </c>
      <c r="Y116" s="68"/>
      <c r="Z116" s="196" t="s">
        <v>894</v>
      </c>
      <c r="AA116" s="274" t="s">
        <v>2216</v>
      </c>
      <c r="AB116" s="3"/>
      <c r="AC116" s="4"/>
      <c r="AD116" s="5"/>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6"/>
      <c r="CE116" s="7"/>
      <c r="CF116" s="6"/>
      <c r="CG116" s="7"/>
      <c r="CH116" s="6"/>
      <c r="CI116" s="7"/>
      <c r="CJ116" s="8">
        <f t="shared" si="13"/>
        <v>0</v>
      </c>
      <c r="CK116" s="9"/>
      <c r="CL116" s="10"/>
      <c r="CM116" s="11"/>
      <c r="CN116" s="12"/>
      <c r="CO116" s="28"/>
      <c r="CP116" s="12"/>
      <c r="CQ116" s="9"/>
      <c r="CR116" s="10"/>
      <c r="CS116" s="68"/>
      <c r="EC116" s="344" t="str">
        <f t="shared" si="14"/>
        <v>BOYACA_SUTATENZA</v>
      </c>
      <c r="ED116" s="341"/>
      <c r="EE116" s="341" t="s">
        <v>3103</v>
      </c>
      <c r="EF116" s="349" t="s">
        <v>3104</v>
      </c>
      <c r="EG116" s="341" t="s">
        <v>3306</v>
      </c>
      <c r="EH116" s="341" t="s">
        <v>4448</v>
      </c>
      <c r="EI116" s="341" t="str">
        <f t="shared" si="16"/>
        <v>Antioquia_Puerto Berrio</v>
      </c>
    </row>
    <row r="117" spans="1:139" ht="216">
      <c r="A117" s="228">
        <v>40210</v>
      </c>
      <c r="B117" s="102" t="s">
        <v>1192</v>
      </c>
      <c r="C117" s="102" t="s">
        <v>1335</v>
      </c>
      <c r="D117" s="206" t="s">
        <v>1752</v>
      </c>
      <c r="E117" s="320" t="s">
        <v>3527</v>
      </c>
      <c r="F117" s="320"/>
      <c r="G117" s="210"/>
      <c r="H117" s="71"/>
      <c r="I117" s="71"/>
      <c r="J117" s="71">
        <f>4800*5</f>
        <v>24000</v>
      </c>
      <c r="K117" s="71">
        <v>4800</v>
      </c>
      <c r="L117" s="1"/>
      <c r="M117" s="73">
        <f t="shared" si="9"/>
        <v>0</v>
      </c>
      <c r="N117" s="73">
        <f t="shared" si="10"/>
        <v>0</v>
      </c>
      <c r="O117" s="73">
        <f t="shared" si="11"/>
        <v>0</v>
      </c>
      <c r="P117" s="73">
        <f t="shared" si="12"/>
        <v>0</v>
      </c>
      <c r="Q117" s="73"/>
      <c r="R117" s="73">
        <v>0</v>
      </c>
      <c r="S117" s="75">
        <f t="shared" si="15"/>
        <v>0</v>
      </c>
      <c r="T117" s="77">
        <v>0</v>
      </c>
      <c r="U117" s="66">
        <v>40210</v>
      </c>
      <c r="V117" s="79"/>
      <c r="W117" s="66" t="s">
        <v>1585</v>
      </c>
      <c r="X117" s="67" t="s">
        <v>1586</v>
      </c>
      <c r="Y117" s="68"/>
      <c r="Z117" s="196" t="s">
        <v>894</v>
      </c>
      <c r="AA117" s="274" t="s">
        <v>2740</v>
      </c>
      <c r="AB117" s="3"/>
      <c r="AC117" s="4"/>
      <c r="AD117" s="5"/>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6"/>
      <c r="CE117" s="7"/>
      <c r="CF117" s="6"/>
      <c r="CG117" s="7"/>
      <c r="CH117" s="6"/>
      <c r="CI117" s="7"/>
      <c r="CJ117" s="8">
        <f t="shared" si="13"/>
        <v>0</v>
      </c>
      <c r="CK117" s="9"/>
      <c r="CL117" s="10"/>
      <c r="CM117" s="11"/>
      <c r="CN117" s="12"/>
      <c r="CO117" s="28"/>
      <c r="CP117" s="12"/>
      <c r="CQ117" s="9"/>
      <c r="CR117" s="10"/>
      <c r="CS117" s="68"/>
      <c r="EC117" s="344" t="str">
        <f t="shared" si="14"/>
        <v>BOYACA_TENZA</v>
      </c>
      <c r="ED117" s="341"/>
      <c r="EE117" s="341" t="s">
        <v>3103</v>
      </c>
      <c r="EF117" s="349" t="s">
        <v>3104</v>
      </c>
      <c r="EG117" s="341" t="s">
        <v>3307</v>
      </c>
      <c r="EH117" s="341" t="s">
        <v>4449</v>
      </c>
      <c r="EI117" s="341" t="str">
        <f t="shared" si="16"/>
        <v>Antioquia_Puerto Nare</v>
      </c>
    </row>
    <row r="118" spans="1:139" ht="84">
      <c r="A118" s="228">
        <v>40210</v>
      </c>
      <c r="B118" s="102" t="s">
        <v>1192</v>
      </c>
      <c r="C118" s="102" t="s">
        <v>1940</v>
      </c>
      <c r="D118" s="206" t="s">
        <v>1752</v>
      </c>
      <c r="E118" s="320" t="s">
        <v>3531</v>
      </c>
      <c r="F118" s="320"/>
      <c r="G118" s="210"/>
      <c r="H118" s="71"/>
      <c r="I118" s="71"/>
      <c r="J118" s="71"/>
      <c r="K118" s="71"/>
      <c r="L118" s="1"/>
      <c r="M118" s="73">
        <f t="shared" si="9"/>
        <v>0</v>
      </c>
      <c r="N118" s="73">
        <f t="shared" si="10"/>
        <v>0</v>
      </c>
      <c r="O118" s="73">
        <f t="shared" si="11"/>
        <v>0</v>
      </c>
      <c r="P118" s="73">
        <f t="shared" si="12"/>
        <v>0</v>
      </c>
      <c r="Q118" s="73"/>
      <c r="R118" s="73">
        <v>0</v>
      </c>
      <c r="S118" s="75">
        <f t="shared" si="15"/>
        <v>0</v>
      </c>
      <c r="T118" s="77">
        <v>0</v>
      </c>
      <c r="U118" s="66">
        <v>40210</v>
      </c>
      <c r="V118" s="79"/>
      <c r="W118" s="66" t="s">
        <v>1585</v>
      </c>
      <c r="X118" s="24" t="s">
        <v>1586</v>
      </c>
      <c r="Y118" s="62"/>
      <c r="Z118" s="196" t="s">
        <v>894</v>
      </c>
      <c r="AA118" s="274" t="s">
        <v>1526</v>
      </c>
      <c r="AB118" s="3"/>
      <c r="AC118" s="4"/>
      <c r="AD118" s="5"/>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6"/>
      <c r="CE118" s="7"/>
      <c r="CF118" s="6"/>
      <c r="CG118" s="7"/>
      <c r="CH118" s="6"/>
      <c r="CI118" s="7"/>
      <c r="CJ118" s="8">
        <f t="shared" si="13"/>
        <v>0</v>
      </c>
      <c r="CK118" s="9"/>
      <c r="CL118" s="10"/>
      <c r="CM118" s="11"/>
      <c r="CN118" s="12"/>
      <c r="CO118" s="28"/>
      <c r="CP118" s="12"/>
      <c r="CQ118" s="9"/>
      <c r="CR118" s="10"/>
      <c r="CS118" s="68"/>
      <c r="EC118" s="344" t="str">
        <f t="shared" si="14"/>
        <v>BOYACA_TIPACOQUE</v>
      </c>
      <c r="ED118" s="341"/>
      <c r="EE118" s="341" t="s">
        <v>3103</v>
      </c>
      <c r="EF118" s="349" t="s">
        <v>3104</v>
      </c>
      <c r="EG118" s="341" t="s">
        <v>3308</v>
      </c>
      <c r="EH118" s="341" t="s">
        <v>4450</v>
      </c>
      <c r="EI118" s="341" t="str">
        <f t="shared" si="16"/>
        <v>Antioquia_Puerto Triunfo</v>
      </c>
    </row>
    <row r="119" spans="1:139" ht="84">
      <c r="A119" s="228">
        <v>40210</v>
      </c>
      <c r="B119" s="102" t="s">
        <v>1192</v>
      </c>
      <c r="C119" s="102" t="s">
        <v>1941</v>
      </c>
      <c r="D119" s="206" t="s">
        <v>1752</v>
      </c>
      <c r="E119" s="320" t="s">
        <v>3532</v>
      </c>
      <c r="F119" s="320"/>
      <c r="G119" s="210"/>
      <c r="H119" s="71"/>
      <c r="I119" s="71"/>
      <c r="J119" s="71">
        <v>12000</v>
      </c>
      <c r="K119" s="71">
        <v>2400</v>
      </c>
      <c r="L119" s="1"/>
      <c r="M119" s="73">
        <f t="shared" si="9"/>
        <v>0</v>
      </c>
      <c r="N119" s="73">
        <f t="shared" si="10"/>
        <v>0</v>
      </c>
      <c r="O119" s="73">
        <f t="shared" si="11"/>
        <v>0</v>
      </c>
      <c r="P119" s="73">
        <f t="shared" si="12"/>
        <v>0</v>
      </c>
      <c r="Q119" s="73"/>
      <c r="R119" s="73">
        <v>0</v>
      </c>
      <c r="S119" s="75">
        <f t="shared" si="15"/>
        <v>0</v>
      </c>
      <c r="T119" s="77">
        <v>0</v>
      </c>
      <c r="U119" s="66">
        <v>40210</v>
      </c>
      <c r="V119" s="79"/>
      <c r="W119" s="66" t="s">
        <v>1585</v>
      </c>
      <c r="X119" s="24" t="s">
        <v>1586</v>
      </c>
      <c r="Y119" s="62"/>
      <c r="Z119" s="196" t="s">
        <v>894</v>
      </c>
      <c r="AA119" s="274" t="s">
        <v>1527</v>
      </c>
      <c r="AB119" s="3"/>
      <c r="AC119" s="4"/>
      <c r="AD119" s="5"/>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6"/>
      <c r="CE119" s="7"/>
      <c r="CF119" s="6"/>
      <c r="CG119" s="7"/>
      <c r="CH119" s="6"/>
      <c r="CI119" s="7"/>
      <c r="CJ119" s="8">
        <f t="shared" si="13"/>
        <v>0</v>
      </c>
      <c r="CK119" s="9"/>
      <c r="CL119" s="10"/>
      <c r="CM119" s="11"/>
      <c r="CN119" s="12"/>
      <c r="CO119" s="28"/>
      <c r="CP119" s="12"/>
      <c r="CQ119" s="9"/>
      <c r="CR119" s="10"/>
      <c r="CS119" s="68"/>
      <c r="EC119" s="344" t="str">
        <f t="shared" si="14"/>
        <v>BOYACA_TOCA</v>
      </c>
      <c r="ED119" s="341"/>
      <c r="EE119" s="341" t="s">
        <v>3103</v>
      </c>
      <c r="EF119" s="349" t="s">
        <v>3104</v>
      </c>
      <c r="EG119" s="341" t="s">
        <v>3309</v>
      </c>
      <c r="EH119" s="341" t="s">
        <v>4451</v>
      </c>
      <c r="EI119" s="341" t="str">
        <f t="shared" si="16"/>
        <v>Antioquia_Remedios</v>
      </c>
    </row>
    <row r="120" spans="1:139" ht="192">
      <c r="A120" s="228">
        <v>40210</v>
      </c>
      <c r="B120" s="102" t="s">
        <v>1192</v>
      </c>
      <c r="C120" s="102" t="s">
        <v>1912</v>
      </c>
      <c r="D120" s="206" t="s">
        <v>1752</v>
      </c>
      <c r="E120" s="320" t="s">
        <v>3535</v>
      </c>
      <c r="F120" s="320"/>
      <c r="G120" s="210"/>
      <c r="H120" s="71"/>
      <c r="I120" s="71"/>
      <c r="J120" s="71"/>
      <c r="K120" s="71"/>
      <c r="L120" s="1"/>
      <c r="M120" s="73">
        <f t="shared" si="9"/>
        <v>0</v>
      </c>
      <c r="N120" s="73">
        <f t="shared" si="10"/>
        <v>0</v>
      </c>
      <c r="O120" s="73">
        <f t="shared" si="11"/>
        <v>0</v>
      </c>
      <c r="P120" s="73">
        <f t="shared" si="12"/>
        <v>0</v>
      </c>
      <c r="Q120" s="73"/>
      <c r="R120" s="73">
        <v>0</v>
      </c>
      <c r="S120" s="75">
        <f t="shared" si="15"/>
        <v>0</v>
      </c>
      <c r="T120" s="77">
        <v>0</v>
      </c>
      <c r="U120" s="66">
        <v>40210</v>
      </c>
      <c r="V120" s="79"/>
      <c r="W120" s="66" t="s">
        <v>1585</v>
      </c>
      <c r="X120" s="67" t="s">
        <v>1586</v>
      </c>
      <c r="Y120" s="68"/>
      <c r="Z120" s="196" t="s">
        <v>894</v>
      </c>
      <c r="AA120" s="274" t="s">
        <v>547</v>
      </c>
      <c r="AB120" s="3"/>
      <c r="AC120" s="4"/>
      <c r="AD120" s="5"/>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6"/>
      <c r="CE120" s="7"/>
      <c r="CF120" s="6"/>
      <c r="CG120" s="7"/>
      <c r="CH120" s="6"/>
      <c r="CI120" s="7"/>
      <c r="CJ120" s="8">
        <f t="shared" si="13"/>
        <v>0</v>
      </c>
      <c r="CK120" s="9"/>
      <c r="CL120" s="10"/>
      <c r="CM120" s="11"/>
      <c r="CN120" s="12"/>
      <c r="CO120" s="28"/>
      <c r="CP120" s="12"/>
      <c r="CQ120" s="9"/>
      <c r="CR120" s="10"/>
      <c r="CS120" s="68"/>
      <c r="EC120" s="344" t="str">
        <f t="shared" si="14"/>
        <v>BOYACA_TOTA</v>
      </c>
      <c r="ED120" s="341"/>
      <c r="EE120" s="341" t="s">
        <v>3103</v>
      </c>
      <c r="EF120" s="349" t="s">
        <v>3104</v>
      </c>
      <c r="EG120" s="341" t="s">
        <v>3310</v>
      </c>
      <c r="EH120" s="341" t="s">
        <v>4452</v>
      </c>
      <c r="EI120" s="341" t="str">
        <f t="shared" si="16"/>
        <v>Antioquia_Retiro</v>
      </c>
    </row>
    <row r="121" spans="1:139" ht="120">
      <c r="A121" s="228">
        <v>40210</v>
      </c>
      <c r="B121" s="102" t="s">
        <v>1604</v>
      </c>
      <c r="C121" s="102" t="s">
        <v>1946</v>
      </c>
      <c r="D121" s="206" t="s">
        <v>1752</v>
      </c>
      <c r="E121" s="320" t="s">
        <v>3683</v>
      </c>
      <c r="F121" s="320"/>
      <c r="G121" s="210"/>
      <c r="H121" s="71"/>
      <c r="I121" s="71"/>
      <c r="J121" s="71"/>
      <c r="K121" s="71"/>
      <c r="L121" s="1"/>
      <c r="M121" s="73">
        <f t="shared" si="9"/>
        <v>0</v>
      </c>
      <c r="N121" s="73">
        <f t="shared" si="10"/>
        <v>0</v>
      </c>
      <c r="O121" s="73">
        <f t="shared" si="11"/>
        <v>0</v>
      </c>
      <c r="P121" s="73">
        <f t="shared" si="12"/>
        <v>0</v>
      </c>
      <c r="Q121" s="73"/>
      <c r="R121" s="73">
        <v>0</v>
      </c>
      <c r="S121" s="75">
        <f t="shared" si="15"/>
        <v>0</v>
      </c>
      <c r="T121" s="77">
        <v>0</v>
      </c>
      <c r="U121" s="66">
        <v>40210</v>
      </c>
      <c r="V121" s="79"/>
      <c r="W121" s="66" t="s">
        <v>1585</v>
      </c>
      <c r="X121" s="67" t="s">
        <v>1586</v>
      </c>
      <c r="Y121" s="68"/>
      <c r="Z121" s="196" t="s">
        <v>894</v>
      </c>
      <c r="AA121" s="274" t="s">
        <v>1540</v>
      </c>
      <c r="AB121" s="3"/>
      <c r="AC121" s="4"/>
      <c r="AD121" s="5"/>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6"/>
      <c r="CE121" s="7"/>
      <c r="CF121" s="6"/>
      <c r="CG121" s="7"/>
      <c r="CH121" s="6"/>
      <c r="CI121" s="7"/>
      <c r="CJ121" s="8">
        <f t="shared" si="13"/>
        <v>0</v>
      </c>
      <c r="CK121" s="9"/>
      <c r="CL121" s="10"/>
      <c r="CM121" s="11"/>
      <c r="CN121" s="12"/>
      <c r="CO121" s="28"/>
      <c r="CP121" s="12"/>
      <c r="CQ121" s="9"/>
      <c r="CR121" s="10"/>
      <c r="CS121" s="68"/>
      <c r="EC121" s="344" t="str">
        <f t="shared" si="14"/>
        <v>CUNDINAMARCA_ANAPOIMA</v>
      </c>
      <c r="ED121" s="341"/>
      <c r="EE121" s="341" t="s">
        <v>3103</v>
      </c>
      <c r="EF121" s="349" t="s">
        <v>3104</v>
      </c>
      <c r="EG121" s="341" t="s">
        <v>3311</v>
      </c>
      <c r="EH121" s="341" t="s">
        <v>4453</v>
      </c>
      <c r="EI121" s="341" t="str">
        <f t="shared" si="16"/>
        <v>Antioquia_Rionegro</v>
      </c>
    </row>
    <row r="122" spans="1:139" ht="72">
      <c r="A122" s="228">
        <v>40210</v>
      </c>
      <c r="B122" s="102" t="s">
        <v>1604</v>
      </c>
      <c r="C122" s="102" t="s">
        <v>1947</v>
      </c>
      <c r="D122" s="206" t="s">
        <v>1752</v>
      </c>
      <c r="E122" s="320" t="s">
        <v>3686</v>
      </c>
      <c r="F122" s="320"/>
      <c r="G122" s="210"/>
      <c r="H122" s="71"/>
      <c r="I122" s="71"/>
      <c r="J122" s="71"/>
      <c r="K122" s="71"/>
      <c r="L122" s="1"/>
      <c r="M122" s="73">
        <f t="shared" si="9"/>
        <v>0</v>
      </c>
      <c r="N122" s="73">
        <f t="shared" si="10"/>
        <v>0</v>
      </c>
      <c r="O122" s="73">
        <f t="shared" si="11"/>
        <v>0</v>
      </c>
      <c r="P122" s="73">
        <f t="shared" si="12"/>
        <v>0</v>
      </c>
      <c r="Q122" s="73"/>
      <c r="R122" s="73">
        <v>0</v>
      </c>
      <c r="S122" s="75">
        <f t="shared" si="15"/>
        <v>0</v>
      </c>
      <c r="T122" s="77">
        <v>0</v>
      </c>
      <c r="U122" s="66">
        <v>40210</v>
      </c>
      <c r="V122" s="79"/>
      <c r="W122" s="66" t="s">
        <v>1585</v>
      </c>
      <c r="X122" s="67" t="s">
        <v>1586</v>
      </c>
      <c r="Y122" s="68"/>
      <c r="Z122" s="196" t="s">
        <v>894</v>
      </c>
      <c r="AA122" s="274" t="s">
        <v>1006</v>
      </c>
      <c r="AB122" s="3"/>
      <c r="AC122" s="4"/>
      <c r="AD122" s="5"/>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6"/>
      <c r="CE122" s="7"/>
      <c r="CF122" s="6"/>
      <c r="CG122" s="7"/>
      <c r="CH122" s="6"/>
      <c r="CI122" s="7"/>
      <c r="CJ122" s="8">
        <f t="shared" si="13"/>
        <v>0</v>
      </c>
      <c r="CK122" s="9"/>
      <c r="CL122" s="10"/>
      <c r="CM122" s="11"/>
      <c r="CN122" s="12"/>
      <c r="CO122" s="28"/>
      <c r="CP122" s="12"/>
      <c r="CQ122" s="9"/>
      <c r="CR122" s="10"/>
      <c r="CS122" s="68"/>
      <c r="EC122" s="344" t="str">
        <f t="shared" si="14"/>
        <v>CUNDINAMARCA_BITUIMA</v>
      </c>
      <c r="ED122" s="341"/>
      <c r="EE122" s="341" t="s">
        <v>3103</v>
      </c>
      <c r="EF122" s="349" t="s">
        <v>3104</v>
      </c>
      <c r="EG122" s="341" t="s">
        <v>3312</v>
      </c>
      <c r="EH122" s="341" t="s">
        <v>4454</v>
      </c>
      <c r="EI122" s="341" t="str">
        <f t="shared" si="16"/>
        <v>Antioquia_Sabanalarga</v>
      </c>
    </row>
    <row r="123" spans="1:139" ht="84">
      <c r="A123" s="228">
        <v>40210</v>
      </c>
      <c r="B123" s="102" t="s">
        <v>1604</v>
      </c>
      <c r="C123" s="102" t="s">
        <v>1948</v>
      </c>
      <c r="D123" s="206" t="s">
        <v>1752</v>
      </c>
      <c r="E123" s="320" t="s">
        <v>3698</v>
      </c>
      <c r="F123" s="320"/>
      <c r="G123" s="210"/>
      <c r="H123" s="71"/>
      <c r="I123" s="71"/>
      <c r="J123" s="71"/>
      <c r="K123" s="71"/>
      <c r="L123" s="1"/>
      <c r="M123" s="73">
        <f t="shared" si="9"/>
        <v>0</v>
      </c>
      <c r="N123" s="73">
        <f t="shared" si="10"/>
        <v>0</v>
      </c>
      <c r="O123" s="73">
        <f t="shared" si="11"/>
        <v>0</v>
      </c>
      <c r="P123" s="73">
        <f t="shared" si="12"/>
        <v>0</v>
      </c>
      <c r="Q123" s="73"/>
      <c r="R123" s="73">
        <v>0</v>
      </c>
      <c r="S123" s="75">
        <f t="shared" si="15"/>
        <v>0</v>
      </c>
      <c r="T123" s="77">
        <v>0</v>
      </c>
      <c r="U123" s="66">
        <v>40210</v>
      </c>
      <c r="V123" s="79"/>
      <c r="W123" s="66" t="s">
        <v>1585</v>
      </c>
      <c r="X123" s="67" t="s">
        <v>1586</v>
      </c>
      <c r="Y123" s="68"/>
      <c r="Z123" s="196" t="s">
        <v>894</v>
      </c>
      <c r="AA123" s="274" t="s">
        <v>572</v>
      </c>
      <c r="AB123" s="3"/>
      <c r="AC123" s="4"/>
      <c r="AD123" s="5"/>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6"/>
      <c r="CE123" s="7"/>
      <c r="CF123" s="6"/>
      <c r="CG123" s="7"/>
      <c r="CH123" s="6"/>
      <c r="CI123" s="7"/>
      <c r="CJ123" s="8">
        <f t="shared" si="13"/>
        <v>0</v>
      </c>
      <c r="CK123" s="9"/>
      <c r="CL123" s="10"/>
      <c r="CM123" s="11"/>
      <c r="CN123" s="12"/>
      <c r="CO123" s="28"/>
      <c r="CP123" s="12"/>
      <c r="CQ123" s="9"/>
      <c r="CR123" s="10"/>
      <c r="CS123" s="68"/>
      <c r="EC123" s="344" t="str">
        <f t="shared" si="14"/>
        <v>CUNDINAMARCA_COGUA</v>
      </c>
      <c r="ED123" s="341"/>
      <c r="EE123" s="341" t="s">
        <v>3103</v>
      </c>
      <c r="EF123" s="349" t="s">
        <v>3104</v>
      </c>
      <c r="EG123" s="341" t="s">
        <v>3313</v>
      </c>
      <c r="EH123" s="341" t="s">
        <v>4455</v>
      </c>
      <c r="EI123" s="341" t="str">
        <f t="shared" si="16"/>
        <v>Antioquia_Sabaneta</v>
      </c>
    </row>
    <row r="124" spans="1:139" ht="72">
      <c r="A124" s="228">
        <v>40210</v>
      </c>
      <c r="B124" s="102" t="s">
        <v>1604</v>
      </c>
      <c r="C124" s="102" t="s">
        <v>1949</v>
      </c>
      <c r="D124" s="206" t="s">
        <v>1752</v>
      </c>
      <c r="E124" s="320" t="s">
        <v>3699</v>
      </c>
      <c r="F124" s="320"/>
      <c r="G124" s="210"/>
      <c r="H124" s="71"/>
      <c r="I124" s="71"/>
      <c r="J124" s="71"/>
      <c r="K124" s="71"/>
      <c r="L124" s="1"/>
      <c r="M124" s="73">
        <f t="shared" si="9"/>
        <v>0</v>
      </c>
      <c r="N124" s="73">
        <f t="shared" si="10"/>
        <v>0</v>
      </c>
      <c r="O124" s="73">
        <f t="shared" si="11"/>
        <v>0</v>
      </c>
      <c r="P124" s="73">
        <f t="shared" si="12"/>
        <v>0</v>
      </c>
      <c r="Q124" s="73"/>
      <c r="R124" s="73">
        <v>0</v>
      </c>
      <c r="S124" s="75">
        <f t="shared" si="15"/>
        <v>0</v>
      </c>
      <c r="T124" s="77">
        <v>0</v>
      </c>
      <c r="U124" s="66">
        <v>40210</v>
      </c>
      <c r="V124" s="79"/>
      <c r="W124" s="66" t="s">
        <v>1585</v>
      </c>
      <c r="X124" s="67" t="s">
        <v>1586</v>
      </c>
      <c r="Y124" s="68"/>
      <c r="Z124" s="196" t="s">
        <v>894</v>
      </c>
      <c r="AA124" s="274" t="s">
        <v>573</v>
      </c>
      <c r="AB124" s="3"/>
      <c r="AC124" s="4"/>
      <c r="AD124" s="5"/>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6"/>
      <c r="CE124" s="7"/>
      <c r="CF124" s="6"/>
      <c r="CG124" s="7"/>
      <c r="CH124" s="6"/>
      <c r="CI124" s="7"/>
      <c r="CJ124" s="8">
        <f t="shared" si="13"/>
        <v>0</v>
      </c>
      <c r="CK124" s="9"/>
      <c r="CL124" s="10"/>
      <c r="CM124" s="11"/>
      <c r="CN124" s="12"/>
      <c r="CO124" s="28"/>
      <c r="CP124" s="12"/>
      <c r="CQ124" s="9"/>
      <c r="CR124" s="10"/>
      <c r="CS124" s="68"/>
      <c r="EC124" s="344" t="str">
        <f t="shared" si="14"/>
        <v>CUNDINAMARCA_COTA</v>
      </c>
      <c r="ED124" s="341"/>
      <c r="EE124" s="341" t="s">
        <v>3103</v>
      </c>
      <c r="EF124" s="349" t="s">
        <v>3104</v>
      </c>
      <c r="EG124" s="341" t="s">
        <v>3314</v>
      </c>
      <c r="EH124" s="341" t="s">
        <v>4456</v>
      </c>
      <c r="EI124" s="341" t="str">
        <f t="shared" si="16"/>
        <v>Antioquia_Salgar</v>
      </c>
    </row>
    <row r="125" spans="1:139" ht="96">
      <c r="A125" s="228">
        <v>40210</v>
      </c>
      <c r="B125" s="102" t="s">
        <v>1604</v>
      </c>
      <c r="C125" s="102" t="s">
        <v>1950</v>
      </c>
      <c r="D125" s="206" t="s">
        <v>1752</v>
      </c>
      <c r="E125" s="320" t="s">
        <v>3701</v>
      </c>
      <c r="F125" s="320"/>
      <c r="G125" s="210"/>
      <c r="H125" s="71"/>
      <c r="I125" s="71"/>
      <c r="J125" s="71"/>
      <c r="K125" s="71"/>
      <c r="L125" s="1"/>
      <c r="M125" s="73">
        <f t="shared" si="9"/>
        <v>0</v>
      </c>
      <c r="N125" s="73">
        <f t="shared" si="10"/>
        <v>0</v>
      </c>
      <c r="O125" s="73">
        <f t="shared" si="11"/>
        <v>0</v>
      </c>
      <c r="P125" s="73">
        <f t="shared" si="12"/>
        <v>0</v>
      </c>
      <c r="Q125" s="73"/>
      <c r="R125" s="73">
        <v>0</v>
      </c>
      <c r="S125" s="75">
        <f t="shared" si="15"/>
        <v>0</v>
      </c>
      <c r="T125" s="77">
        <v>0</v>
      </c>
      <c r="U125" s="66">
        <v>40210</v>
      </c>
      <c r="V125" s="79"/>
      <c r="W125" s="66" t="s">
        <v>1585</v>
      </c>
      <c r="X125" s="67" t="s">
        <v>1586</v>
      </c>
      <c r="Y125" s="68"/>
      <c r="Z125" s="196" t="s">
        <v>894</v>
      </c>
      <c r="AA125" s="274" t="s">
        <v>548</v>
      </c>
      <c r="AB125" s="3"/>
      <c r="AC125" s="4"/>
      <c r="AD125" s="5"/>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6"/>
      <c r="CE125" s="7"/>
      <c r="CF125" s="6"/>
      <c r="CG125" s="7"/>
      <c r="CH125" s="6"/>
      <c r="CI125" s="7"/>
      <c r="CJ125" s="8">
        <f t="shared" si="13"/>
        <v>0</v>
      </c>
      <c r="CK125" s="9"/>
      <c r="CL125" s="10"/>
      <c r="CM125" s="11"/>
      <c r="CN125" s="12"/>
      <c r="CO125" s="28"/>
      <c r="CP125" s="12"/>
      <c r="CQ125" s="9"/>
      <c r="CR125" s="10"/>
      <c r="CS125" s="68"/>
      <c r="EC125" s="344" t="str">
        <f t="shared" si="14"/>
        <v>CUNDINAMARCA_EL COLEGIO</v>
      </c>
      <c r="ED125" s="341"/>
      <c r="EE125" s="341" t="s">
        <v>3103</v>
      </c>
      <c r="EF125" s="349" t="s">
        <v>3104</v>
      </c>
      <c r="EG125" s="341" t="s">
        <v>3315</v>
      </c>
      <c r="EH125" s="341" t="s">
        <v>4457</v>
      </c>
      <c r="EI125" s="341" t="str">
        <f t="shared" si="16"/>
        <v>Antioquia_San Andres de Cuerquia</v>
      </c>
    </row>
    <row r="126" spans="1:139" ht="48">
      <c r="A126" s="228">
        <v>40210</v>
      </c>
      <c r="B126" s="102" t="s">
        <v>1604</v>
      </c>
      <c r="C126" s="102" t="s">
        <v>1951</v>
      </c>
      <c r="D126" s="206" t="s">
        <v>1752</v>
      </c>
      <c r="E126" s="320" t="s">
        <v>3708</v>
      </c>
      <c r="F126" s="320"/>
      <c r="G126" s="210"/>
      <c r="H126" s="71"/>
      <c r="I126" s="71"/>
      <c r="J126" s="71"/>
      <c r="K126" s="71"/>
      <c r="L126" s="1"/>
      <c r="M126" s="73">
        <f t="shared" si="9"/>
        <v>0</v>
      </c>
      <c r="N126" s="73">
        <f t="shared" si="10"/>
        <v>0</v>
      </c>
      <c r="O126" s="73">
        <f t="shared" si="11"/>
        <v>0</v>
      </c>
      <c r="P126" s="73">
        <f t="shared" si="12"/>
        <v>0</v>
      </c>
      <c r="Q126" s="73"/>
      <c r="R126" s="73">
        <v>0</v>
      </c>
      <c r="S126" s="75">
        <f t="shared" si="15"/>
        <v>0</v>
      </c>
      <c r="T126" s="77">
        <v>0</v>
      </c>
      <c r="U126" s="66">
        <v>40210</v>
      </c>
      <c r="V126" s="79"/>
      <c r="W126" s="66" t="s">
        <v>1585</v>
      </c>
      <c r="X126" s="67" t="s">
        <v>1586</v>
      </c>
      <c r="Y126" s="68"/>
      <c r="Z126" s="196" t="s">
        <v>894</v>
      </c>
      <c r="AA126" s="274" t="s">
        <v>2578</v>
      </c>
      <c r="AB126" s="3"/>
      <c r="AC126" s="4"/>
      <c r="AD126" s="5"/>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6"/>
      <c r="CE126" s="7"/>
      <c r="CF126" s="6"/>
      <c r="CG126" s="7"/>
      <c r="CH126" s="6"/>
      <c r="CI126" s="7"/>
      <c r="CJ126" s="8">
        <f t="shared" si="13"/>
        <v>0</v>
      </c>
      <c r="CK126" s="9"/>
      <c r="CL126" s="10"/>
      <c r="CM126" s="11"/>
      <c r="CN126" s="12"/>
      <c r="CO126" s="28"/>
      <c r="CP126" s="12"/>
      <c r="CQ126" s="9"/>
      <c r="CR126" s="10"/>
      <c r="CS126" s="68"/>
      <c r="EC126" s="344" t="str">
        <f t="shared" si="14"/>
        <v>CUNDINAMARCA_FUQUENE</v>
      </c>
      <c r="ED126" s="341"/>
      <c r="EE126" s="341" t="s">
        <v>3103</v>
      </c>
      <c r="EF126" s="349" t="s">
        <v>3104</v>
      </c>
      <c r="EG126" s="341" t="s">
        <v>3316</v>
      </c>
      <c r="EH126" s="341" t="s">
        <v>4458</v>
      </c>
      <c r="EI126" s="341" t="str">
        <f t="shared" si="16"/>
        <v>Antioquia_San Carlos</v>
      </c>
    </row>
    <row r="127" spans="1:139" ht="60">
      <c r="A127" s="228">
        <v>40210</v>
      </c>
      <c r="B127" s="102" t="s">
        <v>1604</v>
      </c>
      <c r="C127" s="102" t="s">
        <v>1953</v>
      </c>
      <c r="D127" s="206" t="s">
        <v>1752</v>
      </c>
      <c r="E127" s="320" t="s">
        <v>3710</v>
      </c>
      <c r="F127" s="320"/>
      <c r="G127" s="210"/>
      <c r="H127" s="71"/>
      <c r="I127" s="71"/>
      <c r="J127" s="71"/>
      <c r="K127" s="71"/>
      <c r="L127" s="1"/>
      <c r="M127" s="73">
        <f t="shared" si="9"/>
        <v>0</v>
      </c>
      <c r="N127" s="73">
        <f t="shared" si="10"/>
        <v>0</v>
      </c>
      <c r="O127" s="73">
        <f t="shared" si="11"/>
        <v>0</v>
      </c>
      <c r="P127" s="73">
        <f t="shared" si="12"/>
        <v>0</v>
      </c>
      <c r="Q127" s="73"/>
      <c r="R127" s="73">
        <v>0</v>
      </c>
      <c r="S127" s="75">
        <f t="shared" si="15"/>
        <v>0</v>
      </c>
      <c r="T127" s="77">
        <v>0</v>
      </c>
      <c r="U127" s="66">
        <v>40210</v>
      </c>
      <c r="V127" s="79"/>
      <c r="W127" s="66" t="s">
        <v>1585</v>
      </c>
      <c r="X127" s="67" t="s">
        <v>1586</v>
      </c>
      <c r="Y127" s="68"/>
      <c r="Z127" s="196" t="s">
        <v>894</v>
      </c>
      <c r="AA127" s="274" t="s">
        <v>575</v>
      </c>
      <c r="AB127" s="3"/>
      <c r="AC127" s="4"/>
      <c r="AD127" s="5"/>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6"/>
      <c r="CE127" s="7"/>
      <c r="CF127" s="6"/>
      <c r="CG127" s="7"/>
      <c r="CH127" s="6"/>
      <c r="CI127" s="7"/>
      <c r="CJ127" s="8">
        <f t="shared" si="13"/>
        <v>0</v>
      </c>
      <c r="CK127" s="9"/>
      <c r="CL127" s="10"/>
      <c r="CM127" s="11"/>
      <c r="CN127" s="12"/>
      <c r="CO127" s="28"/>
      <c r="CP127" s="12"/>
      <c r="CQ127" s="9"/>
      <c r="CR127" s="10"/>
      <c r="CS127" s="68"/>
      <c r="EC127" s="344" t="str">
        <f t="shared" si="14"/>
        <v>CUNDINAMARCA_GACHALA</v>
      </c>
      <c r="ED127" s="341"/>
      <c r="EE127" s="341" t="s">
        <v>3103</v>
      </c>
      <c r="EF127" s="349" t="s">
        <v>3104</v>
      </c>
      <c r="EG127" s="341" t="s">
        <v>3317</v>
      </c>
      <c r="EH127" s="341" t="s">
        <v>4459</v>
      </c>
      <c r="EI127" s="341" t="str">
        <f t="shared" si="16"/>
        <v>Antioquia_San Francisco</v>
      </c>
    </row>
    <row r="128" spans="1:139" ht="72">
      <c r="A128" s="228">
        <v>40210</v>
      </c>
      <c r="B128" s="102" t="s">
        <v>1604</v>
      </c>
      <c r="C128" s="102" t="s">
        <v>1952</v>
      </c>
      <c r="D128" s="206" t="s">
        <v>1752</v>
      </c>
      <c r="E128" s="320" t="s">
        <v>3714</v>
      </c>
      <c r="F128" s="320"/>
      <c r="G128" s="210"/>
      <c r="H128" s="71"/>
      <c r="I128" s="71"/>
      <c r="J128" s="71"/>
      <c r="K128" s="71"/>
      <c r="L128" s="1"/>
      <c r="M128" s="73">
        <f t="shared" si="9"/>
        <v>0</v>
      </c>
      <c r="N128" s="73">
        <f t="shared" si="10"/>
        <v>0</v>
      </c>
      <c r="O128" s="73">
        <f t="shared" si="11"/>
        <v>0</v>
      </c>
      <c r="P128" s="73">
        <f t="shared" si="12"/>
        <v>0</v>
      </c>
      <c r="Q128" s="73"/>
      <c r="R128" s="73">
        <v>0</v>
      </c>
      <c r="S128" s="75">
        <f t="shared" si="15"/>
        <v>0</v>
      </c>
      <c r="T128" s="77">
        <v>0</v>
      </c>
      <c r="U128" s="66">
        <v>40210</v>
      </c>
      <c r="V128" s="79"/>
      <c r="W128" s="66" t="s">
        <v>1585</v>
      </c>
      <c r="X128" s="67" t="s">
        <v>1586</v>
      </c>
      <c r="Y128" s="68"/>
      <c r="Z128" s="196" t="s">
        <v>894</v>
      </c>
      <c r="AA128" s="274" t="s">
        <v>574</v>
      </c>
      <c r="AB128" s="3"/>
      <c r="AC128" s="4"/>
      <c r="AD128" s="5"/>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6"/>
      <c r="CE128" s="7"/>
      <c r="CF128" s="6"/>
      <c r="CG128" s="7"/>
      <c r="CH128" s="6"/>
      <c r="CI128" s="7"/>
      <c r="CJ128" s="8">
        <f t="shared" si="13"/>
        <v>0</v>
      </c>
      <c r="CK128" s="9"/>
      <c r="CL128" s="10"/>
      <c r="CM128" s="11"/>
      <c r="CN128" s="12"/>
      <c r="CO128" s="28"/>
      <c r="CP128" s="12"/>
      <c r="CQ128" s="9"/>
      <c r="CR128" s="10"/>
      <c r="CS128" s="68"/>
      <c r="EC128" s="344" t="str">
        <f t="shared" si="14"/>
        <v>CUNDINAMARCA_GRANADA</v>
      </c>
      <c r="ED128" s="341"/>
      <c r="EE128" s="341" t="s">
        <v>3103</v>
      </c>
      <c r="EF128" s="349" t="s">
        <v>3104</v>
      </c>
      <c r="EG128" s="341" t="s">
        <v>3318</v>
      </c>
      <c r="EH128" s="341" t="s">
        <v>4460</v>
      </c>
      <c r="EI128" s="341" t="str">
        <f t="shared" si="16"/>
        <v>Antioquia_San Jeronimo</v>
      </c>
    </row>
    <row r="129" spans="1:139" ht="60">
      <c r="A129" s="228">
        <v>40210</v>
      </c>
      <c r="B129" s="102" t="s">
        <v>1604</v>
      </c>
      <c r="C129" s="102" t="s">
        <v>1954</v>
      </c>
      <c r="D129" s="206" t="s">
        <v>1752</v>
      </c>
      <c r="E129" s="320" t="s">
        <v>3715</v>
      </c>
      <c r="F129" s="320"/>
      <c r="G129" s="210"/>
      <c r="H129" s="71"/>
      <c r="I129" s="71"/>
      <c r="J129" s="71"/>
      <c r="K129" s="71"/>
      <c r="L129" s="1"/>
      <c r="M129" s="73">
        <f t="shared" si="9"/>
        <v>0</v>
      </c>
      <c r="N129" s="73">
        <f t="shared" si="10"/>
        <v>0</v>
      </c>
      <c r="O129" s="73">
        <f t="shared" si="11"/>
        <v>0</v>
      </c>
      <c r="P129" s="73">
        <f t="shared" si="12"/>
        <v>0</v>
      </c>
      <c r="Q129" s="73"/>
      <c r="R129" s="73">
        <v>0</v>
      </c>
      <c r="S129" s="75">
        <f t="shared" si="15"/>
        <v>0</v>
      </c>
      <c r="T129" s="77">
        <v>0</v>
      </c>
      <c r="U129" s="66">
        <v>40210</v>
      </c>
      <c r="V129" s="79"/>
      <c r="W129" s="66" t="s">
        <v>1585</v>
      </c>
      <c r="X129" s="67" t="s">
        <v>1586</v>
      </c>
      <c r="Y129" s="68"/>
      <c r="Z129" s="196" t="s">
        <v>894</v>
      </c>
      <c r="AA129" s="274" t="s">
        <v>1384</v>
      </c>
      <c r="AB129" s="3"/>
      <c r="AC129" s="4"/>
      <c r="AD129" s="5"/>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6"/>
      <c r="CE129" s="7"/>
      <c r="CF129" s="6"/>
      <c r="CG129" s="7"/>
      <c r="CH129" s="6"/>
      <c r="CI129" s="7"/>
      <c r="CJ129" s="8">
        <f t="shared" si="13"/>
        <v>0</v>
      </c>
      <c r="CK129" s="9"/>
      <c r="CL129" s="10"/>
      <c r="CM129" s="11"/>
      <c r="CN129" s="12"/>
      <c r="CO129" s="28"/>
      <c r="CP129" s="12"/>
      <c r="CQ129" s="9"/>
      <c r="CR129" s="10"/>
      <c r="CS129" s="68"/>
      <c r="EC129" s="344" t="str">
        <f t="shared" si="14"/>
        <v>CUNDINAMARCA_GUACHETA</v>
      </c>
      <c r="ED129" s="341"/>
      <c r="EE129" s="341" t="s">
        <v>3103</v>
      </c>
      <c r="EF129" s="349" t="s">
        <v>3104</v>
      </c>
      <c r="EG129" s="341" t="s">
        <v>3319</v>
      </c>
      <c r="EH129" s="341" t="s">
        <v>4461</v>
      </c>
      <c r="EI129" s="341" t="str">
        <f t="shared" si="16"/>
        <v>Antioquia_San Jose de La Montaña</v>
      </c>
    </row>
    <row r="130" spans="1:139" ht="48">
      <c r="A130" s="228">
        <v>40210</v>
      </c>
      <c r="B130" s="102" t="s">
        <v>1604</v>
      </c>
      <c r="C130" s="102" t="s">
        <v>1955</v>
      </c>
      <c r="D130" s="206" t="s">
        <v>1752</v>
      </c>
      <c r="E130" s="320" t="s">
        <v>3717</v>
      </c>
      <c r="F130" s="320"/>
      <c r="G130" s="210"/>
      <c r="H130" s="71"/>
      <c r="I130" s="71"/>
      <c r="J130" s="71"/>
      <c r="K130" s="71"/>
      <c r="L130" s="1"/>
      <c r="M130" s="73">
        <f t="shared" si="9"/>
        <v>0</v>
      </c>
      <c r="N130" s="73">
        <f t="shared" si="10"/>
        <v>0</v>
      </c>
      <c r="O130" s="73">
        <f t="shared" si="11"/>
        <v>0</v>
      </c>
      <c r="P130" s="73">
        <f t="shared" si="12"/>
        <v>0</v>
      </c>
      <c r="Q130" s="73"/>
      <c r="R130" s="73">
        <v>0</v>
      </c>
      <c r="S130" s="75">
        <f t="shared" si="15"/>
        <v>0</v>
      </c>
      <c r="T130" s="77">
        <v>0</v>
      </c>
      <c r="U130" s="66">
        <v>40210</v>
      </c>
      <c r="V130" s="79"/>
      <c r="W130" s="66" t="s">
        <v>1585</v>
      </c>
      <c r="X130" s="67" t="s">
        <v>1586</v>
      </c>
      <c r="Y130" s="68"/>
      <c r="Z130" s="196" t="s">
        <v>894</v>
      </c>
      <c r="AA130" s="274" t="s">
        <v>2578</v>
      </c>
      <c r="AB130" s="3"/>
      <c r="AC130" s="4"/>
      <c r="AD130" s="5"/>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6"/>
      <c r="CE130" s="7"/>
      <c r="CF130" s="6"/>
      <c r="CG130" s="7"/>
      <c r="CH130" s="6"/>
      <c r="CI130" s="7"/>
      <c r="CJ130" s="8">
        <f t="shared" si="13"/>
        <v>0</v>
      </c>
      <c r="CK130" s="9"/>
      <c r="CL130" s="10"/>
      <c r="CM130" s="11"/>
      <c r="CN130" s="12"/>
      <c r="CO130" s="28"/>
      <c r="CP130" s="12"/>
      <c r="CQ130" s="9"/>
      <c r="CR130" s="10"/>
      <c r="CS130" s="68"/>
      <c r="EC130" s="344" t="str">
        <f t="shared" si="14"/>
        <v>CUNDINAMARCA_GUASCA</v>
      </c>
      <c r="ED130" s="341"/>
      <c r="EE130" s="341" t="s">
        <v>3103</v>
      </c>
      <c r="EF130" s="349" t="s">
        <v>3104</v>
      </c>
      <c r="EG130" s="341" t="s">
        <v>3320</v>
      </c>
      <c r="EH130" s="341" t="s">
        <v>4462</v>
      </c>
      <c r="EI130" s="341" t="str">
        <f t="shared" si="16"/>
        <v>Antioquia_San Juan de Uraba</v>
      </c>
    </row>
    <row r="131" spans="1:139" ht="84">
      <c r="A131" s="228">
        <v>40210</v>
      </c>
      <c r="B131" s="102" t="s">
        <v>1604</v>
      </c>
      <c r="C131" s="102" t="s">
        <v>1956</v>
      </c>
      <c r="D131" s="206" t="s">
        <v>1752</v>
      </c>
      <c r="E131" s="320" t="s">
        <v>3719</v>
      </c>
      <c r="F131" s="320"/>
      <c r="G131" s="210"/>
      <c r="H131" s="71"/>
      <c r="I131" s="71"/>
      <c r="J131" s="71"/>
      <c r="K131" s="71"/>
      <c r="L131" s="1"/>
      <c r="M131" s="73">
        <f t="shared" ref="M131:M194" si="17">CJ131</f>
        <v>0</v>
      </c>
      <c r="N131" s="73">
        <f t="shared" ref="N131:N194" si="18">CN131</f>
        <v>0</v>
      </c>
      <c r="O131" s="73">
        <f t="shared" ref="O131:O194" si="19">CP131+CR131</f>
        <v>0</v>
      </c>
      <c r="P131" s="73">
        <f t="shared" ref="P131:P194" si="20">CL131</f>
        <v>0</v>
      </c>
      <c r="Q131" s="73"/>
      <c r="R131" s="73">
        <v>0</v>
      </c>
      <c r="S131" s="75">
        <f t="shared" si="15"/>
        <v>0</v>
      </c>
      <c r="T131" s="77">
        <v>0</v>
      </c>
      <c r="U131" s="66">
        <v>40210</v>
      </c>
      <c r="V131" s="79"/>
      <c r="W131" s="66" t="s">
        <v>1585</v>
      </c>
      <c r="X131" s="67" t="s">
        <v>1586</v>
      </c>
      <c r="Y131" s="68"/>
      <c r="Z131" s="196" t="s">
        <v>894</v>
      </c>
      <c r="AA131" s="274" t="s">
        <v>1442</v>
      </c>
      <c r="AB131" s="3"/>
      <c r="AC131" s="4"/>
      <c r="AD131" s="5"/>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6"/>
      <c r="CE131" s="7"/>
      <c r="CF131" s="6"/>
      <c r="CG131" s="7"/>
      <c r="CH131" s="6"/>
      <c r="CI131" s="7"/>
      <c r="CJ131" s="8">
        <f t="shared" ref="CJ131:CJ194" si="21">AC131+AE131+AG131+AI131+AK131+AM131+AO131+AQ131+AS131+AU131+AW131+AY131+BA131+BC131+BE131+BG131+BI131+BK131+BM131+BO131+BQ131+BS131+BU131+BW131+BY131+CA131+CC131+CE131+CG131+CI131</f>
        <v>0</v>
      </c>
      <c r="CK131" s="9"/>
      <c r="CL131" s="10"/>
      <c r="CM131" s="11"/>
      <c r="CN131" s="12"/>
      <c r="CO131" s="28"/>
      <c r="CP131" s="12"/>
      <c r="CQ131" s="9"/>
      <c r="CR131" s="10"/>
      <c r="CS131" s="68"/>
      <c r="EC131" s="344" t="str">
        <f t="shared" ref="EC131:EC194" si="22">B131&amp;"_"&amp;C131</f>
        <v>CUNDINAMARCA_GUATAVITA</v>
      </c>
      <c r="ED131" s="341"/>
      <c r="EE131" s="341" t="s">
        <v>3103</v>
      </c>
      <c r="EF131" s="349" t="s">
        <v>3104</v>
      </c>
      <c r="EG131" s="341" t="s">
        <v>3321</v>
      </c>
      <c r="EH131" s="341" t="s">
        <v>4463</v>
      </c>
      <c r="EI131" s="341" t="str">
        <f t="shared" si="16"/>
        <v>Antioquia_San Luis</v>
      </c>
    </row>
    <row r="132" spans="1:139" ht="168">
      <c r="A132" s="228">
        <v>40210</v>
      </c>
      <c r="B132" s="102" t="s">
        <v>1604</v>
      </c>
      <c r="C132" s="102" t="s">
        <v>1957</v>
      </c>
      <c r="D132" s="206" t="s">
        <v>1752</v>
      </c>
      <c r="E132" s="320" t="s">
        <v>3726</v>
      </c>
      <c r="F132" s="320"/>
      <c r="G132" s="210"/>
      <c r="H132" s="71"/>
      <c r="I132" s="71"/>
      <c r="J132" s="71"/>
      <c r="K132" s="71"/>
      <c r="L132" s="1"/>
      <c r="M132" s="73">
        <f t="shared" si="17"/>
        <v>0</v>
      </c>
      <c r="N132" s="73">
        <f t="shared" si="18"/>
        <v>0</v>
      </c>
      <c r="O132" s="73">
        <f t="shared" si="19"/>
        <v>0</v>
      </c>
      <c r="P132" s="73">
        <f t="shared" si="20"/>
        <v>0</v>
      </c>
      <c r="Q132" s="73"/>
      <c r="R132" s="73">
        <v>0</v>
      </c>
      <c r="S132" s="75">
        <f t="shared" si="15"/>
        <v>0</v>
      </c>
      <c r="T132" s="77">
        <v>0</v>
      </c>
      <c r="U132" s="66">
        <v>40210</v>
      </c>
      <c r="V132" s="79"/>
      <c r="W132" s="66" t="s">
        <v>1585</v>
      </c>
      <c r="X132" s="67" t="s">
        <v>1586</v>
      </c>
      <c r="Y132" s="68"/>
      <c r="Z132" s="196" t="s">
        <v>894</v>
      </c>
      <c r="AA132" s="274" t="s">
        <v>2432</v>
      </c>
      <c r="AB132" s="3"/>
      <c r="AC132" s="4"/>
      <c r="AD132" s="5"/>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6"/>
      <c r="CE132" s="7"/>
      <c r="CF132" s="6"/>
      <c r="CG132" s="7"/>
      <c r="CH132" s="6"/>
      <c r="CI132" s="7"/>
      <c r="CJ132" s="8">
        <f t="shared" si="21"/>
        <v>0</v>
      </c>
      <c r="CK132" s="9"/>
      <c r="CL132" s="10"/>
      <c r="CM132" s="11"/>
      <c r="CN132" s="12"/>
      <c r="CO132" s="28"/>
      <c r="CP132" s="12"/>
      <c r="CQ132" s="9"/>
      <c r="CR132" s="10"/>
      <c r="CS132" s="68"/>
      <c r="EC132" s="344" t="str">
        <f t="shared" si="22"/>
        <v>CUNDINAMARCA_LA MESA</v>
      </c>
      <c r="ED132" s="341"/>
      <c r="EE132" s="341" t="s">
        <v>3103</v>
      </c>
      <c r="EF132" s="349" t="s">
        <v>3104</v>
      </c>
      <c r="EG132" s="341" t="s">
        <v>3322</v>
      </c>
      <c r="EH132" s="341" t="s">
        <v>4464</v>
      </c>
      <c r="EI132" s="341" t="str">
        <f t="shared" si="16"/>
        <v>Antioquia_San Pedro</v>
      </c>
    </row>
    <row r="133" spans="1:139" ht="144">
      <c r="A133" s="228">
        <v>40210</v>
      </c>
      <c r="B133" s="102" t="s">
        <v>1604</v>
      </c>
      <c r="C133" s="102" t="s">
        <v>1958</v>
      </c>
      <c r="D133" s="206" t="s">
        <v>1752</v>
      </c>
      <c r="E133" s="320" t="s">
        <v>3727</v>
      </c>
      <c r="F133" s="320"/>
      <c r="G133" s="210"/>
      <c r="H133" s="71"/>
      <c r="I133" s="71"/>
      <c r="J133" s="71"/>
      <c r="K133" s="71"/>
      <c r="L133" s="1"/>
      <c r="M133" s="73">
        <f t="shared" si="17"/>
        <v>0</v>
      </c>
      <c r="N133" s="73">
        <f t="shared" si="18"/>
        <v>0</v>
      </c>
      <c r="O133" s="73">
        <f t="shared" si="19"/>
        <v>0</v>
      </c>
      <c r="P133" s="73">
        <f t="shared" si="20"/>
        <v>0</v>
      </c>
      <c r="Q133" s="73"/>
      <c r="R133" s="73">
        <v>0</v>
      </c>
      <c r="S133" s="75">
        <f t="shared" si="15"/>
        <v>0</v>
      </c>
      <c r="T133" s="77">
        <v>0</v>
      </c>
      <c r="U133" s="66">
        <v>40210</v>
      </c>
      <c r="V133" s="79"/>
      <c r="W133" s="66" t="s">
        <v>1585</v>
      </c>
      <c r="X133" s="67" t="s">
        <v>1586</v>
      </c>
      <c r="Y133" s="68"/>
      <c r="Z133" s="196" t="s">
        <v>894</v>
      </c>
      <c r="AA133" s="274" t="s">
        <v>1639</v>
      </c>
      <c r="AB133" s="3"/>
      <c r="AC133" s="4"/>
      <c r="AD133" s="5"/>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6"/>
      <c r="CE133" s="7"/>
      <c r="CF133" s="6"/>
      <c r="CG133" s="7"/>
      <c r="CH133" s="6"/>
      <c r="CI133" s="7"/>
      <c r="CJ133" s="8">
        <f t="shared" si="21"/>
        <v>0</v>
      </c>
      <c r="CK133" s="9"/>
      <c r="CL133" s="10"/>
      <c r="CM133" s="11"/>
      <c r="CN133" s="12"/>
      <c r="CO133" s="28"/>
      <c r="CP133" s="12"/>
      <c r="CQ133" s="9"/>
      <c r="CR133" s="10"/>
      <c r="CS133" s="68"/>
      <c r="EC133" s="344" t="str">
        <f t="shared" si="22"/>
        <v>CUNDINAMARCA_LA PALMA</v>
      </c>
      <c r="ED133" s="341"/>
      <c r="EE133" s="341" t="s">
        <v>3103</v>
      </c>
      <c r="EF133" s="349" t="s">
        <v>3104</v>
      </c>
      <c r="EG133" s="341" t="s">
        <v>3323</v>
      </c>
      <c r="EH133" s="341" t="s">
        <v>4465</v>
      </c>
      <c r="EI133" s="341" t="str">
        <f t="shared" si="16"/>
        <v>Antioquia_San Pedro de Uraba</v>
      </c>
    </row>
    <row r="134" spans="1:139" ht="132">
      <c r="A134" s="228">
        <v>40210</v>
      </c>
      <c r="B134" s="102" t="s">
        <v>1604</v>
      </c>
      <c r="C134" s="102" t="s">
        <v>1959</v>
      </c>
      <c r="D134" s="206" t="s">
        <v>1752</v>
      </c>
      <c r="E134" s="320" t="s">
        <v>3728</v>
      </c>
      <c r="F134" s="320"/>
      <c r="G134" s="210"/>
      <c r="H134" s="71"/>
      <c r="I134" s="71"/>
      <c r="J134" s="71"/>
      <c r="K134" s="71"/>
      <c r="L134" s="1"/>
      <c r="M134" s="73">
        <f t="shared" si="17"/>
        <v>0</v>
      </c>
      <c r="N134" s="73">
        <f t="shared" si="18"/>
        <v>0</v>
      </c>
      <c r="O134" s="73">
        <f t="shared" si="19"/>
        <v>0</v>
      </c>
      <c r="P134" s="73">
        <f t="shared" si="20"/>
        <v>0</v>
      </c>
      <c r="Q134" s="73"/>
      <c r="R134" s="73">
        <v>0</v>
      </c>
      <c r="S134" s="75">
        <f t="shared" si="15"/>
        <v>0</v>
      </c>
      <c r="T134" s="77">
        <v>0</v>
      </c>
      <c r="U134" s="66">
        <v>40210</v>
      </c>
      <c r="V134" s="79"/>
      <c r="W134" s="66" t="s">
        <v>1585</v>
      </c>
      <c r="X134" s="67" t="s">
        <v>1586</v>
      </c>
      <c r="Y134" s="68"/>
      <c r="Z134" s="196" t="s">
        <v>894</v>
      </c>
      <c r="AA134" s="274" t="s">
        <v>297</v>
      </c>
      <c r="AB134" s="3"/>
      <c r="AC134" s="4"/>
      <c r="AD134" s="5"/>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6"/>
      <c r="CE134" s="7"/>
      <c r="CF134" s="6"/>
      <c r="CG134" s="7"/>
      <c r="CH134" s="6"/>
      <c r="CI134" s="7"/>
      <c r="CJ134" s="8">
        <f t="shared" si="21"/>
        <v>0</v>
      </c>
      <c r="CK134" s="9"/>
      <c r="CL134" s="10"/>
      <c r="CM134" s="11"/>
      <c r="CN134" s="12"/>
      <c r="CO134" s="28"/>
      <c r="CP134" s="12"/>
      <c r="CQ134" s="9"/>
      <c r="CR134" s="10"/>
      <c r="CS134" s="68"/>
      <c r="EC134" s="344" t="str">
        <f t="shared" si="22"/>
        <v>CUNDINAMARCA_LA PEÑA</v>
      </c>
      <c r="ED134" s="341"/>
      <c r="EE134" s="341" t="s">
        <v>3103</v>
      </c>
      <c r="EF134" s="349" t="s">
        <v>3104</v>
      </c>
      <c r="EG134" s="341" t="s">
        <v>3324</v>
      </c>
      <c r="EH134" s="341" t="s">
        <v>4466</v>
      </c>
      <c r="EI134" s="341" t="str">
        <f t="shared" si="16"/>
        <v>Antioquia_San Rafael</v>
      </c>
    </row>
    <row r="135" spans="1:139" ht="96">
      <c r="A135" s="228">
        <v>40210</v>
      </c>
      <c r="B135" s="102" t="s">
        <v>1604</v>
      </c>
      <c r="C135" s="102" t="s">
        <v>1960</v>
      </c>
      <c r="D135" s="206" t="s">
        <v>1752</v>
      </c>
      <c r="E135" s="320" t="s">
        <v>3730</v>
      </c>
      <c r="F135" s="320"/>
      <c r="G135" s="210"/>
      <c r="H135" s="71"/>
      <c r="I135" s="71"/>
      <c r="J135" s="71"/>
      <c r="K135" s="71"/>
      <c r="L135" s="1"/>
      <c r="M135" s="73">
        <f t="shared" si="17"/>
        <v>0</v>
      </c>
      <c r="N135" s="73">
        <f t="shared" si="18"/>
        <v>0</v>
      </c>
      <c r="O135" s="73">
        <f t="shared" si="19"/>
        <v>0</v>
      </c>
      <c r="P135" s="73">
        <f t="shared" si="20"/>
        <v>0</v>
      </c>
      <c r="Q135" s="73"/>
      <c r="R135" s="73">
        <v>0</v>
      </c>
      <c r="S135" s="75">
        <f t="shared" si="15"/>
        <v>0</v>
      </c>
      <c r="T135" s="77">
        <v>0</v>
      </c>
      <c r="U135" s="66">
        <v>40210</v>
      </c>
      <c r="V135" s="79"/>
      <c r="W135" s="66" t="s">
        <v>1585</v>
      </c>
      <c r="X135" s="67" t="s">
        <v>1586</v>
      </c>
      <c r="Y135" s="68"/>
      <c r="Z135" s="196" t="s">
        <v>894</v>
      </c>
      <c r="AA135" s="274" t="s">
        <v>298</v>
      </c>
      <c r="AB135" s="3"/>
      <c r="AC135" s="4"/>
      <c r="AD135" s="5"/>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6"/>
      <c r="CE135" s="7"/>
      <c r="CF135" s="6"/>
      <c r="CG135" s="7"/>
      <c r="CH135" s="6"/>
      <c r="CI135" s="7"/>
      <c r="CJ135" s="8">
        <f t="shared" si="21"/>
        <v>0</v>
      </c>
      <c r="CK135" s="9"/>
      <c r="CL135" s="10"/>
      <c r="CM135" s="11"/>
      <c r="CN135" s="12"/>
      <c r="CO135" s="28"/>
      <c r="CP135" s="12"/>
      <c r="CQ135" s="9"/>
      <c r="CR135" s="10"/>
      <c r="CS135" s="68"/>
      <c r="EC135" s="344" t="str">
        <f t="shared" si="22"/>
        <v>CUNDINAMARCA_LENGUAZAQUE</v>
      </c>
      <c r="ED135" s="341"/>
      <c r="EE135" s="341" t="s">
        <v>3103</v>
      </c>
      <c r="EF135" s="349" t="s">
        <v>3104</v>
      </c>
      <c r="EG135" s="341" t="s">
        <v>3325</v>
      </c>
      <c r="EH135" s="341" t="s">
        <v>4467</v>
      </c>
      <c r="EI135" s="341" t="str">
        <f t="shared" si="16"/>
        <v>Antioquia_San Roque</v>
      </c>
    </row>
    <row r="136" spans="1:139" ht="96">
      <c r="A136" s="228">
        <v>40210</v>
      </c>
      <c r="B136" s="102" t="s">
        <v>1604</v>
      </c>
      <c r="C136" s="102" t="s">
        <v>949</v>
      </c>
      <c r="D136" s="206" t="s">
        <v>1752</v>
      </c>
      <c r="E136" s="320" t="s">
        <v>3744</v>
      </c>
      <c r="F136" s="320"/>
      <c r="G136" s="210"/>
      <c r="H136" s="71"/>
      <c r="I136" s="71"/>
      <c r="J136" s="71"/>
      <c r="K136" s="71"/>
      <c r="L136" s="1"/>
      <c r="M136" s="73">
        <f t="shared" si="17"/>
        <v>0</v>
      </c>
      <c r="N136" s="73">
        <f t="shared" si="18"/>
        <v>0</v>
      </c>
      <c r="O136" s="73">
        <f t="shared" si="19"/>
        <v>0</v>
      </c>
      <c r="P136" s="73">
        <f t="shared" si="20"/>
        <v>0</v>
      </c>
      <c r="Q136" s="73"/>
      <c r="R136" s="73">
        <v>0</v>
      </c>
      <c r="S136" s="75">
        <f t="shared" si="15"/>
        <v>0</v>
      </c>
      <c r="T136" s="77">
        <v>0</v>
      </c>
      <c r="U136" s="66">
        <v>40210</v>
      </c>
      <c r="V136" s="79"/>
      <c r="W136" s="66" t="s">
        <v>1585</v>
      </c>
      <c r="X136" s="67" t="s">
        <v>1586</v>
      </c>
      <c r="Y136" s="68"/>
      <c r="Z136" s="196" t="s">
        <v>894</v>
      </c>
      <c r="AA136" s="274" t="s">
        <v>300</v>
      </c>
      <c r="AB136" s="3"/>
      <c r="AC136" s="4"/>
      <c r="AD136" s="5"/>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6"/>
      <c r="CE136" s="7"/>
      <c r="CF136" s="6"/>
      <c r="CG136" s="7"/>
      <c r="CH136" s="6"/>
      <c r="CI136" s="7"/>
      <c r="CJ136" s="8">
        <f t="shared" si="21"/>
        <v>0</v>
      </c>
      <c r="CK136" s="9"/>
      <c r="CL136" s="10"/>
      <c r="CM136" s="11"/>
      <c r="CN136" s="12"/>
      <c r="CO136" s="28"/>
      <c r="CP136" s="12"/>
      <c r="CQ136" s="9"/>
      <c r="CR136" s="10"/>
      <c r="CS136" s="68"/>
      <c r="EC136" s="344" t="str">
        <f t="shared" si="22"/>
        <v>CUNDINAMARCA_PANDI</v>
      </c>
      <c r="ED136" s="341"/>
      <c r="EE136" s="341" t="s">
        <v>3103</v>
      </c>
      <c r="EF136" s="349" t="s">
        <v>3104</v>
      </c>
      <c r="EG136" s="341" t="s">
        <v>3326</v>
      </c>
      <c r="EH136" s="341" t="s">
        <v>4468</v>
      </c>
      <c r="EI136" s="341" t="str">
        <f t="shared" si="16"/>
        <v>Antioquia_San Vicente</v>
      </c>
    </row>
    <row r="137" spans="1:139" ht="60">
      <c r="A137" s="228">
        <v>40210</v>
      </c>
      <c r="B137" s="102" t="s">
        <v>1604</v>
      </c>
      <c r="C137" s="102" t="s">
        <v>950</v>
      </c>
      <c r="D137" s="206" t="s">
        <v>1752</v>
      </c>
      <c r="E137" s="320" t="s">
        <v>3745</v>
      </c>
      <c r="F137" s="320"/>
      <c r="G137" s="210"/>
      <c r="H137" s="71"/>
      <c r="I137" s="71"/>
      <c r="J137" s="71"/>
      <c r="K137" s="71"/>
      <c r="L137" s="1"/>
      <c r="M137" s="73">
        <f t="shared" si="17"/>
        <v>0</v>
      </c>
      <c r="N137" s="73">
        <f t="shared" si="18"/>
        <v>0</v>
      </c>
      <c r="O137" s="73">
        <f t="shared" si="19"/>
        <v>0</v>
      </c>
      <c r="P137" s="73">
        <f t="shared" si="20"/>
        <v>0</v>
      </c>
      <c r="Q137" s="73"/>
      <c r="R137" s="73">
        <v>0</v>
      </c>
      <c r="S137" s="75">
        <f t="shared" ref="S137:S200" si="23">M137+N137+O137+P137+Q137+R137</f>
        <v>0</v>
      </c>
      <c r="T137" s="77">
        <v>0</v>
      </c>
      <c r="U137" s="66">
        <v>40210</v>
      </c>
      <c r="V137" s="79"/>
      <c r="W137" s="66" t="s">
        <v>1585</v>
      </c>
      <c r="X137" s="67" t="s">
        <v>1586</v>
      </c>
      <c r="Y137" s="68"/>
      <c r="Z137" s="196" t="s">
        <v>894</v>
      </c>
      <c r="AA137" s="274" t="s">
        <v>1890</v>
      </c>
      <c r="AB137" s="3"/>
      <c r="AC137" s="4"/>
      <c r="AD137" s="5"/>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6"/>
      <c r="CE137" s="7"/>
      <c r="CF137" s="6"/>
      <c r="CG137" s="7"/>
      <c r="CH137" s="6"/>
      <c r="CI137" s="7"/>
      <c r="CJ137" s="8">
        <f t="shared" si="21"/>
        <v>0</v>
      </c>
      <c r="CK137" s="9"/>
      <c r="CL137" s="10"/>
      <c r="CM137" s="11"/>
      <c r="CN137" s="12"/>
      <c r="CO137" s="28"/>
      <c r="CP137" s="12"/>
      <c r="CQ137" s="9"/>
      <c r="CR137" s="10"/>
      <c r="CS137" s="68"/>
      <c r="EC137" s="344" t="str">
        <f t="shared" si="22"/>
        <v>CUNDINAMARCA_PARATEBUENO</v>
      </c>
      <c r="ED137" s="341"/>
      <c r="EE137" s="341" t="s">
        <v>3103</v>
      </c>
      <c r="EF137" s="349" t="s">
        <v>3104</v>
      </c>
      <c r="EG137" s="341" t="s">
        <v>3327</v>
      </c>
      <c r="EH137" s="341" t="s">
        <v>4469</v>
      </c>
      <c r="EI137" s="341" t="str">
        <f t="shared" si="16"/>
        <v>Antioquia_Santa Barbara</v>
      </c>
    </row>
    <row r="138" spans="1:139" ht="51">
      <c r="A138" s="228">
        <v>40210</v>
      </c>
      <c r="B138" s="102" t="s">
        <v>1604</v>
      </c>
      <c r="C138" s="102" t="s">
        <v>951</v>
      </c>
      <c r="D138" s="206" t="s">
        <v>1752</v>
      </c>
      <c r="E138" s="320" t="s">
        <v>3747</v>
      </c>
      <c r="F138" s="320"/>
      <c r="G138" s="210"/>
      <c r="H138" s="71"/>
      <c r="I138" s="71"/>
      <c r="J138" s="71"/>
      <c r="K138" s="71"/>
      <c r="L138" s="1"/>
      <c r="M138" s="73">
        <f t="shared" si="17"/>
        <v>0</v>
      </c>
      <c r="N138" s="73">
        <f t="shared" si="18"/>
        <v>0</v>
      </c>
      <c r="O138" s="73">
        <f t="shared" si="19"/>
        <v>0</v>
      </c>
      <c r="P138" s="73">
        <f t="shared" si="20"/>
        <v>0</v>
      </c>
      <c r="Q138" s="73"/>
      <c r="R138" s="73">
        <v>0</v>
      </c>
      <c r="S138" s="75">
        <f t="shared" si="23"/>
        <v>0</v>
      </c>
      <c r="T138" s="77">
        <v>0</v>
      </c>
      <c r="U138" s="66">
        <v>40210</v>
      </c>
      <c r="V138" s="79"/>
      <c r="W138" s="66" t="s">
        <v>1585</v>
      </c>
      <c r="X138" s="67" t="s">
        <v>1586</v>
      </c>
      <c r="Y138" s="68"/>
      <c r="Z138" s="196" t="s">
        <v>894</v>
      </c>
      <c r="AA138" s="274" t="s">
        <v>2578</v>
      </c>
      <c r="AB138" s="3"/>
      <c r="AC138" s="4"/>
      <c r="AD138" s="5"/>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6"/>
      <c r="CE138" s="7"/>
      <c r="CF138" s="6"/>
      <c r="CG138" s="7"/>
      <c r="CH138" s="6"/>
      <c r="CI138" s="7"/>
      <c r="CJ138" s="8">
        <f t="shared" si="21"/>
        <v>0</v>
      </c>
      <c r="CK138" s="9"/>
      <c r="CL138" s="10"/>
      <c r="CM138" s="11"/>
      <c r="CN138" s="12"/>
      <c r="CO138" s="28"/>
      <c r="CP138" s="12"/>
      <c r="CQ138" s="9"/>
      <c r="CR138" s="10"/>
      <c r="CS138" s="68"/>
      <c r="EC138" s="344" t="str">
        <f t="shared" si="22"/>
        <v>CUNDINAMARCA_PUERTO SALGAR</v>
      </c>
      <c r="ED138" s="341"/>
      <c r="EE138" s="341" t="s">
        <v>3103</v>
      </c>
      <c r="EF138" s="349" t="s">
        <v>3104</v>
      </c>
      <c r="EG138" s="341" t="s">
        <v>3328</v>
      </c>
      <c r="EH138" s="341" t="s">
        <v>4470</v>
      </c>
      <c r="EI138" s="341" t="str">
        <f t="shared" si="16"/>
        <v>Antioquia_Santa Rosa de Osos</v>
      </c>
    </row>
    <row r="139" spans="1:139" ht="120">
      <c r="A139" s="228">
        <v>40210</v>
      </c>
      <c r="B139" s="102" t="s">
        <v>1604</v>
      </c>
      <c r="C139" s="102" t="s">
        <v>952</v>
      </c>
      <c r="D139" s="206" t="s">
        <v>1752</v>
      </c>
      <c r="E139" s="320" t="s">
        <v>3748</v>
      </c>
      <c r="F139" s="320"/>
      <c r="G139" s="210"/>
      <c r="H139" s="71"/>
      <c r="I139" s="71"/>
      <c r="J139" s="71"/>
      <c r="K139" s="71"/>
      <c r="L139" s="1"/>
      <c r="M139" s="73">
        <f t="shared" si="17"/>
        <v>0</v>
      </c>
      <c r="N139" s="73">
        <f t="shared" si="18"/>
        <v>0</v>
      </c>
      <c r="O139" s="73">
        <f t="shared" si="19"/>
        <v>0</v>
      </c>
      <c r="P139" s="73">
        <f t="shared" si="20"/>
        <v>0</v>
      </c>
      <c r="Q139" s="73"/>
      <c r="R139" s="73">
        <v>0</v>
      </c>
      <c r="S139" s="75">
        <f t="shared" si="23"/>
        <v>0</v>
      </c>
      <c r="T139" s="77">
        <v>0</v>
      </c>
      <c r="U139" s="66">
        <v>40210</v>
      </c>
      <c r="V139" s="79"/>
      <c r="W139" s="66" t="s">
        <v>1585</v>
      </c>
      <c r="X139" s="67" t="s">
        <v>1586</v>
      </c>
      <c r="Y139" s="68"/>
      <c r="Z139" s="196" t="s">
        <v>894</v>
      </c>
      <c r="AA139" s="274" t="s">
        <v>1704</v>
      </c>
      <c r="AB139" s="3"/>
      <c r="AC139" s="4"/>
      <c r="AD139" s="5"/>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6"/>
      <c r="CE139" s="7"/>
      <c r="CF139" s="6"/>
      <c r="CG139" s="7"/>
      <c r="CH139" s="6"/>
      <c r="CI139" s="7"/>
      <c r="CJ139" s="8">
        <f t="shared" si="21"/>
        <v>0</v>
      </c>
      <c r="CK139" s="9"/>
      <c r="CL139" s="10"/>
      <c r="CM139" s="11"/>
      <c r="CN139" s="12"/>
      <c r="CO139" s="28"/>
      <c r="CP139" s="12"/>
      <c r="CQ139" s="9"/>
      <c r="CR139" s="10"/>
      <c r="CS139" s="68"/>
      <c r="EC139" s="344" t="str">
        <f t="shared" si="22"/>
        <v>CUNDINAMARCA_PULI</v>
      </c>
      <c r="ED139" s="341"/>
      <c r="EE139" s="341" t="s">
        <v>3103</v>
      </c>
      <c r="EF139" s="354" t="s">
        <v>3104</v>
      </c>
      <c r="EG139" s="341" t="s">
        <v>3329</v>
      </c>
      <c r="EH139" s="341" t="s">
        <v>4471</v>
      </c>
      <c r="EI139" s="341" t="str">
        <f t="shared" si="16"/>
        <v>Antioquia_Santo Domingo</v>
      </c>
    </row>
    <row r="140" spans="1:139" ht="96">
      <c r="A140" s="228">
        <v>40210</v>
      </c>
      <c r="B140" s="102" t="s">
        <v>1604</v>
      </c>
      <c r="C140" s="102" t="s">
        <v>953</v>
      </c>
      <c r="D140" s="206" t="s">
        <v>1752</v>
      </c>
      <c r="E140" s="320" t="s">
        <v>3750</v>
      </c>
      <c r="F140" s="320"/>
      <c r="G140" s="210"/>
      <c r="H140" s="71"/>
      <c r="I140" s="71"/>
      <c r="J140" s="71"/>
      <c r="K140" s="71"/>
      <c r="L140" s="1"/>
      <c r="M140" s="73">
        <f t="shared" si="17"/>
        <v>0</v>
      </c>
      <c r="N140" s="73">
        <f t="shared" si="18"/>
        <v>0</v>
      </c>
      <c r="O140" s="73">
        <f t="shared" si="19"/>
        <v>0</v>
      </c>
      <c r="P140" s="73">
        <f t="shared" si="20"/>
        <v>0</v>
      </c>
      <c r="Q140" s="73"/>
      <c r="R140" s="73">
        <v>0</v>
      </c>
      <c r="S140" s="75">
        <f t="shared" si="23"/>
        <v>0</v>
      </c>
      <c r="T140" s="77">
        <v>0</v>
      </c>
      <c r="U140" s="66">
        <v>40210</v>
      </c>
      <c r="V140" s="79"/>
      <c r="W140" s="66" t="s">
        <v>1585</v>
      </c>
      <c r="X140" s="67" t="s">
        <v>1586</v>
      </c>
      <c r="Y140" s="68"/>
      <c r="Z140" s="196" t="s">
        <v>894</v>
      </c>
      <c r="AA140" s="274" t="s">
        <v>1705</v>
      </c>
      <c r="AB140" s="3"/>
      <c r="AC140" s="4"/>
      <c r="AD140" s="5"/>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6"/>
      <c r="CE140" s="7"/>
      <c r="CF140" s="6"/>
      <c r="CG140" s="7"/>
      <c r="CH140" s="6"/>
      <c r="CI140" s="7"/>
      <c r="CJ140" s="8">
        <f t="shared" si="21"/>
        <v>0</v>
      </c>
      <c r="CK140" s="9"/>
      <c r="CL140" s="10"/>
      <c r="CM140" s="11"/>
      <c r="CN140" s="12"/>
      <c r="CO140" s="28"/>
      <c r="CP140" s="12"/>
      <c r="CQ140" s="9"/>
      <c r="CR140" s="10"/>
      <c r="CS140" s="68"/>
      <c r="EC140" s="344" t="str">
        <f t="shared" si="22"/>
        <v>CUNDINAMARCA_QUETAME</v>
      </c>
      <c r="ED140" s="341"/>
      <c r="EE140" s="341" t="s">
        <v>3103</v>
      </c>
      <c r="EF140" s="349" t="s">
        <v>3104</v>
      </c>
      <c r="EG140" s="341" t="s">
        <v>3330</v>
      </c>
      <c r="EH140" s="341" t="s">
        <v>4472</v>
      </c>
      <c r="EI140" s="341" t="str">
        <f t="shared" si="16"/>
        <v>Antioquia_El Santuario</v>
      </c>
    </row>
    <row r="141" spans="1:139" ht="48">
      <c r="A141" s="228">
        <v>40210</v>
      </c>
      <c r="B141" s="102" t="s">
        <v>1604</v>
      </c>
      <c r="C141" s="102" t="s">
        <v>954</v>
      </c>
      <c r="D141" s="206" t="s">
        <v>1752</v>
      </c>
      <c r="E141" s="320" t="s">
        <v>3755</v>
      </c>
      <c r="F141" s="320"/>
      <c r="G141" s="210"/>
      <c r="H141" s="71"/>
      <c r="I141" s="71"/>
      <c r="J141" s="71"/>
      <c r="K141" s="71"/>
      <c r="L141" s="1"/>
      <c r="M141" s="73">
        <f t="shared" si="17"/>
        <v>0</v>
      </c>
      <c r="N141" s="73">
        <f t="shared" si="18"/>
        <v>0</v>
      </c>
      <c r="O141" s="73">
        <f t="shared" si="19"/>
        <v>0</v>
      </c>
      <c r="P141" s="73">
        <f t="shared" si="20"/>
        <v>0</v>
      </c>
      <c r="Q141" s="73"/>
      <c r="R141" s="73">
        <v>0</v>
      </c>
      <c r="S141" s="75">
        <f t="shared" si="23"/>
        <v>0</v>
      </c>
      <c r="T141" s="77">
        <v>0</v>
      </c>
      <c r="U141" s="66">
        <v>40210</v>
      </c>
      <c r="V141" s="79"/>
      <c r="W141" s="66" t="s">
        <v>1585</v>
      </c>
      <c r="X141" s="67" t="s">
        <v>1586</v>
      </c>
      <c r="Y141" s="68"/>
      <c r="Z141" s="196" t="s">
        <v>894</v>
      </c>
      <c r="AA141" s="274" t="s">
        <v>2578</v>
      </c>
      <c r="AB141" s="3"/>
      <c r="AC141" s="4"/>
      <c r="AD141" s="5"/>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6"/>
      <c r="CE141" s="7"/>
      <c r="CF141" s="6"/>
      <c r="CG141" s="7"/>
      <c r="CH141" s="6"/>
      <c r="CI141" s="7"/>
      <c r="CJ141" s="8">
        <f t="shared" si="21"/>
        <v>0</v>
      </c>
      <c r="CK141" s="9"/>
      <c r="CL141" s="10"/>
      <c r="CM141" s="11"/>
      <c r="CN141" s="12"/>
      <c r="CO141" s="28"/>
      <c r="CP141" s="12"/>
      <c r="CQ141" s="9"/>
      <c r="CR141" s="10"/>
      <c r="CS141" s="68"/>
      <c r="EC141" s="344" t="str">
        <f t="shared" si="22"/>
        <v>CUNDINAMARCA_SAN BERNARDO</v>
      </c>
      <c r="ED141" s="341"/>
      <c r="EE141" s="341" t="s">
        <v>3103</v>
      </c>
      <c r="EF141" s="349" t="s">
        <v>3104</v>
      </c>
      <c r="EG141" s="341" t="s">
        <v>3331</v>
      </c>
      <c r="EH141" s="341" t="s">
        <v>4473</v>
      </c>
      <c r="EI141" s="341" t="str">
        <f t="shared" si="16"/>
        <v>Antioquia_Segovia</v>
      </c>
    </row>
    <row r="142" spans="1:139" ht="84">
      <c r="A142" s="228">
        <v>40210</v>
      </c>
      <c r="B142" s="102" t="s">
        <v>1604</v>
      </c>
      <c r="C142" s="102" t="s">
        <v>3145</v>
      </c>
      <c r="D142" s="206" t="s">
        <v>1752</v>
      </c>
      <c r="E142" s="320" t="s">
        <v>3758</v>
      </c>
      <c r="F142" s="320"/>
      <c r="G142" s="210"/>
      <c r="H142" s="71"/>
      <c r="I142" s="71"/>
      <c r="J142" s="71"/>
      <c r="K142" s="71"/>
      <c r="L142" s="1"/>
      <c r="M142" s="73">
        <f t="shared" si="17"/>
        <v>0</v>
      </c>
      <c r="N142" s="73">
        <f t="shared" si="18"/>
        <v>0</v>
      </c>
      <c r="O142" s="73">
        <f t="shared" si="19"/>
        <v>0</v>
      </c>
      <c r="P142" s="73">
        <f t="shared" si="20"/>
        <v>0</v>
      </c>
      <c r="Q142" s="73"/>
      <c r="R142" s="73">
        <v>0</v>
      </c>
      <c r="S142" s="75">
        <f t="shared" si="23"/>
        <v>0</v>
      </c>
      <c r="T142" s="77">
        <v>0</v>
      </c>
      <c r="U142" s="66">
        <v>40210</v>
      </c>
      <c r="V142" s="79"/>
      <c r="W142" s="66" t="s">
        <v>1585</v>
      </c>
      <c r="X142" s="67" t="s">
        <v>1586</v>
      </c>
      <c r="Y142" s="68"/>
      <c r="Z142" s="196" t="s">
        <v>894</v>
      </c>
      <c r="AA142" s="274" t="s">
        <v>2735</v>
      </c>
      <c r="AB142" s="3"/>
      <c r="AC142" s="4"/>
      <c r="AD142" s="5"/>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6"/>
      <c r="CE142" s="7"/>
      <c r="CF142" s="6"/>
      <c r="CG142" s="7"/>
      <c r="CH142" s="6"/>
      <c r="CI142" s="7"/>
      <c r="CJ142" s="8">
        <f t="shared" si="21"/>
        <v>0</v>
      </c>
      <c r="CK142" s="9"/>
      <c r="CL142" s="10"/>
      <c r="CM142" s="11"/>
      <c r="CN142" s="12"/>
      <c r="CO142" s="28"/>
      <c r="CP142" s="12"/>
      <c r="CQ142" s="9"/>
      <c r="CR142" s="10"/>
      <c r="CS142" s="68"/>
      <c r="EC142" s="344" t="str">
        <f t="shared" si="22"/>
        <v>CUNDINAMARCA_SAN JUAN DE RIO SECO</v>
      </c>
      <c r="ED142" s="341"/>
      <c r="EE142" s="341" t="s">
        <v>3103</v>
      </c>
      <c r="EF142" s="349" t="s">
        <v>3104</v>
      </c>
      <c r="EG142" s="341" t="s">
        <v>3332</v>
      </c>
      <c r="EH142" s="341" t="s">
        <v>4474</v>
      </c>
      <c r="EI142" s="341" t="str">
        <f t="shared" si="16"/>
        <v>Antioquia_Sonson</v>
      </c>
    </row>
    <row r="143" spans="1:139" ht="84">
      <c r="A143" s="228">
        <v>40210</v>
      </c>
      <c r="B143" s="102" t="s">
        <v>1604</v>
      </c>
      <c r="C143" s="102" t="s">
        <v>2966</v>
      </c>
      <c r="D143" s="206" t="s">
        <v>1752</v>
      </c>
      <c r="E143" s="320" t="s">
        <v>3775</v>
      </c>
      <c r="F143" s="320"/>
      <c r="G143" s="210"/>
      <c r="H143" s="71"/>
      <c r="I143" s="71"/>
      <c r="J143" s="71"/>
      <c r="K143" s="71"/>
      <c r="L143" s="1"/>
      <c r="M143" s="73">
        <f t="shared" si="17"/>
        <v>0</v>
      </c>
      <c r="N143" s="73">
        <f t="shared" si="18"/>
        <v>0</v>
      </c>
      <c r="O143" s="73">
        <f t="shared" si="19"/>
        <v>0</v>
      </c>
      <c r="P143" s="73">
        <f t="shared" si="20"/>
        <v>0</v>
      </c>
      <c r="Q143" s="73"/>
      <c r="R143" s="73">
        <v>0</v>
      </c>
      <c r="S143" s="75">
        <f t="shared" si="23"/>
        <v>0</v>
      </c>
      <c r="T143" s="77">
        <v>0</v>
      </c>
      <c r="U143" s="66">
        <v>40210</v>
      </c>
      <c r="V143" s="79"/>
      <c r="W143" s="66" t="s">
        <v>1585</v>
      </c>
      <c r="X143" s="67" t="s">
        <v>1586</v>
      </c>
      <c r="Y143" s="68"/>
      <c r="Z143" s="196" t="s">
        <v>894</v>
      </c>
      <c r="AA143" s="274" t="s">
        <v>2412</v>
      </c>
      <c r="AB143" s="3"/>
      <c r="AC143" s="4"/>
      <c r="AD143" s="5"/>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6"/>
      <c r="CE143" s="7"/>
      <c r="CF143" s="6"/>
      <c r="CG143" s="7"/>
      <c r="CH143" s="6"/>
      <c r="CI143" s="7"/>
      <c r="CJ143" s="8">
        <f t="shared" si="21"/>
        <v>0</v>
      </c>
      <c r="CK143" s="9"/>
      <c r="CL143" s="10"/>
      <c r="CM143" s="11"/>
      <c r="CN143" s="12"/>
      <c r="CO143" s="28"/>
      <c r="CP143" s="12"/>
      <c r="CQ143" s="9"/>
      <c r="CR143" s="10"/>
      <c r="CS143" s="68"/>
      <c r="EC143" s="344" t="str">
        <f t="shared" si="22"/>
        <v>CUNDINAMARCA_TIBACUY</v>
      </c>
      <c r="ED143" s="341"/>
      <c r="EE143" s="341" t="s">
        <v>3103</v>
      </c>
      <c r="EF143" s="349" t="s">
        <v>3104</v>
      </c>
      <c r="EG143" s="341" t="s">
        <v>3333</v>
      </c>
      <c r="EH143" s="341" t="s">
        <v>4475</v>
      </c>
      <c r="EI143" s="341" t="str">
        <f t="shared" si="16"/>
        <v>Antioquia_Sopetran</v>
      </c>
    </row>
    <row r="144" spans="1:139" ht="72">
      <c r="A144" s="228">
        <v>40210</v>
      </c>
      <c r="B144" s="102" t="s">
        <v>1604</v>
      </c>
      <c r="C144" s="102" t="s">
        <v>955</v>
      </c>
      <c r="D144" s="206" t="s">
        <v>1752</v>
      </c>
      <c r="E144" s="320" t="s">
        <v>3784</v>
      </c>
      <c r="F144" s="320"/>
      <c r="G144" s="210"/>
      <c r="H144" s="71"/>
      <c r="I144" s="71"/>
      <c r="J144" s="71"/>
      <c r="K144" s="71"/>
      <c r="L144" s="1"/>
      <c r="M144" s="73">
        <f t="shared" si="17"/>
        <v>0</v>
      </c>
      <c r="N144" s="73">
        <f t="shared" si="18"/>
        <v>0</v>
      </c>
      <c r="O144" s="73">
        <f t="shared" si="19"/>
        <v>0</v>
      </c>
      <c r="P144" s="73">
        <f t="shared" si="20"/>
        <v>0</v>
      </c>
      <c r="Q144" s="73"/>
      <c r="R144" s="73">
        <v>0</v>
      </c>
      <c r="S144" s="75">
        <f t="shared" si="23"/>
        <v>0</v>
      </c>
      <c r="T144" s="77">
        <v>0</v>
      </c>
      <c r="U144" s="66">
        <v>40210</v>
      </c>
      <c r="V144" s="79"/>
      <c r="W144" s="66" t="s">
        <v>1585</v>
      </c>
      <c r="X144" s="67" t="s">
        <v>1586</v>
      </c>
      <c r="Y144" s="68"/>
      <c r="Z144" s="196" t="s">
        <v>894</v>
      </c>
      <c r="AA144" s="274" t="s">
        <v>2369</v>
      </c>
      <c r="AB144" s="3"/>
      <c r="AC144" s="4"/>
      <c r="AD144" s="5"/>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6"/>
      <c r="CE144" s="7"/>
      <c r="CF144" s="6"/>
      <c r="CG144" s="7"/>
      <c r="CH144" s="6"/>
      <c r="CI144" s="7"/>
      <c r="CJ144" s="8">
        <f t="shared" si="21"/>
        <v>0</v>
      </c>
      <c r="CK144" s="9"/>
      <c r="CL144" s="10"/>
      <c r="CM144" s="11"/>
      <c r="CN144" s="12"/>
      <c r="CO144" s="28"/>
      <c r="CP144" s="12"/>
      <c r="CQ144" s="9"/>
      <c r="CR144" s="10"/>
      <c r="CS144" s="68"/>
      <c r="EC144" s="355" t="str">
        <f t="shared" si="22"/>
        <v>CUNDINAMARCA_VERGARA</v>
      </c>
      <c r="ED144" s="356"/>
      <c r="EE144" s="341" t="s">
        <v>3103</v>
      </c>
      <c r="EF144" s="349" t="s">
        <v>3104</v>
      </c>
      <c r="EG144" s="341" t="s">
        <v>3334</v>
      </c>
      <c r="EH144" s="341" t="s">
        <v>4476</v>
      </c>
      <c r="EI144" s="341" t="str">
        <f t="shared" si="16"/>
        <v>Antioquia_Tamesis</v>
      </c>
    </row>
    <row r="145" spans="1:139" ht="48">
      <c r="A145" s="228">
        <v>40210</v>
      </c>
      <c r="B145" s="102" t="s">
        <v>1604</v>
      </c>
      <c r="C145" s="102" t="s">
        <v>956</v>
      </c>
      <c r="D145" s="206" t="s">
        <v>1752</v>
      </c>
      <c r="E145" s="320" t="s">
        <v>3788</v>
      </c>
      <c r="F145" s="320"/>
      <c r="G145" s="210"/>
      <c r="H145" s="71"/>
      <c r="I145" s="71"/>
      <c r="J145" s="71"/>
      <c r="K145" s="71"/>
      <c r="L145" s="1"/>
      <c r="M145" s="73">
        <f t="shared" si="17"/>
        <v>0</v>
      </c>
      <c r="N145" s="73">
        <f t="shared" si="18"/>
        <v>0</v>
      </c>
      <c r="O145" s="73">
        <f t="shared" si="19"/>
        <v>0</v>
      </c>
      <c r="P145" s="73">
        <f t="shared" si="20"/>
        <v>0</v>
      </c>
      <c r="Q145" s="73"/>
      <c r="R145" s="73">
        <v>0</v>
      </c>
      <c r="S145" s="75">
        <f t="shared" si="23"/>
        <v>0</v>
      </c>
      <c r="T145" s="77">
        <v>0</v>
      </c>
      <c r="U145" s="66">
        <v>40210</v>
      </c>
      <c r="V145" s="79"/>
      <c r="W145" s="66" t="s">
        <v>1585</v>
      </c>
      <c r="X145" s="67" t="s">
        <v>1586</v>
      </c>
      <c r="Y145" s="68"/>
      <c r="Z145" s="196" t="s">
        <v>894</v>
      </c>
      <c r="AA145" s="274" t="s">
        <v>2578</v>
      </c>
      <c r="AB145" s="3"/>
      <c r="AC145" s="4"/>
      <c r="AD145" s="5"/>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6"/>
      <c r="CE145" s="7"/>
      <c r="CF145" s="6"/>
      <c r="CG145" s="7"/>
      <c r="CH145" s="6"/>
      <c r="CI145" s="7"/>
      <c r="CJ145" s="8">
        <f t="shared" si="21"/>
        <v>0</v>
      </c>
      <c r="CK145" s="9"/>
      <c r="CL145" s="10"/>
      <c r="CM145" s="11"/>
      <c r="CN145" s="12"/>
      <c r="CO145" s="28"/>
      <c r="CP145" s="12"/>
      <c r="CQ145" s="9"/>
      <c r="CR145" s="10"/>
      <c r="CS145" s="68"/>
      <c r="EC145" s="344" t="str">
        <f t="shared" si="22"/>
        <v>CUNDINAMARCA_VILLETA</v>
      </c>
      <c r="ED145" s="341"/>
      <c r="EE145" s="341" t="s">
        <v>3103</v>
      </c>
      <c r="EF145" s="349" t="s">
        <v>3104</v>
      </c>
      <c r="EG145" s="341" t="s">
        <v>3335</v>
      </c>
      <c r="EH145" s="341" t="s">
        <v>4477</v>
      </c>
      <c r="EI145" s="341" t="str">
        <f t="shared" si="16"/>
        <v>Antioquia_Taraza</v>
      </c>
    </row>
    <row r="146" spans="1:139" ht="72">
      <c r="A146" s="228">
        <v>40210</v>
      </c>
      <c r="B146" s="102" t="s">
        <v>1604</v>
      </c>
      <c r="C146" s="102" t="s">
        <v>957</v>
      </c>
      <c r="D146" s="206" t="s">
        <v>1752</v>
      </c>
      <c r="E146" s="320" t="s">
        <v>3789</v>
      </c>
      <c r="F146" s="320"/>
      <c r="G146" s="210"/>
      <c r="H146" s="71"/>
      <c r="I146" s="71"/>
      <c r="J146" s="71"/>
      <c r="K146" s="71"/>
      <c r="L146" s="1"/>
      <c r="M146" s="73">
        <f t="shared" si="17"/>
        <v>0</v>
      </c>
      <c r="N146" s="73">
        <f t="shared" si="18"/>
        <v>0</v>
      </c>
      <c r="O146" s="73">
        <f t="shared" si="19"/>
        <v>0</v>
      </c>
      <c r="P146" s="73">
        <f t="shared" si="20"/>
        <v>0</v>
      </c>
      <c r="Q146" s="73"/>
      <c r="R146" s="73">
        <v>0</v>
      </c>
      <c r="S146" s="75">
        <f t="shared" si="23"/>
        <v>0</v>
      </c>
      <c r="T146" s="77">
        <v>0</v>
      </c>
      <c r="U146" s="66">
        <v>40210</v>
      </c>
      <c r="V146" s="79"/>
      <c r="W146" s="66" t="s">
        <v>1585</v>
      </c>
      <c r="X146" s="67" t="s">
        <v>1586</v>
      </c>
      <c r="Y146" s="68"/>
      <c r="Z146" s="196" t="s">
        <v>894</v>
      </c>
      <c r="AA146" s="274" t="s">
        <v>1006</v>
      </c>
      <c r="AB146" s="3"/>
      <c r="AC146" s="4"/>
      <c r="AD146" s="5"/>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6"/>
      <c r="CE146" s="7"/>
      <c r="CF146" s="6"/>
      <c r="CG146" s="7"/>
      <c r="CH146" s="6"/>
      <c r="CI146" s="7"/>
      <c r="CJ146" s="8">
        <f t="shared" si="21"/>
        <v>0</v>
      </c>
      <c r="CK146" s="9"/>
      <c r="CL146" s="10"/>
      <c r="CM146" s="11"/>
      <c r="CN146" s="12"/>
      <c r="CO146" s="28"/>
      <c r="CP146" s="12"/>
      <c r="CQ146" s="9"/>
      <c r="CR146" s="10"/>
      <c r="CS146" s="68"/>
      <c r="EC146" s="344" t="str">
        <f t="shared" si="22"/>
        <v>CUNDINAMARCA_VIOTA</v>
      </c>
      <c r="ED146" s="341"/>
      <c r="EE146" s="341" t="s">
        <v>3103</v>
      </c>
      <c r="EF146" s="349" t="s">
        <v>3104</v>
      </c>
      <c r="EG146" s="341" t="s">
        <v>3336</v>
      </c>
      <c r="EH146" s="341" t="s">
        <v>4478</v>
      </c>
      <c r="EI146" s="341" t="str">
        <f t="shared" si="16"/>
        <v>Antioquia_Tarso</v>
      </c>
    </row>
    <row r="147" spans="1:139" ht="60">
      <c r="A147" s="228">
        <v>40210</v>
      </c>
      <c r="B147" s="102" t="s">
        <v>1604</v>
      </c>
      <c r="C147" s="102" t="s">
        <v>958</v>
      </c>
      <c r="D147" s="206" t="s">
        <v>1752</v>
      </c>
      <c r="E147" s="320" t="s">
        <v>3790</v>
      </c>
      <c r="F147" s="320"/>
      <c r="G147" s="210"/>
      <c r="H147" s="71"/>
      <c r="I147" s="71"/>
      <c r="J147" s="71"/>
      <c r="K147" s="71"/>
      <c r="L147" s="1"/>
      <c r="M147" s="73">
        <f t="shared" si="17"/>
        <v>0</v>
      </c>
      <c r="N147" s="73">
        <f t="shared" si="18"/>
        <v>0</v>
      </c>
      <c r="O147" s="73">
        <f t="shared" si="19"/>
        <v>0</v>
      </c>
      <c r="P147" s="73">
        <f t="shared" si="20"/>
        <v>0</v>
      </c>
      <c r="Q147" s="73"/>
      <c r="R147" s="73">
        <v>0</v>
      </c>
      <c r="S147" s="75">
        <f t="shared" si="23"/>
        <v>0</v>
      </c>
      <c r="T147" s="77">
        <v>0</v>
      </c>
      <c r="U147" s="66">
        <v>40210</v>
      </c>
      <c r="V147" s="79"/>
      <c r="W147" s="66" t="s">
        <v>1585</v>
      </c>
      <c r="X147" s="67" t="s">
        <v>1586</v>
      </c>
      <c r="Y147" s="68"/>
      <c r="Z147" s="196" t="s">
        <v>894</v>
      </c>
      <c r="AA147" s="274" t="s">
        <v>2370</v>
      </c>
      <c r="AB147" s="3"/>
      <c r="AC147" s="4"/>
      <c r="AD147" s="5"/>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6"/>
      <c r="CE147" s="7"/>
      <c r="CF147" s="6"/>
      <c r="CG147" s="7"/>
      <c r="CH147" s="6"/>
      <c r="CI147" s="7"/>
      <c r="CJ147" s="8">
        <f t="shared" si="21"/>
        <v>0</v>
      </c>
      <c r="CK147" s="9"/>
      <c r="CL147" s="10"/>
      <c r="CM147" s="11"/>
      <c r="CN147" s="12"/>
      <c r="CO147" s="28"/>
      <c r="CP147" s="12"/>
      <c r="CQ147" s="9"/>
      <c r="CR147" s="10"/>
      <c r="CS147" s="68"/>
      <c r="EC147" s="344" t="str">
        <f t="shared" si="22"/>
        <v>CUNDINAMARCA_YACOPI</v>
      </c>
      <c r="ED147" s="341"/>
      <c r="EE147" s="341" t="s">
        <v>3103</v>
      </c>
      <c r="EF147" s="349" t="s">
        <v>3104</v>
      </c>
      <c r="EG147" s="341" t="s">
        <v>3337</v>
      </c>
      <c r="EH147" s="341" t="s">
        <v>4479</v>
      </c>
      <c r="EI147" s="341" t="str">
        <f t="shared" si="16"/>
        <v>Antioquia_Titiribi</v>
      </c>
    </row>
    <row r="148" spans="1:139" ht="84">
      <c r="A148" s="228">
        <v>40210</v>
      </c>
      <c r="B148" s="102" t="s">
        <v>1604</v>
      </c>
      <c r="C148" s="102" t="s">
        <v>959</v>
      </c>
      <c r="D148" s="206" t="s">
        <v>1752</v>
      </c>
      <c r="E148" s="320" t="s">
        <v>3791</v>
      </c>
      <c r="F148" s="320"/>
      <c r="G148" s="210"/>
      <c r="H148" s="71"/>
      <c r="I148" s="71"/>
      <c r="J148" s="71"/>
      <c r="K148" s="71"/>
      <c r="L148" s="1"/>
      <c r="M148" s="73">
        <f t="shared" si="17"/>
        <v>0</v>
      </c>
      <c r="N148" s="73">
        <f t="shared" si="18"/>
        <v>0</v>
      </c>
      <c r="O148" s="73">
        <f t="shared" si="19"/>
        <v>0</v>
      </c>
      <c r="P148" s="73">
        <f t="shared" si="20"/>
        <v>0</v>
      </c>
      <c r="Q148" s="73"/>
      <c r="R148" s="73">
        <v>0</v>
      </c>
      <c r="S148" s="75">
        <f t="shared" si="23"/>
        <v>0</v>
      </c>
      <c r="T148" s="77">
        <v>0</v>
      </c>
      <c r="U148" s="66">
        <v>40210</v>
      </c>
      <c r="V148" s="79"/>
      <c r="W148" s="66" t="s">
        <v>1585</v>
      </c>
      <c r="X148" s="67" t="s">
        <v>1586</v>
      </c>
      <c r="Y148" s="68"/>
      <c r="Z148" s="196" t="s">
        <v>894</v>
      </c>
      <c r="AA148" s="274" t="s">
        <v>1187</v>
      </c>
      <c r="AB148" s="3"/>
      <c r="AC148" s="4"/>
      <c r="AD148" s="5"/>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6"/>
      <c r="CE148" s="7"/>
      <c r="CF148" s="6"/>
      <c r="CG148" s="7"/>
      <c r="CH148" s="6"/>
      <c r="CI148" s="7"/>
      <c r="CJ148" s="8">
        <f t="shared" si="21"/>
        <v>0</v>
      </c>
      <c r="CK148" s="9"/>
      <c r="CL148" s="10"/>
      <c r="CM148" s="11"/>
      <c r="CN148" s="12"/>
      <c r="CO148" s="28"/>
      <c r="CP148" s="12"/>
      <c r="CQ148" s="9"/>
      <c r="CR148" s="10"/>
      <c r="CS148" s="68"/>
      <c r="EC148" s="344" t="str">
        <f t="shared" si="22"/>
        <v>CUNDINAMARCA_ZIPACON</v>
      </c>
      <c r="ED148" s="341"/>
      <c r="EE148" s="356" t="s">
        <v>3103</v>
      </c>
      <c r="EF148" s="349" t="s">
        <v>3104</v>
      </c>
      <c r="EG148" s="356" t="s">
        <v>3338</v>
      </c>
      <c r="EH148" s="356" t="s">
        <v>4480</v>
      </c>
      <c r="EI148" s="356" t="str">
        <f t="shared" si="16"/>
        <v>Antioquia_Toledo</v>
      </c>
    </row>
    <row r="149" spans="1:139" ht="108">
      <c r="A149" s="228">
        <v>40210</v>
      </c>
      <c r="B149" s="102" t="s">
        <v>1604</v>
      </c>
      <c r="C149" s="102" t="s">
        <v>960</v>
      </c>
      <c r="D149" s="206" t="s">
        <v>1752</v>
      </c>
      <c r="E149" s="320" t="s">
        <v>3792</v>
      </c>
      <c r="F149" s="320"/>
      <c r="G149" s="210"/>
      <c r="H149" s="71"/>
      <c r="I149" s="71"/>
      <c r="J149" s="71"/>
      <c r="K149" s="71"/>
      <c r="L149" s="1"/>
      <c r="M149" s="73">
        <f t="shared" si="17"/>
        <v>0</v>
      </c>
      <c r="N149" s="73">
        <f t="shared" si="18"/>
        <v>0</v>
      </c>
      <c r="O149" s="73">
        <f t="shared" si="19"/>
        <v>0</v>
      </c>
      <c r="P149" s="73">
        <f t="shared" si="20"/>
        <v>0</v>
      </c>
      <c r="Q149" s="73"/>
      <c r="R149" s="73">
        <v>0</v>
      </c>
      <c r="S149" s="75">
        <f t="shared" si="23"/>
        <v>0</v>
      </c>
      <c r="T149" s="77">
        <v>0</v>
      </c>
      <c r="U149" s="66">
        <v>40210</v>
      </c>
      <c r="V149" s="79"/>
      <c r="W149" s="66" t="s">
        <v>1585</v>
      </c>
      <c r="X149" s="67" t="s">
        <v>1586</v>
      </c>
      <c r="Y149" s="68"/>
      <c r="Z149" s="196" t="s">
        <v>894</v>
      </c>
      <c r="AA149" s="274" t="s">
        <v>1188</v>
      </c>
      <c r="AB149" s="3"/>
      <c r="AC149" s="4"/>
      <c r="AD149" s="5"/>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6"/>
      <c r="CE149" s="7"/>
      <c r="CF149" s="6"/>
      <c r="CG149" s="7"/>
      <c r="CH149" s="6"/>
      <c r="CI149" s="7"/>
      <c r="CJ149" s="8">
        <f t="shared" si="21"/>
        <v>0</v>
      </c>
      <c r="CK149" s="9"/>
      <c r="CL149" s="10"/>
      <c r="CM149" s="11"/>
      <c r="CN149" s="12"/>
      <c r="CO149" s="28"/>
      <c r="CP149" s="12"/>
      <c r="CQ149" s="9"/>
      <c r="CR149" s="10"/>
      <c r="CS149" s="68"/>
      <c r="EC149" s="344" t="str">
        <f t="shared" si="22"/>
        <v>CUNDINAMARCA_ZIPAQUIRA</v>
      </c>
      <c r="ED149" s="341"/>
      <c r="EE149" s="341" t="s">
        <v>3103</v>
      </c>
      <c r="EF149" s="349" t="s">
        <v>3104</v>
      </c>
      <c r="EG149" s="341" t="s">
        <v>3339</v>
      </c>
      <c r="EH149" s="341" t="s">
        <v>4481</v>
      </c>
      <c r="EI149" s="341" t="str">
        <f t="shared" si="16"/>
        <v>Antioquia_Turbo</v>
      </c>
    </row>
    <row r="150" spans="1:139" ht="48">
      <c r="A150" s="228">
        <v>40210</v>
      </c>
      <c r="B150" s="102" t="s">
        <v>962</v>
      </c>
      <c r="C150" s="102" t="s">
        <v>3157</v>
      </c>
      <c r="D150" s="206" t="s">
        <v>1752</v>
      </c>
      <c r="E150" s="320" t="s">
        <v>3830</v>
      </c>
      <c r="F150" s="320"/>
      <c r="G150" s="210"/>
      <c r="H150" s="71"/>
      <c r="I150" s="71"/>
      <c r="J150" s="71"/>
      <c r="K150" s="71"/>
      <c r="L150" s="1"/>
      <c r="M150" s="73">
        <f t="shared" si="17"/>
        <v>0</v>
      </c>
      <c r="N150" s="73">
        <f t="shared" si="18"/>
        <v>0</v>
      </c>
      <c r="O150" s="73">
        <f t="shared" si="19"/>
        <v>0</v>
      </c>
      <c r="P150" s="73">
        <f t="shared" si="20"/>
        <v>0</v>
      </c>
      <c r="Q150" s="73"/>
      <c r="R150" s="73">
        <v>0</v>
      </c>
      <c r="S150" s="75">
        <f t="shared" si="23"/>
        <v>0</v>
      </c>
      <c r="T150" s="77">
        <v>0</v>
      </c>
      <c r="U150" s="66">
        <v>40210</v>
      </c>
      <c r="V150" s="79"/>
      <c r="W150" s="66" t="s">
        <v>1585</v>
      </c>
      <c r="X150" s="67" t="s">
        <v>1586</v>
      </c>
      <c r="Y150" s="68"/>
      <c r="Z150" s="196" t="s">
        <v>894</v>
      </c>
      <c r="AA150" s="274" t="s">
        <v>2578</v>
      </c>
      <c r="AB150" s="3"/>
      <c r="AC150" s="4"/>
      <c r="AD150" s="5"/>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6"/>
      <c r="CE150" s="7"/>
      <c r="CF150" s="6"/>
      <c r="CG150" s="7"/>
      <c r="CH150" s="6"/>
      <c r="CI150" s="7"/>
      <c r="CJ150" s="8">
        <f t="shared" si="21"/>
        <v>0</v>
      </c>
      <c r="CK150" s="9"/>
      <c r="CL150" s="10"/>
      <c r="CM150" s="11"/>
      <c r="CN150" s="12"/>
      <c r="CO150" s="28"/>
      <c r="CP150" s="12"/>
      <c r="CQ150" s="9"/>
      <c r="CR150" s="10"/>
      <c r="CS150" s="68"/>
      <c r="EC150" s="344" t="str">
        <f t="shared" si="22"/>
        <v>HUILA_CAMPOALEGRE</v>
      </c>
      <c r="ED150" s="341"/>
      <c r="EE150" s="341" t="s">
        <v>3103</v>
      </c>
      <c r="EF150" s="349" t="s">
        <v>3104</v>
      </c>
      <c r="EG150" s="341" t="s">
        <v>3340</v>
      </c>
      <c r="EH150" s="341" t="s">
        <v>4482</v>
      </c>
      <c r="EI150" s="341" t="str">
        <f t="shared" si="16"/>
        <v>Antioquia_Uramita</v>
      </c>
    </row>
    <row r="151" spans="1:139" ht="48">
      <c r="A151" s="228">
        <v>40210</v>
      </c>
      <c r="B151" s="102" t="s">
        <v>962</v>
      </c>
      <c r="C151" s="102" t="s">
        <v>963</v>
      </c>
      <c r="D151" s="206" t="s">
        <v>1752</v>
      </c>
      <c r="E151" s="320" t="s">
        <v>3841</v>
      </c>
      <c r="F151" s="320"/>
      <c r="G151" s="210"/>
      <c r="H151" s="71"/>
      <c r="I151" s="71"/>
      <c r="J151" s="71"/>
      <c r="K151" s="71"/>
      <c r="L151" s="1"/>
      <c r="M151" s="73">
        <f t="shared" si="17"/>
        <v>0</v>
      </c>
      <c r="N151" s="73">
        <f t="shared" si="18"/>
        <v>0</v>
      </c>
      <c r="O151" s="73">
        <f t="shared" si="19"/>
        <v>0</v>
      </c>
      <c r="P151" s="73">
        <f t="shared" si="20"/>
        <v>0</v>
      </c>
      <c r="Q151" s="73"/>
      <c r="R151" s="73">
        <v>0</v>
      </c>
      <c r="S151" s="75">
        <f t="shared" si="23"/>
        <v>0</v>
      </c>
      <c r="T151" s="77">
        <v>0</v>
      </c>
      <c r="U151" s="66">
        <v>40210</v>
      </c>
      <c r="V151" s="79"/>
      <c r="W151" s="66" t="s">
        <v>1585</v>
      </c>
      <c r="X151" s="67" t="s">
        <v>1586</v>
      </c>
      <c r="Y151" s="68"/>
      <c r="Z151" s="196" t="s">
        <v>894</v>
      </c>
      <c r="AA151" s="274" t="s">
        <v>2578</v>
      </c>
      <c r="AB151" s="3"/>
      <c r="AC151" s="4"/>
      <c r="AD151" s="5"/>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6"/>
      <c r="CE151" s="7"/>
      <c r="CF151" s="6"/>
      <c r="CG151" s="7"/>
      <c r="CH151" s="6"/>
      <c r="CI151" s="7"/>
      <c r="CJ151" s="8">
        <f t="shared" si="21"/>
        <v>0</v>
      </c>
      <c r="CK151" s="9"/>
      <c r="CL151" s="10"/>
      <c r="CM151" s="11"/>
      <c r="CN151" s="12"/>
      <c r="CO151" s="28"/>
      <c r="CP151" s="12"/>
      <c r="CQ151" s="9"/>
      <c r="CR151" s="10"/>
      <c r="CS151" s="68"/>
      <c r="EC151" s="344" t="str">
        <f t="shared" si="22"/>
        <v>HUILA_NATAGA</v>
      </c>
      <c r="ED151" s="341"/>
      <c r="EE151" s="341" t="s">
        <v>3103</v>
      </c>
      <c r="EF151" s="349" t="s">
        <v>3104</v>
      </c>
      <c r="EG151" s="341" t="s">
        <v>3341</v>
      </c>
      <c r="EH151" s="341" t="s">
        <v>4483</v>
      </c>
      <c r="EI151" s="341" t="str">
        <f t="shared" si="16"/>
        <v>Antioquia_Urrao</v>
      </c>
    </row>
    <row r="152" spans="1:139" ht="48">
      <c r="A152" s="228">
        <v>40210</v>
      </c>
      <c r="B152" s="102" t="s">
        <v>962</v>
      </c>
      <c r="C152" s="102" t="s">
        <v>964</v>
      </c>
      <c r="D152" s="206" t="s">
        <v>1752</v>
      </c>
      <c r="E152" s="320" t="s">
        <v>3850</v>
      </c>
      <c r="F152" s="320"/>
      <c r="G152" s="210"/>
      <c r="H152" s="71"/>
      <c r="I152" s="71"/>
      <c r="J152" s="71"/>
      <c r="K152" s="71"/>
      <c r="L152" s="1"/>
      <c r="M152" s="73">
        <f t="shared" si="17"/>
        <v>0</v>
      </c>
      <c r="N152" s="73">
        <f t="shared" si="18"/>
        <v>0</v>
      </c>
      <c r="O152" s="73">
        <f t="shared" si="19"/>
        <v>0</v>
      </c>
      <c r="P152" s="73">
        <f t="shared" si="20"/>
        <v>0</v>
      </c>
      <c r="Q152" s="73"/>
      <c r="R152" s="73">
        <v>0</v>
      </c>
      <c r="S152" s="75">
        <f t="shared" si="23"/>
        <v>0</v>
      </c>
      <c r="T152" s="77">
        <v>0</v>
      </c>
      <c r="U152" s="66">
        <v>40210</v>
      </c>
      <c r="V152" s="79"/>
      <c r="W152" s="66" t="s">
        <v>1585</v>
      </c>
      <c r="X152" s="67" t="s">
        <v>1586</v>
      </c>
      <c r="Y152" s="68"/>
      <c r="Z152" s="196" t="s">
        <v>894</v>
      </c>
      <c r="AA152" s="274" t="s">
        <v>2578</v>
      </c>
      <c r="AB152" s="3"/>
      <c r="AC152" s="4"/>
      <c r="AD152" s="5"/>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6"/>
      <c r="CE152" s="7"/>
      <c r="CF152" s="6"/>
      <c r="CG152" s="7"/>
      <c r="CH152" s="6"/>
      <c r="CI152" s="7"/>
      <c r="CJ152" s="8">
        <f t="shared" si="21"/>
        <v>0</v>
      </c>
      <c r="CK152" s="9"/>
      <c r="CL152" s="10"/>
      <c r="CM152" s="11"/>
      <c r="CN152" s="12"/>
      <c r="CO152" s="28"/>
      <c r="CP152" s="12"/>
      <c r="CQ152" s="9"/>
      <c r="CR152" s="10"/>
      <c r="CS152" s="68"/>
      <c r="EC152" s="357" t="str">
        <f t="shared" si="22"/>
        <v>HUILA_SAN AGUSTIN</v>
      </c>
      <c r="ED152" s="348"/>
      <c r="EE152" s="341" t="s">
        <v>3103</v>
      </c>
      <c r="EF152" s="349" t="s">
        <v>3104</v>
      </c>
      <c r="EG152" s="341" t="s">
        <v>3342</v>
      </c>
      <c r="EH152" s="341" t="s">
        <v>4484</v>
      </c>
      <c r="EI152" s="341" t="str">
        <f t="shared" si="16"/>
        <v>Antioquia_Valdivia</v>
      </c>
    </row>
    <row r="153" spans="1:139" ht="132">
      <c r="A153" s="228">
        <v>40210</v>
      </c>
      <c r="B153" s="102" t="s">
        <v>4321</v>
      </c>
      <c r="C153" s="102" t="s">
        <v>1995</v>
      </c>
      <c r="D153" s="206" t="s">
        <v>1752</v>
      </c>
      <c r="E153" s="320" t="s">
        <v>3870</v>
      </c>
      <c r="F153" s="320"/>
      <c r="G153" s="210"/>
      <c r="H153" s="71"/>
      <c r="I153" s="71"/>
      <c r="J153" s="71"/>
      <c r="K153" s="71"/>
      <c r="L153" s="1"/>
      <c r="M153" s="73">
        <f t="shared" si="17"/>
        <v>0</v>
      </c>
      <c r="N153" s="73">
        <f t="shared" si="18"/>
        <v>0</v>
      </c>
      <c r="O153" s="73">
        <f t="shared" si="19"/>
        <v>0</v>
      </c>
      <c r="P153" s="73">
        <f t="shared" si="20"/>
        <v>0</v>
      </c>
      <c r="Q153" s="73"/>
      <c r="R153" s="73">
        <v>0</v>
      </c>
      <c r="S153" s="75">
        <f t="shared" si="23"/>
        <v>0</v>
      </c>
      <c r="T153" s="77">
        <v>0</v>
      </c>
      <c r="U153" s="66">
        <v>40210</v>
      </c>
      <c r="V153" s="79"/>
      <c r="W153" s="66" t="s">
        <v>1585</v>
      </c>
      <c r="X153" s="24" t="s">
        <v>1586</v>
      </c>
      <c r="Y153" s="62"/>
      <c r="Z153" s="177" t="s">
        <v>894</v>
      </c>
      <c r="AA153" s="81" t="s">
        <v>500</v>
      </c>
      <c r="AB153" s="3"/>
      <c r="AC153" s="4"/>
      <c r="AD153" s="5"/>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6"/>
      <c r="CE153" s="7"/>
      <c r="CF153" s="6"/>
      <c r="CG153" s="7"/>
      <c r="CH153" s="6"/>
      <c r="CI153" s="7"/>
      <c r="CJ153" s="8">
        <f t="shared" si="21"/>
        <v>0</v>
      </c>
      <c r="CK153" s="9"/>
      <c r="CL153" s="10"/>
      <c r="CM153" s="11"/>
      <c r="CN153" s="12"/>
      <c r="CO153" s="28"/>
      <c r="CP153" s="12"/>
      <c r="CQ153" s="9"/>
      <c r="CR153" s="10"/>
      <c r="CS153" s="68"/>
      <c r="EC153" s="344" t="str">
        <f t="shared" si="22"/>
        <v>LA GUAJIRA_MANAURE</v>
      </c>
      <c r="ED153" s="341"/>
      <c r="EE153" s="341" t="s">
        <v>3103</v>
      </c>
      <c r="EF153" s="349" t="s">
        <v>3104</v>
      </c>
      <c r="EG153" s="341" t="s">
        <v>3343</v>
      </c>
      <c r="EH153" s="341" t="s">
        <v>4485</v>
      </c>
      <c r="EI153" s="341" t="str">
        <f t="shared" si="16"/>
        <v>Antioquia_Valparaiso</v>
      </c>
    </row>
    <row r="154" spans="1:139" ht="132">
      <c r="A154" s="228">
        <v>40210</v>
      </c>
      <c r="B154" s="102" t="s">
        <v>4321</v>
      </c>
      <c r="C154" s="102" t="s">
        <v>961</v>
      </c>
      <c r="D154" s="206" t="s">
        <v>1752</v>
      </c>
      <c r="E154" s="320" t="s">
        <v>3872</v>
      </c>
      <c r="F154" s="320"/>
      <c r="G154" s="210"/>
      <c r="H154" s="71"/>
      <c r="I154" s="71"/>
      <c r="J154" s="71"/>
      <c r="K154" s="71"/>
      <c r="L154" s="1"/>
      <c r="M154" s="73">
        <f t="shared" si="17"/>
        <v>0</v>
      </c>
      <c r="N154" s="73">
        <f t="shared" si="18"/>
        <v>0</v>
      </c>
      <c r="O154" s="73">
        <f t="shared" si="19"/>
        <v>0</v>
      </c>
      <c r="P154" s="73">
        <f t="shared" si="20"/>
        <v>0</v>
      </c>
      <c r="Q154" s="73"/>
      <c r="R154" s="73">
        <v>0</v>
      </c>
      <c r="S154" s="75">
        <f t="shared" si="23"/>
        <v>0</v>
      </c>
      <c r="T154" s="77">
        <v>0</v>
      </c>
      <c r="U154" s="66">
        <v>40210</v>
      </c>
      <c r="V154" s="79"/>
      <c r="W154" s="66" t="s">
        <v>1585</v>
      </c>
      <c r="X154" s="24" t="s">
        <v>1586</v>
      </c>
      <c r="Y154" s="62"/>
      <c r="Z154" s="177" t="s">
        <v>894</v>
      </c>
      <c r="AA154" s="81" t="s">
        <v>500</v>
      </c>
      <c r="AB154" s="3"/>
      <c r="AC154" s="4"/>
      <c r="AD154" s="5"/>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6"/>
      <c r="CE154" s="7"/>
      <c r="CF154" s="6"/>
      <c r="CG154" s="7"/>
      <c r="CH154" s="6"/>
      <c r="CI154" s="7"/>
      <c r="CJ154" s="8">
        <f t="shared" si="21"/>
        <v>0</v>
      </c>
      <c r="CK154" s="9"/>
      <c r="CL154" s="10"/>
      <c r="CM154" s="11"/>
      <c r="CN154" s="12"/>
      <c r="CO154" s="28"/>
      <c r="CP154" s="12"/>
      <c r="CQ154" s="9"/>
      <c r="CR154" s="10"/>
      <c r="CS154" s="68"/>
      <c r="EC154" s="344" t="str">
        <f t="shared" si="22"/>
        <v>LA GUAJIRA_URIBIA</v>
      </c>
      <c r="ED154" s="341"/>
      <c r="EE154" s="341" t="s">
        <v>3103</v>
      </c>
      <c r="EF154" s="349" t="s">
        <v>3104</v>
      </c>
      <c r="EG154" s="341" t="s">
        <v>3344</v>
      </c>
      <c r="EH154" s="341" t="s">
        <v>4486</v>
      </c>
      <c r="EI154" s="341" t="str">
        <f t="shared" si="16"/>
        <v>Antioquia_Vegachi</v>
      </c>
    </row>
    <row r="155" spans="1:139" ht="36">
      <c r="A155" s="228">
        <v>40210</v>
      </c>
      <c r="B155" s="102" t="s">
        <v>1824</v>
      </c>
      <c r="C155" s="218" t="s">
        <v>1871</v>
      </c>
      <c r="D155" s="206" t="s">
        <v>1169</v>
      </c>
      <c r="E155" s="320" t="s">
        <v>3950</v>
      </c>
      <c r="F155" s="320"/>
      <c r="G155" s="210"/>
      <c r="H155" s="71"/>
      <c r="I155" s="71"/>
      <c r="J155" s="71">
        <v>20</v>
      </c>
      <c r="K155" s="71">
        <v>4</v>
      </c>
      <c r="L155" s="1"/>
      <c r="M155" s="73">
        <f t="shared" si="17"/>
        <v>0</v>
      </c>
      <c r="N155" s="73">
        <f t="shared" si="18"/>
        <v>0</v>
      </c>
      <c r="O155" s="73">
        <f t="shared" si="19"/>
        <v>0</v>
      </c>
      <c r="P155" s="73">
        <f t="shared" si="20"/>
        <v>0</v>
      </c>
      <c r="Q155" s="73"/>
      <c r="R155" s="73">
        <v>0</v>
      </c>
      <c r="S155" s="75">
        <f t="shared" si="23"/>
        <v>0</v>
      </c>
      <c r="T155" s="77">
        <v>0</v>
      </c>
      <c r="U155" s="66">
        <v>40210</v>
      </c>
      <c r="V155" s="79"/>
      <c r="W155" s="66" t="s">
        <v>1585</v>
      </c>
      <c r="X155" s="24" t="s">
        <v>1586</v>
      </c>
      <c r="Y155" s="62"/>
      <c r="Z155" s="177" t="s">
        <v>894</v>
      </c>
      <c r="AA155" s="80" t="s">
        <v>891</v>
      </c>
      <c r="AB155" s="3"/>
      <c r="AC155" s="4"/>
      <c r="AD155" s="5"/>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6"/>
      <c r="CE155" s="7"/>
      <c r="CF155" s="6"/>
      <c r="CG155" s="7"/>
      <c r="CH155" s="6"/>
      <c r="CI155" s="7"/>
      <c r="CJ155" s="8">
        <f t="shared" si="21"/>
        <v>0</v>
      </c>
      <c r="CK155" s="9"/>
      <c r="CL155" s="10"/>
      <c r="CM155" s="11"/>
      <c r="CN155" s="12"/>
      <c r="CO155" s="28"/>
      <c r="CP155" s="12"/>
      <c r="CQ155" s="9"/>
      <c r="CR155" s="10"/>
      <c r="CS155" s="68"/>
      <c r="EC155" s="344" t="str">
        <f t="shared" si="22"/>
        <v>NARIÑO_EL CHARCO</v>
      </c>
      <c r="ED155" s="341"/>
      <c r="EE155" s="341" t="s">
        <v>3103</v>
      </c>
      <c r="EF155" s="349" t="s">
        <v>3104</v>
      </c>
      <c r="EG155" s="341" t="s">
        <v>3345</v>
      </c>
      <c r="EH155" s="341" t="s">
        <v>4487</v>
      </c>
      <c r="EI155" s="341" t="str">
        <f t="shared" si="16"/>
        <v>Antioquia_Venecia</v>
      </c>
    </row>
    <row r="156" spans="1:139" ht="84">
      <c r="A156" s="228">
        <v>40210</v>
      </c>
      <c r="B156" s="102" t="s">
        <v>965</v>
      </c>
      <c r="C156" s="102" t="s">
        <v>1744</v>
      </c>
      <c r="D156" s="206" t="s">
        <v>1752</v>
      </c>
      <c r="E156" s="320" t="s">
        <v>4006</v>
      </c>
      <c r="F156" s="320"/>
      <c r="G156" s="210"/>
      <c r="H156" s="71"/>
      <c r="I156" s="71"/>
      <c r="J156" s="71"/>
      <c r="K156" s="71"/>
      <c r="L156" s="1"/>
      <c r="M156" s="73">
        <f t="shared" si="17"/>
        <v>0</v>
      </c>
      <c r="N156" s="73">
        <f t="shared" si="18"/>
        <v>0</v>
      </c>
      <c r="O156" s="73">
        <f t="shared" si="19"/>
        <v>0</v>
      </c>
      <c r="P156" s="73">
        <f t="shared" si="20"/>
        <v>0</v>
      </c>
      <c r="Q156" s="73"/>
      <c r="R156" s="73">
        <v>0</v>
      </c>
      <c r="S156" s="75">
        <f t="shared" si="23"/>
        <v>0</v>
      </c>
      <c r="T156" s="77">
        <v>0</v>
      </c>
      <c r="U156" s="66">
        <v>40210</v>
      </c>
      <c r="V156" s="79"/>
      <c r="W156" s="66" t="s">
        <v>1585</v>
      </c>
      <c r="X156" s="24" t="s">
        <v>1586</v>
      </c>
      <c r="Y156" s="62"/>
      <c r="Z156" s="177" t="s">
        <v>894</v>
      </c>
      <c r="AA156" s="81" t="s">
        <v>1065</v>
      </c>
      <c r="AB156" s="3"/>
      <c r="AC156" s="4"/>
      <c r="AD156" s="5"/>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6"/>
      <c r="CE156" s="7"/>
      <c r="CF156" s="6"/>
      <c r="CG156" s="7"/>
      <c r="CH156" s="6"/>
      <c r="CI156" s="7"/>
      <c r="CJ156" s="8">
        <f t="shared" si="21"/>
        <v>0</v>
      </c>
      <c r="CK156" s="9"/>
      <c r="CL156" s="10"/>
      <c r="CM156" s="11"/>
      <c r="CN156" s="12"/>
      <c r="CO156" s="28"/>
      <c r="CP156" s="12"/>
      <c r="CQ156" s="9"/>
      <c r="CR156" s="10"/>
      <c r="CS156" s="68"/>
      <c r="EC156" s="344" t="str">
        <f t="shared" si="22"/>
        <v>NORTE DE SANTANDER_CHITAGA</v>
      </c>
      <c r="ED156" s="341"/>
      <c r="EE156" s="348" t="s">
        <v>3103</v>
      </c>
      <c r="EF156" s="349" t="s">
        <v>3104</v>
      </c>
      <c r="EG156" s="348" t="s">
        <v>3346</v>
      </c>
      <c r="EH156" s="348" t="s">
        <v>4488</v>
      </c>
      <c r="EI156" s="348" t="str">
        <f t="shared" si="16"/>
        <v>Antioquia_Vigia del Fuerte</v>
      </c>
    </row>
    <row r="157" spans="1:139" ht="48">
      <c r="A157" s="228">
        <v>40210</v>
      </c>
      <c r="B157" s="102" t="s">
        <v>965</v>
      </c>
      <c r="C157" s="102" t="s">
        <v>1327</v>
      </c>
      <c r="D157" s="206" t="s">
        <v>1752</v>
      </c>
      <c r="E157" s="320" t="s">
        <v>3998</v>
      </c>
      <c r="F157" s="320"/>
      <c r="G157" s="210"/>
      <c r="H157" s="71"/>
      <c r="I157" s="71"/>
      <c r="J157" s="71"/>
      <c r="K157" s="71"/>
      <c r="L157" s="1"/>
      <c r="M157" s="73">
        <f t="shared" si="17"/>
        <v>0</v>
      </c>
      <c r="N157" s="73">
        <f t="shared" si="18"/>
        <v>0</v>
      </c>
      <c r="O157" s="73">
        <f t="shared" si="19"/>
        <v>0</v>
      </c>
      <c r="P157" s="73">
        <f t="shared" si="20"/>
        <v>0</v>
      </c>
      <c r="Q157" s="73"/>
      <c r="R157" s="73">
        <v>0</v>
      </c>
      <c r="S157" s="75">
        <f t="shared" si="23"/>
        <v>0</v>
      </c>
      <c r="T157" s="77">
        <v>0</v>
      </c>
      <c r="U157" s="66">
        <v>40210</v>
      </c>
      <c r="V157" s="79"/>
      <c r="W157" s="66" t="s">
        <v>1585</v>
      </c>
      <c r="X157" s="24" t="s">
        <v>1586</v>
      </c>
      <c r="Y157" s="62"/>
      <c r="Z157" s="196" t="s">
        <v>894</v>
      </c>
      <c r="AA157" s="81" t="s">
        <v>2578</v>
      </c>
      <c r="AB157" s="3"/>
      <c r="AC157" s="4"/>
      <c r="AD157" s="5"/>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6"/>
      <c r="CE157" s="7"/>
      <c r="CF157" s="6"/>
      <c r="CG157" s="7"/>
      <c r="CH157" s="6"/>
      <c r="CI157" s="7"/>
      <c r="CJ157" s="8">
        <f t="shared" si="21"/>
        <v>0</v>
      </c>
      <c r="CK157" s="9"/>
      <c r="CL157" s="10"/>
      <c r="CM157" s="11"/>
      <c r="CN157" s="12"/>
      <c r="CO157" s="28"/>
      <c r="CP157" s="12"/>
      <c r="CQ157" s="9"/>
      <c r="CR157" s="10"/>
      <c r="CS157" s="68"/>
      <c r="EC157" s="344" t="str">
        <f t="shared" si="22"/>
        <v>NORTE DE SANTANDER_CUCUTA</v>
      </c>
      <c r="ED157" s="341"/>
      <c r="EE157" s="341" t="s">
        <v>3103</v>
      </c>
      <c r="EF157" s="349" t="s">
        <v>3104</v>
      </c>
      <c r="EG157" s="341" t="s">
        <v>3347</v>
      </c>
      <c r="EH157" s="341" t="s">
        <v>4489</v>
      </c>
      <c r="EI157" s="341" t="str">
        <f t="shared" si="16"/>
        <v>Antioquia_Yali</v>
      </c>
    </row>
    <row r="158" spans="1:139" ht="84">
      <c r="A158" s="228">
        <v>40210</v>
      </c>
      <c r="B158" s="102" t="s">
        <v>965</v>
      </c>
      <c r="C158" s="102" t="s">
        <v>714</v>
      </c>
      <c r="D158" s="206" t="s">
        <v>1752</v>
      </c>
      <c r="E158" s="320" t="s">
        <v>4018</v>
      </c>
      <c r="F158" s="320"/>
      <c r="G158" s="210"/>
      <c r="H158" s="71"/>
      <c r="I158" s="71"/>
      <c r="J158" s="71"/>
      <c r="K158" s="71"/>
      <c r="L158" s="1"/>
      <c r="M158" s="73">
        <f t="shared" si="17"/>
        <v>0</v>
      </c>
      <c r="N158" s="73">
        <f t="shared" si="18"/>
        <v>0</v>
      </c>
      <c r="O158" s="73">
        <f t="shared" si="19"/>
        <v>0</v>
      </c>
      <c r="P158" s="73">
        <f t="shared" si="20"/>
        <v>0</v>
      </c>
      <c r="Q158" s="73"/>
      <c r="R158" s="73">
        <v>0</v>
      </c>
      <c r="S158" s="75">
        <f t="shared" si="23"/>
        <v>0</v>
      </c>
      <c r="T158" s="77">
        <v>0</v>
      </c>
      <c r="U158" s="66">
        <v>40210</v>
      </c>
      <c r="V158" s="79"/>
      <c r="W158" s="66" t="s">
        <v>1585</v>
      </c>
      <c r="X158" s="24" t="s">
        <v>1586</v>
      </c>
      <c r="Y158" s="62"/>
      <c r="Z158" s="177" t="s">
        <v>894</v>
      </c>
      <c r="AA158" s="81" t="s">
        <v>1065</v>
      </c>
      <c r="AB158" s="3"/>
      <c r="AC158" s="4"/>
      <c r="AD158" s="5"/>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6"/>
      <c r="CE158" s="7"/>
      <c r="CF158" s="6"/>
      <c r="CG158" s="7"/>
      <c r="CH158" s="6"/>
      <c r="CI158" s="7"/>
      <c r="CJ158" s="8">
        <f t="shared" si="21"/>
        <v>0</v>
      </c>
      <c r="CK158" s="9"/>
      <c r="CL158" s="10"/>
      <c r="CM158" s="11"/>
      <c r="CN158" s="12"/>
      <c r="CO158" s="28"/>
      <c r="CP158" s="12"/>
      <c r="CQ158" s="9"/>
      <c r="CR158" s="10"/>
      <c r="CS158" s="68"/>
      <c r="EC158" s="344" t="str">
        <f t="shared" si="22"/>
        <v>NORTE DE SANTANDER_LA PLAYA</v>
      </c>
      <c r="ED158" s="341"/>
      <c r="EE158" s="341" t="s">
        <v>3103</v>
      </c>
      <c r="EF158" s="349" t="s">
        <v>3104</v>
      </c>
      <c r="EG158" s="341" t="s">
        <v>3348</v>
      </c>
      <c r="EH158" s="341" t="s">
        <v>4490</v>
      </c>
      <c r="EI158" s="341" t="str">
        <f t="shared" si="16"/>
        <v>Antioquia_Yarumal</v>
      </c>
    </row>
    <row r="159" spans="1:139" ht="51">
      <c r="A159" s="228">
        <v>40210</v>
      </c>
      <c r="B159" s="102" t="s">
        <v>965</v>
      </c>
      <c r="C159" s="102" t="s">
        <v>1329</v>
      </c>
      <c r="D159" s="206" t="s">
        <v>1752</v>
      </c>
      <c r="E159" s="320" t="s">
        <v>4019</v>
      </c>
      <c r="F159" s="320"/>
      <c r="G159" s="210"/>
      <c r="H159" s="71"/>
      <c r="I159" s="71"/>
      <c r="J159" s="71"/>
      <c r="K159" s="71"/>
      <c r="L159" s="1"/>
      <c r="M159" s="73">
        <f t="shared" si="17"/>
        <v>0</v>
      </c>
      <c r="N159" s="73">
        <f t="shared" si="18"/>
        <v>0</v>
      </c>
      <c r="O159" s="73">
        <f t="shared" si="19"/>
        <v>0</v>
      </c>
      <c r="P159" s="73">
        <f t="shared" si="20"/>
        <v>0</v>
      </c>
      <c r="Q159" s="73"/>
      <c r="R159" s="73">
        <v>0</v>
      </c>
      <c r="S159" s="75">
        <f t="shared" si="23"/>
        <v>0</v>
      </c>
      <c r="T159" s="77">
        <v>0</v>
      </c>
      <c r="U159" s="66">
        <v>40210</v>
      </c>
      <c r="V159" s="79"/>
      <c r="W159" s="66" t="s">
        <v>1585</v>
      </c>
      <c r="X159" s="24" t="s">
        <v>1586</v>
      </c>
      <c r="Y159" s="62"/>
      <c r="Z159" s="177" t="s">
        <v>894</v>
      </c>
      <c r="AA159" s="81" t="s">
        <v>2578</v>
      </c>
      <c r="AB159" s="3"/>
      <c r="AC159" s="4"/>
      <c r="AD159" s="5"/>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6"/>
      <c r="CE159" s="7"/>
      <c r="CF159" s="6"/>
      <c r="CG159" s="7"/>
      <c r="CH159" s="6"/>
      <c r="CI159" s="7"/>
      <c r="CJ159" s="8">
        <f t="shared" si="21"/>
        <v>0</v>
      </c>
      <c r="CK159" s="9"/>
      <c r="CL159" s="10"/>
      <c r="CM159" s="11"/>
      <c r="CN159" s="12"/>
      <c r="CO159" s="28"/>
      <c r="CP159" s="12"/>
      <c r="CQ159" s="9"/>
      <c r="CR159" s="10"/>
      <c r="CS159" s="68"/>
      <c r="EC159" s="344" t="str">
        <f t="shared" si="22"/>
        <v>NORTE DE SANTANDER_LOS PATIOS</v>
      </c>
      <c r="ED159" s="341"/>
      <c r="EE159" s="341" t="s">
        <v>3103</v>
      </c>
      <c r="EF159" s="349" t="s">
        <v>3104</v>
      </c>
      <c r="EG159" s="341" t="s">
        <v>3349</v>
      </c>
      <c r="EH159" s="341" t="s">
        <v>4491</v>
      </c>
      <c r="EI159" s="341" t="str">
        <f t="shared" si="16"/>
        <v>Antioquia_Yolombo</v>
      </c>
    </row>
    <row r="160" spans="1:139" ht="51">
      <c r="A160" s="228">
        <v>40210</v>
      </c>
      <c r="B160" s="102" t="s">
        <v>965</v>
      </c>
      <c r="C160" s="102" t="s">
        <v>1745</v>
      </c>
      <c r="D160" s="206" t="s">
        <v>1752</v>
      </c>
      <c r="E160" s="320" t="s">
        <v>4021</v>
      </c>
      <c r="F160" s="320"/>
      <c r="G160" s="210"/>
      <c r="H160" s="71"/>
      <c r="I160" s="71"/>
      <c r="J160" s="71"/>
      <c r="K160" s="71"/>
      <c r="L160" s="1"/>
      <c r="M160" s="73">
        <f t="shared" si="17"/>
        <v>0</v>
      </c>
      <c r="N160" s="73">
        <f t="shared" si="18"/>
        <v>0</v>
      </c>
      <c r="O160" s="73">
        <f t="shared" si="19"/>
        <v>0</v>
      </c>
      <c r="P160" s="73">
        <f t="shared" si="20"/>
        <v>0</v>
      </c>
      <c r="Q160" s="73"/>
      <c r="R160" s="73">
        <v>0</v>
      </c>
      <c r="S160" s="75">
        <f t="shared" si="23"/>
        <v>0</v>
      </c>
      <c r="T160" s="77">
        <v>0</v>
      </c>
      <c r="U160" s="66">
        <v>40210</v>
      </c>
      <c r="V160" s="79"/>
      <c r="W160" s="66" t="s">
        <v>1585</v>
      </c>
      <c r="X160" s="24" t="s">
        <v>1586</v>
      </c>
      <c r="Y160" s="62"/>
      <c r="Z160" s="177" t="s">
        <v>894</v>
      </c>
      <c r="AA160" s="81" t="s">
        <v>2578</v>
      </c>
      <c r="AB160" s="3"/>
      <c r="AC160" s="4"/>
      <c r="AD160" s="5"/>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6"/>
      <c r="CE160" s="7"/>
      <c r="CF160" s="6"/>
      <c r="CG160" s="7"/>
      <c r="CH160" s="6"/>
      <c r="CI160" s="7"/>
      <c r="CJ160" s="8">
        <f t="shared" si="21"/>
        <v>0</v>
      </c>
      <c r="CK160" s="9"/>
      <c r="CL160" s="10"/>
      <c r="CM160" s="11"/>
      <c r="CN160" s="12"/>
      <c r="CO160" s="28"/>
      <c r="CP160" s="12"/>
      <c r="CQ160" s="9"/>
      <c r="CR160" s="10"/>
      <c r="CS160" s="68"/>
      <c r="EC160" s="344" t="str">
        <f t="shared" si="22"/>
        <v>NORTE DE SANTANDER_MUTISCUA</v>
      </c>
      <c r="ED160" s="341"/>
      <c r="EE160" s="341" t="s">
        <v>3103</v>
      </c>
      <c r="EF160" s="349" t="s">
        <v>3104</v>
      </c>
      <c r="EG160" s="341" t="s">
        <v>3350</v>
      </c>
      <c r="EH160" s="341" t="s">
        <v>4492</v>
      </c>
      <c r="EI160" s="341" t="str">
        <f t="shared" si="16"/>
        <v>Antioquia_Yondo</v>
      </c>
    </row>
    <row r="161" spans="1:139" ht="48">
      <c r="A161" s="228">
        <v>40210</v>
      </c>
      <c r="B161" s="102" t="s">
        <v>965</v>
      </c>
      <c r="C161" s="102" t="s">
        <v>1743</v>
      </c>
      <c r="D161" s="206" t="s">
        <v>1752</v>
      </c>
      <c r="E161" s="320" t="s">
        <v>4022</v>
      </c>
      <c r="F161" s="320"/>
      <c r="G161" s="210"/>
      <c r="H161" s="71"/>
      <c r="I161" s="71"/>
      <c r="J161" s="71"/>
      <c r="K161" s="71"/>
      <c r="L161" s="1"/>
      <c r="M161" s="73">
        <f t="shared" si="17"/>
        <v>0</v>
      </c>
      <c r="N161" s="73">
        <f t="shared" si="18"/>
        <v>0</v>
      </c>
      <c r="O161" s="73">
        <f t="shared" si="19"/>
        <v>0</v>
      </c>
      <c r="P161" s="73">
        <f t="shared" si="20"/>
        <v>0</v>
      </c>
      <c r="Q161" s="73"/>
      <c r="R161" s="73">
        <v>0</v>
      </c>
      <c r="S161" s="75">
        <f t="shared" si="23"/>
        <v>0</v>
      </c>
      <c r="T161" s="77">
        <v>0</v>
      </c>
      <c r="U161" s="66">
        <v>40210</v>
      </c>
      <c r="V161" s="79"/>
      <c r="W161" s="66" t="s">
        <v>1585</v>
      </c>
      <c r="X161" s="24" t="s">
        <v>1586</v>
      </c>
      <c r="Y161" s="62"/>
      <c r="Z161" s="177" t="s">
        <v>894</v>
      </c>
      <c r="AA161" s="81" t="s">
        <v>2578</v>
      </c>
      <c r="AB161" s="3"/>
      <c r="AC161" s="4"/>
      <c r="AD161" s="5"/>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6"/>
      <c r="CE161" s="7"/>
      <c r="CF161" s="6"/>
      <c r="CG161" s="7"/>
      <c r="CH161" s="6"/>
      <c r="CI161" s="7"/>
      <c r="CJ161" s="8">
        <f t="shared" si="21"/>
        <v>0</v>
      </c>
      <c r="CK161" s="9"/>
      <c r="CL161" s="10"/>
      <c r="CM161" s="11"/>
      <c r="CN161" s="12"/>
      <c r="CO161" s="28"/>
      <c r="CP161" s="12"/>
      <c r="CQ161" s="9"/>
      <c r="CR161" s="10"/>
      <c r="CS161" s="68"/>
      <c r="EC161" s="344" t="str">
        <f t="shared" si="22"/>
        <v>NORTE DE SANTANDER_OCAÑA</v>
      </c>
      <c r="ED161" s="341"/>
      <c r="EE161" s="341" t="s">
        <v>3103</v>
      </c>
      <c r="EF161" s="349" t="s">
        <v>3104</v>
      </c>
      <c r="EG161" s="341" t="s">
        <v>3351</v>
      </c>
      <c r="EH161" s="341" t="s">
        <v>4493</v>
      </c>
      <c r="EI161" s="341" t="str">
        <f t="shared" si="16"/>
        <v>Antioquia_Zaragoza</v>
      </c>
    </row>
    <row r="162" spans="1:139" ht="72">
      <c r="A162" s="228">
        <v>40210</v>
      </c>
      <c r="B162" s="102" t="s">
        <v>965</v>
      </c>
      <c r="C162" s="102" t="s">
        <v>1746</v>
      </c>
      <c r="D162" s="206" t="s">
        <v>1752</v>
      </c>
      <c r="E162" s="320" t="s">
        <v>4028</v>
      </c>
      <c r="F162" s="320"/>
      <c r="G162" s="210"/>
      <c r="H162" s="71"/>
      <c r="I162" s="71"/>
      <c r="J162" s="71"/>
      <c r="K162" s="71"/>
      <c r="L162" s="1"/>
      <c r="M162" s="73">
        <f t="shared" si="17"/>
        <v>0</v>
      </c>
      <c r="N162" s="73">
        <f t="shared" si="18"/>
        <v>0</v>
      </c>
      <c r="O162" s="73">
        <f t="shared" si="19"/>
        <v>0</v>
      </c>
      <c r="P162" s="73">
        <f t="shared" si="20"/>
        <v>0</v>
      </c>
      <c r="Q162" s="73"/>
      <c r="R162" s="73">
        <v>0</v>
      </c>
      <c r="S162" s="75">
        <f t="shared" si="23"/>
        <v>0</v>
      </c>
      <c r="T162" s="77">
        <v>0</v>
      </c>
      <c r="U162" s="66">
        <v>40210</v>
      </c>
      <c r="V162" s="79"/>
      <c r="W162" s="66" t="s">
        <v>1585</v>
      </c>
      <c r="X162" s="24" t="s">
        <v>1586</v>
      </c>
      <c r="Y162" s="62"/>
      <c r="Z162" s="177" t="s">
        <v>894</v>
      </c>
      <c r="AA162" s="81" t="s">
        <v>1066</v>
      </c>
      <c r="AB162" s="3"/>
      <c r="AC162" s="4"/>
      <c r="AD162" s="5"/>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6"/>
      <c r="CE162" s="7"/>
      <c r="CF162" s="6"/>
      <c r="CG162" s="7"/>
      <c r="CH162" s="6"/>
      <c r="CI162" s="7"/>
      <c r="CJ162" s="8">
        <f t="shared" si="21"/>
        <v>0</v>
      </c>
      <c r="CK162" s="9"/>
      <c r="CL162" s="10"/>
      <c r="CM162" s="11"/>
      <c r="CN162" s="12"/>
      <c r="CO162" s="28"/>
      <c r="CP162" s="12"/>
      <c r="CQ162" s="9"/>
      <c r="CR162" s="10"/>
      <c r="CS162" s="68"/>
      <c r="EC162" s="344" t="str">
        <f t="shared" si="22"/>
        <v>NORTE DE SANTANDER_SAN CALIXTO</v>
      </c>
      <c r="ED162" s="341"/>
      <c r="EE162" s="341" t="s">
        <v>3110</v>
      </c>
      <c r="EF162" s="349" t="s">
        <v>3111</v>
      </c>
      <c r="EG162" s="341" t="s">
        <v>3352</v>
      </c>
      <c r="EH162" s="341" t="s">
        <v>4494</v>
      </c>
      <c r="EI162" s="341" t="str">
        <f t="shared" si="16"/>
        <v>Atlantico_Barranquilla</v>
      </c>
    </row>
    <row r="163" spans="1:139" ht="63.75">
      <c r="A163" s="228">
        <v>40210</v>
      </c>
      <c r="B163" s="102" t="s">
        <v>965</v>
      </c>
      <c r="C163" s="102" t="s">
        <v>1328</v>
      </c>
      <c r="D163" s="206" t="s">
        <v>1752</v>
      </c>
      <c r="E163" s="320" t="s">
        <v>4037</v>
      </c>
      <c r="F163" s="320"/>
      <c r="G163" s="210"/>
      <c r="H163" s="71"/>
      <c r="I163" s="71"/>
      <c r="J163" s="71"/>
      <c r="K163" s="71"/>
      <c r="L163" s="1"/>
      <c r="M163" s="73">
        <f t="shared" si="17"/>
        <v>0</v>
      </c>
      <c r="N163" s="73">
        <f t="shared" si="18"/>
        <v>0</v>
      </c>
      <c r="O163" s="73">
        <f t="shared" si="19"/>
        <v>0</v>
      </c>
      <c r="P163" s="73">
        <f t="shared" si="20"/>
        <v>0</v>
      </c>
      <c r="Q163" s="73"/>
      <c r="R163" s="73">
        <v>0</v>
      </c>
      <c r="S163" s="75">
        <f t="shared" si="23"/>
        <v>0</v>
      </c>
      <c r="T163" s="77">
        <v>0</v>
      </c>
      <c r="U163" s="66">
        <v>40210</v>
      </c>
      <c r="V163" s="79"/>
      <c r="W163" s="66" t="s">
        <v>1585</v>
      </c>
      <c r="X163" s="24" t="s">
        <v>1586</v>
      </c>
      <c r="Y163" s="62"/>
      <c r="Z163" s="177" t="s">
        <v>894</v>
      </c>
      <c r="AA163" s="81" t="s">
        <v>2578</v>
      </c>
      <c r="AB163" s="3"/>
      <c r="AC163" s="4"/>
      <c r="AD163" s="5"/>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6"/>
      <c r="CE163" s="7"/>
      <c r="CF163" s="6"/>
      <c r="CG163" s="7"/>
      <c r="CH163" s="6"/>
      <c r="CI163" s="7"/>
      <c r="CJ163" s="8">
        <f t="shared" si="21"/>
        <v>0</v>
      </c>
      <c r="CK163" s="9"/>
      <c r="CL163" s="10"/>
      <c r="CM163" s="11"/>
      <c r="CN163" s="12"/>
      <c r="CO163" s="28"/>
      <c r="CP163" s="12"/>
      <c r="CQ163" s="9"/>
      <c r="CR163" s="10"/>
      <c r="CS163" s="68"/>
      <c r="EC163" s="344" t="str">
        <f t="shared" si="22"/>
        <v>NORTE DE SANTANDER_VILLA DEL ROSARIO</v>
      </c>
      <c r="ED163" s="341"/>
      <c r="EE163" s="341" t="s">
        <v>3110</v>
      </c>
      <c r="EF163" s="349" t="s">
        <v>3111</v>
      </c>
      <c r="EG163" s="341" t="s">
        <v>3353</v>
      </c>
      <c r="EH163" s="341" t="s">
        <v>4495</v>
      </c>
      <c r="EI163" s="341" t="str">
        <f t="shared" si="16"/>
        <v>Atlantico_Baranoa</v>
      </c>
    </row>
    <row r="164" spans="1:139" ht="96">
      <c r="A164" s="228">
        <v>40210</v>
      </c>
      <c r="B164" s="102" t="s">
        <v>1998</v>
      </c>
      <c r="C164" s="102" t="s">
        <v>1387</v>
      </c>
      <c r="D164" s="206" t="s">
        <v>1752</v>
      </c>
      <c r="E164" s="320" t="s">
        <v>4067</v>
      </c>
      <c r="F164" s="320"/>
      <c r="G164" s="210"/>
      <c r="H164" s="71"/>
      <c r="I164" s="71"/>
      <c r="J164" s="71"/>
      <c r="K164" s="71"/>
      <c r="L164" s="1">
        <v>40302</v>
      </c>
      <c r="M164" s="73">
        <f t="shared" si="17"/>
        <v>0</v>
      </c>
      <c r="N164" s="73">
        <f t="shared" si="18"/>
        <v>0</v>
      </c>
      <c r="O164" s="73">
        <f t="shared" si="19"/>
        <v>0</v>
      </c>
      <c r="P164" s="73">
        <f t="shared" si="20"/>
        <v>0</v>
      </c>
      <c r="Q164" s="73"/>
      <c r="R164" s="73">
        <v>28000000</v>
      </c>
      <c r="S164" s="75">
        <f t="shared" si="23"/>
        <v>28000000</v>
      </c>
      <c r="T164" s="77">
        <v>0</v>
      </c>
      <c r="U164" s="66">
        <v>40298</v>
      </c>
      <c r="V164" s="79">
        <v>97127</v>
      </c>
      <c r="W164" s="66" t="s">
        <v>1606</v>
      </c>
      <c r="X164" s="24" t="s">
        <v>1607</v>
      </c>
      <c r="Y164" s="62">
        <v>233</v>
      </c>
      <c r="Z164" s="177" t="s">
        <v>2580</v>
      </c>
      <c r="AA164" s="92" t="s">
        <v>2217</v>
      </c>
      <c r="AB164" s="3"/>
      <c r="AC164" s="4"/>
      <c r="AD164" s="5"/>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6"/>
      <c r="CE164" s="7"/>
      <c r="CF164" s="6"/>
      <c r="CG164" s="7"/>
      <c r="CH164" s="6"/>
      <c r="CI164" s="7"/>
      <c r="CJ164" s="8">
        <f t="shared" si="21"/>
        <v>0</v>
      </c>
      <c r="CK164" s="9"/>
      <c r="CL164" s="10"/>
      <c r="CM164" s="11"/>
      <c r="CN164" s="12"/>
      <c r="CO164" s="28"/>
      <c r="CP164" s="12"/>
      <c r="CQ164" s="9"/>
      <c r="CR164" s="10"/>
      <c r="CS164" s="68">
        <v>2</v>
      </c>
      <c r="EC164" s="344" t="str">
        <f t="shared" si="22"/>
        <v>SANTANDER_ARATOCA</v>
      </c>
      <c r="ED164" s="341"/>
      <c r="EE164" s="341" t="s">
        <v>3110</v>
      </c>
      <c r="EF164" s="349" t="s">
        <v>3111</v>
      </c>
      <c r="EG164" s="341" t="s">
        <v>3354</v>
      </c>
      <c r="EH164" s="341" t="s">
        <v>4496</v>
      </c>
      <c r="EI164" s="341" t="str">
        <f t="shared" si="16"/>
        <v>Atlantico_Campo de La Cruz</v>
      </c>
    </row>
    <row r="165" spans="1:139" ht="291">
      <c r="A165" s="228">
        <v>40210</v>
      </c>
      <c r="B165" s="102" t="s">
        <v>1998</v>
      </c>
      <c r="C165" s="102" t="s">
        <v>1747</v>
      </c>
      <c r="D165" s="206" t="s">
        <v>1752</v>
      </c>
      <c r="E165" s="320" t="s">
        <v>4069</v>
      </c>
      <c r="F165" s="320"/>
      <c r="G165" s="210"/>
      <c r="H165" s="71"/>
      <c r="I165" s="71"/>
      <c r="J165" s="71"/>
      <c r="K165" s="71"/>
      <c r="L165" s="1">
        <v>40239</v>
      </c>
      <c r="M165" s="73">
        <f t="shared" si="17"/>
        <v>0</v>
      </c>
      <c r="N165" s="73">
        <f t="shared" si="18"/>
        <v>0</v>
      </c>
      <c r="O165" s="73">
        <f t="shared" si="19"/>
        <v>0</v>
      </c>
      <c r="P165" s="73">
        <f t="shared" si="20"/>
        <v>0</v>
      </c>
      <c r="Q165" s="73"/>
      <c r="R165" s="73">
        <f>33600000+33600000+191187981.25</f>
        <v>258387981.25</v>
      </c>
      <c r="S165" s="75">
        <f t="shared" si="23"/>
        <v>258387981.25</v>
      </c>
      <c r="T165" s="77">
        <v>0</v>
      </c>
      <c r="U165" s="66">
        <v>40210</v>
      </c>
      <c r="V165" s="79">
        <v>95527</v>
      </c>
      <c r="W165" s="66" t="s">
        <v>1606</v>
      </c>
      <c r="X165" s="24" t="s">
        <v>1607</v>
      </c>
      <c r="Y165" s="83" t="s">
        <v>1767</v>
      </c>
      <c r="Z165" s="177" t="s">
        <v>850</v>
      </c>
      <c r="AA165" s="81" t="s">
        <v>1768</v>
      </c>
      <c r="AB165" s="3"/>
      <c r="AC165" s="4"/>
      <c r="AD165" s="5"/>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6"/>
      <c r="CE165" s="7"/>
      <c r="CF165" s="6"/>
      <c r="CG165" s="7"/>
      <c r="CH165" s="6"/>
      <c r="CI165" s="7"/>
      <c r="CJ165" s="8">
        <f t="shared" si="21"/>
        <v>0</v>
      </c>
      <c r="CK165" s="9"/>
      <c r="CL165" s="10"/>
      <c r="CM165" s="11"/>
      <c r="CN165" s="12"/>
      <c r="CO165" s="28"/>
      <c r="CP165" s="12"/>
      <c r="CQ165" s="9"/>
      <c r="CR165" s="10"/>
      <c r="CS165" s="84" t="s">
        <v>1769</v>
      </c>
      <c r="EC165" s="344" t="str">
        <f t="shared" si="22"/>
        <v>SANTANDER_BARICHARA</v>
      </c>
      <c r="ED165" s="341"/>
      <c r="EE165" s="341" t="s">
        <v>3110</v>
      </c>
      <c r="EF165" s="349" t="s">
        <v>3111</v>
      </c>
      <c r="EG165" s="341" t="s">
        <v>3355</v>
      </c>
      <c r="EH165" s="341" t="s">
        <v>4497</v>
      </c>
      <c r="EI165" s="341" t="str">
        <f t="shared" ref="EI165:EI228" si="24">EF165&amp;"_"&amp;EH165</f>
        <v>Atlantico_Candelaria</v>
      </c>
    </row>
    <row r="166" spans="1:139" ht="72">
      <c r="A166" s="228">
        <v>40210</v>
      </c>
      <c r="B166" s="102" t="s">
        <v>1998</v>
      </c>
      <c r="C166" s="102" t="s">
        <v>1166</v>
      </c>
      <c r="D166" s="206" t="s">
        <v>1752</v>
      </c>
      <c r="E166" s="320" t="s">
        <v>4071</v>
      </c>
      <c r="F166" s="320"/>
      <c r="G166" s="210"/>
      <c r="H166" s="71"/>
      <c r="I166" s="71"/>
      <c r="J166" s="71"/>
      <c r="K166" s="71"/>
      <c r="L166" s="1">
        <v>40308</v>
      </c>
      <c r="M166" s="73">
        <f t="shared" si="17"/>
        <v>0</v>
      </c>
      <c r="N166" s="73">
        <f t="shared" si="18"/>
        <v>0</v>
      </c>
      <c r="O166" s="73">
        <f t="shared" si="19"/>
        <v>0</v>
      </c>
      <c r="P166" s="73">
        <f t="shared" si="20"/>
        <v>0</v>
      </c>
      <c r="Q166" s="73"/>
      <c r="R166" s="73">
        <v>36000000</v>
      </c>
      <c r="S166" s="75">
        <f t="shared" si="23"/>
        <v>36000000</v>
      </c>
      <c r="T166" s="77">
        <v>0</v>
      </c>
      <c r="U166" s="66">
        <v>40304</v>
      </c>
      <c r="V166" s="79">
        <v>97274</v>
      </c>
      <c r="W166" s="66" t="s">
        <v>1606</v>
      </c>
      <c r="X166" s="24" t="s">
        <v>1607</v>
      </c>
      <c r="Y166" s="62">
        <v>239</v>
      </c>
      <c r="Z166" s="177" t="s">
        <v>2580</v>
      </c>
      <c r="AA166" s="92" t="s">
        <v>1012</v>
      </c>
      <c r="AB166" s="3"/>
      <c r="AC166" s="4"/>
      <c r="AD166" s="5"/>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6"/>
      <c r="CE166" s="7"/>
      <c r="CF166" s="6"/>
      <c r="CG166" s="7"/>
      <c r="CH166" s="6"/>
      <c r="CI166" s="7"/>
      <c r="CJ166" s="8">
        <f t="shared" si="21"/>
        <v>0</v>
      </c>
      <c r="CK166" s="9"/>
      <c r="CL166" s="10"/>
      <c r="CM166" s="11"/>
      <c r="CN166" s="12"/>
      <c r="CO166" s="28"/>
      <c r="CP166" s="12"/>
      <c r="CQ166" s="9"/>
      <c r="CR166" s="10"/>
      <c r="CS166" s="68">
        <v>2</v>
      </c>
      <c r="EC166" s="344" t="str">
        <f t="shared" si="22"/>
        <v>SANTANDER_BETULIA</v>
      </c>
      <c r="ED166" s="341"/>
      <c r="EE166" s="341" t="s">
        <v>3110</v>
      </c>
      <c r="EF166" s="349" t="s">
        <v>3111</v>
      </c>
      <c r="EG166" s="341" t="s">
        <v>3356</v>
      </c>
      <c r="EH166" s="341" t="s">
        <v>4498</v>
      </c>
      <c r="EI166" s="341" t="str">
        <f t="shared" si="24"/>
        <v>Atlantico_Galapa</v>
      </c>
    </row>
    <row r="167" spans="1:139" ht="132">
      <c r="A167" s="228">
        <v>40210</v>
      </c>
      <c r="B167" s="102" t="s">
        <v>1998</v>
      </c>
      <c r="C167" s="102" t="s">
        <v>1748</v>
      </c>
      <c r="D167" s="206" t="s">
        <v>1752</v>
      </c>
      <c r="E167" s="320" t="s">
        <v>4073</v>
      </c>
      <c r="F167" s="320"/>
      <c r="G167" s="210"/>
      <c r="H167" s="71"/>
      <c r="I167" s="71"/>
      <c r="J167" s="71"/>
      <c r="K167" s="71"/>
      <c r="L167" s="1">
        <v>40304</v>
      </c>
      <c r="M167" s="73">
        <f t="shared" si="17"/>
        <v>0</v>
      </c>
      <c r="N167" s="73">
        <f t="shared" si="18"/>
        <v>0</v>
      </c>
      <c r="O167" s="73">
        <f t="shared" si="19"/>
        <v>0</v>
      </c>
      <c r="P167" s="73">
        <f t="shared" si="20"/>
        <v>0</v>
      </c>
      <c r="Q167" s="73"/>
      <c r="R167" s="73">
        <v>27900000</v>
      </c>
      <c r="S167" s="75">
        <f t="shared" si="23"/>
        <v>27900000</v>
      </c>
      <c r="T167" s="77">
        <v>0</v>
      </c>
      <c r="U167" s="66">
        <v>40298</v>
      </c>
      <c r="V167" s="79">
        <v>97125</v>
      </c>
      <c r="W167" s="66" t="s">
        <v>1606</v>
      </c>
      <c r="X167" s="24" t="s">
        <v>1607</v>
      </c>
      <c r="Y167" s="62">
        <v>234</v>
      </c>
      <c r="Z167" s="177" t="s">
        <v>1435</v>
      </c>
      <c r="AA167" s="81" t="s">
        <v>1652</v>
      </c>
      <c r="AB167" s="3"/>
      <c r="AC167" s="4"/>
      <c r="AD167" s="5"/>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6"/>
      <c r="CE167" s="7"/>
      <c r="CF167" s="6"/>
      <c r="CG167" s="7"/>
      <c r="CH167" s="6"/>
      <c r="CI167" s="7"/>
      <c r="CJ167" s="8">
        <f t="shared" si="21"/>
        <v>0</v>
      </c>
      <c r="CK167" s="9"/>
      <c r="CL167" s="10"/>
      <c r="CM167" s="11"/>
      <c r="CN167" s="12"/>
      <c r="CO167" s="28"/>
      <c r="CP167" s="12"/>
      <c r="CQ167" s="9"/>
      <c r="CR167" s="10"/>
      <c r="CS167" s="68">
        <v>2</v>
      </c>
      <c r="EC167" s="344" t="str">
        <f t="shared" si="22"/>
        <v>SANTANDER_CABRERA</v>
      </c>
      <c r="ED167" s="341"/>
      <c r="EE167" s="341" t="s">
        <v>3110</v>
      </c>
      <c r="EF167" s="349" t="s">
        <v>3111</v>
      </c>
      <c r="EG167" s="341" t="s">
        <v>3357</v>
      </c>
      <c r="EH167" s="341" t="s">
        <v>4499</v>
      </c>
      <c r="EI167" s="341" t="str">
        <f t="shared" si="24"/>
        <v>Atlantico_Juan de Acosta</v>
      </c>
    </row>
    <row r="168" spans="1:139" ht="108">
      <c r="A168" s="228">
        <v>40210</v>
      </c>
      <c r="B168" s="102" t="s">
        <v>1998</v>
      </c>
      <c r="C168" s="102" t="s">
        <v>1999</v>
      </c>
      <c r="D168" s="206" t="s">
        <v>1752</v>
      </c>
      <c r="E168" s="320" t="s">
        <v>4112</v>
      </c>
      <c r="F168" s="320"/>
      <c r="G168" s="210"/>
      <c r="H168" s="71"/>
      <c r="I168" s="71"/>
      <c r="J168" s="71"/>
      <c r="K168" s="71"/>
      <c r="L168" s="1">
        <v>40303</v>
      </c>
      <c r="M168" s="73">
        <f t="shared" si="17"/>
        <v>0</v>
      </c>
      <c r="N168" s="73">
        <f t="shared" si="18"/>
        <v>0</v>
      </c>
      <c r="O168" s="73">
        <f t="shared" si="19"/>
        <v>0</v>
      </c>
      <c r="P168" s="73">
        <f t="shared" si="20"/>
        <v>0</v>
      </c>
      <c r="Q168" s="73"/>
      <c r="R168" s="73">
        <v>45000000</v>
      </c>
      <c r="S168" s="75">
        <f t="shared" si="23"/>
        <v>45000000</v>
      </c>
      <c r="T168" s="77">
        <v>0</v>
      </c>
      <c r="U168" s="66">
        <v>40298</v>
      </c>
      <c r="V168" s="79">
        <v>97126</v>
      </c>
      <c r="W168" s="66" t="s">
        <v>1606</v>
      </c>
      <c r="X168" s="24" t="s">
        <v>1607</v>
      </c>
      <c r="Y168" s="62">
        <v>232</v>
      </c>
      <c r="Z168" s="177" t="s">
        <v>850</v>
      </c>
      <c r="AA168" s="81" t="s">
        <v>921</v>
      </c>
      <c r="AB168" s="3"/>
      <c r="AC168" s="4"/>
      <c r="AD168" s="5"/>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6"/>
      <c r="CE168" s="7"/>
      <c r="CF168" s="6"/>
      <c r="CG168" s="7"/>
      <c r="CH168" s="6"/>
      <c r="CI168" s="7"/>
      <c r="CJ168" s="8">
        <f t="shared" si="21"/>
        <v>0</v>
      </c>
      <c r="CK168" s="9"/>
      <c r="CL168" s="10"/>
      <c r="CM168" s="11"/>
      <c r="CN168" s="12"/>
      <c r="CO168" s="28"/>
      <c r="CP168" s="12"/>
      <c r="CQ168" s="9"/>
      <c r="CR168" s="10"/>
      <c r="CS168" s="68">
        <v>2</v>
      </c>
      <c r="EC168" s="344" t="str">
        <f t="shared" si="22"/>
        <v>SANTANDER_LOS SANTOS</v>
      </c>
      <c r="ED168" s="341"/>
      <c r="EE168" s="341" t="s">
        <v>3110</v>
      </c>
      <c r="EF168" s="349" t="s">
        <v>3111</v>
      </c>
      <c r="EG168" s="341" t="s">
        <v>3358</v>
      </c>
      <c r="EH168" s="341" t="s">
        <v>4500</v>
      </c>
      <c r="EI168" s="341" t="str">
        <f t="shared" si="24"/>
        <v>Atlantico_Luruaco</v>
      </c>
    </row>
    <row r="169" spans="1:139" ht="156">
      <c r="A169" s="228">
        <v>40210</v>
      </c>
      <c r="B169" s="102" t="s">
        <v>1998</v>
      </c>
      <c r="C169" s="102" t="s">
        <v>1749</v>
      </c>
      <c r="D169" s="206" t="s">
        <v>1752</v>
      </c>
      <c r="E169" s="320" t="s">
        <v>4114</v>
      </c>
      <c r="F169" s="320"/>
      <c r="G169" s="210"/>
      <c r="H169" s="71"/>
      <c r="I169" s="71"/>
      <c r="J169" s="71"/>
      <c r="K169" s="71"/>
      <c r="L169" s="1"/>
      <c r="M169" s="73">
        <f t="shared" si="17"/>
        <v>0</v>
      </c>
      <c r="N169" s="73">
        <f t="shared" si="18"/>
        <v>0</v>
      </c>
      <c r="O169" s="73">
        <f t="shared" si="19"/>
        <v>0</v>
      </c>
      <c r="P169" s="73">
        <f t="shared" si="20"/>
        <v>0</v>
      </c>
      <c r="Q169" s="73"/>
      <c r="R169" s="73">
        <v>0</v>
      </c>
      <c r="S169" s="75">
        <f t="shared" si="23"/>
        <v>0</v>
      </c>
      <c r="T169" s="77">
        <v>0</v>
      </c>
      <c r="U169" s="66">
        <v>40210</v>
      </c>
      <c r="V169" s="79"/>
      <c r="W169" s="66" t="s">
        <v>1585</v>
      </c>
      <c r="X169" s="24" t="s">
        <v>1586</v>
      </c>
      <c r="Y169" s="62"/>
      <c r="Z169" s="177" t="s">
        <v>894</v>
      </c>
      <c r="AA169" s="81" t="s">
        <v>1438</v>
      </c>
      <c r="AB169" s="3"/>
      <c r="AC169" s="4"/>
      <c r="AD169" s="5"/>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6"/>
      <c r="CE169" s="7"/>
      <c r="CF169" s="6"/>
      <c r="CG169" s="7"/>
      <c r="CH169" s="6"/>
      <c r="CI169" s="7"/>
      <c r="CJ169" s="8">
        <f t="shared" si="21"/>
        <v>0</v>
      </c>
      <c r="CK169" s="9"/>
      <c r="CL169" s="10"/>
      <c r="CM169" s="11"/>
      <c r="CN169" s="12"/>
      <c r="CO169" s="28"/>
      <c r="CP169" s="12"/>
      <c r="CQ169" s="9"/>
      <c r="CR169" s="10"/>
      <c r="CS169" s="68"/>
      <c r="EC169" s="344" t="str">
        <f t="shared" si="22"/>
        <v>SANTANDER_MALAGA</v>
      </c>
      <c r="ED169" s="341"/>
      <c r="EE169" s="341" t="s">
        <v>3110</v>
      </c>
      <c r="EF169" s="349" t="s">
        <v>3111</v>
      </c>
      <c r="EG169" s="341" t="s">
        <v>3359</v>
      </c>
      <c r="EH169" s="341" t="s">
        <v>4501</v>
      </c>
      <c r="EI169" s="341" t="str">
        <f t="shared" si="24"/>
        <v>Atlantico_Malambo</v>
      </c>
    </row>
    <row r="170" spans="1:139" ht="84">
      <c r="A170" s="228">
        <v>40210</v>
      </c>
      <c r="B170" s="102" t="s">
        <v>1998</v>
      </c>
      <c r="C170" s="102" t="s">
        <v>2589</v>
      </c>
      <c r="D170" s="206" t="s">
        <v>1752</v>
      </c>
      <c r="E170" s="320" t="s">
        <v>4118</v>
      </c>
      <c r="F170" s="320"/>
      <c r="G170" s="210"/>
      <c r="H170" s="71"/>
      <c r="I170" s="71"/>
      <c r="J170" s="71">
        <v>620</v>
      </c>
      <c r="K170" s="71">
        <v>136</v>
      </c>
      <c r="L170" s="1">
        <v>40310</v>
      </c>
      <c r="M170" s="73">
        <f t="shared" si="17"/>
        <v>0</v>
      </c>
      <c r="N170" s="73">
        <f t="shared" si="18"/>
        <v>0</v>
      </c>
      <c r="O170" s="73">
        <f t="shared" si="19"/>
        <v>0</v>
      </c>
      <c r="P170" s="73">
        <f t="shared" si="20"/>
        <v>0</v>
      </c>
      <c r="Q170" s="73"/>
      <c r="R170" s="73">
        <v>30090000</v>
      </c>
      <c r="S170" s="75">
        <f t="shared" si="23"/>
        <v>30090000</v>
      </c>
      <c r="T170" s="77">
        <v>0</v>
      </c>
      <c r="U170" s="66">
        <v>40304</v>
      </c>
      <c r="V170" s="79">
        <v>97425</v>
      </c>
      <c r="W170" s="66" t="s">
        <v>1606</v>
      </c>
      <c r="X170" s="24" t="s">
        <v>1607</v>
      </c>
      <c r="Y170" s="62">
        <v>246</v>
      </c>
      <c r="Z170" s="104" t="s">
        <v>2036</v>
      </c>
      <c r="AA170" s="80" t="s">
        <v>2037</v>
      </c>
      <c r="AB170" s="3"/>
      <c r="AC170" s="4"/>
      <c r="AD170" s="5"/>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6"/>
      <c r="CE170" s="7"/>
      <c r="CF170" s="6"/>
      <c r="CG170" s="7"/>
      <c r="CH170" s="6"/>
      <c r="CI170" s="7"/>
      <c r="CJ170" s="8">
        <f t="shared" si="21"/>
        <v>0</v>
      </c>
      <c r="CK170" s="9"/>
      <c r="CL170" s="10"/>
      <c r="CM170" s="11"/>
      <c r="CN170" s="12"/>
      <c r="CO170" s="28"/>
      <c r="CP170" s="12"/>
      <c r="CQ170" s="9"/>
      <c r="CR170" s="10"/>
      <c r="CS170" s="68">
        <v>2</v>
      </c>
      <c r="CT170" s="22">
        <v>1035</v>
      </c>
      <c r="EC170" s="344" t="str">
        <f t="shared" si="22"/>
        <v>SANTANDER_OCAMONTE</v>
      </c>
      <c r="ED170" s="341"/>
      <c r="EE170" s="341" t="s">
        <v>3110</v>
      </c>
      <c r="EF170" s="349" t="s">
        <v>3111</v>
      </c>
      <c r="EG170" s="341" t="s">
        <v>3360</v>
      </c>
      <c r="EH170" s="341" t="s">
        <v>4502</v>
      </c>
      <c r="EI170" s="341" t="str">
        <f t="shared" si="24"/>
        <v>Atlantico_Manati</v>
      </c>
    </row>
    <row r="171" spans="1:139" ht="144">
      <c r="A171" s="228">
        <v>40210</v>
      </c>
      <c r="B171" s="102" t="s">
        <v>1998</v>
      </c>
      <c r="C171" s="102" t="s">
        <v>1553</v>
      </c>
      <c r="D171" s="206" t="s">
        <v>1752</v>
      </c>
      <c r="E171" s="320" t="s">
        <v>4149</v>
      </c>
      <c r="F171" s="320"/>
      <c r="G171" s="210"/>
      <c r="H171" s="71"/>
      <c r="I171" s="71"/>
      <c r="J171" s="71"/>
      <c r="K171" s="71"/>
      <c r="L171" s="1"/>
      <c r="M171" s="73">
        <f t="shared" si="17"/>
        <v>0</v>
      </c>
      <c r="N171" s="73">
        <f t="shared" si="18"/>
        <v>0</v>
      </c>
      <c r="O171" s="73">
        <f t="shared" si="19"/>
        <v>0</v>
      </c>
      <c r="P171" s="73">
        <f t="shared" si="20"/>
        <v>0</v>
      </c>
      <c r="Q171" s="73"/>
      <c r="R171" s="73">
        <v>51449400</v>
      </c>
      <c r="S171" s="75">
        <f t="shared" si="23"/>
        <v>51449400</v>
      </c>
      <c r="T171" s="77">
        <v>0</v>
      </c>
      <c r="U171" s="66">
        <v>40301</v>
      </c>
      <c r="V171" s="89" t="s">
        <v>1697</v>
      </c>
      <c r="W171" s="66" t="s">
        <v>1606</v>
      </c>
      <c r="X171" s="24" t="s">
        <v>1607</v>
      </c>
      <c r="Y171" s="62">
        <v>236</v>
      </c>
      <c r="Z171" s="177" t="s">
        <v>1698</v>
      </c>
      <c r="AA171" s="81" t="s">
        <v>1699</v>
      </c>
      <c r="AB171" s="3"/>
      <c r="AC171" s="4"/>
      <c r="AD171" s="5"/>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6"/>
      <c r="CE171" s="7"/>
      <c r="CF171" s="6"/>
      <c r="CG171" s="7"/>
      <c r="CH171" s="6"/>
      <c r="CI171" s="7"/>
      <c r="CJ171" s="8">
        <f t="shared" si="21"/>
        <v>0</v>
      </c>
      <c r="CK171" s="9"/>
      <c r="CL171" s="10"/>
      <c r="CM171" s="11"/>
      <c r="CN171" s="12"/>
      <c r="CO171" s="28"/>
      <c r="CP171" s="12"/>
      <c r="CQ171" s="9"/>
      <c r="CR171" s="10"/>
      <c r="CS171" s="68">
        <v>2</v>
      </c>
      <c r="EC171" s="344" t="str">
        <f t="shared" si="22"/>
        <v>SANTANDER_VILLANUEVA</v>
      </c>
      <c r="ED171" s="341"/>
      <c r="EE171" s="341" t="s">
        <v>3110</v>
      </c>
      <c r="EF171" s="349" t="s">
        <v>3111</v>
      </c>
      <c r="EG171" s="341" t="s">
        <v>3361</v>
      </c>
      <c r="EH171" s="341" t="s">
        <v>4503</v>
      </c>
      <c r="EI171" s="341" t="str">
        <f t="shared" si="24"/>
        <v>Atlantico_Palmar de Varela</v>
      </c>
    </row>
    <row r="172" spans="1:139" ht="48">
      <c r="A172" s="228">
        <v>40210</v>
      </c>
      <c r="B172" s="102" t="s">
        <v>1943</v>
      </c>
      <c r="C172" s="102" t="s">
        <v>1942</v>
      </c>
      <c r="D172" s="206" t="s">
        <v>1752</v>
      </c>
      <c r="E172" s="320" t="s">
        <v>4152</v>
      </c>
      <c r="F172" s="320"/>
      <c r="G172" s="210"/>
      <c r="H172" s="71"/>
      <c r="I172" s="71"/>
      <c r="J172" s="71"/>
      <c r="K172" s="71"/>
      <c r="L172" s="1"/>
      <c r="M172" s="73">
        <f t="shared" si="17"/>
        <v>0</v>
      </c>
      <c r="N172" s="73">
        <f t="shared" si="18"/>
        <v>0</v>
      </c>
      <c r="O172" s="73">
        <f t="shared" si="19"/>
        <v>0</v>
      </c>
      <c r="P172" s="73">
        <f t="shared" si="20"/>
        <v>0</v>
      </c>
      <c r="Q172" s="73"/>
      <c r="R172" s="73">
        <v>0</v>
      </c>
      <c r="S172" s="75">
        <f t="shared" si="23"/>
        <v>0</v>
      </c>
      <c r="T172" s="77">
        <v>0</v>
      </c>
      <c r="U172" s="66">
        <v>40210</v>
      </c>
      <c r="V172" s="79"/>
      <c r="W172" s="66" t="s">
        <v>1585</v>
      </c>
      <c r="X172" s="24" t="s">
        <v>1586</v>
      </c>
      <c r="Y172" s="62"/>
      <c r="Z172" s="177" t="s">
        <v>894</v>
      </c>
      <c r="AA172" s="81" t="s">
        <v>2578</v>
      </c>
      <c r="AB172" s="3"/>
      <c r="AC172" s="4"/>
      <c r="AD172" s="5"/>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6"/>
      <c r="CE172" s="7"/>
      <c r="CF172" s="6"/>
      <c r="CG172" s="7"/>
      <c r="CH172" s="6"/>
      <c r="CI172" s="7"/>
      <c r="CJ172" s="8">
        <f t="shared" si="21"/>
        <v>0</v>
      </c>
      <c r="CK172" s="9"/>
      <c r="CL172" s="10"/>
      <c r="CM172" s="11"/>
      <c r="CN172" s="12"/>
      <c r="CO172" s="28"/>
      <c r="CP172" s="12"/>
      <c r="CQ172" s="9"/>
      <c r="CR172" s="10"/>
      <c r="CS172" s="68"/>
      <c r="EC172" s="344" t="str">
        <f t="shared" si="22"/>
        <v>SUCRE_BUENAVISTA</v>
      </c>
      <c r="ED172" s="341"/>
      <c r="EE172" s="341" t="s">
        <v>3110</v>
      </c>
      <c r="EF172" s="349" t="s">
        <v>3111</v>
      </c>
      <c r="EG172" s="341" t="s">
        <v>3362</v>
      </c>
      <c r="EH172" s="341" t="s">
        <v>4504</v>
      </c>
      <c r="EI172" s="341" t="str">
        <f t="shared" si="24"/>
        <v>Atlantico_Piojo</v>
      </c>
    </row>
    <row r="173" spans="1:139" ht="84">
      <c r="A173" s="228">
        <v>40210</v>
      </c>
      <c r="B173" s="102" t="s">
        <v>1943</v>
      </c>
      <c r="C173" s="102" t="s">
        <v>1944</v>
      </c>
      <c r="D173" s="206" t="s">
        <v>1752</v>
      </c>
      <c r="E173" s="320" t="s">
        <v>4167</v>
      </c>
      <c r="F173" s="320"/>
      <c r="G173" s="210"/>
      <c r="H173" s="71"/>
      <c r="I173" s="71"/>
      <c r="J173" s="71">
        <v>7000</v>
      </c>
      <c r="K173" s="71">
        <v>1500</v>
      </c>
      <c r="L173" s="1"/>
      <c r="M173" s="73">
        <f t="shared" si="17"/>
        <v>0</v>
      </c>
      <c r="N173" s="73">
        <f t="shared" si="18"/>
        <v>0</v>
      </c>
      <c r="O173" s="73">
        <f t="shared" si="19"/>
        <v>0</v>
      </c>
      <c r="P173" s="73">
        <f t="shared" si="20"/>
        <v>0</v>
      </c>
      <c r="Q173" s="73"/>
      <c r="R173" s="73">
        <v>0</v>
      </c>
      <c r="S173" s="75">
        <f t="shared" si="23"/>
        <v>0</v>
      </c>
      <c r="T173" s="77">
        <v>0</v>
      </c>
      <c r="U173" s="66">
        <v>40210</v>
      </c>
      <c r="V173" s="79"/>
      <c r="W173" s="66" t="s">
        <v>1585</v>
      </c>
      <c r="X173" s="24" t="s">
        <v>1586</v>
      </c>
      <c r="Y173" s="62"/>
      <c r="Z173" s="177" t="s">
        <v>894</v>
      </c>
      <c r="AA173" s="81" t="s">
        <v>2299</v>
      </c>
      <c r="AB173" s="3"/>
      <c r="AC173" s="4"/>
      <c r="AD173" s="5"/>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6"/>
      <c r="CE173" s="7"/>
      <c r="CF173" s="6"/>
      <c r="CG173" s="7"/>
      <c r="CH173" s="6"/>
      <c r="CI173" s="7"/>
      <c r="CJ173" s="8">
        <f t="shared" si="21"/>
        <v>0</v>
      </c>
      <c r="CK173" s="9"/>
      <c r="CL173" s="10"/>
      <c r="CM173" s="11"/>
      <c r="CN173" s="12"/>
      <c r="CO173" s="28"/>
      <c r="CP173" s="12"/>
      <c r="CQ173" s="9"/>
      <c r="CR173" s="10"/>
      <c r="CS173" s="68"/>
      <c r="EC173" s="344" t="str">
        <f t="shared" si="22"/>
        <v>SUCRE_SAMPUES</v>
      </c>
      <c r="ED173" s="341"/>
      <c r="EE173" s="341" t="s">
        <v>3110</v>
      </c>
      <c r="EF173" s="349" t="s">
        <v>3111</v>
      </c>
      <c r="EG173" s="341" t="s">
        <v>3363</v>
      </c>
      <c r="EH173" s="341" t="s">
        <v>4505</v>
      </c>
      <c r="EI173" s="341" t="str">
        <f t="shared" si="24"/>
        <v>Atlantico_Polonuevo</v>
      </c>
    </row>
    <row r="174" spans="1:139" ht="96">
      <c r="A174" s="228">
        <v>40210</v>
      </c>
      <c r="B174" s="102" t="s">
        <v>1088</v>
      </c>
      <c r="C174" s="102" t="s">
        <v>1750</v>
      </c>
      <c r="D174" s="206" t="s">
        <v>1752</v>
      </c>
      <c r="E174" s="320" t="s">
        <v>4260</v>
      </c>
      <c r="F174" s="320"/>
      <c r="G174" s="210"/>
      <c r="H174" s="71"/>
      <c r="I174" s="71"/>
      <c r="J174" s="71"/>
      <c r="K174" s="71"/>
      <c r="L174" s="1"/>
      <c r="M174" s="73">
        <f t="shared" si="17"/>
        <v>0</v>
      </c>
      <c r="N174" s="73">
        <f t="shared" si="18"/>
        <v>0</v>
      </c>
      <c r="O174" s="73">
        <f t="shared" si="19"/>
        <v>0</v>
      </c>
      <c r="P174" s="73">
        <f t="shared" si="20"/>
        <v>0</v>
      </c>
      <c r="Q174" s="73"/>
      <c r="R174" s="73">
        <v>0</v>
      </c>
      <c r="S174" s="75">
        <f t="shared" si="23"/>
        <v>0</v>
      </c>
      <c r="T174" s="77">
        <v>0</v>
      </c>
      <c r="U174" s="66">
        <v>40210</v>
      </c>
      <c r="V174" s="79"/>
      <c r="W174" s="66" t="s">
        <v>1585</v>
      </c>
      <c r="X174" s="24" t="s">
        <v>1586</v>
      </c>
      <c r="Y174" s="62"/>
      <c r="Z174" s="177" t="s">
        <v>894</v>
      </c>
      <c r="AA174" s="81" t="s">
        <v>1067</v>
      </c>
      <c r="AB174" s="3"/>
      <c r="AC174" s="4"/>
      <c r="AD174" s="5"/>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6"/>
      <c r="CE174" s="7"/>
      <c r="CF174" s="6"/>
      <c r="CG174" s="7"/>
      <c r="CH174" s="6"/>
      <c r="CI174" s="7"/>
      <c r="CJ174" s="8">
        <f t="shared" si="21"/>
        <v>0</v>
      </c>
      <c r="CK174" s="9"/>
      <c r="CL174" s="10"/>
      <c r="CM174" s="11"/>
      <c r="CN174" s="12"/>
      <c r="CO174" s="28"/>
      <c r="CP174" s="12"/>
      <c r="CQ174" s="9"/>
      <c r="CR174" s="10"/>
      <c r="CS174" s="68"/>
      <c r="EC174" s="344" t="str">
        <f t="shared" si="22"/>
        <v>VALLE DEL CAUCA_ULLOA</v>
      </c>
      <c r="ED174" s="341"/>
      <c r="EE174" s="341" t="s">
        <v>3110</v>
      </c>
      <c r="EF174" s="349" t="s">
        <v>3111</v>
      </c>
      <c r="EG174" s="341" t="s">
        <v>3364</v>
      </c>
      <c r="EH174" s="341" t="s">
        <v>4506</v>
      </c>
      <c r="EI174" s="341" t="str">
        <f t="shared" si="24"/>
        <v>Atlantico_Ponedera</v>
      </c>
    </row>
    <row r="175" spans="1:139" ht="48">
      <c r="A175" s="228">
        <v>40210</v>
      </c>
      <c r="B175" s="102" t="s">
        <v>1088</v>
      </c>
      <c r="C175" s="102" t="s">
        <v>1751</v>
      </c>
      <c r="D175" s="206" t="s">
        <v>1752</v>
      </c>
      <c r="E175" s="320" t="s">
        <v>4265</v>
      </c>
      <c r="F175" s="320"/>
      <c r="G175" s="210"/>
      <c r="H175" s="71"/>
      <c r="I175" s="71"/>
      <c r="J175" s="71"/>
      <c r="K175" s="71"/>
      <c r="L175" s="1"/>
      <c r="M175" s="73">
        <f t="shared" si="17"/>
        <v>0</v>
      </c>
      <c r="N175" s="73">
        <f t="shared" si="18"/>
        <v>0</v>
      </c>
      <c r="O175" s="73">
        <f t="shared" si="19"/>
        <v>0</v>
      </c>
      <c r="P175" s="73">
        <f t="shared" si="20"/>
        <v>0</v>
      </c>
      <c r="Q175" s="73"/>
      <c r="R175" s="73">
        <v>0</v>
      </c>
      <c r="S175" s="75">
        <f t="shared" si="23"/>
        <v>0</v>
      </c>
      <c r="T175" s="77">
        <v>0</v>
      </c>
      <c r="U175" s="66">
        <v>40210</v>
      </c>
      <c r="V175" s="79"/>
      <c r="W175" s="66" t="s">
        <v>1585</v>
      </c>
      <c r="X175" s="24" t="s">
        <v>1586</v>
      </c>
      <c r="Y175" s="62"/>
      <c r="Z175" s="177" t="s">
        <v>894</v>
      </c>
      <c r="AA175" s="81" t="s">
        <v>2578</v>
      </c>
      <c r="AB175" s="3"/>
      <c r="AC175" s="4"/>
      <c r="AD175" s="5"/>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6"/>
      <c r="CE175" s="7"/>
      <c r="CF175" s="6"/>
      <c r="CG175" s="7"/>
      <c r="CH175" s="6"/>
      <c r="CI175" s="7"/>
      <c r="CJ175" s="8">
        <f t="shared" si="21"/>
        <v>0</v>
      </c>
      <c r="CK175" s="9"/>
      <c r="CL175" s="10"/>
      <c r="CM175" s="11"/>
      <c r="CN175" s="12"/>
      <c r="CO175" s="28"/>
      <c r="CP175" s="12"/>
      <c r="CQ175" s="9"/>
      <c r="CR175" s="10"/>
      <c r="CS175" s="68"/>
      <c r="EC175" s="344" t="str">
        <f t="shared" si="22"/>
        <v>VALLE DEL CAUCA_ZARZAL</v>
      </c>
      <c r="ED175" s="341"/>
      <c r="EE175" s="341" t="s">
        <v>3110</v>
      </c>
      <c r="EF175" s="349" t="s">
        <v>3111</v>
      </c>
      <c r="EG175" s="341" t="s">
        <v>3365</v>
      </c>
      <c r="EH175" s="341" t="s">
        <v>4507</v>
      </c>
      <c r="EI175" s="341" t="str">
        <f t="shared" si="24"/>
        <v>Atlantico_Puerto Colombia</v>
      </c>
    </row>
    <row r="176" spans="1:139" ht="132">
      <c r="A176" s="228">
        <v>40211</v>
      </c>
      <c r="B176" s="102" t="s">
        <v>1611</v>
      </c>
      <c r="C176" s="102" t="s">
        <v>1611</v>
      </c>
      <c r="D176" s="206" t="s">
        <v>2389</v>
      </c>
      <c r="E176" s="320" t="e">
        <v>#N/A</v>
      </c>
      <c r="F176" s="320"/>
      <c r="G176" s="210"/>
      <c r="H176" s="71"/>
      <c r="I176" s="71"/>
      <c r="J176" s="71"/>
      <c r="K176" s="71"/>
      <c r="L176" s="1"/>
      <c r="M176" s="73">
        <f t="shared" si="17"/>
        <v>0</v>
      </c>
      <c r="N176" s="73">
        <f t="shared" si="18"/>
        <v>0</v>
      </c>
      <c r="O176" s="73">
        <f t="shared" si="19"/>
        <v>0</v>
      </c>
      <c r="P176" s="73">
        <f t="shared" si="20"/>
        <v>0</v>
      </c>
      <c r="Q176" s="73">
        <f>128069420+328333580+243587000</f>
        <v>699990000</v>
      </c>
      <c r="R176" s="73">
        <v>0</v>
      </c>
      <c r="S176" s="75">
        <f t="shared" si="23"/>
        <v>699990000</v>
      </c>
      <c r="T176" s="77">
        <v>0</v>
      </c>
      <c r="U176" s="66">
        <v>40233</v>
      </c>
      <c r="V176" s="79">
        <v>95500</v>
      </c>
      <c r="W176" s="66" t="s">
        <v>1606</v>
      </c>
      <c r="X176" s="24" t="s">
        <v>1607</v>
      </c>
      <c r="Y176" s="83" t="s">
        <v>2290</v>
      </c>
      <c r="Z176" s="177" t="s">
        <v>2594</v>
      </c>
      <c r="AA176" s="80" t="s">
        <v>2289</v>
      </c>
      <c r="AB176" s="3"/>
      <c r="AC176" s="4"/>
      <c r="AD176" s="5"/>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6"/>
      <c r="CE176" s="7"/>
      <c r="CF176" s="6"/>
      <c r="CG176" s="7"/>
      <c r="CH176" s="6"/>
      <c r="CI176" s="7"/>
      <c r="CJ176" s="8">
        <f t="shared" si="21"/>
        <v>0</v>
      </c>
      <c r="CK176" s="9"/>
      <c r="CL176" s="10"/>
      <c r="CM176" s="11"/>
      <c r="CN176" s="12"/>
      <c r="CO176" s="28"/>
      <c r="CP176" s="12"/>
      <c r="CQ176" s="9"/>
      <c r="CR176" s="10"/>
      <c r="CS176" s="84"/>
      <c r="EC176" s="344" t="str">
        <f t="shared" si="22"/>
        <v>NACION_NACION</v>
      </c>
      <c r="ED176" s="341"/>
      <c r="EE176" s="341" t="s">
        <v>3110</v>
      </c>
      <c r="EF176" s="349" t="s">
        <v>3111</v>
      </c>
      <c r="EG176" s="341" t="s">
        <v>3366</v>
      </c>
      <c r="EH176" s="341" t="s">
        <v>4508</v>
      </c>
      <c r="EI176" s="341" t="str">
        <f t="shared" si="24"/>
        <v>Atlantico_Repelon</v>
      </c>
    </row>
    <row r="177" spans="1:139" ht="45">
      <c r="A177" s="228">
        <v>40212</v>
      </c>
      <c r="B177" s="102" t="s">
        <v>1611</v>
      </c>
      <c r="C177" s="218" t="s">
        <v>1611</v>
      </c>
      <c r="D177" s="206" t="s">
        <v>2389</v>
      </c>
      <c r="E177" s="320" t="e">
        <v>#N/A</v>
      </c>
      <c r="F177" s="320"/>
      <c r="G177" s="210"/>
      <c r="H177" s="71"/>
      <c r="I177" s="71"/>
      <c r="J177" s="71"/>
      <c r="K177" s="71"/>
      <c r="L177" s="1">
        <v>40224</v>
      </c>
      <c r="M177" s="73">
        <f t="shared" si="17"/>
        <v>0</v>
      </c>
      <c r="N177" s="73">
        <f t="shared" si="18"/>
        <v>0</v>
      </c>
      <c r="O177" s="73">
        <f t="shared" si="19"/>
        <v>0</v>
      </c>
      <c r="P177" s="73">
        <f t="shared" si="20"/>
        <v>0</v>
      </c>
      <c r="Q177" s="73">
        <f>1000*22000</f>
        <v>22000000</v>
      </c>
      <c r="R177" s="73">
        <v>0</v>
      </c>
      <c r="S177" s="75">
        <f t="shared" si="23"/>
        <v>22000000</v>
      </c>
      <c r="T177" s="77">
        <v>0</v>
      </c>
      <c r="U177" s="66">
        <v>40212</v>
      </c>
      <c r="V177" s="79">
        <v>94899</v>
      </c>
      <c r="W177" s="66" t="s">
        <v>1606</v>
      </c>
      <c r="X177" s="24" t="s">
        <v>1607</v>
      </c>
      <c r="Y177" s="62">
        <v>17</v>
      </c>
      <c r="Z177" s="177" t="s">
        <v>1608</v>
      </c>
      <c r="AA177" s="80" t="s">
        <v>1167</v>
      </c>
      <c r="AB177" s="3"/>
      <c r="AC177" s="4"/>
      <c r="AD177" s="5"/>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6"/>
      <c r="CE177" s="7"/>
      <c r="CF177" s="6"/>
      <c r="CG177" s="7"/>
      <c r="CH177" s="6"/>
      <c r="CI177" s="7"/>
      <c r="CJ177" s="8">
        <f t="shared" si="21"/>
        <v>0</v>
      </c>
      <c r="CK177" s="9"/>
      <c r="CL177" s="10"/>
      <c r="CM177" s="11"/>
      <c r="CN177" s="12"/>
      <c r="CO177" s="28"/>
      <c r="CP177" s="12"/>
      <c r="CQ177" s="9"/>
      <c r="CR177" s="10"/>
      <c r="CS177" s="68"/>
      <c r="EC177" s="344" t="str">
        <f t="shared" si="22"/>
        <v>NACION_NACION</v>
      </c>
      <c r="ED177" s="341"/>
      <c r="EE177" s="341" t="s">
        <v>3110</v>
      </c>
      <c r="EF177" s="349" t="s">
        <v>3111</v>
      </c>
      <c r="EG177" s="341" t="s">
        <v>3367</v>
      </c>
      <c r="EH177" s="341" t="s">
        <v>4509</v>
      </c>
      <c r="EI177" s="341" t="str">
        <f t="shared" si="24"/>
        <v>Atlantico_Sabanagrande</v>
      </c>
    </row>
    <row r="178" spans="1:139" ht="36">
      <c r="A178" s="228">
        <v>40213</v>
      </c>
      <c r="B178" s="102" t="s">
        <v>1192</v>
      </c>
      <c r="C178" s="102" t="s">
        <v>1939</v>
      </c>
      <c r="D178" s="206" t="s">
        <v>2389</v>
      </c>
      <c r="E178" s="320" t="s">
        <v>3525</v>
      </c>
      <c r="F178" s="320"/>
      <c r="G178" s="210"/>
      <c r="H178" s="71"/>
      <c r="I178" s="71"/>
      <c r="J178" s="71"/>
      <c r="K178" s="71"/>
      <c r="L178" s="1"/>
      <c r="M178" s="73">
        <f t="shared" si="17"/>
        <v>0</v>
      </c>
      <c r="N178" s="73">
        <f t="shared" si="18"/>
        <v>0</v>
      </c>
      <c r="O178" s="73">
        <f t="shared" si="19"/>
        <v>0</v>
      </c>
      <c r="P178" s="73">
        <f t="shared" si="20"/>
        <v>0</v>
      </c>
      <c r="Q178" s="73"/>
      <c r="R178" s="73">
        <v>0</v>
      </c>
      <c r="S178" s="75">
        <f t="shared" si="23"/>
        <v>0</v>
      </c>
      <c r="T178" s="77">
        <v>0</v>
      </c>
      <c r="U178" s="66">
        <v>40228</v>
      </c>
      <c r="V178" s="79">
        <v>95407</v>
      </c>
      <c r="W178" s="66" t="s">
        <v>1606</v>
      </c>
      <c r="X178" s="24" t="s">
        <v>1586</v>
      </c>
      <c r="Y178" s="62"/>
      <c r="Z178" s="177" t="s">
        <v>2617</v>
      </c>
      <c r="AA178" s="80" t="s">
        <v>579</v>
      </c>
      <c r="AB178" s="3"/>
      <c r="AC178" s="4"/>
      <c r="AD178" s="5"/>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6"/>
      <c r="CE178" s="7"/>
      <c r="CF178" s="6"/>
      <c r="CG178" s="7"/>
      <c r="CH178" s="6"/>
      <c r="CI178" s="7"/>
      <c r="CJ178" s="8">
        <f t="shared" si="21"/>
        <v>0</v>
      </c>
      <c r="CK178" s="9"/>
      <c r="CL178" s="10"/>
      <c r="CM178" s="11"/>
      <c r="CN178" s="12"/>
      <c r="CO178" s="28"/>
      <c r="CP178" s="12"/>
      <c r="CQ178" s="9"/>
      <c r="CR178" s="10"/>
      <c r="CS178" s="68"/>
      <c r="EC178" s="344" t="str">
        <f t="shared" si="22"/>
        <v>BOYACA_SUTATENZA</v>
      </c>
      <c r="ED178" s="341"/>
      <c r="EE178" s="341" t="s">
        <v>3110</v>
      </c>
      <c r="EF178" s="349" t="s">
        <v>3111</v>
      </c>
      <c r="EG178" s="341" t="s">
        <v>3368</v>
      </c>
      <c r="EH178" s="341" t="s">
        <v>4454</v>
      </c>
      <c r="EI178" s="341" t="str">
        <f t="shared" si="24"/>
        <v>Atlantico_Sabanalarga</v>
      </c>
    </row>
    <row r="179" spans="1:139" ht="56.25">
      <c r="A179" s="228">
        <v>40214</v>
      </c>
      <c r="B179" s="102" t="s">
        <v>1314</v>
      </c>
      <c r="C179" s="102" t="s">
        <v>646</v>
      </c>
      <c r="D179" s="206" t="s">
        <v>2606</v>
      </c>
      <c r="E179" s="320" t="s">
        <v>3593</v>
      </c>
      <c r="F179" s="320"/>
      <c r="G179" s="210"/>
      <c r="H179" s="71"/>
      <c r="I179" s="71"/>
      <c r="J179" s="71">
        <f>19*5</f>
        <v>95</v>
      </c>
      <c r="K179" s="71">
        <v>19</v>
      </c>
      <c r="L179" s="1">
        <v>40288</v>
      </c>
      <c r="M179" s="73">
        <f t="shared" si="17"/>
        <v>0</v>
      </c>
      <c r="N179" s="73">
        <f t="shared" si="18"/>
        <v>0</v>
      </c>
      <c r="O179" s="73">
        <f t="shared" si="19"/>
        <v>7191975.6399999997</v>
      </c>
      <c r="P179" s="73">
        <f t="shared" si="20"/>
        <v>0</v>
      </c>
      <c r="Q179" s="73"/>
      <c r="R179" s="73">
        <v>0</v>
      </c>
      <c r="S179" s="75">
        <f t="shared" si="23"/>
        <v>7191975.6399999997</v>
      </c>
      <c r="T179" s="77">
        <v>0</v>
      </c>
      <c r="U179" s="66">
        <v>40228</v>
      </c>
      <c r="V179" s="79">
        <v>95584</v>
      </c>
      <c r="W179" s="66" t="s">
        <v>1606</v>
      </c>
      <c r="X179" s="24" t="s">
        <v>1607</v>
      </c>
      <c r="Y179" s="62">
        <v>80</v>
      </c>
      <c r="Z179" s="177" t="s">
        <v>1741</v>
      </c>
      <c r="AA179" s="80" t="s">
        <v>647</v>
      </c>
      <c r="AB179" s="3"/>
      <c r="AC179" s="4"/>
      <c r="AD179" s="5"/>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6"/>
      <c r="CE179" s="7"/>
      <c r="CF179" s="6"/>
      <c r="CG179" s="7"/>
      <c r="CH179" s="6"/>
      <c r="CI179" s="7"/>
      <c r="CJ179" s="8">
        <f t="shared" si="21"/>
        <v>0</v>
      </c>
      <c r="CK179" s="9"/>
      <c r="CL179" s="10"/>
      <c r="CM179" s="11"/>
      <c r="CN179" s="12"/>
      <c r="CO179" s="28">
        <v>15</v>
      </c>
      <c r="CP179" s="12">
        <f>15*24940</f>
        <v>374100</v>
      </c>
      <c r="CQ179" s="9">
        <f>139+124+11</f>
        <v>274</v>
      </c>
      <c r="CR179" s="10">
        <f>139*18792+124*31768.92+11*24221.96</f>
        <v>6817875.6399999997</v>
      </c>
      <c r="CS179" s="68"/>
      <c r="EC179" s="344" t="str">
        <f t="shared" si="22"/>
        <v>CAUCA_CALDONO</v>
      </c>
      <c r="ED179" s="341"/>
      <c r="EE179" s="341" t="s">
        <v>3110</v>
      </c>
      <c r="EF179" s="349" t="s">
        <v>3111</v>
      </c>
      <c r="EG179" s="341" t="s">
        <v>3369</v>
      </c>
      <c r="EH179" s="341" t="s">
        <v>4510</v>
      </c>
      <c r="EI179" s="341" t="str">
        <f t="shared" si="24"/>
        <v>Atlantico_Santa Lucia</v>
      </c>
    </row>
    <row r="180" spans="1:139" ht="63.75">
      <c r="A180" s="228">
        <v>40214</v>
      </c>
      <c r="B180" s="102" t="s">
        <v>1824</v>
      </c>
      <c r="C180" s="102" t="s">
        <v>3175</v>
      </c>
      <c r="D180" s="206" t="s">
        <v>1316</v>
      </c>
      <c r="E180" s="320" t="s">
        <v>3995</v>
      </c>
      <c r="F180" s="320"/>
      <c r="G180" s="210"/>
      <c r="H180" s="71"/>
      <c r="I180" s="71"/>
      <c r="J180" s="71">
        <v>12</v>
      </c>
      <c r="K180" s="71">
        <v>3</v>
      </c>
      <c r="L180" s="1"/>
      <c r="M180" s="73">
        <f t="shared" si="17"/>
        <v>0</v>
      </c>
      <c r="N180" s="73">
        <f t="shared" si="18"/>
        <v>0</v>
      </c>
      <c r="O180" s="73">
        <f t="shared" si="19"/>
        <v>0</v>
      </c>
      <c r="P180" s="73">
        <f t="shared" si="20"/>
        <v>0</v>
      </c>
      <c r="Q180" s="73"/>
      <c r="R180" s="73">
        <v>0</v>
      </c>
      <c r="S180" s="75">
        <f t="shared" si="23"/>
        <v>0</v>
      </c>
      <c r="T180" s="77">
        <v>0</v>
      </c>
      <c r="U180" s="66">
        <v>40255</v>
      </c>
      <c r="V180" s="79">
        <v>96095</v>
      </c>
      <c r="W180" s="66" t="s">
        <v>1585</v>
      </c>
      <c r="X180" s="24" t="s">
        <v>1586</v>
      </c>
      <c r="Y180" s="62"/>
      <c r="Z180" s="195" t="s">
        <v>894</v>
      </c>
      <c r="AA180" s="80" t="s">
        <v>1812</v>
      </c>
      <c r="AB180" s="3"/>
      <c r="AC180" s="4"/>
      <c r="AD180" s="5"/>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6"/>
      <c r="CE180" s="7"/>
      <c r="CF180" s="6"/>
      <c r="CG180" s="7"/>
      <c r="CH180" s="6"/>
      <c r="CI180" s="7"/>
      <c r="CJ180" s="8">
        <f t="shared" si="21"/>
        <v>0</v>
      </c>
      <c r="CK180" s="9"/>
      <c r="CL180" s="10"/>
      <c r="CM180" s="11"/>
      <c r="CN180" s="12"/>
      <c r="CO180" s="28"/>
      <c r="CP180" s="12"/>
      <c r="CQ180" s="9"/>
      <c r="CR180" s="10"/>
      <c r="CS180" s="68"/>
      <c r="EC180" s="344" t="str">
        <f t="shared" si="22"/>
        <v>NARIÑO_SAN ANDRES DE TUMACO</v>
      </c>
      <c r="ED180" s="341"/>
      <c r="EE180" s="341" t="s">
        <v>3110</v>
      </c>
      <c r="EF180" s="349" t="s">
        <v>3111</v>
      </c>
      <c r="EG180" s="341" t="s">
        <v>3370</v>
      </c>
      <c r="EH180" s="341" t="s">
        <v>4511</v>
      </c>
      <c r="EI180" s="341" t="str">
        <f t="shared" si="24"/>
        <v>Atlantico_Santo Tomas</v>
      </c>
    </row>
    <row r="181" spans="1:139" ht="60">
      <c r="A181" s="228">
        <v>40217</v>
      </c>
      <c r="B181" s="102" t="s">
        <v>1943</v>
      </c>
      <c r="C181" s="102" t="s">
        <v>1943</v>
      </c>
      <c r="D181" s="206" t="s">
        <v>2606</v>
      </c>
      <c r="E181" s="320" t="s">
        <v>4174</v>
      </c>
      <c r="F181" s="320"/>
      <c r="G181" s="210"/>
      <c r="H181" s="71"/>
      <c r="I181" s="71"/>
      <c r="J181" s="71">
        <f>180*5</f>
        <v>900</v>
      </c>
      <c r="K181" s="71">
        <v>180</v>
      </c>
      <c r="L181" s="1">
        <v>40261</v>
      </c>
      <c r="M181" s="73">
        <f t="shared" si="17"/>
        <v>0</v>
      </c>
      <c r="N181" s="73">
        <f t="shared" si="18"/>
        <v>0</v>
      </c>
      <c r="O181" s="73">
        <f t="shared" si="19"/>
        <v>18792000</v>
      </c>
      <c r="P181" s="73">
        <f t="shared" si="20"/>
        <v>0</v>
      </c>
      <c r="Q181" s="73"/>
      <c r="R181" s="73">
        <v>0</v>
      </c>
      <c r="S181" s="75">
        <f t="shared" si="23"/>
        <v>18792000</v>
      </c>
      <c r="T181" s="77">
        <v>0</v>
      </c>
      <c r="U181" s="66">
        <v>40221</v>
      </c>
      <c r="V181" s="79">
        <v>95170</v>
      </c>
      <c r="W181" s="66" t="s">
        <v>1606</v>
      </c>
      <c r="X181" s="24" t="s">
        <v>1607</v>
      </c>
      <c r="Y181" s="62">
        <v>50</v>
      </c>
      <c r="Z181" s="177" t="s">
        <v>1898</v>
      </c>
      <c r="AA181" s="80" t="s">
        <v>2240</v>
      </c>
      <c r="AB181" s="3"/>
      <c r="AC181" s="4"/>
      <c r="AD181" s="5"/>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6"/>
      <c r="CE181" s="7"/>
      <c r="CF181" s="6"/>
      <c r="CG181" s="7"/>
      <c r="CH181" s="6"/>
      <c r="CI181" s="7"/>
      <c r="CJ181" s="8">
        <f t="shared" si="21"/>
        <v>0</v>
      </c>
      <c r="CK181" s="9"/>
      <c r="CL181" s="10"/>
      <c r="CM181" s="11"/>
      <c r="CN181" s="12"/>
      <c r="CO181" s="28"/>
      <c r="CP181" s="12"/>
      <c r="CQ181" s="9">
        <v>1000</v>
      </c>
      <c r="CR181" s="10">
        <f>1000*18792</f>
        <v>18792000</v>
      </c>
      <c r="CS181" s="68"/>
      <c r="EC181" s="344" t="str">
        <f t="shared" si="22"/>
        <v>SUCRE_SUCRE</v>
      </c>
      <c r="ED181" s="341"/>
      <c r="EE181" s="341" t="s">
        <v>3110</v>
      </c>
      <c r="EF181" s="349" t="s">
        <v>3111</v>
      </c>
      <c r="EG181" s="341" t="s">
        <v>3371</v>
      </c>
      <c r="EH181" s="341" t="s">
        <v>4512</v>
      </c>
      <c r="EI181" s="341" t="str">
        <f t="shared" si="24"/>
        <v>Atlantico_Soledad</v>
      </c>
    </row>
    <row r="182" spans="1:139" ht="60">
      <c r="A182" s="228">
        <v>40218</v>
      </c>
      <c r="B182" s="102" t="s">
        <v>1821</v>
      </c>
      <c r="C182" s="102" t="s">
        <v>353</v>
      </c>
      <c r="D182" s="206" t="s">
        <v>1752</v>
      </c>
      <c r="E182" s="320" t="s">
        <v>3647</v>
      </c>
      <c r="F182" s="320"/>
      <c r="G182" s="210"/>
      <c r="H182" s="71"/>
      <c r="I182" s="71"/>
      <c r="J182" s="71"/>
      <c r="K182" s="71"/>
      <c r="L182" s="1"/>
      <c r="M182" s="73">
        <f t="shared" si="17"/>
        <v>0</v>
      </c>
      <c r="N182" s="73">
        <f t="shared" si="18"/>
        <v>0</v>
      </c>
      <c r="O182" s="73">
        <f t="shared" si="19"/>
        <v>0</v>
      </c>
      <c r="P182" s="73">
        <f t="shared" si="20"/>
        <v>0</v>
      </c>
      <c r="Q182" s="73"/>
      <c r="R182" s="73">
        <v>0</v>
      </c>
      <c r="S182" s="75">
        <f t="shared" si="23"/>
        <v>0</v>
      </c>
      <c r="T182" s="77">
        <v>0</v>
      </c>
      <c r="U182" s="66">
        <v>40245</v>
      </c>
      <c r="V182" s="79">
        <v>95821</v>
      </c>
      <c r="W182" s="66" t="s">
        <v>1585</v>
      </c>
      <c r="X182" s="24" t="s">
        <v>1586</v>
      </c>
      <c r="Y182" s="62"/>
      <c r="Z182" s="177" t="s">
        <v>894</v>
      </c>
      <c r="AA182" s="80" t="s">
        <v>1644</v>
      </c>
      <c r="AB182" s="3"/>
      <c r="AC182" s="4"/>
      <c r="AD182" s="5"/>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6"/>
      <c r="CE182" s="7"/>
      <c r="CF182" s="6"/>
      <c r="CG182" s="7"/>
      <c r="CH182" s="6"/>
      <c r="CI182" s="7"/>
      <c r="CJ182" s="8">
        <f t="shared" si="21"/>
        <v>0</v>
      </c>
      <c r="CK182" s="9"/>
      <c r="CL182" s="10"/>
      <c r="CM182" s="11"/>
      <c r="CN182" s="12"/>
      <c r="CO182" s="28"/>
      <c r="CP182" s="12"/>
      <c r="CQ182" s="9"/>
      <c r="CR182" s="10"/>
      <c r="CS182" s="68"/>
      <c r="EC182" s="344" t="str">
        <f t="shared" si="22"/>
        <v>CESAR_RIO DE ORO</v>
      </c>
      <c r="ED182" s="341"/>
      <c r="EE182" s="341" t="s">
        <v>3110</v>
      </c>
      <c r="EF182" s="349" t="s">
        <v>3111</v>
      </c>
      <c r="EG182" s="341" t="s">
        <v>3372</v>
      </c>
      <c r="EH182" s="341" t="s">
        <v>4513</v>
      </c>
      <c r="EI182" s="341" t="str">
        <f t="shared" si="24"/>
        <v>Atlantico_Suan</v>
      </c>
    </row>
    <row r="183" spans="1:139" ht="60">
      <c r="A183" s="228">
        <v>40218</v>
      </c>
      <c r="B183" s="102" t="s">
        <v>1612</v>
      </c>
      <c r="C183" s="102" t="s">
        <v>1605</v>
      </c>
      <c r="D183" s="206" t="s">
        <v>2389</v>
      </c>
      <c r="E183" s="320" t="s">
        <v>3180</v>
      </c>
      <c r="F183" s="320"/>
      <c r="G183" s="210"/>
      <c r="H183" s="71"/>
      <c r="I183" s="71"/>
      <c r="J183" s="71"/>
      <c r="K183" s="71"/>
      <c r="L183" s="1">
        <v>40239</v>
      </c>
      <c r="M183" s="73">
        <f t="shared" si="17"/>
        <v>0</v>
      </c>
      <c r="N183" s="73">
        <f t="shared" si="18"/>
        <v>0</v>
      </c>
      <c r="O183" s="73">
        <f t="shared" si="19"/>
        <v>0</v>
      </c>
      <c r="P183" s="73">
        <f t="shared" si="20"/>
        <v>0</v>
      </c>
      <c r="Q183" s="73">
        <f>500*22000+1000*1400+300*106465.52*1.16+300*65000*1.16+300*26897*1.16</f>
        <v>81430156.960000008</v>
      </c>
      <c r="R183" s="73">
        <v>0</v>
      </c>
      <c r="S183" s="75">
        <f t="shared" si="23"/>
        <v>81430156.960000008</v>
      </c>
      <c r="T183" s="77">
        <v>0</v>
      </c>
      <c r="U183" s="66">
        <v>40221</v>
      </c>
      <c r="V183" s="79">
        <v>95188</v>
      </c>
      <c r="W183" s="66" t="s">
        <v>1606</v>
      </c>
      <c r="X183" s="24" t="s">
        <v>1607</v>
      </c>
      <c r="Y183" s="83" t="s">
        <v>1976</v>
      </c>
      <c r="Z183" s="177" t="s">
        <v>655</v>
      </c>
      <c r="AA183" s="80" t="s">
        <v>512</v>
      </c>
      <c r="AB183" s="3"/>
      <c r="AC183" s="4"/>
      <c r="AD183" s="5"/>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6"/>
      <c r="CE183" s="7"/>
      <c r="CF183" s="6"/>
      <c r="CG183" s="7"/>
      <c r="CH183" s="6"/>
      <c r="CI183" s="7"/>
      <c r="CJ183" s="8">
        <f t="shared" si="21"/>
        <v>0</v>
      </c>
      <c r="CK183" s="9"/>
      <c r="CL183" s="10"/>
      <c r="CM183" s="11"/>
      <c r="CN183" s="12"/>
      <c r="CO183" s="28"/>
      <c r="CP183" s="12"/>
      <c r="CQ183" s="9"/>
      <c r="CR183" s="10"/>
      <c r="CS183" s="84"/>
      <c r="EC183" s="344" t="str">
        <f t="shared" si="22"/>
        <v>QUINDIO_DEPARTAMENTO</v>
      </c>
      <c r="ED183" s="341"/>
      <c r="EE183" s="341" t="s">
        <v>3110</v>
      </c>
      <c r="EF183" s="349" t="s">
        <v>3111</v>
      </c>
      <c r="EG183" s="341" t="s">
        <v>3373</v>
      </c>
      <c r="EH183" s="341" t="s">
        <v>4514</v>
      </c>
      <c r="EI183" s="341" t="str">
        <f t="shared" si="24"/>
        <v>Atlantico_Tubara</v>
      </c>
    </row>
    <row r="184" spans="1:139" ht="25.5">
      <c r="A184" s="228">
        <v>40219</v>
      </c>
      <c r="B184" s="102" t="s">
        <v>2367</v>
      </c>
      <c r="C184" s="102" t="s">
        <v>1542</v>
      </c>
      <c r="D184" s="206" t="s">
        <v>1316</v>
      </c>
      <c r="E184" s="320" t="s">
        <v>4271</v>
      </c>
      <c r="F184" s="320"/>
      <c r="G184" s="210"/>
      <c r="H184" s="71"/>
      <c r="I184" s="71"/>
      <c r="J184" s="71">
        <v>25</v>
      </c>
      <c r="K184" s="71">
        <v>5</v>
      </c>
      <c r="L184" s="1"/>
      <c r="M184" s="73">
        <f t="shared" si="17"/>
        <v>0</v>
      </c>
      <c r="N184" s="73">
        <f t="shared" si="18"/>
        <v>0</v>
      </c>
      <c r="O184" s="73">
        <f t="shared" si="19"/>
        <v>0</v>
      </c>
      <c r="P184" s="73">
        <f t="shared" si="20"/>
        <v>0</v>
      </c>
      <c r="Q184" s="73"/>
      <c r="R184" s="73">
        <v>0</v>
      </c>
      <c r="S184" s="75">
        <f t="shared" si="23"/>
        <v>0</v>
      </c>
      <c r="T184" s="77">
        <v>0</v>
      </c>
      <c r="U184" s="66">
        <v>40219</v>
      </c>
      <c r="V184" s="79"/>
      <c r="W184" s="66" t="s">
        <v>1585</v>
      </c>
      <c r="X184" s="24" t="s">
        <v>1586</v>
      </c>
      <c r="Y184" s="62"/>
      <c r="Z184" s="177" t="s">
        <v>894</v>
      </c>
      <c r="AA184" s="80" t="s">
        <v>1543</v>
      </c>
      <c r="AB184" s="3"/>
      <c r="AC184" s="4"/>
      <c r="AD184" s="5"/>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6"/>
      <c r="CE184" s="7"/>
      <c r="CF184" s="6"/>
      <c r="CG184" s="7"/>
      <c r="CH184" s="6"/>
      <c r="CI184" s="7"/>
      <c r="CJ184" s="8">
        <f t="shared" si="21"/>
        <v>0</v>
      </c>
      <c r="CK184" s="9"/>
      <c r="CL184" s="10"/>
      <c r="CM184" s="11"/>
      <c r="CN184" s="12"/>
      <c r="CO184" s="28"/>
      <c r="CP184" s="12"/>
      <c r="CQ184" s="9"/>
      <c r="CR184" s="10"/>
      <c r="CS184" s="68"/>
      <c r="EC184" s="344" t="str">
        <f t="shared" si="22"/>
        <v>ARAUCA_SARAVENA</v>
      </c>
      <c r="ED184" s="341"/>
      <c r="EE184" s="341" t="s">
        <v>3110</v>
      </c>
      <c r="EF184" s="349" t="s">
        <v>3111</v>
      </c>
      <c r="EG184" s="341" t="s">
        <v>3374</v>
      </c>
      <c r="EH184" s="341" t="s">
        <v>4515</v>
      </c>
      <c r="EI184" s="341" t="str">
        <f t="shared" si="24"/>
        <v>Atlantico_Usiacuri</v>
      </c>
    </row>
    <row r="185" spans="1:139" ht="38.25">
      <c r="A185" s="228">
        <v>40219</v>
      </c>
      <c r="B185" s="102" t="s">
        <v>2298</v>
      </c>
      <c r="C185" s="218" t="s">
        <v>1610</v>
      </c>
      <c r="D185" s="206" t="s">
        <v>1923</v>
      </c>
      <c r="E185" s="320" t="s">
        <v>3375</v>
      </c>
      <c r="F185" s="320"/>
      <c r="G185" s="210"/>
      <c r="H185" s="71"/>
      <c r="I185" s="71"/>
      <c r="J185" s="71">
        <v>2</v>
      </c>
      <c r="K185" s="71">
        <v>1</v>
      </c>
      <c r="L185" s="1"/>
      <c r="M185" s="73">
        <f t="shared" si="17"/>
        <v>0</v>
      </c>
      <c r="N185" s="73">
        <f t="shared" si="18"/>
        <v>0</v>
      </c>
      <c r="O185" s="73">
        <f t="shared" si="19"/>
        <v>0</v>
      </c>
      <c r="P185" s="73">
        <f t="shared" si="20"/>
        <v>0</v>
      </c>
      <c r="Q185" s="73"/>
      <c r="R185" s="73">
        <v>0</v>
      </c>
      <c r="S185" s="75">
        <f t="shared" si="23"/>
        <v>0</v>
      </c>
      <c r="T185" s="77">
        <v>0</v>
      </c>
      <c r="U185" s="66">
        <v>40219</v>
      </c>
      <c r="V185" s="79"/>
      <c r="W185" s="66" t="s">
        <v>1585</v>
      </c>
      <c r="X185" s="24" t="s">
        <v>1586</v>
      </c>
      <c r="Y185" s="62"/>
      <c r="Z185" s="177" t="s">
        <v>894</v>
      </c>
      <c r="AA185" s="80" t="s">
        <v>1186</v>
      </c>
      <c r="AB185" s="3"/>
      <c r="AC185" s="4"/>
      <c r="AD185" s="5"/>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6"/>
      <c r="CE185" s="7"/>
      <c r="CF185" s="6"/>
      <c r="CG185" s="7"/>
      <c r="CH185" s="6"/>
      <c r="CI185" s="7"/>
      <c r="CJ185" s="8">
        <f t="shared" si="21"/>
        <v>0</v>
      </c>
      <c r="CK185" s="9"/>
      <c r="CL185" s="10"/>
      <c r="CM185" s="11"/>
      <c r="CN185" s="12"/>
      <c r="CO185" s="28"/>
      <c r="CP185" s="12"/>
      <c r="CQ185" s="9"/>
      <c r="CR185" s="10"/>
      <c r="CS185" s="68"/>
      <c r="EC185" s="344" t="str">
        <f t="shared" si="22"/>
        <v>BOGOTA D.C._BOGOTA</v>
      </c>
      <c r="ED185" s="341"/>
      <c r="EE185" s="341" t="s">
        <v>3113</v>
      </c>
      <c r="EF185" s="349" t="s">
        <v>4516</v>
      </c>
      <c r="EG185" s="341" t="s">
        <v>3375</v>
      </c>
      <c r="EH185" s="341" t="s">
        <v>4517</v>
      </c>
      <c r="EI185" s="341" t="str">
        <f t="shared" si="24"/>
        <v>Bogota D.C._Bogota</v>
      </c>
    </row>
    <row r="186" spans="1:139" ht="38.25">
      <c r="A186" s="228">
        <v>40219</v>
      </c>
      <c r="B186" s="102" t="s">
        <v>2298</v>
      </c>
      <c r="C186" s="102" t="s">
        <v>1610</v>
      </c>
      <c r="D186" s="206" t="s">
        <v>1316</v>
      </c>
      <c r="E186" s="320" t="s">
        <v>3375</v>
      </c>
      <c r="F186" s="320"/>
      <c r="G186" s="210"/>
      <c r="H186" s="71"/>
      <c r="I186" s="71"/>
      <c r="J186" s="71">
        <v>5</v>
      </c>
      <c r="K186" s="71">
        <v>1</v>
      </c>
      <c r="L186" s="1"/>
      <c r="M186" s="73">
        <f t="shared" si="17"/>
        <v>0</v>
      </c>
      <c r="N186" s="73">
        <f t="shared" si="18"/>
        <v>0</v>
      </c>
      <c r="O186" s="73">
        <f t="shared" si="19"/>
        <v>0</v>
      </c>
      <c r="P186" s="73">
        <f t="shared" si="20"/>
        <v>0</v>
      </c>
      <c r="Q186" s="73"/>
      <c r="R186" s="73">
        <v>0</v>
      </c>
      <c r="S186" s="75">
        <f t="shared" si="23"/>
        <v>0</v>
      </c>
      <c r="T186" s="77">
        <v>0</v>
      </c>
      <c r="U186" s="66">
        <v>40219</v>
      </c>
      <c r="V186" s="79"/>
      <c r="W186" s="66" t="s">
        <v>1585</v>
      </c>
      <c r="X186" s="24" t="s">
        <v>1586</v>
      </c>
      <c r="Y186" s="62"/>
      <c r="Z186" s="177" t="s">
        <v>894</v>
      </c>
      <c r="AA186" s="80" t="s">
        <v>1541</v>
      </c>
      <c r="AB186" s="3"/>
      <c r="AC186" s="4"/>
      <c r="AD186" s="5"/>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6"/>
      <c r="CE186" s="7"/>
      <c r="CF186" s="6"/>
      <c r="CG186" s="7"/>
      <c r="CH186" s="6"/>
      <c r="CI186" s="7"/>
      <c r="CJ186" s="8">
        <f t="shared" si="21"/>
        <v>0</v>
      </c>
      <c r="CK186" s="9"/>
      <c r="CL186" s="10"/>
      <c r="CM186" s="11"/>
      <c r="CN186" s="12"/>
      <c r="CO186" s="28"/>
      <c r="CP186" s="12"/>
      <c r="CQ186" s="9"/>
      <c r="CR186" s="10"/>
      <c r="CS186" s="68"/>
      <c r="EC186" s="344" t="str">
        <f t="shared" si="22"/>
        <v>BOGOTA D.C._BOGOTA</v>
      </c>
      <c r="ED186" s="341"/>
      <c r="EE186" s="341" t="s">
        <v>3114</v>
      </c>
      <c r="EF186" s="349" t="s">
        <v>3115</v>
      </c>
      <c r="EG186" s="341" t="s">
        <v>3376</v>
      </c>
      <c r="EH186" s="341" t="s">
        <v>4518</v>
      </c>
      <c r="EI186" s="341" t="str">
        <f t="shared" si="24"/>
        <v>Bolivar_Cartagena</v>
      </c>
    </row>
    <row r="187" spans="1:139" ht="48">
      <c r="A187" s="228">
        <v>40219</v>
      </c>
      <c r="B187" s="102" t="s">
        <v>653</v>
      </c>
      <c r="C187" s="102" t="s">
        <v>1605</v>
      </c>
      <c r="D187" s="206" t="s">
        <v>2389</v>
      </c>
      <c r="E187" s="320" t="s">
        <v>3125</v>
      </c>
      <c r="F187" s="320"/>
      <c r="G187" s="210"/>
      <c r="H187" s="71"/>
      <c r="I187" s="71"/>
      <c r="J187" s="71"/>
      <c r="K187" s="71"/>
      <c r="L187" s="1"/>
      <c r="M187" s="73">
        <f t="shared" si="17"/>
        <v>0</v>
      </c>
      <c r="N187" s="73">
        <f t="shared" si="18"/>
        <v>0</v>
      </c>
      <c r="O187" s="73">
        <f t="shared" si="19"/>
        <v>0</v>
      </c>
      <c r="P187" s="73">
        <f t="shared" si="20"/>
        <v>0</v>
      </c>
      <c r="Q187" s="73">
        <v>104934627.58</v>
      </c>
      <c r="R187" s="73">
        <v>0</v>
      </c>
      <c r="S187" s="75">
        <f t="shared" si="23"/>
        <v>104934627.58</v>
      </c>
      <c r="T187" s="77">
        <v>0</v>
      </c>
      <c r="U187" s="66">
        <v>40221</v>
      </c>
      <c r="V187" s="79">
        <v>95200</v>
      </c>
      <c r="W187" s="66" t="s">
        <v>1606</v>
      </c>
      <c r="X187" s="24" t="s">
        <v>1607</v>
      </c>
      <c r="Y187" s="62">
        <v>33</v>
      </c>
      <c r="Z187" s="177" t="s">
        <v>654</v>
      </c>
      <c r="AA187" s="80" t="s">
        <v>1975</v>
      </c>
      <c r="AB187" s="3"/>
      <c r="AC187" s="4"/>
      <c r="AD187" s="5"/>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6"/>
      <c r="CE187" s="7"/>
      <c r="CF187" s="6"/>
      <c r="CG187" s="7"/>
      <c r="CH187" s="6"/>
      <c r="CI187" s="7"/>
      <c r="CJ187" s="8">
        <f t="shared" si="21"/>
        <v>0</v>
      </c>
      <c r="CK187" s="9"/>
      <c r="CL187" s="10"/>
      <c r="CM187" s="11"/>
      <c r="CN187" s="12"/>
      <c r="CO187" s="28"/>
      <c r="CP187" s="12"/>
      <c r="CQ187" s="9"/>
      <c r="CR187" s="10"/>
      <c r="CS187" s="68"/>
      <c r="EC187" s="344" t="str">
        <f t="shared" si="22"/>
        <v>CALDAS_DEPARTAMENTO</v>
      </c>
      <c r="ED187" s="341"/>
      <c r="EE187" s="341" t="s">
        <v>3114</v>
      </c>
      <c r="EF187" s="349" t="s">
        <v>3115</v>
      </c>
      <c r="EG187" s="341" t="s">
        <v>3377</v>
      </c>
      <c r="EH187" s="341" t="s">
        <v>4519</v>
      </c>
      <c r="EI187" s="341" t="str">
        <f t="shared" si="24"/>
        <v>Bolivar_Achi</v>
      </c>
    </row>
    <row r="188" spans="1:139" ht="38.25">
      <c r="A188" s="228">
        <v>40219</v>
      </c>
      <c r="B188" s="102" t="s">
        <v>1943</v>
      </c>
      <c r="C188" s="102" t="s">
        <v>394</v>
      </c>
      <c r="D188" s="206" t="s">
        <v>1752</v>
      </c>
      <c r="E188" s="320" t="s">
        <v>4155</v>
      </c>
      <c r="F188" s="320"/>
      <c r="G188" s="210"/>
      <c r="H188" s="71"/>
      <c r="I188" s="71"/>
      <c r="J188" s="71">
        <v>25000</v>
      </c>
      <c r="K188" s="71">
        <v>5000</v>
      </c>
      <c r="L188" s="1"/>
      <c r="M188" s="73">
        <f t="shared" si="17"/>
        <v>0</v>
      </c>
      <c r="N188" s="73">
        <f t="shared" si="18"/>
        <v>0</v>
      </c>
      <c r="O188" s="73">
        <f t="shared" si="19"/>
        <v>0</v>
      </c>
      <c r="P188" s="73">
        <f t="shared" si="20"/>
        <v>0</v>
      </c>
      <c r="Q188" s="73"/>
      <c r="R188" s="73">
        <v>0</v>
      </c>
      <c r="S188" s="75">
        <f t="shared" si="23"/>
        <v>0</v>
      </c>
      <c r="T188" s="77">
        <v>0</v>
      </c>
      <c r="U188" s="66">
        <v>40228</v>
      </c>
      <c r="V188" s="79"/>
      <c r="W188" s="66" t="s">
        <v>1585</v>
      </c>
      <c r="X188" s="24" t="s">
        <v>1586</v>
      </c>
      <c r="Y188" s="62"/>
      <c r="Z188" s="177" t="s">
        <v>894</v>
      </c>
      <c r="AA188" s="80" t="s">
        <v>395</v>
      </c>
      <c r="AB188" s="3"/>
      <c r="AC188" s="4"/>
      <c r="AD188" s="5"/>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6"/>
      <c r="CE188" s="7"/>
      <c r="CF188" s="6"/>
      <c r="CG188" s="7"/>
      <c r="CH188" s="6"/>
      <c r="CI188" s="7"/>
      <c r="CJ188" s="8">
        <f t="shared" si="21"/>
        <v>0</v>
      </c>
      <c r="CK188" s="9"/>
      <c r="CL188" s="10"/>
      <c r="CM188" s="11"/>
      <c r="CN188" s="12"/>
      <c r="CO188" s="28"/>
      <c r="CP188" s="12"/>
      <c r="CQ188" s="9"/>
      <c r="CR188" s="10"/>
      <c r="CS188" s="68"/>
      <c r="EC188" s="344" t="str">
        <f t="shared" si="22"/>
        <v>SUCRE_COROZAL</v>
      </c>
      <c r="ED188" s="341"/>
      <c r="EE188" s="341" t="s">
        <v>3114</v>
      </c>
      <c r="EF188" s="349" t="s">
        <v>3115</v>
      </c>
      <c r="EG188" s="341" t="s">
        <v>3378</v>
      </c>
      <c r="EH188" s="341" t="s">
        <v>4520</v>
      </c>
      <c r="EI188" s="341" t="str">
        <f t="shared" si="24"/>
        <v>Bolivar_Altos del Rosario</v>
      </c>
    </row>
    <row r="189" spans="1:139" ht="108">
      <c r="A189" s="228">
        <v>40220</v>
      </c>
      <c r="B189" s="102" t="s">
        <v>2367</v>
      </c>
      <c r="C189" s="218" t="s">
        <v>1002</v>
      </c>
      <c r="D189" s="206" t="s">
        <v>2389</v>
      </c>
      <c r="E189" s="320" t="s">
        <v>4272</v>
      </c>
      <c r="F189" s="320"/>
      <c r="G189" s="210"/>
      <c r="H189" s="71"/>
      <c r="I189" s="71"/>
      <c r="J189" s="71"/>
      <c r="K189" s="71"/>
      <c r="L189" s="1">
        <v>40239</v>
      </c>
      <c r="M189" s="73">
        <f t="shared" si="17"/>
        <v>0</v>
      </c>
      <c r="N189" s="73">
        <f t="shared" si="18"/>
        <v>0</v>
      </c>
      <c r="O189" s="73">
        <f t="shared" si="19"/>
        <v>0</v>
      </c>
      <c r="P189" s="73">
        <f t="shared" si="20"/>
        <v>0</v>
      </c>
      <c r="Q189" s="73">
        <f>500*22000+1000*1400+20*796293.1*1.16+30*106465.52*1.16+50*65000*1.16+50*26897*1.16+50*9310*1.16+20*12046.55+20*6100*1.16+50*17198.28*1.16+50*123500*1.16+20*30603+30*27155+50*3621*1.16+30*41595*1.16+3*1316810*1.16</f>
        <v>56658690.055999994</v>
      </c>
      <c r="R189" s="73">
        <v>0</v>
      </c>
      <c r="S189" s="75">
        <f t="shared" si="23"/>
        <v>56658690.055999994</v>
      </c>
      <c r="T189" s="77">
        <v>0</v>
      </c>
      <c r="U189" s="66">
        <v>40227</v>
      </c>
      <c r="V189" s="79">
        <v>98331</v>
      </c>
      <c r="W189" s="66" t="s">
        <v>1606</v>
      </c>
      <c r="X189" s="24" t="s">
        <v>1607</v>
      </c>
      <c r="Y189" s="83" t="s">
        <v>1601</v>
      </c>
      <c r="Z189" s="177" t="s">
        <v>1608</v>
      </c>
      <c r="AA189" s="80" t="s">
        <v>1977</v>
      </c>
      <c r="AB189" s="3"/>
      <c r="AC189" s="4"/>
      <c r="AD189" s="5"/>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6"/>
      <c r="CE189" s="7"/>
      <c r="CF189" s="6"/>
      <c r="CG189" s="7"/>
      <c r="CH189" s="6"/>
      <c r="CI189" s="7"/>
      <c r="CJ189" s="8">
        <f t="shared" si="21"/>
        <v>0</v>
      </c>
      <c r="CK189" s="9"/>
      <c r="CL189" s="10"/>
      <c r="CM189" s="11"/>
      <c r="CN189" s="12"/>
      <c r="CO189" s="28"/>
      <c r="CP189" s="12"/>
      <c r="CQ189" s="9"/>
      <c r="CR189" s="10"/>
      <c r="CS189" s="84"/>
      <c r="EC189" s="344" t="str">
        <f t="shared" si="22"/>
        <v>ARAUCA_TAME</v>
      </c>
      <c r="ED189" s="341"/>
      <c r="EE189" s="341" t="s">
        <v>3114</v>
      </c>
      <c r="EF189" s="349" t="s">
        <v>3115</v>
      </c>
      <c r="EG189" s="341" t="s">
        <v>3379</v>
      </c>
      <c r="EH189" s="341" t="s">
        <v>4521</v>
      </c>
      <c r="EI189" s="341" t="str">
        <f t="shared" si="24"/>
        <v>Bolivar_Arenal</v>
      </c>
    </row>
    <row r="190" spans="1:139" ht="25.5">
      <c r="A190" s="228">
        <v>40220</v>
      </c>
      <c r="B190" s="102" t="s">
        <v>2400</v>
      </c>
      <c r="C190" s="102" t="s">
        <v>1545</v>
      </c>
      <c r="D190" s="206" t="s">
        <v>2606</v>
      </c>
      <c r="E190" s="320" t="s">
        <v>4177</v>
      </c>
      <c r="F190" s="320"/>
      <c r="G190" s="210"/>
      <c r="H190" s="71"/>
      <c r="I190" s="71"/>
      <c r="J190" s="71">
        <v>5</v>
      </c>
      <c r="K190" s="71">
        <v>1</v>
      </c>
      <c r="L190" s="1"/>
      <c r="M190" s="73">
        <f t="shared" si="17"/>
        <v>0</v>
      </c>
      <c r="N190" s="73">
        <f t="shared" si="18"/>
        <v>0</v>
      </c>
      <c r="O190" s="73">
        <f t="shared" si="19"/>
        <v>0</v>
      </c>
      <c r="P190" s="73">
        <f t="shared" si="20"/>
        <v>0</v>
      </c>
      <c r="Q190" s="73"/>
      <c r="R190" s="73">
        <v>0</v>
      </c>
      <c r="S190" s="75">
        <f t="shared" si="23"/>
        <v>0</v>
      </c>
      <c r="T190" s="77">
        <v>0</v>
      </c>
      <c r="U190" s="66">
        <v>40221</v>
      </c>
      <c r="V190" s="79"/>
      <c r="W190" s="66" t="s">
        <v>1585</v>
      </c>
      <c r="X190" s="24" t="s">
        <v>1586</v>
      </c>
      <c r="Y190" s="62"/>
      <c r="Z190" s="177" t="s">
        <v>894</v>
      </c>
      <c r="AA190" s="80" t="s">
        <v>1546</v>
      </c>
      <c r="AB190" s="3"/>
      <c r="AC190" s="4"/>
      <c r="AD190" s="5"/>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6"/>
      <c r="CE190" s="7"/>
      <c r="CF190" s="6"/>
      <c r="CG190" s="7"/>
      <c r="CH190" s="6"/>
      <c r="CI190" s="7"/>
      <c r="CJ190" s="8">
        <f t="shared" si="21"/>
        <v>0</v>
      </c>
      <c r="CK190" s="9"/>
      <c r="CL190" s="10"/>
      <c r="CM190" s="11"/>
      <c r="CN190" s="12"/>
      <c r="CO190" s="28"/>
      <c r="CP190" s="12"/>
      <c r="CQ190" s="9"/>
      <c r="CR190" s="10"/>
      <c r="CS190" s="68"/>
      <c r="EC190" s="344" t="str">
        <f t="shared" si="22"/>
        <v>TOLIMA_IBAGUE</v>
      </c>
      <c r="ED190" s="341"/>
      <c r="EE190" s="341" t="s">
        <v>3114</v>
      </c>
      <c r="EF190" s="349" t="s">
        <v>3115</v>
      </c>
      <c r="EG190" s="341" t="s">
        <v>3380</v>
      </c>
      <c r="EH190" s="341" t="s">
        <v>4522</v>
      </c>
      <c r="EI190" s="341" t="str">
        <f t="shared" si="24"/>
        <v>Bolivar_Arjona</v>
      </c>
    </row>
    <row r="191" spans="1:139" ht="51">
      <c r="A191" s="228">
        <v>40220</v>
      </c>
      <c r="B191" s="102" t="s">
        <v>1088</v>
      </c>
      <c r="C191" s="102" t="s">
        <v>1544</v>
      </c>
      <c r="D191" s="206" t="s">
        <v>1878</v>
      </c>
      <c r="E191" s="320" t="s">
        <v>4230</v>
      </c>
      <c r="F191" s="320"/>
      <c r="G191" s="210"/>
      <c r="H191" s="71">
        <v>1</v>
      </c>
      <c r="I191" s="71"/>
      <c r="J191" s="71">
        <v>5</v>
      </c>
      <c r="K191" s="71">
        <v>1</v>
      </c>
      <c r="L191" s="1"/>
      <c r="M191" s="73">
        <f t="shared" si="17"/>
        <v>0</v>
      </c>
      <c r="N191" s="73">
        <f t="shared" si="18"/>
        <v>0</v>
      </c>
      <c r="O191" s="73">
        <f t="shared" si="19"/>
        <v>0</v>
      </c>
      <c r="P191" s="73">
        <f t="shared" si="20"/>
        <v>0</v>
      </c>
      <c r="Q191" s="73"/>
      <c r="R191" s="73">
        <v>0</v>
      </c>
      <c r="S191" s="75">
        <f t="shared" si="23"/>
        <v>0</v>
      </c>
      <c r="T191" s="77">
        <v>0</v>
      </c>
      <c r="U191" s="66">
        <v>40221</v>
      </c>
      <c r="V191" s="79"/>
      <c r="W191" s="66" t="s">
        <v>1585</v>
      </c>
      <c r="X191" s="24" t="s">
        <v>1586</v>
      </c>
      <c r="Y191" s="62"/>
      <c r="Z191" s="177" t="s">
        <v>894</v>
      </c>
      <c r="AA191" s="80" t="s">
        <v>2399</v>
      </c>
      <c r="AB191" s="3"/>
      <c r="AC191" s="4"/>
      <c r="AD191" s="5"/>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6"/>
      <c r="CE191" s="7"/>
      <c r="CF191" s="6"/>
      <c r="CG191" s="7"/>
      <c r="CH191" s="6"/>
      <c r="CI191" s="7"/>
      <c r="CJ191" s="8">
        <f t="shared" si="21"/>
        <v>0</v>
      </c>
      <c r="CK191" s="9"/>
      <c r="CL191" s="10"/>
      <c r="CM191" s="11"/>
      <c r="CN191" s="12"/>
      <c r="CO191" s="28"/>
      <c r="CP191" s="12"/>
      <c r="CQ191" s="9"/>
      <c r="CR191" s="10"/>
      <c r="CS191" s="68"/>
      <c r="EC191" s="344" t="str">
        <f t="shared" si="22"/>
        <v>VALLE DEL CAUCA_BUENAVENTURA</v>
      </c>
      <c r="ED191" s="341"/>
      <c r="EE191" s="341" t="s">
        <v>3114</v>
      </c>
      <c r="EF191" s="349" t="s">
        <v>3115</v>
      </c>
      <c r="EG191" s="341" t="s">
        <v>3381</v>
      </c>
      <c r="EH191" s="341" t="s">
        <v>4523</v>
      </c>
      <c r="EI191" s="341" t="str">
        <f t="shared" si="24"/>
        <v>Bolivar_Arroyohondo</v>
      </c>
    </row>
    <row r="192" spans="1:139" ht="78.75">
      <c r="A192" s="228">
        <v>40221</v>
      </c>
      <c r="B192" s="102" t="s">
        <v>2704</v>
      </c>
      <c r="C192" s="102" t="s">
        <v>2705</v>
      </c>
      <c r="D192" s="206" t="s">
        <v>1752</v>
      </c>
      <c r="E192" s="320" t="s">
        <v>3574</v>
      </c>
      <c r="F192" s="320"/>
      <c r="G192" s="210"/>
      <c r="H192" s="71"/>
      <c r="I192" s="71"/>
      <c r="J192" s="71">
        <f>9500+800+950</f>
        <v>11250</v>
      </c>
      <c r="K192" s="71">
        <v>2250</v>
      </c>
      <c r="L192" s="1"/>
      <c r="M192" s="73">
        <f t="shared" si="17"/>
        <v>0</v>
      </c>
      <c r="N192" s="73">
        <f t="shared" si="18"/>
        <v>0</v>
      </c>
      <c r="O192" s="73">
        <f t="shared" si="19"/>
        <v>0</v>
      </c>
      <c r="P192" s="73">
        <f t="shared" si="20"/>
        <v>0</v>
      </c>
      <c r="Q192" s="73"/>
      <c r="R192" s="73">
        <v>0</v>
      </c>
      <c r="S192" s="75">
        <f t="shared" si="23"/>
        <v>0</v>
      </c>
      <c r="T192" s="77">
        <v>0</v>
      </c>
      <c r="U192" s="66">
        <v>40221</v>
      </c>
      <c r="V192" s="79">
        <v>95174</v>
      </c>
      <c r="W192" s="66" t="s">
        <v>1585</v>
      </c>
      <c r="X192" s="24" t="s">
        <v>1586</v>
      </c>
      <c r="Y192" s="62"/>
      <c r="Z192" s="177" t="s">
        <v>1249</v>
      </c>
      <c r="AA192" s="80" t="s">
        <v>391</v>
      </c>
      <c r="AB192" s="3"/>
      <c r="AC192" s="4"/>
      <c r="AD192" s="5"/>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6"/>
      <c r="CE192" s="7"/>
      <c r="CF192" s="6"/>
      <c r="CG192" s="7"/>
      <c r="CH192" s="6"/>
      <c r="CI192" s="7"/>
      <c r="CJ192" s="8">
        <f t="shared" si="21"/>
        <v>0</v>
      </c>
      <c r="CK192" s="9"/>
      <c r="CL192" s="10"/>
      <c r="CM192" s="11"/>
      <c r="CN192" s="12"/>
      <c r="CO192" s="28"/>
      <c r="CP192" s="12"/>
      <c r="CQ192" s="9"/>
      <c r="CR192" s="10"/>
      <c r="CS192" s="68"/>
      <c r="EC192" s="344" t="str">
        <f t="shared" si="22"/>
        <v>CAQUETA_CURILLO</v>
      </c>
      <c r="ED192" s="341"/>
      <c r="EE192" s="341" t="s">
        <v>3114</v>
      </c>
      <c r="EF192" s="349" t="s">
        <v>3115</v>
      </c>
      <c r="EG192" s="341" t="s">
        <v>3382</v>
      </c>
      <c r="EH192" s="341" t="s">
        <v>4524</v>
      </c>
      <c r="EI192" s="341" t="str">
        <f t="shared" si="24"/>
        <v>Bolivar_Barranco de Loba</v>
      </c>
    </row>
    <row r="193" spans="1:139" ht="84">
      <c r="A193" s="228">
        <v>40221</v>
      </c>
      <c r="B193" s="102" t="s">
        <v>2704</v>
      </c>
      <c r="C193" s="102" t="s">
        <v>3130</v>
      </c>
      <c r="D193" s="206" t="s">
        <v>1752</v>
      </c>
      <c r="E193" s="320" t="s">
        <v>3576</v>
      </c>
      <c r="F193" s="320"/>
      <c r="G193" s="210"/>
      <c r="H193" s="71"/>
      <c r="I193" s="71"/>
      <c r="J193" s="71">
        <f>8800+104+152+315+462+385+226+187+110</f>
        <v>10741</v>
      </c>
      <c r="K193" s="71">
        <v>2148.1999999999998</v>
      </c>
      <c r="L193" s="1"/>
      <c r="M193" s="73">
        <f t="shared" si="17"/>
        <v>0</v>
      </c>
      <c r="N193" s="73">
        <f t="shared" si="18"/>
        <v>0</v>
      </c>
      <c r="O193" s="73">
        <f t="shared" si="19"/>
        <v>0</v>
      </c>
      <c r="P193" s="73">
        <f t="shared" si="20"/>
        <v>0</v>
      </c>
      <c r="Q193" s="73"/>
      <c r="R193" s="73">
        <v>0</v>
      </c>
      <c r="S193" s="75">
        <f t="shared" si="23"/>
        <v>0</v>
      </c>
      <c r="T193" s="77">
        <v>0</v>
      </c>
      <c r="U193" s="66">
        <v>40221</v>
      </c>
      <c r="V193" s="79">
        <v>95174</v>
      </c>
      <c r="W193" s="66" t="s">
        <v>1585</v>
      </c>
      <c r="X193" s="24" t="s">
        <v>1586</v>
      </c>
      <c r="Y193" s="62"/>
      <c r="Z193" s="177" t="s">
        <v>1249</v>
      </c>
      <c r="AA193" s="80" t="s">
        <v>1411</v>
      </c>
      <c r="AB193" s="3"/>
      <c r="AC193" s="4"/>
      <c r="AD193" s="5"/>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6"/>
      <c r="CE193" s="7"/>
      <c r="CF193" s="6"/>
      <c r="CG193" s="7"/>
      <c r="CH193" s="6"/>
      <c r="CI193" s="7"/>
      <c r="CJ193" s="8">
        <f t="shared" si="21"/>
        <v>0</v>
      </c>
      <c r="CK193" s="9"/>
      <c r="CL193" s="10"/>
      <c r="CM193" s="11"/>
      <c r="CN193" s="12"/>
      <c r="CO193" s="28"/>
      <c r="CP193" s="12"/>
      <c r="CQ193" s="9"/>
      <c r="CR193" s="10"/>
      <c r="CS193" s="68"/>
      <c r="EC193" s="344" t="str">
        <f t="shared" si="22"/>
        <v>CAQUETA_EL PAUJIL</v>
      </c>
      <c r="ED193" s="341"/>
      <c r="EE193" s="341" t="s">
        <v>3114</v>
      </c>
      <c r="EF193" s="349" t="s">
        <v>3115</v>
      </c>
      <c r="EG193" s="341" t="s">
        <v>3383</v>
      </c>
      <c r="EH193" s="341" t="s">
        <v>4525</v>
      </c>
      <c r="EI193" s="341" t="str">
        <f t="shared" si="24"/>
        <v>Bolivar_Calamar</v>
      </c>
    </row>
    <row r="194" spans="1:139" s="127" customFormat="1" ht="78.75">
      <c r="A194" s="228">
        <v>40221</v>
      </c>
      <c r="B194" s="102" t="s">
        <v>2704</v>
      </c>
      <c r="C194" s="102" t="s">
        <v>2375</v>
      </c>
      <c r="D194" s="206" t="s">
        <v>1752</v>
      </c>
      <c r="E194" s="320" t="s">
        <v>3577</v>
      </c>
      <c r="F194" s="320"/>
      <c r="G194" s="210"/>
      <c r="H194" s="71"/>
      <c r="I194" s="71"/>
      <c r="J194" s="71">
        <f>197*5</f>
        <v>985</v>
      </c>
      <c r="K194" s="71">
        <f>92+105</f>
        <v>197</v>
      </c>
      <c r="L194" s="1"/>
      <c r="M194" s="73">
        <f t="shared" si="17"/>
        <v>0</v>
      </c>
      <c r="N194" s="73">
        <f t="shared" si="18"/>
        <v>0</v>
      </c>
      <c r="O194" s="73">
        <f t="shared" si="19"/>
        <v>0</v>
      </c>
      <c r="P194" s="73">
        <f t="shared" si="20"/>
        <v>0</v>
      </c>
      <c r="Q194" s="73"/>
      <c r="R194" s="73">
        <v>0</v>
      </c>
      <c r="S194" s="75">
        <f t="shared" si="23"/>
        <v>0</v>
      </c>
      <c r="T194" s="77">
        <v>0</v>
      </c>
      <c r="U194" s="66">
        <v>40221</v>
      </c>
      <c r="V194" s="79">
        <v>95174</v>
      </c>
      <c r="W194" s="66" t="s">
        <v>1585</v>
      </c>
      <c r="X194" s="24" t="s">
        <v>1586</v>
      </c>
      <c r="Y194" s="62"/>
      <c r="Z194" s="177" t="s">
        <v>1249</v>
      </c>
      <c r="AA194" s="80" t="s">
        <v>2295</v>
      </c>
      <c r="AB194" s="3"/>
      <c r="AC194" s="4"/>
      <c r="AD194" s="5"/>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6"/>
      <c r="CE194" s="7"/>
      <c r="CF194" s="6"/>
      <c r="CG194" s="7"/>
      <c r="CH194" s="6"/>
      <c r="CI194" s="7"/>
      <c r="CJ194" s="8">
        <f t="shared" si="21"/>
        <v>0</v>
      </c>
      <c r="CK194" s="9"/>
      <c r="CL194" s="10"/>
      <c r="CM194" s="11"/>
      <c r="CN194" s="12"/>
      <c r="CO194" s="28"/>
      <c r="CP194" s="12"/>
      <c r="CQ194" s="9"/>
      <c r="CR194" s="10"/>
      <c r="CS194" s="68"/>
      <c r="CT194" s="22"/>
      <c r="EC194" s="344" t="str">
        <f t="shared" si="22"/>
        <v>CAQUETA_LA MONTAÑITA</v>
      </c>
      <c r="ED194" s="341"/>
      <c r="EE194" s="341" t="s">
        <v>3114</v>
      </c>
      <c r="EF194" s="349" t="s">
        <v>3115</v>
      </c>
      <c r="EG194" s="341" t="s">
        <v>3384</v>
      </c>
      <c r="EH194" s="341" t="s">
        <v>4526</v>
      </c>
      <c r="EI194" s="341" t="str">
        <f t="shared" si="24"/>
        <v>Bolivar_Cantagallo</v>
      </c>
    </row>
    <row r="195" spans="1:139" s="85" customFormat="1" ht="25.5">
      <c r="A195" s="228">
        <v>40221</v>
      </c>
      <c r="B195" s="102" t="s">
        <v>1314</v>
      </c>
      <c r="C195" s="102" t="s">
        <v>1385</v>
      </c>
      <c r="D195" s="206" t="s">
        <v>2606</v>
      </c>
      <c r="E195" s="320" t="s">
        <v>3607</v>
      </c>
      <c r="F195" s="320"/>
      <c r="G195" s="210"/>
      <c r="H195" s="71"/>
      <c r="I195" s="71"/>
      <c r="J195" s="71">
        <v>100</v>
      </c>
      <c r="K195" s="71">
        <v>20</v>
      </c>
      <c r="L195" s="1"/>
      <c r="M195" s="73">
        <f t="shared" ref="M195:M258" si="25">CJ195</f>
        <v>0</v>
      </c>
      <c r="N195" s="73">
        <f t="shared" ref="N195:N258" si="26">CN195</f>
        <v>0</v>
      </c>
      <c r="O195" s="73">
        <f t="shared" ref="O195:O258" si="27">CP195+CR195</f>
        <v>0</v>
      </c>
      <c r="P195" s="73">
        <f t="shared" ref="P195:P258" si="28">CL195</f>
        <v>0</v>
      </c>
      <c r="Q195" s="73"/>
      <c r="R195" s="73">
        <v>0</v>
      </c>
      <c r="S195" s="75">
        <f t="shared" si="23"/>
        <v>0</v>
      </c>
      <c r="T195" s="77">
        <v>0</v>
      </c>
      <c r="U195" s="66">
        <v>40228</v>
      </c>
      <c r="V195" s="79"/>
      <c r="W195" s="66" t="s">
        <v>1585</v>
      </c>
      <c r="X195" s="24" t="s">
        <v>1586</v>
      </c>
      <c r="Y195" s="62"/>
      <c r="Z195" s="177" t="s">
        <v>894</v>
      </c>
      <c r="AA195" s="80" t="s">
        <v>1386</v>
      </c>
      <c r="AB195" s="3"/>
      <c r="AC195" s="4"/>
      <c r="AD195" s="5"/>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6"/>
      <c r="CE195" s="7"/>
      <c r="CF195" s="6"/>
      <c r="CG195" s="7"/>
      <c r="CH195" s="6"/>
      <c r="CI195" s="7"/>
      <c r="CJ195" s="8">
        <f t="shared" ref="CJ195:CJ258" si="29">AC195+AE195+AG195+AI195+AK195+AM195+AO195+AQ195+AS195+AU195+AW195+AY195+BA195+BC195+BE195+BG195+BI195+BK195+BM195+BO195+BQ195+BS195+BU195+BW195+BY195+CA195+CC195+CE195+CG195+CI195</f>
        <v>0</v>
      </c>
      <c r="CK195" s="9"/>
      <c r="CL195" s="10"/>
      <c r="CM195" s="11"/>
      <c r="CN195" s="12"/>
      <c r="CO195" s="28"/>
      <c r="CP195" s="12"/>
      <c r="CQ195" s="9"/>
      <c r="CR195" s="10"/>
      <c r="CS195" s="68"/>
      <c r="CT195" s="22"/>
      <c r="EC195" s="344" t="str">
        <f t="shared" ref="EC195:EC258" si="30">B195&amp;"_"&amp;C195</f>
        <v>CAUCA_MORALES</v>
      </c>
      <c r="ED195" s="341"/>
      <c r="EE195" s="341" t="s">
        <v>3114</v>
      </c>
      <c r="EF195" s="349" t="s">
        <v>3115</v>
      </c>
      <c r="EG195" s="341" t="s">
        <v>3385</v>
      </c>
      <c r="EH195" s="341" t="s">
        <v>4527</v>
      </c>
      <c r="EI195" s="341" t="str">
        <f t="shared" si="24"/>
        <v>Bolivar_Cicuco</v>
      </c>
    </row>
    <row r="196" spans="1:139" ht="60">
      <c r="A196" s="228">
        <v>40221</v>
      </c>
      <c r="B196" s="102" t="s">
        <v>1611</v>
      </c>
      <c r="C196" s="218" t="s">
        <v>1611</v>
      </c>
      <c r="D196" s="206" t="s">
        <v>2389</v>
      </c>
      <c r="E196" s="320" t="e">
        <v>#N/A</v>
      </c>
      <c r="F196" s="320"/>
      <c r="G196" s="210"/>
      <c r="H196" s="71"/>
      <c r="I196" s="71"/>
      <c r="J196" s="71"/>
      <c r="K196" s="71"/>
      <c r="L196" s="1">
        <v>40239</v>
      </c>
      <c r="M196" s="73">
        <f t="shared" si="25"/>
        <v>0</v>
      </c>
      <c r="N196" s="73">
        <f t="shared" si="26"/>
        <v>0</v>
      </c>
      <c r="O196" s="73">
        <f t="shared" si="27"/>
        <v>0</v>
      </c>
      <c r="P196" s="73">
        <f t="shared" si="28"/>
        <v>0</v>
      </c>
      <c r="Q196" s="73">
        <f>500*22000+1000*1400</f>
        <v>12400000</v>
      </c>
      <c r="R196" s="73">
        <v>0</v>
      </c>
      <c r="S196" s="75">
        <f t="shared" si="23"/>
        <v>12400000</v>
      </c>
      <c r="T196" s="77">
        <v>0</v>
      </c>
      <c r="U196" s="66">
        <v>40221</v>
      </c>
      <c r="V196" s="79">
        <v>95199</v>
      </c>
      <c r="W196" s="66" t="s">
        <v>1606</v>
      </c>
      <c r="X196" s="24" t="s">
        <v>1607</v>
      </c>
      <c r="Y196" s="62">
        <v>30</v>
      </c>
      <c r="Z196" s="177" t="s">
        <v>1608</v>
      </c>
      <c r="AA196" s="80" t="s">
        <v>1293</v>
      </c>
      <c r="AB196" s="3"/>
      <c r="AC196" s="4"/>
      <c r="AD196" s="5"/>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6"/>
      <c r="CE196" s="7"/>
      <c r="CF196" s="6"/>
      <c r="CG196" s="7"/>
      <c r="CH196" s="6"/>
      <c r="CI196" s="7"/>
      <c r="CJ196" s="8">
        <f t="shared" si="29"/>
        <v>0</v>
      </c>
      <c r="CK196" s="9"/>
      <c r="CL196" s="10"/>
      <c r="CM196" s="11"/>
      <c r="CN196" s="12"/>
      <c r="CO196" s="28"/>
      <c r="CP196" s="12"/>
      <c r="CQ196" s="9"/>
      <c r="CR196" s="10"/>
      <c r="CS196" s="68"/>
      <c r="EC196" s="344" t="str">
        <f t="shared" si="30"/>
        <v>NACION_NACION</v>
      </c>
      <c r="ED196" s="341"/>
      <c r="EE196" s="341" t="s">
        <v>3114</v>
      </c>
      <c r="EF196" s="349" t="s">
        <v>3115</v>
      </c>
      <c r="EG196" s="341" t="s">
        <v>3386</v>
      </c>
      <c r="EH196" s="341" t="s">
        <v>3137</v>
      </c>
      <c r="EI196" s="341" t="str">
        <f t="shared" si="24"/>
        <v>Bolivar_Cordoba</v>
      </c>
    </row>
    <row r="197" spans="1:139" ht="45">
      <c r="A197" s="228">
        <v>40221</v>
      </c>
      <c r="B197" s="102" t="s">
        <v>1611</v>
      </c>
      <c r="C197" s="218" t="s">
        <v>1611</v>
      </c>
      <c r="D197" s="206" t="s">
        <v>2389</v>
      </c>
      <c r="E197" s="320" t="e">
        <v>#N/A</v>
      </c>
      <c r="F197" s="320"/>
      <c r="G197" s="210"/>
      <c r="H197" s="71"/>
      <c r="I197" s="71"/>
      <c r="J197" s="71"/>
      <c r="K197" s="71"/>
      <c r="L197" s="1"/>
      <c r="M197" s="73">
        <f t="shared" si="25"/>
        <v>0</v>
      </c>
      <c r="N197" s="73">
        <f t="shared" si="26"/>
        <v>0</v>
      </c>
      <c r="O197" s="73">
        <f t="shared" si="27"/>
        <v>0</v>
      </c>
      <c r="P197" s="73">
        <f t="shared" si="28"/>
        <v>0</v>
      </c>
      <c r="Q197" s="73"/>
      <c r="R197" s="73">
        <v>0</v>
      </c>
      <c r="S197" s="75">
        <f t="shared" si="23"/>
        <v>0</v>
      </c>
      <c r="T197" s="77">
        <v>0</v>
      </c>
      <c r="U197" s="66">
        <v>40224</v>
      </c>
      <c r="V197" s="79">
        <v>95221</v>
      </c>
      <c r="W197" s="66" t="s">
        <v>1606</v>
      </c>
      <c r="X197" s="24" t="s">
        <v>1607</v>
      </c>
      <c r="Y197" s="62"/>
      <c r="Z197" s="177" t="s">
        <v>1608</v>
      </c>
      <c r="AA197" s="80" t="s">
        <v>2703</v>
      </c>
      <c r="AB197" s="3"/>
      <c r="AC197" s="4"/>
      <c r="AD197" s="5"/>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6"/>
      <c r="CE197" s="7"/>
      <c r="CF197" s="6"/>
      <c r="CG197" s="7"/>
      <c r="CH197" s="6"/>
      <c r="CI197" s="7"/>
      <c r="CJ197" s="8">
        <f t="shared" si="29"/>
        <v>0</v>
      </c>
      <c r="CK197" s="9"/>
      <c r="CL197" s="10"/>
      <c r="CM197" s="11"/>
      <c r="CN197" s="12"/>
      <c r="CO197" s="28"/>
      <c r="CP197" s="12"/>
      <c r="CQ197" s="9"/>
      <c r="CR197" s="10"/>
      <c r="CS197" s="68"/>
      <c r="EC197" s="344" t="str">
        <f t="shared" si="30"/>
        <v>NACION_NACION</v>
      </c>
      <c r="ED197" s="341"/>
      <c r="EE197" s="341" t="s">
        <v>3114</v>
      </c>
      <c r="EF197" s="349" t="s">
        <v>3115</v>
      </c>
      <c r="EG197" s="341" t="s">
        <v>3387</v>
      </c>
      <c r="EH197" s="341" t="s">
        <v>4528</v>
      </c>
      <c r="EI197" s="341" t="str">
        <f t="shared" si="24"/>
        <v>Bolivar_Clemencia</v>
      </c>
    </row>
    <row r="198" spans="1:139" ht="48">
      <c r="A198" s="229">
        <v>40221</v>
      </c>
      <c r="B198" s="220" t="s">
        <v>1943</v>
      </c>
      <c r="C198" s="220" t="s">
        <v>1896</v>
      </c>
      <c r="D198" s="231" t="s">
        <v>1752</v>
      </c>
      <c r="E198" s="322" t="s">
        <v>4170</v>
      </c>
      <c r="F198" s="322"/>
      <c r="G198" s="211"/>
      <c r="H198" s="107"/>
      <c r="I198" s="107"/>
      <c r="J198" s="107"/>
      <c r="K198" s="107"/>
      <c r="L198" s="90">
        <v>40263</v>
      </c>
      <c r="M198" s="108">
        <f t="shared" si="25"/>
        <v>0</v>
      </c>
      <c r="N198" s="108">
        <f t="shared" si="26"/>
        <v>85000000</v>
      </c>
      <c r="O198" s="108">
        <f t="shared" si="27"/>
        <v>0</v>
      </c>
      <c r="P198" s="108">
        <f t="shared" si="28"/>
        <v>0</v>
      </c>
      <c r="Q198" s="108"/>
      <c r="R198" s="108">
        <v>0</v>
      </c>
      <c r="S198" s="109">
        <f t="shared" si="23"/>
        <v>85000000</v>
      </c>
      <c r="T198" s="110">
        <v>0</v>
      </c>
      <c r="U198" s="111">
        <v>40234</v>
      </c>
      <c r="V198" s="112">
        <v>95561</v>
      </c>
      <c r="W198" s="111" t="s">
        <v>1606</v>
      </c>
      <c r="X198" s="113" t="s">
        <v>1607</v>
      </c>
      <c r="Y198" s="114">
        <v>56</v>
      </c>
      <c r="Z198" s="197" t="s">
        <v>1897</v>
      </c>
      <c r="AA198" s="115" t="s">
        <v>2239</v>
      </c>
      <c r="AB198" s="116"/>
      <c r="AC198" s="117"/>
      <c r="AD198" s="118"/>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9"/>
      <c r="CE198" s="120"/>
      <c r="CF198" s="119"/>
      <c r="CG198" s="120"/>
      <c r="CH198" s="119"/>
      <c r="CI198" s="120"/>
      <c r="CJ198" s="128">
        <f t="shared" si="29"/>
        <v>0</v>
      </c>
      <c r="CK198" s="121"/>
      <c r="CL198" s="122"/>
      <c r="CM198" s="123">
        <v>1000</v>
      </c>
      <c r="CN198" s="124">
        <f>1000*85000</f>
        <v>85000000</v>
      </c>
      <c r="CO198" s="125"/>
      <c r="CP198" s="124"/>
      <c r="CQ198" s="121"/>
      <c r="CR198" s="122"/>
      <c r="CS198" s="132"/>
      <c r="CT198" s="126"/>
      <c r="EC198" s="344" t="str">
        <f t="shared" si="30"/>
        <v>SUCRE_SAN MARCOS</v>
      </c>
      <c r="ED198" s="341"/>
      <c r="EE198" s="341" t="s">
        <v>3114</v>
      </c>
      <c r="EF198" s="349" t="s">
        <v>3115</v>
      </c>
      <c r="EG198" s="341" t="s">
        <v>3388</v>
      </c>
      <c r="EH198" s="341" t="s">
        <v>4529</v>
      </c>
      <c r="EI198" s="341" t="str">
        <f t="shared" si="24"/>
        <v>Bolivar_El Carmen de Bolivar</v>
      </c>
    </row>
    <row r="199" spans="1:139" ht="25.5">
      <c r="A199" s="228">
        <v>40222</v>
      </c>
      <c r="B199" s="102" t="s">
        <v>1314</v>
      </c>
      <c r="C199" s="102" t="s">
        <v>1315</v>
      </c>
      <c r="D199" s="206" t="s">
        <v>618</v>
      </c>
      <c r="E199" s="320" t="s">
        <v>3586</v>
      </c>
      <c r="F199" s="320"/>
      <c r="G199" s="210"/>
      <c r="H199" s="71"/>
      <c r="I199" s="71"/>
      <c r="J199" s="71"/>
      <c r="K199" s="71"/>
      <c r="L199" s="1"/>
      <c r="M199" s="73">
        <f t="shared" si="25"/>
        <v>0</v>
      </c>
      <c r="N199" s="73">
        <f t="shared" si="26"/>
        <v>0</v>
      </c>
      <c r="O199" s="73">
        <f t="shared" si="27"/>
        <v>0</v>
      </c>
      <c r="P199" s="73">
        <f t="shared" si="28"/>
        <v>0</v>
      </c>
      <c r="Q199" s="73"/>
      <c r="R199" s="73">
        <v>0</v>
      </c>
      <c r="S199" s="75">
        <f t="shared" si="23"/>
        <v>0</v>
      </c>
      <c r="T199" s="77">
        <v>0</v>
      </c>
      <c r="U199" s="66">
        <v>40228</v>
      </c>
      <c r="V199" s="79"/>
      <c r="W199" s="66" t="s">
        <v>1585</v>
      </c>
      <c r="X199" s="24" t="s">
        <v>1586</v>
      </c>
      <c r="Y199" s="62"/>
      <c r="Z199" s="177" t="s">
        <v>894</v>
      </c>
      <c r="AA199" s="80" t="s">
        <v>645</v>
      </c>
      <c r="AB199" s="3"/>
      <c r="AC199" s="4"/>
      <c r="AD199" s="5"/>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6"/>
      <c r="CE199" s="7"/>
      <c r="CF199" s="6"/>
      <c r="CG199" s="7"/>
      <c r="CH199" s="6"/>
      <c r="CI199" s="7"/>
      <c r="CJ199" s="8">
        <f t="shared" si="29"/>
        <v>0</v>
      </c>
      <c r="CK199" s="9"/>
      <c r="CL199" s="10"/>
      <c r="CM199" s="11"/>
      <c r="CN199" s="12"/>
      <c r="CO199" s="28"/>
      <c r="CP199" s="12"/>
      <c r="CQ199" s="9"/>
      <c r="CR199" s="10"/>
      <c r="CS199" s="68"/>
      <c r="EC199" s="344" t="str">
        <f t="shared" si="30"/>
        <v>CAUCA_POPAYAN</v>
      </c>
      <c r="ED199" s="341"/>
      <c r="EE199" s="341" t="s">
        <v>3114</v>
      </c>
      <c r="EF199" s="349" t="s">
        <v>3115</v>
      </c>
      <c r="EG199" s="341" t="s">
        <v>3389</v>
      </c>
      <c r="EH199" s="341" t="s">
        <v>4530</v>
      </c>
      <c r="EI199" s="341" t="str">
        <f t="shared" si="24"/>
        <v>Bolivar_El Guamo</v>
      </c>
    </row>
    <row r="200" spans="1:139" ht="38.25">
      <c r="A200" s="228">
        <v>40223</v>
      </c>
      <c r="B200" s="102" t="s">
        <v>965</v>
      </c>
      <c r="C200" s="102" t="s">
        <v>2083</v>
      </c>
      <c r="D200" s="206" t="s">
        <v>2391</v>
      </c>
      <c r="E200" s="320" t="s">
        <v>4012</v>
      </c>
      <c r="F200" s="320"/>
      <c r="G200" s="210"/>
      <c r="H200" s="71">
        <v>2</v>
      </c>
      <c r="I200" s="71"/>
      <c r="J200" s="71"/>
      <c r="K200" s="71"/>
      <c r="L200" s="1"/>
      <c r="M200" s="73">
        <f t="shared" si="25"/>
        <v>0</v>
      </c>
      <c r="N200" s="73">
        <f t="shared" si="26"/>
        <v>0</v>
      </c>
      <c r="O200" s="73">
        <f t="shared" si="27"/>
        <v>0</v>
      </c>
      <c r="P200" s="73">
        <f t="shared" si="28"/>
        <v>0</v>
      </c>
      <c r="Q200" s="73"/>
      <c r="R200" s="73">
        <v>0</v>
      </c>
      <c r="S200" s="75">
        <f t="shared" si="23"/>
        <v>0</v>
      </c>
      <c r="T200" s="77">
        <v>0</v>
      </c>
      <c r="U200" s="66">
        <v>40227</v>
      </c>
      <c r="V200" s="79"/>
      <c r="W200" s="66" t="s">
        <v>1585</v>
      </c>
      <c r="X200" s="24" t="s">
        <v>1586</v>
      </c>
      <c r="Y200" s="62"/>
      <c r="Z200" s="177" t="s">
        <v>894</v>
      </c>
      <c r="AA200" s="80" t="s">
        <v>2371</v>
      </c>
      <c r="AB200" s="3"/>
      <c r="AC200" s="4"/>
      <c r="AD200" s="5"/>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6"/>
      <c r="CE200" s="7"/>
      <c r="CF200" s="6"/>
      <c r="CG200" s="7"/>
      <c r="CH200" s="6"/>
      <c r="CI200" s="7"/>
      <c r="CJ200" s="8">
        <f t="shared" si="29"/>
        <v>0</v>
      </c>
      <c r="CK200" s="9"/>
      <c r="CL200" s="10"/>
      <c r="CM200" s="11"/>
      <c r="CN200" s="12"/>
      <c r="CO200" s="28"/>
      <c r="CP200" s="12"/>
      <c r="CQ200" s="9"/>
      <c r="CR200" s="10"/>
      <c r="CS200" s="68"/>
      <c r="EC200" s="344" t="str">
        <f t="shared" si="30"/>
        <v>NORTE DE SANTANDER_EL ZULIA</v>
      </c>
      <c r="ED200" s="341"/>
      <c r="EE200" s="341" t="s">
        <v>3114</v>
      </c>
      <c r="EF200" s="349" t="s">
        <v>3115</v>
      </c>
      <c r="EG200" s="341" t="s">
        <v>3390</v>
      </c>
      <c r="EH200" s="341" t="s">
        <v>4531</v>
      </c>
      <c r="EI200" s="341" t="str">
        <f t="shared" si="24"/>
        <v>Bolivar_El Peñon</v>
      </c>
    </row>
    <row r="201" spans="1:139" ht="36">
      <c r="A201" s="228">
        <v>40224</v>
      </c>
      <c r="B201" s="102" t="s">
        <v>1192</v>
      </c>
      <c r="C201" s="102" t="s">
        <v>1189</v>
      </c>
      <c r="D201" s="206" t="s">
        <v>2391</v>
      </c>
      <c r="E201" s="320" t="s">
        <v>3505</v>
      </c>
      <c r="F201" s="320"/>
      <c r="G201" s="210">
        <v>3</v>
      </c>
      <c r="H201" s="71"/>
      <c r="I201" s="71"/>
      <c r="J201" s="71"/>
      <c r="K201" s="71"/>
      <c r="L201" s="1"/>
      <c r="M201" s="73">
        <f t="shared" si="25"/>
        <v>0</v>
      </c>
      <c r="N201" s="73">
        <f t="shared" si="26"/>
        <v>0</v>
      </c>
      <c r="O201" s="73">
        <f t="shared" si="27"/>
        <v>0</v>
      </c>
      <c r="P201" s="73">
        <f t="shared" si="28"/>
        <v>0</v>
      </c>
      <c r="Q201" s="73"/>
      <c r="R201" s="73">
        <v>0</v>
      </c>
      <c r="S201" s="75">
        <f t="shared" ref="S201:S264" si="31">M201+N201+O201+P201+Q201+R201</f>
        <v>0</v>
      </c>
      <c r="T201" s="77">
        <v>0</v>
      </c>
      <c r="U201" s="66">
        <v>40224</v>
      </c>
      <c r="V201" s="79"/>
      <c r="W201" s="66" t="s">
        <v>1585</v>
      </c>
      <c r="X201" s="24" t="s">
        <v>1586</v>
      </c>
      <c r="Y201" s="62"/>
      <c r="Z201" s="177" t="s">
        <v>894</v>
      </c>
      <c r="AA201" s="80" t="s">
        <v>498</v>
      </c>
      <c r="AB201" s="3"/>
      <c r="AC201" s="4"/>
      <c r="AD201" s="5"/>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6"/>
      <c r="CE201" s="7"/>
      <c r="CF201" s="6"/>
      <c r="CG201" s="7"/>
      <c r="CH201" s="6"/>
      <c r="CI201" s="7"/>
      <c r="CJ201" s="8">
        <f t="shared" si="29"/>
        <v>0</v>
      </c>
      <c r="CK201" s="9"/>
      <c r="CL201" s="10"/>
      <c r="CM201" s="11"/>
      <c r="CN201" s="12"/>
      <c r="CO201" s="28"/>
      <c r="CP201" s="12"/>
      <c r="CQ201" s="9"/>
      <c r="CR201" s="10"/>
      <c r="CS201" s="68"/>
      <c r="EC201" s="344" t="str">
        <f t="shared" si="30"/>
        <v>BOYACA_SAN MATEO</v>
      </c>
      <c r="ED201" s="341"/>
      <c r="EE201" s="341" t="s">
        <v>3114</v>
      </c>
      <c r="EF201" s="349" t="s">
        <v>3115</v>
      </c>
      <c r="EG201" s="341" t="s">
        <v>3391</v>
      </c>
      <c r="EH201" s="341" t="s">
        <v>4532</v>
      </c>
      <c r="EI201" s="341" t="str">
        <f t="shared" si="24"/>
        <v>Bolivar_Hatillo de Loba</v>
      </c>
    </row>
    <row r="202" spans="1:139" ht="25.5">
      <c r="A202" s="228">
        <v>40224</v>
      </c>
      <c r="B202" s="102" t="s">
        <v>1314</v>
      </c>
      <c r="C202" s="102" t="s">
        <v>1615</v>
      </c>
      <c r="D202" s="206" t="s">
        <v>1201</v>
      </c>
      <c r="E202" s="320" t="s">
        <v>3590</v>
      </c>
      <c r="F202" s="320"/>
      <c r="G202" s="210"/>
      <c r="H202" s="71"/>
      <c r="I202" s="71"/>
      <c r="J202" s="71">
        <v>35</v>
      </c>
      <c r="K202" s="71">
        <v>7</v>
      </c>
      <c r="L202" s="1"/>
      <c r="M202" s="73">
        <f t="shared" si="25"/>
        <v>0</v>
      </c>
      <c r="N202" s="73">
        <f t="shared" si="26"/>
        <v>0</v>
      </c>
      <c r="O202" s="73">
        <f t="shared" si="27"/>
        <v>0</v>
      </c>
      <c r="P202" s="73">
        <f t="shared" si="28"/>
        <v>0</v>
      </c>
      <c r="Q202" s="73"/>
      <c r="R202" s="73">
        <v>0</v>
      </c>
      <c r="S202" s="75">
        <f t="shared" si="31"/>
        <v>0</v>
      </c>
      <c r="T202" s="77">
        <v>0</v>
      </c>
      <c r="U202" s="66">
        <v>40228</v>
      </c>
      <c r="V202" s="79"/>
      <c r="W202" s="66" t="s">
        <v>1585</v>
      </c>
      <c r="X202" s="24" t="s">
        <v>1586</v>
      </c>
      <c r="Y202" s="62"/>
      <c r="Z202" s="177" t="s">
        <v>894</v>
      </c>
      <c r="AA202" s="87" t="s">
        <v>647</v>
      </c>
      <c r="AB202" s="3"/>
      <c r="AC202" s="4"/>
      <c r="AD202" s="5"/>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6"/>
      <c r="CE202" s="7"/>
      <c r="CF202" s="6"/>
      <c r="CG202" s="7"/>
      <c r="CH202" s="6"/>
      <c r="CI202" s="7"/>
      <c r="CJ202" s="8">
        <f t="shared" si="29"/>
        <v>0</v>
      </c>
      <c r="CK202" s="9"/>
      <c r="CL202" s="10"/>
      <c r="CM202" s="11"/>
      <c r="CN202" s="12"/>
      <c r="CO202" s="28"/>
      <c r="CP202" s="12"/>
      <c r="CQ202" s="9"/>
      <c r="CR202" s="10"/>
      <c r="CS202" s="68"/>
      <c r="EC202" s="344" t="str">
        <f t="shared" si="30"/>
        <v>CAUCA_BOLIVAR</v>
      </c>
      <c r="ED202" s="341"/>
      <c r="EE202" s="341" t="s">
        <v>3114</v>
      </c>
      <c r="EF202" s="349" t="s">
        <v>3115</v>
      </c>
      <c r="EG202" s="341" t="s">
        <v>3392</v>
      </c>
      <c r="EH202" s="341" t="s">
        <v>4533</v>
      </c>
      <c r="EI202" s="341" t="str">
        <f t="shared" si="24"/>
        <v>Bolivar_Magangue</v>
      </c>
    </row>
    <row r="203" spans="1:139" ht="56.25">
      <c r="A203" s="228">
        <v>40224</v>
      </c>
      <c r="B203" s="102" t="s">
        <v>1314</v>
      </c>
      <c r="C203" s="102" t="s">
        <v>1385</v>
      </c>
      <c r="D203" s="206" t="s">
        <v>2606</v>
      </c>
      <c r="E203" s="320" t="s">
        <v>3607</v>
      </c>
      <c r="F203" s="320"/>
      <c r="G203" s="210"/>
      <c r="H203" s="71"/>
      <c r="I203" s="71"/>
      <c r="J203" s="71">
        <f>17*5</f>
        <v>85</v>
      </c>
      <c r="K203" s="71">
        <v>17</v>
      </c>
      <c r="L203" s="1">
        <v>40288</v>
      </c>
      <c r="M203" s="73">
        <f t="shared" si="25"/>
        <v>0</v>
      </c>
      <c r="N203" s="73">
        <f t="shared" si="26"/>
        <v>0</v>
      </c>
      <c r="O203" s="73">
        <f t="shared" si="27"/>
        <v>5567362</v>
      </c>
      <c r="P203" s="73">
        <f t="shared" si="28"/>
        <v>0</v>
      </c>
      <c r="Q203" s="73"/>
      <c r="R203" s="73">
        <v>0</v>
      </c>
      <c r="S203" s="75">
        <f t="shared" si="31"/>
        <v>5567362</v>
      </c>
      <c r="T203" s="77">
        <v>0</v>
      </c>
      <c r="U203" s="66">
        <v>40228</v>
      </c>
      <c r="V203" s="79">
        <v>95589</v>
      </c>
      <c r="W203" s="66" t="s">
        <v>1606</v>
      </c>
      <c r="X203" s="24" t="s">
        <v>1607</v>
      </c>
      <c r="Y203" s="62">
        <v>80</v>
      </c>
      <c r="Z203" s="177" t="s">
        <v>1741</v>
      </c>
      <c r="AA203" s="80" t="s">
        <v>2350</v>
      </c>
      <c r="AB203" s="3"/>
      <c r="AC203" s="4"/>
      <c r="AD203" s="5"/>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6"/>
      <c r="CE203" s="7"/>
      <c r="CF203" s="6"/>
      <c r="CG203" s="7"/>
      <c r="CH203" s="6"/>
      <c r="CI203" s="7"/>
      <c r="CJ203" s="8">
        <f t="shared" si="29"/>
        <v>0</v>
      </c>
      <c r="CK203" s="9"/>
      <c r="CL203" s="10"/>
      <c r="CM203" s="11"/>
      <c r="CN203" s="12"/>
      <c r="CO203" s="28">
        <v>40</v>
      </c>
      <c r="CP203" s="12">
        <f>40*24940</f>
        <v>997600</v>
      </c>
      <c r="CQ203" s="9">
        <f>180+30</f>
        <v>210</v>
      </c>
      <c r="CR203" s="10">
        <f>180*18792+30*39573.4</f>
        <v>4569762</v>
      </c>
      <c r="CS203" s="68"/>
      <c r="EC203" s="344" t="str">
        <f t="shared" si="30"/>
        <v>CAUCA_MORALES</v>
      </c>
      <c r="ED203" s="341"/>
      <c r="EE203" s="341" t="s">
        <v>3114</v>
      </c>
      <c r="EF203" s="349" t="s">
        <v>3115</v>
      </c>
      <c r="EG203" s="341" t="s">
        <v>3393</v>
      </c>
      <c r="EH203" s="341" t="s">
        <v>4534</v>
      </c>
      <c r="EI203" s="341" t="str">
        <f t="shared" si="24"/>
        <v>Bolivar_Mahates</v>
      </c>
    </row>
    <row r="204" spans="1:139" ht="25.5">
      <c r="A204" s="228">
        <v>40224</v>
      </c>
      <c r="B204" s="102" t="s">
        <v>1609</v>
      </c>
      <c r="C204" s="102" t="s">
        <v>2004</v>
      </c>
      <c r="D204" s="206" t="s">
        <v>1316</v>
      </c>
      <c r="E204" s="320" t="s">
        <v>4050</v>
      </c>
      <c r="F204" s="320"/>
      <c r="G204" s="210"/>
      <c r="H204" s="71"/>
      <c r="I204" s="71"/>
      <c r="J204" s="71">
        <v>75</v>
      </c>
      <c r="K204" s="71">
        <v>15</v>
      </c>
      <c r="L204" s="1"/>
      <c r="M204" s="73">
        <f t="shared" si="25"/>
        <v>0</v>
      </c>
      <c r="N204" s="73">
        <f t="shared" si="26"/>
        <v>0</v>
      </c>
      <c r="O204" s="73">
        <f t="shared" si="27"/>
        <v>0</v>
      </c>
      <c r="P204" s="73">
        <f t="shared" si="28"/>
        <v>0</v>
      </c>
      <c r="Q204" s="73"/>
      <c r="R204" s="73">
        <v>0</v>
      </c>
      <c r="S204" s="75">
        <f t="shared" si="31"/>
        <v>0</v>
      </c>
      <c r="T204" s="77">
        <v>0</v>
      </c>
      <c r="U204" s="66">
        <v>40224</v>
      </c>
      <c r="V204" s="79"/>
      <c r="W204" s="66" t="s">
        <v>1585</v>
      </c>
      <c r="X204" s="24" t="s">
        <v>1586</v>
      </c>
      <c r="Y204" s="62"/>
      <c r="Z204" s="177" t="s">
        <v>894</v>
      </c>
      <c r="AA204" s="80" t="s">
        <v>499</v>
      </c>
      <c r="AB204" s="3"/>
      <c r="AC204" s="4"/>
      <c r="AD204" s="5"/>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6"/>
      <c r="CE204" s="7"/>
      <c r="CF204" s="6"/>
      <c r="CG204" s="7"/>
      <c r="CH204" s="6"/>
      <c r="CI204" s="7"/>
      <c r="CJ204" s="8">
        <f t="shared" si="29"/>
        <v>0</v>
      </c>
      <c r="CK204" s="9"/>
      <c r="CL204" s="10"/>
      <c r="CM204" s="11"/>
      <c r="CN204" s="12"/>
      <c r="CO204" s="28"/>
      <c r="CP204" s="12"/>
      <c r="CQ204" s="9"/>
      <c r="CR204" s="10"/>
      <c r="CS204" s="68"/>
      <c r="EC204" s="344" t="str">
        <f t="shared" si="30"/>
        <v>RISARALDA_PEREIRA</v>
      </c>
      <c r="ED204" s="341"/>
      <c r="EE204" s="341" t="s">
        <v>3114</v>
      </c>
      <c r="EF204" s="349" t="s">
        <v>3115</v>
      </c>
      <c r="EG204" s="341" t="s">
        <v>3394</v>
      </c>
      <c r="EH204" s="341" t="s">
        <v>4535</v>
      </c>
      <c r="EI204" s="341" t="str">
        <f t="shared" si="24"/>
        <v>Bolivar_Margarita</v>
      </c>
    </row>
    <row r="205" spans="1:139" ht="72">
      <c r="A205" s="228">
        <v>40225</v>
      </c>
      <c r="B205" s="102" t="s">
        <v>1972</v>
      </c>
      <c r="C205" s="102" t="s">
        <v>1613</v>
      </c>
      <c r="D205" s="206" t="s">
        <v>2606</v>
      </c>
      <c r="E205" s="320" t="s">
        <v>3242</v>
      </c>
      <c r="F205" s="320"/>
      <c r="G205" s="210"/>
      <c r="H205" s="71"/>
      <c r="I205" s="71"/>
      <c r="J205" s="71">
        <f>50*5</f>
        <v>250</v>
      </c>
      <c r="K205" s="71">
        <v>50</v>
      </c>
      <c r="L205" s="1">
        <v>40246</v>
      </c>
      <c r="M205" s="73">
        <f t="shared" si="25"/>
        <v>0</v>
      </c>
      <c r="N205" s="73">
        <f t="shared" si="26"/>
        <v>0</v>
      </c>
      <c r="O205" s="73">
        <f t="shared" si="27"/>
        <v>0</v>
      </c>
      <c r="P205" s="73">
        <f t="shared" si="28"/>
        <v>0</v>
      </c>
      <c r="Q205" s="73"/>
      <c r="R205" s="73">
        <v>59291000</v>
      </c>
      <c r="S205" s="75">
        <f t="shared" si="31"/>
        <v>59291000</v>
      </c>
      <c r="T205" s="77">
        <v>0</v>
      </c>
      <c r="U205" s="66">
        <v>40225</v>
      </c>
      <c r="V205" s="79">
        <v>95779</v>
      </c>
      <c r="W205" s="66" t="s">
        <v>1606</v>
      </c>
      <c r="X205" s="24" t="s">
        <v>1607</v>
      </c>
      <c r="Y205" s="62">
        <v>136</v>
      </c>
      <c r="Z205" s="177" t="s">
        <v>388</v>
      </c>
      <c r="AA205" s="80" t="s">
        <v>36</v>
      </c>
      <c r="AB205" s="3"/>
      <c r="AC205" s="4"/>
      <c r="AD205" s="5"/>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6"/>
      <c r="CE205" s="7"/>
      <c r="CF205" s="6"/>
      <c r="CG205" s="7"/>
      <c r="CH205" s="6"/>
      <c r="CI205" s="7"/>
      <c r="CJ205" s="8">
        <f t="shared" si="29"/>
        <v>0</v>
      </c>
      <c r="CK205" s="9"/>
      <c r="CL205" s="10"/>
      <c r="CM205" s="11"/>
      <c r="CN205" s="12"/>
      <c r="CO205" s="28"/>
      <c r="CP205" s="12"/>
      <c r="CQ205" s="9"/>
      <c r="CR205" s="10"/>
      <c r="CS205" s="68">
        <v>2</v>
      </c>
      <c r="EC205" s="344" t="str">
        <f t="shared" si="30"/>
        <v>ANTIOQUIA_ARMENIA</v>
      </c>
      <c r="ED205" s="341"/>
      <c r="EE205" s="341" t="s">
        <v>3114</v>
      </c>
      <c r="EF205" s="349" t="s">
        <v>3115</v>
      </c>
      <c r="EG205" s="341" t="s">
        <v>3395</v>
      </c>
      <c r="EH205" s="341" t="s">
        <v>4536</v>
      </c>
      <c r="EI205" s="341" t="str">
        <f t="shared" si="24"/>
        <v>Bolivar_Maria La Baja</v>
      </c>
    </row>
    <row r="206" spans="1:139" ht="84">
      <c r="A206" s="232">
        <v>40225</v>
      </c>
      <c r="B206" s="221" t="s">
        <v>965</v>
      </c>
      <c r="C206" s="221" t="s">
        <v>2716</v>
      </c>
      <c r="D206" s="206" t="s">
        <v>2389</v>
      </c>
      <c r="E206" s="320" t="s">
        <v>4035</v>
      </c>
      <c r="F206" s="320"/>
      <c r="G206" s="210"/>
      <c r="H206" s="71"/>
      <c r="I206" s="71"/>
      <c r="J206" s="71">
        <f>31*5</f>
        <v>155</v>
      </c>
      <c r="K206" s="71">
        <v>31</v>
      </c>
      <c r="L206" s="1"/>
      <c r="M206" s="73">
        <f t="shared" si="25"/>
        <v>0</v>
      </c>
      <c r="N206" s="73">
        <f t="shared" si="26"/>
        <v>0</v>
      </c>
      <c r="O206" s="73">
        <f t="shared" si="27"/>
        <v>0</v>
      </c>
      <c r="P206" s="73">
        <f t="shared" si="28"/>
        <v>0</v>
      </c>
      <c r="Q206" s="73">
        <f>900*9917*1.16+900*20580*1.16</f>
        <v>31838868</v>
      </c>
      <c r="R206" s="73">
        <v>0</v>
      </c>
      <c r="S206" s="75">
        <f t="shared" si="31"/>
        <v>31838868</v>
      </c>
      <c r="T206" s="77">
        <v>0</v>
      </c>
      <c r="U206" s="66">
        <v>40253</v>
      </c>
      <c r="V206" s="79">
        <v>96008</v>
      </c>
      <c r="W206" s="66" t="s">
        <v>1606</v>
      </c>
      <c r="X206" s="24" t="s">
        <v>1607</v>
      </c>
      <c r="Y206" s="62">
        <v>67</v>
      </c>
      <c r="Z206" s="177" t="s">
        <v>2717</v>
      </c>
      <c r="AA206" s="80" t="s">
        <v>942</v>
      </c>
      <c r="AB206" s="3"/>
      <c r="AC206" s="4"/>
      <c r="AD206" s="5"/>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6"/>
      <c r="CE206" s="7"/>
      <c r="CF206" s="6"/>
      <c r="CG206" s="7"/>
      <c r="CH206" s="6"/>
      <c r="CI206" s="7"/>
      <c r="CJ206" s="8">
        <f t="shared" si="29"/>
        <v>0</v>
      </c>
      <c r="CK206" s="9"/>
      <c r="CL206" s="10"/>
      <c r="CM206" s="11"/>
      <c r="CN206" s="12"/>
      <c r="CO206" s="28"/>
      <c r="CP206" s="12"/>
      <c r="CQ206" s="9"/>
      <c r="CR206" s="10"/>
      <c r="CS206" s="68"/>
      <c r="EC206" s="344" t="str">
        <f t="shared" si="30"/>
        <v>NORTE DE SANTANDER_TOLEDO</v>
      </c>
      <c r="ED206" s="341"/>
      <c r="EE206" s="341" t="s">
        <v>3114</v>
      </c>
      <c r="EF206" s="349" t="s">
        <v>3115</v>
      </c>
      <c r="EG206" s="341" t="s">
        <v>3396</v>
      </c>
      <c r="EH206" s="341" t="s">
        <v>4537</v>
      </c>
      <c r="EI206" s="341" t="str">
        <f t="shared" si="24"/>
        <v>Bolivar_Montecristo</v>
      </c>
    </row>
    <row r="207" spans="1:139" ht="36">
      <c r="A207" s="228">
        <v>40225</v>
      </c>
      <c r="B207" s="102" t="s">
        <v>1943</v>
      </c>
      <c r="C207" s="102" t="s">
        <v>514</v>
      </c>
      <c r="D207" s="206" t="s">
        <v>2606</v>
      </c>
      <c r="E207" s="320" t="s">
        <v>4161</v>
      </c>
      <c r="F207" s="320"/>
      <c r="G207" s="210"/>
      <c r="H207" s="71"/>
      <c r="I207" s="71"/>
      <c r="J207" s="71">
        <f>298*5</f>
        <v>1490</v>
      </c>
      <c r="K207" s="71">
        <f>58+56+25+50+55+54</f>
        <v>298</v>
      </c>
      <c r="L207" s="1">
        <v>40280</v>
      </c>
      <c r="M207" s="73">
        <f t="shared" si="25"/>
        <v>22400000</v>
      </c>
      <c r="N207" s="73">
        <f t="shared" si="26"/>
        <v>25500000</v>
      </c>
      <c r="O207" s="73">
        <f t="shared" si="27"/>
        <v>8800000</v>
      </c>
      <c r="P207" s="73">
        <f t="shared" si="28"/>
        <v>0</v>
      </c>
      <c r="Q207" s="73"/>
      <c r="R207" s="73">
        <v>0</v>
      </c>
      <c r="S207" s="75">
        <f t="shared" si="31"/>
        <v>56700000</v>
      </c>
      <c r="T207" s="77">
        <v>0</v>
      </c>
      <c r="U207" s="66">
        <v>40242</v>
      </c>
      <c r="V207" s="79">
        <v>95761</v>
      </c>
      <c r="W207" s="66" t="s">
        <v>1606</v>
      </c>
      <c r="X207" s="24" t="s">
        <v>1607</v>
      </c>
      <c r="Y207" s="62"/>
      <c r="Z207" s="177" t="s">
        <v>2427</v>
      </c>
      <c r="AA207" s="80" t="s">
        <v>2031</v>
      </c>
      <c r="AB207" s="3"/>
      <c r="AC207" s="4"/>
      <c r="AD207" s="5"/>
      <c r="AE207" s="4"/>
      <c r="AF207" s="4"/>
      <c r="AG207" s="4"/>
      <c r="AH207" s="4"/>
      <c r="AI207" s="4"/>
      <c r="AJ207" s="4"/>
      <c r="AK207" s="4"/>
      <c r="AL207" s="4"/>
      <c r="AM207" s="4"/>
      <c r="AN207" s="4">
        <v>400</v>
      </c>
      <c r="AO207" s="4">
        <f>400*56000</f>
        <v>22400000</v>
      </c>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6"/>
      <c r="CE207" s="7"/>
      <c r="CF207" s="6"/>
      <c r="CG207" s="7"/>
      <c r="CH207" s="6"/>
      <c r="CI207" s="7"/>
      <c r="CJ207" s="8">
        <f t="shared" si="29"/>
        <v>22400000</v>
      </c>
      <c r="CK207" s="9"/>
      <c r="CL207" s="10"/>
      <c r="CM207" s="11">
        <v>300</v>
      </c>
      <c r="CN207" s="12">
        <f>300*85000</f>
        <v>25500000</v>
      </c>
      <c r="CO207" s="28"/>
      <c r="CP207" s="12"/>
      <c r="CQ207" s="9">
        <v>400</v>
      </c>
      <c r="CR207" s="10">
        <f>400*22000</f>
        <v>8800000</v>
      </c>
      <c r="CS207" s="68"/>
      <c r="EC207" s="344" t="str">
        <f t="shared" si="30"/>
        <v>SUCRE_LA UNION</v>
      </c>
      <c r="ED207" s="341"/>
      <c r="EE207" s="341" t="s">
        <v>3114</v>
      </c>
      <c r="EF207" s="349" t="s">
        <v>3115</v>
      </c>
      <c r="EG207" s="341" t="s">
        <v>3397</v>
      </c>
      <c r="EH207" s="341" t="s">
        <v>4538</v>
      </c>
      <c r="EI207" s="341" t="str">
        <f t="shared" si="24"/>
        <v>Bolivar_Mompos</v>
      </c>
    </row>
    <row r="208" spans="1:139" ht="72">
      <c r="A208" s="228">
        <v>40227</v>
      </c>
      <c r="B208" s="102" t="s">
        <v>1192</v>
      </c>
      <c r="C208" s="102" t="s">
        <v>1605</v>
      </c>
      <c r="D208" s="206" t="s">
        <v>2389</v>
      </c>
      <c r="E208" s="320" t="s">
        <v>3120</v>
      </c>
      <c r="F208" s="320"/>
      <c r="G208" s="210"/>
      <c r="H208" s="71"/>
      <c r="I208" s="71"/>
      <c r="J208" s="71"/>
      <c r="K208" s="71"/>
      <c r="L208" s="1">
        <v>40239</v>
      </c>
      <c r="M208" s="73">
        <f t="shared" si="25"/>
        <v>0</v>
      </c>
      <c r="N208" s="73">
        <f t="shared" si="26"/>
        <v>0</v>
      </c>
      <c r="O208" s="73">
        <f t="shared" si="27"/>
        <v>0</v>
      </c>
      <c r="P208" s="73">
        <f t="shared" si="28"/>
        <v>0</v>
      </c>
      <c r="Q208" s="73">
        <f>300*22000+600*1400+50*796293.1*1.16+80*123500*1.16+80*130000*1.16+80*106465.52*1.16+80*12046.55+80*6100*1.16+80*30603+80*27155</f>
        <v>93180244.055999994</v>
      </c>
      <c r="R208" s="73">
        <v>0</v>
      </c>
      <c r="S208" s="75">
        <f t="shared" si="31"/>
        <v>93180244.055999994</v>
      </c>
      <c r="T208" s="77">
        <v>0</v>
      </c>
      <c r="U208" s="66">
        <v>40227</v>
      </c>
      <c r="V208" s="79">
        <v>95335</v>
      </c>
      <c r="W208" s="66" t="s">
        <v>1606</v>
      </c>
      <c r="X208" s="24" t="s">
        <v>1607</v>
      </c>
      <c r="Y208" s="83" t="s">
        <v>1976</v>
      </c>
      <c r="Z208" s="177" t="s">
        <v>1608</v>
      </c>
      <c r="AA208" s="80" t="s">
        <v>1978</v>
      </c>
      <c r="AB208" s="3"/>
      <c r="AC208" s="4"/>
      <c r="AD208" s="5"/>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6"/>
      <c r="CE208" s="7"/>
      <c r="CF208" s="6"/>
      <c r="CG208" s="7"/>
      <c r="CH208" s="6"/>
      <c r="CI208" s="7"/>
      <c r="CJ208" s="8">
        <f t="shared" si="29"/>
        <v>0</v>
      </c>
      <c r="CK208" s="9"/>
      <c r="CL208" s="10"/>
      <c r="CM208" s="11"/>
      <c r="CN208" s="12"/>
      <c r="CO208" s="28"/>
      <c r="CP208" s="12"/>
      <c r="CQ208" s="9"/>
      <c r="CR208" s="10"/>
      <c r="CS208" s="84"/>
      <c r="EC208" s="344" t="str">
        <f t="shared" si="30"/>
        <v>BOYACA_DEPARTAMENTO</v>
      </c>
      <c r="ED208" s="341"/>
      <c r="EE208" s="341" t="s">
        <v>3114</v>
      </c>
      <c r="EF208" s="349" t="s">
        <v>3115</v>
      </c>
      <c r="EG208" s="341" t="s">
        <v>3398</v>
      </c>
      <c r="EH208" s="341" t="s">
        <v>4539</v>
      </c>
      <c r="EI208" s="341" t="str">
        <f t="shared" si="24"/>
        <v>Bolivar_Morales</v>
      </c>
    </row>
    <row r="209" spans="1:139" ht="25.5">
      <c r="A209" s="228">
        <v>40227</v>
      </c>
      <c r="B209" s="102" t="s">
        <v>1612</v>
      </c>
      <c r="C209" s="102" t="s">
        <v>1613</v>
      </c>
      <c r="D209" s="206" t="s">
        <v>1316</v>
      </c>
      <c r="E209" s="320" t="s">
        <v>4038</v>
      </c>
      <c r="F209" s="320"/>
      <c r="G209" s="210"/>
      <c r="H209" s="71"/>
      <c r="I209" s="71"/>
      <c r="J209" s="71">
        <v>10</v>
      </c>
      <c r="K209" s="71">
        <v>2</v>
      </c>
      <c r="L209" s="1"/>
      <c r="M209" s="73">
        <f t="shared" si="25"/>
        <v>0</v>
      </c>
      <c r="N209" s="73">
        <f t="shared" si="26"/>
        <v>0</v>
      </c>
      <c r="O209" s="73">
        <f t="shared" si="27"/>
        <v>0</v>
      </c>
      <c r="P209" s="73">
        <f t="shared" si="28"/>
        <v>0</v>
      </c>
      <c r="Q209" s="73"/>
      <c r="R209" s="73">
        <v>0</v>
      </c>
      <c r="S209" s="75">
        <f t="shared" si="31"/>
        <v>0</v>
      </c>
      <c r="T209" s="77">
        <v>0</v>
      </c>
      <c r="U209" s="66">
        <v>40228</v>
      </c>
      <c r="V209" s="79"/>
      <c r="W209" s="66" t="s">
        <v>1585</v>
      </c>
      <c r="X209" s="24" t="s">
        <v>1586</v>
      </c>
      <c r="Y209" s="62"/>
      <c r="Z209" s="177" t="s">
        <v>894</v>
      </c>
      <c r="AA209" s="80"/>
      <c r="AB209" s="3"/>
      <c r="AC209" s="4"/>
      <c r="AD209" s="5"/>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6"/>
      <c r="CE209" s="7"/>
      <c r="CF209" s="6"/>
      <c r="CG209" s="7"/>
      <c r="CH209" s="6"/>
      <c r="CI209" s="7"/>
      <c r="CJ209" s="8">
        <f t="shared" si="29"/>
        <v>0</v>
      </c>
      <c r="CK209" s="9"/>
      <c r="CL209" s="10"/>
      <c r="CM209" s="11"/>
      <c r="CN209" s="12"/>
      <c r="CO209" s="28"/>
      <c r="CP209" s="12"/>
      <c r="CQ209" s="9"/>
      <c r="CR209" s="10"/>
      <c r="CS209" s="68"/>
      <c r="EC209" s="344" t="str">
        <f t="shared" si="30"/>
        <v>QUINDIO_ARMENIA</v>
      </c>
      <c r="ED209" s="341"/>
      <c r="EE209" s="341" t="s">
        <v>3114</v>
      </c>
      <c r="EF209" s="349" t="s">
        <v>3115</v>
      </c>
      <c r="EG209" s="341" t="s">
        <v>4322</v>
      </c>
      <c r="EH209" s="341" t="s">
        <v>4540</v>
      </c>
      <c r="EI209" s="341" t="str">
        <f t="shared" si="24"/>
        <v>Bolivar_Norosi</v>
      </c>
    </row>
    <row r="210" spans="1:139" ht="36">
      <c r="A210" s="228">
        <v>40227</v>
      </c>
      <c r="B210" s="102" t="s">
        <v>1609</v>
      </c>
      <c r="C210" s="102" t="s">
        <v>2372</v>
      </c>
      <c r="D210" s="206" t="s">
        <v>1752</v>
      </c>
      <c r="E210" s="320" t="s">
        <v>4051</v>
      </c>
      <c r="F210" s="320"/>
      <c r="G210" s="210"/>
      <c r="H210" s="71"/>
      <c r="I210" s="71"/>
      <c r="J210" s="71"/>
      <c r="K210" s="71"/>
      <c r="L210" s="1"/>
      <c r="M210" s="73">
        <f t="shared" si="25"/>
        <v>0</v>
      </c>
      <c r="N210" s="73">
        <f t="shared" si="26"/>
        <v>0</v>
      </c>
      <c r="O210" s="73">
        <f t="shared" si="27"/>
        <v>0</v>
      </c>
      <c r="P210" s="73">
        <f t="shared" si="28"/>
        <v>0</v>
      </c>
      <c r="Q210" s="73"/>
      <c r="R210" s="73">
        <v>0</v>
      </c>
      <c r="S210" s="75">
        <f t="shared" si="31"/>
        <v>0</v>
      </c>
      <c r="T210" s="77">
        <v>0</v>
      </c>
      <c r="U210" s="66">
        <v>40228</v>
      </c>
      <c r="V210" s="79"/>
      <c r="W210" s="66" t="s">
        <v>1585</v>
      </c>
      <c r="X210" s="24" t="s">
        <v>1586</v>
      </c>
      <c r="Y210" s="62"/>
      <c r="Z210" s="177" t="s">
        <v>894</v>
      </c>
      <c r="AA210" s="80" t="s">
        <v>2374</v>
      </c>
      <c r="AB210" s="3"/>
      <c r="AC210" s="4"/>
      <c r="AD210" s="5"/>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6"/>
      <c r="CE210" s="7"/>
      <c r="CF210" s="6"/>
      <c r="CG210" s="7"/>
      <c r="CH210" s="6"/>
      <c r="CI210" s="7"/>
      <c r="CJ210" s="8">
        <f t="shared" si="29"/>
        <v>0</v>
      </c>
      <c r="CK210" s="9"/>
      <c r="CL210" s="10"/>
      <c r="CM210" s="11"/>
      <c r="CN210" s="12"/>
      <c r="CO210" s="28"/>
      <c r="CP210" s="12"/>
      <c r="CQ210" s="9"/>
      <c r="CR210" s="10"/>
      <c r="CS210" s="68"/>
      <c r="EC210" s="344" t="str">
        <f t="shared" si="30"/>
        <v>RISARALDA_APIA</v>
      </c>
      <c r="ED210" s="341"/>
      <c r="EE210" s="341" t="s">
        <v>3114</v>
      </c>
      <c r="EF210" s="349" t="s">
        <v>3115</v>
      </c>
      <c r="EG210" s="341" t="s">
        <v>3399</v>
      </c>
      <c r="EH210" s="341" t="s">
        <v>4541</v>
      </c>
      <c r="EI210" s="341" t="str">
        <f t="shared" si="24"/>
        <v>Bolivar_Pinillos</v>
      </c>
    </row>
    <row r="211" spans="1:139" ht="36">
      <c r="A211" s="228">
        <v>40227</v>
      </c>
      <c r="B211" s="102" t="s">
        <v>1609</v>
      </c>
      <c r="C211" s="102" t="s">
        <v>2373</v>
      </c>
      <c r="D211" s="206" t="s">
        <v>1752</v>
      </c>
      <c r="E211" s="320" t="s">
        <v>4059</v>
      </c>
      <c r="F211" s="320"/>
      <c r="G211" s="210"/>
      <c r="H211" s="71"/>
      <c r="I211" s="71"/>
      <c r="J211" s="71"/>
      <c r="K211" s="71"/>
      <c r="L211" s="1"/>
      <c r="M211" s="73">
        <f t="shared" si="25"/>
        <v>0</v>
      </c>
      <c r="N211" s="73">
        <f t="shared" si="26"/>
        <v>0</v>
      </c>
      <c r="O211" s="73">
        <f t="shared" si="27"/>
        <v>0</v>
      </c>
      <c r="P211" s="73">
        <f t="shared" si="28"/>
        <v>0</v>
      </c>
      <c r="Q211" s="73"/>
      <c r="R211" s="73">
        <v>0</v>
      </c>
      <c r="S211" s="75">
        <f t="shared" si="31"/>
        <v>0</v>
      </c>
      <c r="T211" s="77">
        <v>0</v>
      </c>
      <c r="U211" s="66">
        <v>40228</v>
      </c>
      <c r="V211" s="79"/>
      <c r="W211" s="66" t="s">
        <v>1585</v>
      </c>
      <c r="X211" s="24" t="s">
        <v>1586</v>
      </c>
      <c r="Y211" s="62"/>
      <c r="Z211" s="177" t="s">
        <v>894</v>
      </c>
      <c r="AA211" s="80" t="s">
        <v>2374</v>
      </c>
      <c r="AB211" s="3"/>
      <c r="AC211" s="4"/>
      <c r="AD211" s="5"/>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6"/>
      <c r="CE211" s="7"/>
      <c r="CF211" s="6"/>
      <c r="CG211" s="7"/>
      <c r="CH211" s="6"/>
      <c r="CI211" s="7"/>
      <c r="CJ211" s="8">
        <f t="shared" si="29"/>
        <v>0</v>
      </c>
      <c r="CK211" s="9"/>
      <c r="CL211" s="10"/>
      <c r="CM211" s="11"/>
      <c r="CN211" s="12"/>
      <c r="CO211" s="28"/>
      <c r="CP211" s="12"/>
      <c r="CQ211" s="9"/>
      <c r="CR211" s="10"/>
      <c r="CS211" s="68"/>
      <c r="EC211" s="344" t="str">
        <f t="shared" si="30"/>
        <v>RISARALDA_MISTRATO</v>
      </c>
      <c r="ED211" s="341"/>
      <c r="EE211" s="341" t="s">
        <v>3114</v>
      </c>
      <c r="EF211" s="349" t="s">
        <v>3115</v>
      </c>
      <c r="EG211" s="341" t="s">
        <v>3400</v>
      </c>
      <c r="EH211" s="341" t="s">
        <v>4542</v>
      </c>
      <c r="EI211" s="341" t="str">
        <f t="shared" si="24"/>
        <v>Bolivar_Regidor</v>
      </c>
    </row>
    <row r="212" spans="1:139" ht="36">
      <c r="A212" s="228">
        <v>40228</v>
      </c>
      <c r="B212" s="102" t="s">
        <v>1314</v>
      </c>
      <c r="C212" s="102" t="s">
        <v>1385</v>
      </c>
      <c r="D212" s="206" t="s">
        <v>2606</v>
      </c>
      <c r="E212" s="320" t="s">
        <v>3607</v>
      </c>
      <c r="F212" s="320"/>
      <c r="G212" s="210"/>
      <c r="H212" s="71"/>
      <c r="I212" s="71"/>
      <c r="J212" s="71">
        <f>50*5</f>
        <v>250</v>
      </c>
      <c r="K212" s="71">
        <v>50</v>
      </c>
      <c r="L212" s="1"/>
      <c r="M212" s="73">
        <f t="shared" si="25"/>
        <v>0</v>
      </c>
      <c r="N212" s="73">
        <f t="shared" si="26"/>
        <v>0</v>
      </c>
      <c r="O212" s="73">
        <f t="shared" si="27"/>
        <v>0</v>
      </c>
      <c r="P212" s="73">
        <f t="shared" si="28"/>
        <v>0</v>
      </c>
      <c r="Q212" s="73"/>
      <c r="R212" s="73">
        <v>0</v>
      </c>
      <c r="S212" s="75">
        <f t="shared" si="31"/>
        <v>0</v>
      </c>
      <c r="T212" s="77">
        <v>0</v>
      </c>
      <c r="U212" s="66">
        <v>40273</v>
      </c>
      <c r="V212" s="79">
        <v>96318</v>
      </c>
      <c r="W212" s="66" t="s">
        <v>1585</v>
      </c>
      <c r="X212" s="24" t="s">
        <v>1586</v>
      </c>
      <c r="Y212" s="62"/>
      <c r="Z212" s="177" t="s">
        <v>894</v>
      </c>
      <c r="AA212" s="80" t="s">
        <v>1400</v>
      </c>
      <c r="AB212" s="3"/>
      <c r="AC212" s="4"/>
      <c r="AD212" s="5"/>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6"/>
      <c r="CE212" s="7"/>
      <c r="CF212" s="6"/>
      <c r="CG212" s="7"/>
      <c r="CH212" s="6"/>
      <c r="CI212" s="7"/>
      <c r="CJ212" s="8">
        <f t="shared" si="29"/>
        <v>0</v>
      </c>
      <c r="CK212" s="9"/>
      <c r="CL212" s="10"/>
      <c r="CM212" s="11"/>
      <c r="CN212" s="12"/>
      <c r="CO212" s="28"/>
      <c r="CP212" s="12"/>
      <c r="CQ212" s="9"/>
      <c r="CR212" s="10"/>
      <c r="CS212" s="68"/>
      <c r="EC212" s="344" t="str">
        <f t="shared" si="30"/>
        <v>CAUCA_MORALES</v>
      </c>
      <c r="ED212" s="341"/>
      <c r="EE212" s="341" t="s">
        <v>3114</v>
      </c>
      <c r="EF212" s="349" t="s">
        <v>3115</v>
      </c>
      <c r="EG212" s="341" t="s">
        <v>3401</v>
      </c>
      <c r="EH212" s="341" t="s">
        <v>4543</v>
      </c>
      <c r="EI212" s="341" t="str">
        <f t="shared" si="24"/>
        <v>Bolivar_Rio Viejo</v>
      </c>
    </row>
    <row r="213" spans="1:139" ht="48">
      <c r="A213" s="228">
        <v>40229</v>
      </c>
      <c r="B213" s="102" t="s">
        <v>2400</v>
      </c>
      <c r="C213" s="102" t="s">
        <v>1545</v>
      </c>
      <c r="D213" s="206" t="s">
        <v>2391</v>
      </c>
      <c r="E213" s="320" t="s">
        <v>4177</v>
      </c>
      <c r="F213" s="320"/>
      <c r="G213" s="210"/>
      <c r="H213" s="71"/>
      <c r="I213" s="71"/>
      <c r="J213" s="71"/>
      <c r="K213" s="71"/>
      <c r="L213" s="1"/>
      <c r="M213" s="73">
        <f t="shared" si="25"/>
        <v>0</v>
      </c>
      <c r="N213" s="73">
        <f t="shared" si="26"/>
        <v>0</v>
      </c>
      <c r="O213" s="73">
        <f t="shared" si="27"/>
        <v>0</v>
      </c>
      <c r="P213" s="73">
        <f t="shared" si="28"/>
        <v>0</v>
      </c>
      <c r="Q213" s="73"/>
      <c r="R213" s="73">
        <v>0</v>
      </c>
      <c r="S213" s="75">
        <f t="shared" si="31"/>
        <v>0</v>
      </c>
      <c r="T213" s="77">
        <v>0</v>
      </c>
      <c r="U213" s="66">
        <v>40231</v>
      </c>
      <c r="V213" s="79"/>
      <c r="W213" s="66" t="s">
        <v>1585</v>
      </c>
      <c r="X213" s="24" t="s">
        <v>1586</v>
      </c>
      <c r="Y213" s="62"/>
      <c r="Z213" s="177" t="s">
        <v>894</v>
      </c>
      <c r="AA213" s="80" t="s">
        <v>1336</v>
      </c>
      <c r="AB213" s="3"/>
      <c r="AC213" s="4"/>
      <c r="AD213" s="5"/>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6"/>
      <c r="CE213" s="7"/>
      <c r="CF213" s="6"/>
      <c r="CG213" s="7"/>
      <c r="CH213" s="6"/>
      <c r="CI213" s="7"/>
      <c r="CJ213" s="8">
        <f t="shared" si="29"/>
        <v>0</v>
      </c>
      <c r="CK213" s="9"/>
      <c r="CL213" s="10"/>
      <c r="CM213" s="11"/>
      <c r="CN213" s="12"/>
      <c r="CO213" s="28"/>
      <c r="CP213" s="12"/>
      <c r="CQ213" s="9"/>
      <c r="CR213" s="10"/>
      <c r="CS213" s="68"/>
      <c r="EC213" s="344" t="str">
        <f t="shared" si="30"/>
        <v>TOLIMA_IBAGUE</v>
      </c>
      <c r="ED213" s="341"/>
      <c r="EE213" s="341" t="s">
        <v>3114</v>
      </c>
      <c r="EF213" s="349" t="s">
        <v>3115</v>
      </c>
      <c r="EG213" s="341" t="s">
        <v>3402</v>
      </c>
      <c r="EH213" s="341" t="s">
        <v>4544</v>
      </c>
      <c r="EI213" s="341" t="str">
        <f t="shared" si="24"/>
        <v>Bolivar_San Cristobal</v>
      </c>
    </row>
    <row r="214" spans="1:139" ht="144">
      <c r="A214" s="228">
        <v>40231</v>
      </c>
      <c r="B214" s="102" t="s">
        <v>1996</v>
      </c>
      <c r="C214" s="102" t="s">
        <v>1081</v>
      </c>
      <c r="D214" s="206" t="s">
        <v>1902</v>
      </c>
      <c r="E214" s="320" t="s">
        <v>3818</v>
      </c>
      <c r="F214" s="320"/>
      <c r="G214" s="210"/>
      <c r="H214" s="71"/>
      <c r="I214" s="71"/>
      <c r="J214" s="71"/>
      <c r="K214" s="71"/>
      <c r="L214" s="1">
        <v>40262</v>
      </c>
      <c r="M214" s="73">
        <f t="shared" si="25"/>
        <v>0</v>
      </c>
      <c r="N214" s="73">
        <f t="shared" si="26"/>
        <v>0</v>
      </c>
      <c r="O214" s="73">
        <f t="shared" si="27"/>
        <v>0</v>
      </c>
      <c r="P214" s="73">
        <f t="shared" si="28"/>
        <v>0</v>
      </c>
      <c r="Q214" s="73"/>
      <c r="R214" s="73">
        <f>70000000+20006640</f>
        <v>90006640</v>
      </c>
      <c r="S214" s="75">
        <f t="shared" si="31"/>
        <v>90006640</v>
      </c>
      <c r="T214" s="77">
        <v>0</v>
      </c>
      <c r="U214" s="66">
        <v>40233</v>
      </c>
      <c r="V214" s="79">
        <v>95520</v>
      </c>
      <c r="W214" s="66" t="s">
        <v>1606</v>
      </c>
      <c r="X214" s="24" t="s">
        <v>1607</v>
      </c>
      <c r="Y214" s="83" t="s">
        <v>1163</v>
      </c>
      <c r="Z214" s="177" t="s">
        <v>2415</v>
      </c>
      <c r="AA214" s="261" t="s">
        <v>37</v>
      </c>
      <c r="AB214" s="3"/>
      <c r="AC214" s="4"/>
      <c r="AD214" s="5"/>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6"/>
      <c r="CE214" s="7"/>
      <c r="CF214" s="6"/>
      <c r="CG214" s="7"/>
      <c r="CH214" s="6"/>
      <c r="CI214" s="7"/>
      <c r="CJ214" s="8">
        <f t="shared" si="29"/>
        <v>0</v>
      </c>
      <c r="CK214" s="9"/>
      <c r="CL214" s="10"/>
      <c r="CM214" s="11"/>
      <c r="CN214" s="12"/>
      <c r="CO214" s="28"/>
      <c r="CP214" s="12"/>
      <c r="CQ214" s="9"/>
      <c r="CR214" s="10"/>
      <c r="CS214" s="84" t="s">
        <v>1164</v>
      </c>
      <c r="EC214" s="344" t="str">
        <f t="shared" si="30"/>
        <v>CHOCO_SAN JOSE DEL PALMAR</v>
      </c>
      <c r="ED214" s="341"/>
      <c r="EE214" s="341" t="s">
        <v>3114</v>
      </c>
      <c r="EF214" s="349" t="s">
        <v>3115</v>
      </c>
      <c r="EG214" s="341" t="s">
        <v>3403</v>
      </c>
      <c r="EH214" s="341" t="s">
        <v>4545</v>
      </c>
      <c r="EI214" s="341" t="str">
        <f t="shared" si="24"/>
        <v>Bolivar_San Estanislao</v>
      </c>
    </row>
    <row r="215" spans="1:139" ht="25.5">
      <c r="A215" s="228">
        <v>40232</v>
      </c>
      <c r="B215" s="102" t="s">
        <v>396</v>
      </c>
      <c r="C215" s="102" t="s">
        <v>1899</v>
      </c>
      <c r="D215" s="206" t="s">
        <v>2606</v>
      </c>
      <c r="E215" s="320" t="s">
        <v>3905</v>
      </c>
      <c r="F215" s="320"/>
      <c r="G215" s="210"/>
      <c r="H215" s="71"/>
      <c r="I215" s="71"/>
      <c r="J215" s="71">
        <v>40</v>
      </c>
      <c r="K215" s="71">
        <v>8</v>
      </c>
      <c r="L215" s="1"/>
      <c r="M215" s="73">
        <f t="shared" si="25"/>
        <v>0</v>
      </c>
      <c r="N215" s="73">
        <f t="shared" si="26"/>
        <v>0</v>
      </c>
      <c r="O215" s="73">
        <f t="shared" si="27"/>
        <v>0</v>
      </c>
      <c r="P215" s="73">
        <f t="shared" si="28"/>
        <v>0</v>
      </c>
      <c r="Q215" s="73"/>
      <c r="R215" s="73">
        <v>0</v>
      </c>
      <c r="S215" s="75">
        <f t="shared" si="31"/>
        <v>0</v>
      </c>
      <c r="T215" s="77">
        <v>0</v>
      </c>
      <c r="U215" s="66">
        <v>40233</v>
      </c>
      <c r="V215" s="79"/>
      <c r="W215" s="66" t="s">
        <v>1585</v>
      </c>
      <c r="X215" s="24" t="s">
        <v>1586</v>
      </c>
      <c r="Y215" s="62"/>
      <c r="Z215" s="177" t="s">
        <v>894</v>
      </c>
      <c r="AA215" s="80" t="s">
        <v>1900</v>
      </c>
      <c r="AB215" s="3"/>
      <c r="AC215" s="4"/>
      <c r="AD215" s="5"/>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6"/>
      <c r="CE215" s="7"/>
      <c r="CF215" s="6"/>
      <c r="CG215" s="7"/>
      <c r="CH215" s="6"/>
      <c r="CI215" s="7"/>
      <c r="CJ215" s="8">
        <f t="shared" si="29"/>
        <v>0</v>
      </c>
      <c r="CK215" s="9"/>
      <c r="CL215" s="10"/>
      <c r="CM215" s="11"/>
      <c r="CN215" s="12"/>
      <c r="CO215" s="28"/>
      <c r="CP215" s="12"/>
      <c r="CQ215" s="9"/>
      <c r="CR215" s="10"/>
      <c r="CS215" s="68"/>
      <c r="EC215" s="344" t="str">
        <f t="shared" si="30"/>
        <v>META_VILLAVICENCIO</v>
      </c>
      <c r="ED215" s="341"/>
      <c r="EE215" s="341" t="s">
        <v>3114</v>
      </c>
      <c r="EF215" s="349" t="s">
        <v>3115</v>
      </c>
      <c r="EG215" s="341" t="s">
        <v>3404</v>
      </c>
      <c r="EH215" s="341" t="s">
        <v>4546</v>
      </c>
      <c r="EI215" s="341" t="str">
        <f t="shared" si="24"/>
        <v>Bolivar_San Fernando</v>
      </c>
    </row>
    <row r="216" spans="1:139" ht="90">
      <c r="A216" s="228">
        <v>40232</v>
      </c>
      <c r="B216" s="102" t="s">
        <v>2400</v>
      </c>
      <c r="C216" s="102" t="s">
        <v>630</v>
      </c>
      <c r="D216" s="206" t="s">
        <v>2606</v>
      </c>
      <c r="E216" s="320" t="s">
        <v>4196</v>
      </c>
      <c r="F216" s="320"/>
      <c r="G216" s="210"/>
      <c r="H216" s="71"/>
      <c r="I216" s="71"/>
      <c r="J216" s="71">
        <f>180*5</f>
        <v>900</v>
      </c>
      <c r="K216" s="71">
        <v>180</v>
      </c>
      <c r="L216" s="1">
        <v>40252</v>
      </c>
      <c r="M216" s="73">
        <f t="shared" si="25"/>
        <v>13410000</v>
      </c>
      <c r="N216" s="73">
        <f t="shared" si="26"/>
        <v>15300000</v>
      </c>
      <c r="O216" s="73">
        <f t="shared" si="27"/>
        <v>5637600</v>
      </c>
      <c r="P216" s="73">
        <f t="shared" si="28"/>
        <v>0</v>
      </c>
      <c r="Q216" s="73"/>
      <c r="R216" s="73">
        <v>0</v>
      </c>
      <c r="S216" s="75">
        <f t="shared" si="31"/>
        <v>34347600</v>
      </c>
      <c r="T216" s="77">
        <v>0</v>
      </c>
      <c r="U216" s="66">
        <v>40233</v>
      </c>
      <c r="V216" s="79">
        <v>95632</v>
      </c>
      <c r="W216" s="66" t="s">
        <v>1606</v>
      </c>
      <c r="X216" s="24" t="s">
        <v>1607</v>
      </c>
      <c r="Y216" s="83" t="s">
        <v>2719</v>
      </c>
      <c r="Z216" s="177" t="s">
        <v>629</v>
      </c>
      <c r="AA216" s="80" t="s">
        <v>1700</v>
      </c>
      <c r="AB216" s="3"/>
      <c r="AC216" s="4"/>
      <c r="AD216" s="5"/>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6">
        <v>180</v>
      </c>
      <c r="CE216" s="7">
        <f>180*38500</f>
        <v>6930000</v>
      </c>
      <c r="CF216" s="6">
        <v>180</v>
      </c>
      <c r="CG216" s="7">
        <f>180*36000</f>
        <v>6480000</v>
      </c>
      <c r="CH216" s="6"/>
      <c r="CI216" s="7"/>
      <c r="CJ216" s="8">
        <f t="shared" si="29"/>
        <v>13410000</v>
      </c>
      <c r="CK216" s="9"/>
      <c r="CL216" s="10"/>
      <c r="CM216" s="11">
        <v>180</v>
      </c>
      <c r="CN216" s="12">
        <f>180*85000</f>
        <v>15300000</v>
      </c>
      <c r="CO216" s="28"/>
      <c r="CP216" s="12"/>
      <c r="CQ216" s="9">
        <v>300</v>
      </c>
      <c r="CR216" s="10">
        <f>300*18792</f>
        <v>5637600</v>
      </c>
      <c r="CS216" s="84"/>
      <c r="EC216" s="344" t="str">
        <f t="shared" si="30"/>
        <v>TOLIMA_GUAMO</v>
      </c>
      <c r="ED216" s="341"/>
      <c r="EE216" s="341" t="s">
        <v>3114</v>
      </c>
      <c r="EF216" s="349" t="s">
        <v>3115</v>
      </c>
      <c r="EG216" s="341" t="s">
        <v>3405</v>
      </c>
      <c r="EH216" s="341" t="s">
        <v>4547</v>
      </c>
      <c r="EI216" s="341" t="str">
        <f t="shared" si="24"/>
        <v>Bolivar_San Jacinto</v>
      </c>
    </row>
    <row r="217" spans="1:139" ht="96">
      <c r="A217" s="228">
        <v>40232</v>
      </c>
      <c r="B217" s="102" t="s">
        <v>2400</v>
      </c>
      <c r="C217" s="102" t="s">
        <v>1232</v>
      </c>
      <c r="D217" s="206" t="s">
        <v>2606</v>
      </c>
      <c r="E217" s="320" t="s">
        <v>4220</v>
      </c>
      <c r="F217" s="320"/>
      <c r="G217" s="210"/>
      <c r="H217" s="71"/>
      <c r="I217" s="71"/>
      <c r="J217" s="71">
        <f>200*5</f>
        <v>1000</v>
      </c>
      <c r="K217" s="71">
        <v>200</v>
      </c>
      <c r="L217" s="1">
        <v>40252</v>
      </c>
      <c r="M217" s="73">
        <f t="shared" si="25"/>
        <v>14900000</v>
      </c>
      <c r="N217" s="73">
        <f t="shared" si="26"/>
        <v>17000000</v>
      </c>
      <c r="O217" s="73">
        <f t="shared" si="27"/>
        <v>15033600</v>
      </c>
      <c r="P217" s="73">
        <f t="shared" si="28"/>
        <v>0</v>
      </c>
      <c r="Q217" s="73"/>
      <c r="R217" s="73">
        <v>0</v>
      </c>
      <c r="S217" s="75">
        <f t="shared" si="31"/>
        <v>46933600</v>
      </c>
      <c r="T217" s="77">
        <v>0</v>
      </c>
      <c r="U217" s="66">
        <v>40233</v>
      </c>
      <c r="V217" s="79">
        <v>95632</v>
      </c>
      <c r="W217" s="66" t="s">
        <v>1606</v>
      </c>
      <c r="X217" s="24" t="s">
        <v>1607</v>
      </c>
      <c r="Y217" s="83" t="s">
        <v>2719</v>
      </c>
      <c r="Z217" s="177" t="s">
        <v>629</v>
      </c>
      <c r="AA217" s="80" t="s">
        <v>1742</v>
      </c>
      <c r="AB217" s="3"/>
      <c r="AC217" s="4"/>
      <c r="AD217" s="5"/>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6">
        <v>200</v>
      </c>
      <c r="CE217" s="7">
        <f>200*38500</f>
        <v>7700000</v>
      </c>
      <c r="CF217" s="6">
        <v>200</v>
      </c>
      <c r="CG217" s="7">
        <f>200*36000</f>
        <v>7200000</v>
      </c>
      <c r="CH217" s="6"/>
      <c r="CI217" s="7"/>
      <c r="CJ217" s="8">
        <f t="shared" si="29"/>
        <v>14900000</v>
      </c>
      <c r="CK217" s="9"/>
      <c r="CL217" s="10"/>
      <c r="CM217" s="11">
        <v>200</v>
      </c>
      <c r="CN217" s="12">
        <f>200*85000</f>
        <v>17000000</v>
      </c>
      <c r="CO217" s="28"/>
      <c r="CP217" s="12"/>
      <c r="CQ217" s="9">
        <v>800</v>
      </c>
      <c r="CR217" s="10">
        <f>800*18792</f>
        <v>15033600</v>
      </c>
      <c r="CS217" s="84"/>
      <c r="EC217" s="344" t="str">
        <f t="shared" si="30"/>
        <v>TOLIMA_VALLE DE SAN JUAN</v>
      </c>
      <c r="ED217" s="341"/>
      <c r="EE217" s="341" t="s">
        <v>3114</v>
      </c>
      <c r="EF217" s="349" t="s">
        <v>3115</v>
      </c>
      <c r="EG217" s="341" t="s">
        <v>3406</v>
      </c>
      <c r="EH217" s="341" t="s">
        <v>4548</v>
      </c>
      <c r="EI217" s="341" t="str">
        <f t="shared" si="24"/>
        <v>Bolivar_San Jacinto del Cauca</v>
      </c>
    </row>
    <row r="218" spans="1:139" ht="90">
      <c r="A218" s="228">
        <v>40232</v>
      </c>
      <c r="B218" s="102" t="s">
        <v>2400</v>
      </c>
      <c r="C218" s="102" t="s">
        <v>27</v>
      </c>
      <c r="D218" s="206" t="s">
        <v>2606</v>
      </c>
      <c r="E218" s="320" t="s">
        <v>4222</v>
      </c>
      <c r="F218" s="320"/>
      <c r="G218" s="210"/>
      <c r="H218" s="71"/>
      <c r="I218" s="71"/>
      <c r="J218" s="71">
        <f>40*5</f>
        <v>200</v>
      </c>
      <c r="K218" s="71">
        <v>40</v>
      </c>
      <c r="L218" s="1">
        <v>40252</v>
      </c>
      <c r="M218" s="73">
        <f t="shared" si="25"/>
        <v>2980000</v>
      </c>
      <c r="N218" s="73">
        <f t="shared" si="26"/>
        <v>3400000</v>
      </c>
      <c r="O218" s="73">
        <f t="shared" si="27"/>
        <v>3758400</v>
      </c>
      <c r="P218" s="73">
        <f t="shared" si="28"/>
        <v>0</v>
      </c>
      <c r="Q218" s="73"/>
      <c r="R218" s="73">
        <v>0</v>
      </c>
      <c r="S218" s="75">
        <f t="shared" si="31"/>
        <v>10138400</v>
      </c>
      <c r="T218" s="77">
        <v>0</v>
      </c>
      <c r="U218" s="66">
        <v>40233</v>
      </c>
      <c r="V218" s="79">
        <v>95632</v>
      </c>
      <c r="W218" s="66" t="s">
        <v>1606</v>
      </c>
      <c r="X218" s="24" t="s">
        <v>1607</v>
      </c>
      <c r="Y218" s="83" t="s">
        <v>2719</v>
      </c>
      <c r="Z218" s="177" t="s">
        <v>629</v>
      </c>
      <c r="AA218" s="80" t="s">
        <v>2795</v>
      </c>
      <c r="AB218" s="3"/>
      <c r="AC218" s="4"/>
      <c r="AD218" s="5"/>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6">
        <v>40</v>
      </c>
      <c r="CE218" s="7">
        <f>40*38500</f>
        <v>1540000</v>
      </c>
      <c r="CF218" s="6">
        <v>40</v>
      </c>
      <c r="CG218" s="7">
        <f>40*36000</f>
        <v>1440000</v>
      </c>
      <c r="CH218" s="6"/>
      <c r="CI218" s="7"/>
      <c r="CJ218" s="8">
        <f t="shared" si="29"/>
        <v>2980000</v>
      </c>
      <c r="CK218" s="9"/>
      <c r="CL218" s="10"/>
      <c r="CM218" s="11">
        <v>40</v>
      </c>
      <c r="CN218" s="12">
        <f>40*85000</f>
        <v>3400000</v>
      </c>
      <c r="CO218" s="28"/>
      <c r="CP218" s="12"/>
      <c r="CQ218" s="9">
        <v>200</v>
      </c>
      <c r="CR218" s="10">
        <f>200*18792</f>
        <v>3758400</v>
      </c>
      <c r="CS218" s="84"/>
      <c r="EC218" s="344" t="str">
        <f t="shared" si="30"/>
        <v>TOLIMA_VILLAHERMOSA</v>
      </c>
      <c r="ED218" s="341"/>
      <c r="EE218" s="341" t="s">
        <v>3114</v>
      </c>
      <c r="EF218" s="349" t="s">
        <v>3115</v>
      </c>
      <c r="EG218" s="341" t="s">
        <v>3407</v>
      </c>
      <c r="EH218" s="341" t="s">
        <v>4549</v>
      </c>
      <c r="EI218" s="341" t="str">
        <f t="shared" si="24"/>
        <v>Bolivar_San Juan Nepomuceno</v>
      </c>
    </row>
    <row r="219" spans="1:139" ht="72">
      <c r="A219" s="228">
        <v>40233</v>
      </c>
      <c r="B219" s="102" t="s">
        <v>1192</v>
      </c>
      <c r="C219" s="102" t="s">
        <v>3121</v>
      </c>
      <c r="D219" s="206" t="s">
        <v>1752</v>
      </c>
      <c r="E219" s="320" t="s">
        <v>3442</v>
      </c>
      <c r="F219" s="320"/>
      <c r="G219" s="210"/>
      <c r="H219" s="71"/>
      <c r="I219" s="71"/>
      <c r="J219" s="71"/>
      <c r="K219" s="71"/>
      <c r="L219" s="1"/>
      <c r="M219" s="73">
        <f t="shared" si="25"/>
        <v>0</v>
      </c>
      <c r="N219" s="73">
        <f t="shared" si="26"/>
        <v>0</v>
      </c>
      <c r="O219" s="73">
        <f t="shared" si="27"/>
        <v>0</v>
      </c>
      <c r="P219" s="73">
        <f t="shared" si="28"/>
        <v>0</v>
      </c>
      <c r="Q219" s="73"/>
      <c r="R219" s="73">
        <v>0</v>
      </c>
      <c r="S219" s="75">
        <f t="shared" si="31"/>
        <v>0</v>
      </c>
      <c r="T219" s="77">
        <v>0</v>
      </c>
      <c r="U219" s="66">
        <v>40233</v>
      </c>
      <c r="V219" s="79"/>
      <c r="W219" s="66" t="s">
        <v>1585</v>
      </c>
      <c r="X219" s="24" t="s">
        <v>1586</v>
      </c>
      <c r="Y219" s="62"/>
      <c r="Z219" s="177" t="s">
        <v>894</v>
      </c>
      <c r="AA219" s="80" t="s">
        <v>2587</v>
      </c>
      <c r="AB219" s="3"/>
      <c r="AC219" s="4"/>
      <c r="AD219" s="5"/>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6"/>
      <c r="CE219" s="7"/>
      <c r="CF219" s="6"/>
      <c r="CG219" s="7"/>
      <c r="CH219" s="6"/>
      <c r="CI219" s="7"/>
      <c r="CJ219" s="8">
        <f t="shared" si="29"/>
        <v>0</v>
      </c>
      <c r="CK219" s="9"/>
      <c r="CL219" s="10"/>
      <c r="CM219" s="11"/>
      <c r="CN219" s="12"/>
      <c r="CO219" s="28"/>
      <c r="CP219" s="12"/>
      <c r="CQ219" s="9"/>
      <c r="CR219" s="10"/>
      <c r="CS219" s="68"/>
      <c r="EC219" s="344" t="str">
        <f t="shared" si="30"/>
        <v>BOYACA_CIENEGA</v>
      </c>
      <c r="ED219" s="341"/>
      <c r="EE219" s="341" t="s">
        <v>3114</v>
      </c>
      <c r="EF219" s="349" t="s">
        <v>3115</v>
      </c>
      <c r="EG219" s="341" t="s">
        <v>3408</v>
      </c>
      <c r="EH219" s="341" t="s">
        <v>4550</v>
      </c>
      <c r="EI219" s="341" t="str">
        <f t="shared" si="24"/>
        <v>Bolivar_San Martin de Loba</v>
      </c>
    </row>
    <row r="220" spans="1:139" ht="51">
      <c r="A220" s="228">
        <v>40233</v>
      </c>
      <c r="B220" s="102" t="s">
        <v>1192</v>
      </c>
      <c r="C220" s="102" t="s">
        <v>1238</v>
      </c>
      <c r="D220" s="206" t="s">
        <v>1752</v>
      </c>
      <c r="E220" s="320" t="s">
        <v>3510</v>
      </c>
      <c r="F220" s="320"/>
      <c r="G220" s="210"/>
      <c r="H220" s="71"/>
      <c r="I220" s="71"/>
      <c r="J220" s="71"/>
      <c r="K220" s="71"/>
      <c r="L220" s="1"/>
      <c r="M220" s="73">
        <f t="shared" si="25"/>
        <v>0</v>
      </c>
      <c r="N220" s="73">
        <f t="shared" si="26"/>
        <v>0</v>
      </c>
      <c r="O220" s="73">
        <f t="shared" si="27"/>
        <v>0</v>
      </c>
      <c r="P220" s="73">
        <f t="shared" si="28"/>
        <v>0</v>
      </c>
      <c r="Q220" s="73"/>
      <c r="R220" s="73">
        <v>0</v>
      </c>
      <c r="S220" s="75">
        <f t="shared" si="31"/>
        <v>0</v>
      </c>
      <c r="T220" s="77">
        <v>0</v>
      </c>
      <c r="U220" s="66">
        <v>40233</v>
      </c>
      <c r="V220" s="79"/>
      <c r="W220" s="66" t="s">
        <v>1585</v>
      </c>
      <c r="X220" s="24" t="s">
        <v>1586</v>
      </c>
      <c r="Y220" s="62"/>
      <c r="Z220" s="177" t="s">
        <v>894</v>
      </c>
      <c r="AA220" s="80" t="s">
        <v>1239</v>
      </c>
      <c r="AB220" s="3"/>
      <c r="AC220" s="4"/>
      <c r="AD220" s="5"/>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6"/>
      <c r="CE220" s="7"/>
      <c r="CF220" s="6"/>
      <c r="CG220" s="7"/>
      <c r="CH220" s="6"/>
      <c r="CI220" s="7"/>
      <c r="CJ220" s="8">
        <f t="shared" si="29"/>
        <v>0</v>
      </c>
      <c r="CK220" s="9"/>
      <c r="CL220" s="10"/>
      <c r="CM220" s="11"/>
      <c r="CN220" s="12"/>
      <c r="CO220" s="28"/>
      <c r="CP220" s="12"/>
      <c r="CQ220" s="9"/>
      <c r="CR220" s="10"/>
      <c r="CS220" s="68"/>
      <c r="EC220" s="344" t="str">
        <f t="shared" si="30"/>
        <v>BOYACA_SANTA ROSA DE VITERBO</v>
      </c>
      <c r="ED220" s="341"/>
      <c r="EE220" s="341" t="s">
        <v>3114</v>
      </c>
      <c r="EF220" s="349" t="s">
        <v>3115</v>
      </c>
      <c r="EG220" s="341" t="s">
        <v>3409</v>
      </c>
      <c r="EH220" s="341" t="s">
        <v>4551</v>
      </c>
      <c r="EI220" s="341" t="str">
        <f t="shared" si="24"/>
        <v>Bolivar_San Pablo</v>
      </c>
    </row>
    <row r="221" spans="1:139" ht="36">
      <c r="A221" s="228">
        <v>40233</v>
      </c>
      <c r="B221" s="102" t="s">
        <v>1192</v>
      </c>
      <c r="C221" s="102" t="s">
        <v>1233</v>
      </c>
      <c r="D221" s="206" t="s">
        <v>1752</v>
      </c>
      <c r="E221" s="320" t="s">
        <v>3520</v>
      </c>
      <c r="F221" s="320"/>
      <c r="G221" s="210"/>
      <c r="H221" s="71"/>
      <c r="I221" s="71"/>
      <c r="J221" s="71"/>
      <c r="K221" s="71"/>
      <c r="L221" s="1"/>
      <c r="M221" s="73">
        <f t="shared" si="25"/>
        <v>0</v>
      </c>
      <c r="N221" s="73">
        <f t="shared" si="26"/>
        <v>0</v>
      </c>
      <c r="O221" s="73">
        <f t="shared" si="27"/>
        <v>0</v>
      </c>
      <c r="P221" s="73">
        <f t="shared" si="28"/>
        <v>0</v>
      </c>
      <c r="Q221" s="73"/>
      <c r="R221" s="73">
        <v>0</v>
      </c>
      <c r="S221" s="75">
        <f t="shared" si="31"/>
        <v>0</v>
      </c>
      <c r="T221" s="77">
        <v>0</v>
      </c>
      <c r="U221" s="66">
        <v>40233</v>
      </c>
      <c r="V221" s="79"/>
      <c r="W221" s="66" t="s">
        <v>1585</v>
      </c>
      <c r="X221" s="24" t="s">
        <v>1586</v>
      </c>
      <c r="Y221" s="62"/>
      <c r="Z221" s="177" t="s">
        <v>894</v>
      </c>
      <c r="AA221" s="80" t="s">
        <v>1237</v>
      </c>
      <c r="AB221" s="3"/>
      <c r="AC221" s="4"/>
      <c r="AD221" s="5"/>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6"/>
      <c r="CE221" s="7"/>
      <c r="CF221" s="6"/>
      <c r="CG221" s="7"/>
      <c r="CH221" s="6"/>
      <c r="CI221" s="7"/>
      <c r="CJ221" s="8">
        <f t="shared" si="29"/>
        <v>0</v>
      </c>
      <c r="CK221" s="9"/>
      <c r="CL221" s="10"/>
      <c r="CM221" s="11"/>
      <c r="CN221" s="12"/>
      <c r="CO221" s="28"/>
      <c r="CP221" s="12"/>
      <c r="CQ221" s="9"/>
      <c r="CR221" s="10"/>
      <c r="CS221" s="68"/>
      <c r="EC221" s="344" t="str">
        <f t="shared" si="30"/>
        <v>BOYACA_SORA</v>
      </c>
      <c r="ED221" s="341"/>
      <c r="EE221" s="341" t="s">
        <v>3114</v>
      </c>
      <c r="EF221" s="349" t="s">
        <v>3115</v>
      </c>
      <c r="EG221" s="341" t="s">
        <v>3410</v>
      </c>
      <c r="EH221" s="341" t="s">
        <v>4552</v>
      </c>
      <c r="EI221" s="341" t="str">
        <f t="shared" si="24"/>
        <v>Bolivar_Santa Catalina</v>
      </c>
    </row>
    <row r="222" spans="1:139" ht="25.5">
      <c r="A222" s="228">
        <v>40233</v>
      </c>
      <c r="B222" s="102" t="s">
        <v>1314</v>
      </c>
      <c r="C222" s="102" t="s">
        <v>1234</v>
      </c>
      <c r="D222" s="206" t="s">
        <v>1752</v>
      </c>
      <c r="E222" s="320" t="s">
        <v>3614</v>
      </c>
      <c r="F222" s="320"/>
      <c r="G222" s="210"/>
      <c r="H222" s="71"/>
      <c r="I222" s="71"/>
      <c r="J222" s="71"/>
      <c r="K222" s="71"/>
      <c r="L222" s="1"/>
      <c r="M222" s="73">
        <f t="shared" si="25"/>
        <v>0</v>
      </c>
      <c r="N222" s="73">
        <f t="shared" si="26"/>
        <v>0</v>
      </c>
      <c r="O222" s="73">
        <f t="shared" si="27"/>
        <v>0</v>
      </c>
      <c r="P222" s="73">
        <f t="shared" si="28"/>
        <v>0</v>
      </c>
      <c r="Q222" s="73"/>
      <c r="R222" s="73">
        <v>0</v>
      </c>
      <c r="S222" s="75">
        <f t="shared" si="31"/>
        <v>0</v>
      </c>
      <c r="T222" s="77">
        <v>0</v>
      </c>
      <c r="U222" s="66">
        <v>40233</v>
      </c>
      <c r="V222" s="79"/>
      <c r="W222" s="66" t="s">
        <v>1585</v>
      </c>
      <c r="X222" s="24" t="s">
        <v>1586</v>
      </c>
      <c r="Y222" s="62"/>
      <c r="Z222" s="177" t="s">
        <v>894</v>
      </c>
      <c r="AA222" s="80" t="s">
        <v>1240</v>
      </c>
      <c r="AB222" s="3"/>
      <c r="AC222" s="4"/>
      <c r="AD222" s="5"/>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6"/>
      <c r="CE222" s="7"/>
      <c r="CF222" s="6"/>
      <c r="CG222" s="7"/>
      <c r="CH222" s="6"/>
      <c r="CI222" s="7"/>
      <c r="CJ222" s="8">
        <f t="shared" si="29"/>
        <v>0</v>
      </c>
      <c r="CK222" s="9"/>
      <c r="CL222" s="10"/>
      <c r="CM222" s="11"/>
      <c r="CN222" s="12"/>
      <c r="CO222" s="28"/>
      <c r="CP222" s="12"/>
      <c r="CQ222" s="9"/>
      <c r="CR222" s="10"/>
      <c r="CS222" s="68"/>
      <c r="EC222" s="344" t="str">
        <f t="shared" si="30"/>
        <v>CAUCA_PURACE</v>
      </c>
      <c r="ED222" s="341"/>
      <c r="EE222" s="341" t="s">
        <v>3114</v>
      </c>
      <c r="EF222" s="349" t="s">
        <v>3115</v>
      </c>
      <c r="EG222" s="341" t="s">
        <v>3411</v>
      </c>
      <c r="EH222" s="341" t="s">
        <v>4553</v>
      </c>
      <c r="EI222" s="341" t="str">
        <f t="shared" si="24"/>
        <v>Bolivar_Santa Rosa</v>
      </c>
    </row>
    <row r="223" spans="1:139" ht="132">
      <c r="A223" s="228">
        <v>40233</v>
      </c>
      <c r="B223" s="102" t="s">
        <v>1996</v>
      </c>
      <c r="C223" s="102" t="s">
        <v>1901</v>
      </c>
      <c r="D223" s="206" t="s">
        <v>1201</v>
      </c>
      <c r="E223" s="320" t="s">
        <v>3810</v>
      </c>
      <c r="F223" s="320"/>
      <c r="G223" s="210"/>
      <c r="H223" s="71">
        <v>1</v>
      </c>
      <c r="I223" s="71"/>
      <c r="J223" s="71">
        <v>2293</v>
      </c>
      <c r="K223" s="71">
        <v>461</v>
      </c>
      <c r="L223" s="1">
        <v>40275</v>
      </c>
      <c r="M223" s="73">
        <f t="shared" si="25"/>
        <v>37650000</v>
      </c>
      <c r="N223" s="73">
        <f t="shared" si="26"/>
        <v>43500000</v>
      </c>
      <c r="O223" s="73">
        <f t="shared" si="27"/>
        <v>0</v>
      </c>
      <c r="P223" s="73">
        <f t="shared" si="28"/>
        <v>0</v>
      </c>
      <c r="Q223" s="73"/>
      <c r="R223" s="73">
        <v>50000000</v>
      </c>
      <c r="S223" s="75">
        <f t="shared" si="31"/>
        <v>131150000</v>
      </c>
      <c r="T223" s="77">
        <v>0</v>
      </c>
      <c r="U223" s="66">
        <v>40234</v>
      </c>
      <c r="V223" s="79">
        <v>95577</v>
      </c>
      <c r="W223" s="66" t="s">
        <v>1606</v>
      </c>
      <c r="X223" s="24" t="s">
        <v>1607</v>
      </c>
      <c r="Y223" s="83" t="s">
        <v>2301</v>
      </c>
      <c r="Z223" s="177" t="s">
        <v>1080</v>
      </c>
      <c r="AA223" s="80" t="s">
        <v>581</v>
      </c>
      <c r="AB223" s="3"/>
      <c r="AC223" s="4"/>
      <c r="AD223" s="5"/>
      <c r="AE223" s="4"/>
      <c r="AF223" s="4"/>
      <c r="AG223" s="4"/>
      <c r="AH223" s="4"/>
      <c r="AI223" s="4"/>
      <c r="AJ223" s="4"/>
      <c r="AK223" s="4"/>
      <c r="AL223" s="4"/>
      <c r="AM223" s="4"/>
      <c r="AN223" s="4">
        <v>300</v>
      </c>
      <c r="AO223" s="4">
        <f>300*58000</f>
        <v>17400000</v>
      </c>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6">
        <v>500</v>
      </c>
      <c r="CE223" s="7">
        <f>500*40500</f>
        <v>20250000</v>
      </c>
      <c r="CF223" s="6"/>
      <c r="CG223" s="7"/>
      <c r="CH223" s="6"/>
      <c r="CI223" s="7"/>
      <c r="CJ223" s="8">
        <f t="shared" si="29"/>
        <v>37650000</v>
      </c>
      <c r="CK223" s="9"/>
      <c r="CL223" s="10"/>
      <c r="CM223" s="11">
        <v>500</v>
      </c>
      <c r="CN223" s="12">
        <f>500*87000</f>
        <v>43500000</v>
      </c>
      <c r="CO223" s="28"/>
      <c r="CP223" s="12"/>
      <c r="CQ223" s="9"/>
      <c r="CR223" s="10"/>
      <c r="CS223" s="84">
        <v>2</v>
      </c>
      <c r="EC223" s="344" t="str">
        <f t="shared" si="30"/>
        <v>CHOCO_MEDIO ATRATO</v>
      </c>
      <c r="ED223" s="341"/>
      <c r="EE223" s="341" t="s">
        <v>3114</v>
      </c>
      <c r="EF223" s="349" t="s">
        <v>3115</v>
      </c>
      <c r="EG223" s="341" t="s">
        <v>3412</v>
      </c>
      <c r="EH223" s="341" t="s">
        <v>4554</v>
      </c>
      <c r="EI223" s="341" t="str">
        <f t="shared" si="24"/>
        <v>Bolivar_Santa Rosa del Sur</v>
      </c>
    </row>
    <row r="224" spans="1:139" ht="78.75">
      <c r="A224" s="228">
        <v>40233</v>
      </c>
      <c r="B224" s="102" t="s">
        <v>1604</v>
      </c>
      <c r="C224" s="102" t="s">
        <v>628</v>
      </c>
      <c r="D224" s="206" t="s">
        <v>2606</v>
      </c>
      <c r="E224" s="320" t="s">
        <v>3691</v>
      </c>
      <c r="F224" s="320"/>
      <c r="G224" s="210"/>
      <c r="H224" s="71"/>
      <c r="I224" s="71"/>
      <c r="J224" s="71">
        <v>100</v>
      </c>
      <c r="K224" s="71">
        <v>12</v>
      </c>
      <c r="L224" s="1">
        <v>40261</v>
      </c>
      <c r="M224" s="73">
        <f t="shared" si="25"/>
        <v>0</v>
      </c>
      <c r="N224" s="73">
        <f t="shared" si="26"/>
        <v>0</v>
      </c>
      <c r="O224" s="73">
        <f t="shared" si="27"/>
        <v>1879200</v>
      </c>
      <c r="P224" s="73">
        <f t="shared" si="28"/>
        <v>0</v>
      </c>
      <c r="Q224" s="73"/>
      <c r="R224" s="73">
        <v>0</v>
      </c>
      <c r="S224" s="75">
        <f t="shared" si="31"/>
        <v>1879200</v>
      </c>
      <c r="T224" s="77">
        <v>0</v>
      </c>
      <c r="U224" s="66">
        <v>40240</v>
      </c>
      <c r="V224" s="79">
        <v>95675</v>
      </c>
      <c r="W224" s="66" t="s">
        <v>1606</v>
      </c>
      <c r="X224" s="24" t="s">
        <v>1607</v>
      </c>
      <c r="Y224" s="62">
        <v>50</v>
      </c>
      <c r="Z224" s="196" t="s">
        <v>627</v>
      </c>
      <c r="AA224" s="80" t="s">
        <v>304</v>
      </c>
      <c r="AB224" s="3"/>
      <c r="AC224" s="4"/>
      <c r="AD224" s="5"/>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6"/>
      <c r="CE224" s="7"/>
      <c r="CF224" s="6"/>
      <c r="CG224" s="7"/>
      <c r="CH224" s="6"/>
      <c r="CI224" s="7"/>
      <c r="CJ224" s="8">
        <f t="shared" si="29"/>
        <v>0</v>
      </c>
      <c r="CK224" s="9"/>
      <c r="CL224" s="10"/>
      <c r="CM224" s="11"/>
      <c r="CN224" s="12"/>
      <c r="CO224" s="28"/>
      <c r="CP224" s="12"/>
      <c r="CQ224" s="9">
        <v>100</v>
      </c>
      <c r="CR224" s="10">
        <f>100*18792</f>
        <v>1879200</v>
      </c>
      <c r="CS224" s="68"/>
      <c r="EC224" s="344" t="str">
        <f t="shared" si="30"/>
        <v>CUNDINAMARCA_CAPARRAPI</v>
      </c>
      <c r="ED224" s="341"/>
      <c r="EE224" s="341" t="s">
        <v>3114</v>
      </c>
      <c r="EF224" s="349" t="s">
        <v>3115</v>
      </c>
      <c r="EG224" s="341" t="s">
        <v>3413</v>
      </c>
      <c r="EH224" s="341" t="s">
        <v>4555</v>
      </c>
      <c r="EI224" s="341" t="str">
        <f t="shared" si="24"/>
        <v>Bolivar_Simiti</v>
      </c>
    </row>
    <row r="225" spans="1:139" ht="78.75">
      <c r="A225" s="228">
        <v>40233</v>
      </c>
      <c r="B225" s="102" t="s">
        <v>1604</v>
      </c>
      <c r="C225" s="102" t="s">
        <v>739</v>
      </c>
      <c r="D225" s="206" t="s">
        <v>2606</v>
      </c>
      <c r="E225" s="320" t="s">
        <v>3716</v>
      </c>
      <c r="F225" s="320"/>
      <c r="G225" s="210"/>
      <c r="H225" s="71"/>
      <c r="I225" s="71"/>
      <c r="J225" s="71">
        <f>11*5</f>
        <v>55</v>
      </c>
      <c r="K225" s="71">
        <v>11</v>
      </c>
      <c r="L225" s="1">
        <v>40261</v>
      </c>
      <c r="M225" s="73">
        <f t="shared" si="25"/>
        <v>0</v>
      </c>
      <c r="N225" s="73">
        <f t="shared" si="26"/>
        <v>0</v>
      </c>
      <c r="O225" s="73">
        <f t="shared" si="27"/>
        <v>1879200</v>
      </c>
      <c r="P225" s="73">
        <f t="shared" si="28"/>
        <v>0</v>
      </c>
      <c r="Q225" s="73"/>
      <c r="R225" s="73">
        <v>0</v>
      </c>
      <c r="S225" s="75">
        <f t="shared" si="31"/>
        <v>1879200</v>
      </c>
      <c r="T225" s="77">
        <v>0</v>
      </c>
      <c r="U225" s="66">
        <v>40240</v>
      </c>
      <c r="V225" s="79">
        <v>95675</v>
      </c>
      <c r="W225" s="66" t="s">
        <v>1606</v>
      </c>
      <c r="X225" s="24" t="s">
        <v>1607</v>
      </c>
      <c r="Y225" s="62">
        <v>50</v>
      </c>
      <c r="Z225" s="177" t="s">
        <v>627</v>
      </c>
      <c r="AA225" s="80" t="s">
        <v>303</v>
      </c>
      <c r="AB225" s="3"/>
      <c r="AC225" s="4"/>
      <c r="AD225" s="5"/>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6"/>
      <c r="CE225" s="7"/>
      <c r="CF225" s="6"/>
      <c r="CG225" s="7"/>
      <c r="CH225" s="6"/>
      <c r="CI225" s="7"/>
      <c r="CJ225" s="8">
        <f t="shared" si="29"/>
        <v>0</v>
      </c>
      <c r="CK225" s="9"/>
      <c r="CL225" s="10"/>
      <c r="CM225" s="11"/>
      <c r="CN225" s="12"/>
      <c r="CO225" s="28"/>
      <c r="CP225" s="12"/>
      <c r="CQ225" s="9">
        <v>100</v>
      </c>
      <c r="CR225" s="10">
        <f>100*18792</f>
        <v>1879200</v>
      </c>
      <c r="CS225" s="68"/>
      <c r="EC225" s="344" t="str">
        <f t="shared" si="30"/>
        <v>CUNDINAMARCA_GUADUAS</v>
      </c>
      <c r="ED225" s="341"/>
      <c r="EE225" s="341" t="s">
        <v>3114</v>
      </c>
      <c r="EF225" s="349" t="s">
        <v>3115</v>
      </c>
      <c r="EG225" s="341" t="s">
        <v>3414</v>
      </c>
      <c r="EH225" s="341" t="s">
        <v>4556</v>
      </c>
      <c r="EI225" s="341" t="str">
        <f t="shared" si="24"/>
        <v>Bolivar_Soplaviento</v>
      </c>
    </row>
    <row r="226" spans="1:139" s="85" customFormat="1" ht="48">
      <c r="A226" s="228">
        <v>40233</v>
      </c>
      <c r="B226" s="102" t="s">
        <v>1604</v>
      </c>
      <c r="C226" s="102" t="s">
        <v>1235</v>
      </c>
      <c r="D226" s="206" t="s">
        <v>1752</v>
      </c>
      <c r="E226" s="320" t="s">
        <v>3763</v>
      </c>
      <c r="F226" s="320"/>
      <c r="G226" s="210"/>
      <c r="H226" s="71"/>
      <c r="I226" s="71"/>
      <c r="J226" s="71"/>
      <c r="K226" s="71"/>
      <c r="L226" s="1"/>
      <c r="M226" s="73">
        <f t="shared" si="25"/>
        <v>0</v>
      </c>
      <c r="N226" s="73">
        <f t="shared" si="26"/>
        <v>0</v>
      </c>
      <c r="O226" s="73">
        <f t="shared" si="27"/>
        <v>0</v>
      </c>
      <c r="P226" s="73">
        <f t="shared" si="28"/>
        <v>0</v>
      </c>
      <c r="Q226" s="73"/>
      <c r="R226" s="73">
        <v>0</v>
      </c>
      <c r="S226" s="75">
        <f t="shared" si="31"/>
        <v>0</v>
      </c>
      <c r="T226" s="77">
        <v>0</v>
      </c>
      <c r="U226" s="66">
        <v>40233</v>
      </c>
      <c r="V226" s="79"/>
      <c r="W226" s="66" t="s">
        <v>1585</v>
      </c>
      <c r="X226" s="24" t="s">
        <v>1586</v>
      </c>
      <c r="Y226" s="62"/>
      <c r="Z226" s="177" t="s">
        <v>894</v>
      </c>
      <c r="AA226" s="80" t="s">
        <v>1241</v>
      </c>
      <c r="AB226" s="3"/>
      <c r="AC226" s="4"/>
      <c r="AD226" s="5"/>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6"/>
      <c r="CE226" s="7"/>
      <c r="CF226" s="6"/>
      <c r="CG226" s="7"/>
      <c r="CH226" s="6"/>
      <c r="CI226" s="7"/>
      <c r="CJ226" s="8">
        <f t="shared" si="29"/>
        <v>0</v>
      </c>
      <c r="CK226" s="9"/>
      <c r="CL226" s="10"/>
      <c r="CM226" s="11"/>
      <c r="CN226" s="12"/>
      <c r="CO226" s="28"/>
      <c r="CP226" s="12"/>
      <c r="CQ226" s="9"/>
      <c r="CR226" s="10"/>
      <c r="CS226" s="68"/>
      <c r="CT226" s="22"/>
      <c r="EC226" s="344" t="str">
        <f t="shared" si="30"/>
        <v>CUNDINAMARCA_SIMIJACA</v>
      </c>
      <c r="ED226" s="341"/>
      <c r="EE226" s="341" t="s">
        <v>3114</v>
      </c>
      <c r="EF226" s="349" t="s">
        <v>3115</v>
      </c>
      <c r="EG226" s="341" t="s">
        <v>3415</v>
      </c>
      <c r="EH226" s="341" t="s">
        <v>4557</v>
      </c>
      <c r="EI226" s="341" t="str">
        <f t="shared" si="24"/>
        <v>Bolivar_Talaigua Nuevo</v>
      </c>
    </row>
    <row r="227" spans="1:139" s="85" customFormat="1" ht="72">
      <c r="A227" s="228">
        <v>40233</v>
      </c>
      <c r="B227" s="102" t="s">
        <v>4321</v>
      </c>
      <c r="C227" s="102" t="s">
        <v>1236</v>
      </c>
      <c r="D227" s="206" t="s">
        <v>1752</v>
      </c>
      <c r="E227" s="320" t="s">
        <v>3869</v>
      </c>
      <c r="F227" s="320"/>
      <c r="G227" s="210"/>
      <c r="H227" s="71"/>
      <c r="I227" s="71"/>
      <c r="J227" s="71"/>
      <c r="K227" s="71"/>
      <c r="L227" s="1"/>
      <c r="M227" s="73">
        <f t="shared" si="25"/>
        <v>0</v>
      </c>
      <c r="N227" s="73">
        <f t="shared" si="26"/>
        <v>0</v>
      </c>
      <c r="O227" s="73">
        <f t="shared" si="27"/>
        <v>0</v>
      </c>
      <c r="P227" s="73">
        <f t="shared" si="28"/>
        <v>0</v>
      </c>
      <c r="Q227" s="73"/>
      <c r="R227" s="73">
        <v>0</v>
      </c>
      <c r="S227" s="75">
        <f t="shared" si="31"/>
        <v>0</v>
      </c>
      <c r="T227" s="77">
        <v>0</v>
      </c>
      <c r="U227" s="66">
        <v>40233</v>
      </c>
      <c r="V227" s="79"/>
      <c r="W227" s="66" t="s">
        <v>1585</v>
      </c>
      <c r="X227" s="24" t="s">
        <v>1586</v>
      </c>
      <c r="Y227" s="62"/>
      <c r="Z227" s="177" t="s">
        <v>894</v>
      </c>
      <c r="AA227" s="80" t="s">
        <v>1299</v>
      </c>
      <c r="AB227" s="3"/>
      <c r="AC227" s="4"/>
      <c r="AD227" s="5"/>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6"/>
      <c r="CE227" s="7"/>
      <c r="CF227" s="6"/>
      <c r="CG227" s="7"/>
      <c r="CH227" s="6"/>
      <c r="CI227" s="7"/>
      <c r="CJ227" s="8">
        <f t="shared" si="29"/>
        <v>0</v>
      </c>
      <c r="CK227" s="9"/>
      <c r="CL227" s="10"/>
      <c r="CM227" s="11"/>
      <c r="CN227" s="12"/>
      <c r="CO227" s="28"/>
      <c r="CP227" s="12"/>
      <c r="CQ227" s="9"/>
      <c r="CR227" s="10"/>
      <c r="CS227" s="68"/>
      <c r="CT227" s="22"/>
      <c r="EC227" s="344" t="str">
        <f t="shared" si="30"/>
        <v>LA GUAJIRA_MAICAO</v>
      </c>
      <c r="ED227" s="341"/>
      <c r="EE227" s="341" t="s">
        <v>3114</v>
      </c>
      <c r="EF227" s="349" t="s">
        <v>3115</v>
      </c>
      <c r="EG227" s="341" t="s">
        <v>3416</v>
      </c>
      <c r="EH227" s="341" t="s">
        <v>4558</v>
      </c>
      <c r="EI227" s="341" t="str">
        <f t="shared" si="24"/>
        <v>Bolivar_Tiquisio</v>
      </c>
    </row>
    <row r="228" spans="1:139" s="85" customFormat="1" ht="25.5">
      <c r="A228" s="228">
        <v>40233</v>
      </c>
      <c r="B228" s="102" t="s">
        <v>396</v>
      </c>
      <c r="C228" s="102" t="s">
        <v>397</v>
      </c>
      <c r="D228" s="206" t="s">
        <v>2606</v>
      </c>
      <c r="E228" s="320" t="s">
        <v>3913</v>
      </c>
      <c r="F228" s="320"/>
      <c r="G228" s="210"/>
      <c r="H228" s="71"/>
      <c r="I228" s="71"/>
      <c r="J228" s="71">
        <v>119</v>
      </c>
      <c r="K228" s="71">
        <v>29</v>
      </c>
      <c r="L228" s="1"/>
      <c r="M228" s="73">
        <f t="shared" si="25"/>
        <v>0</v>
      </c>
      <c r="N228" s="73">
        <f t="shared" si="26"/>
        <v>0</v>
      </c>
      <c r="O228" s="73">
        <f t="shared" si="27"/>
        <v>0</v>
      </c>
      <c r="P228" s="73">
        <f t="shared" si="28"/>
        <v>0</v>
      </c>
      <c r="Q228" s="73"/>
      <c r="R228" s="73">
        <v>0</v>
      </c>
      <c r="S228" s="75">
        <f t="shared" si="31"/>
        <v>0</v>
      </c>
      <c r="T228" s="77">
        <v>0</v>
      </c>
      <c r="U228" s="66">
        <v>40234</v>
      </c>
      <c r="V228" s="79"/>
      <c r="W228" s="66" t="s">
        <v>1585</v>
      </c>
      <c r="X228" s="24" t="s">
        <v>1586</v>
      </c>
      <c r="Y228" s="62"/>
      <c r="Z228" s="177" t="s">
        <v>894</v>
      </c>
      <c r="AA228" s="80" t="s">
        <v>398</v>
      </c>
      <c r="AB228" s="3"/>
      <c r="AC228" s="4"/>
      <c r="AD228" s="5"/>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6"/>
      <c r="CE228" s="7"/>
      <c r="CF228" s="6"/>
      <c r="CG228" s="7"/>
      <c r="CH228" s="6"/>
      <c r="CI228" s="7"/>
      <c r="CJ228" s="8">
        <f t="shared" si="29"/>
        <v>0</v>
      </c>
      <c r="CK228" s="9"/>
      <c r="CL228" s="10"/>
      <c r="CM228" s="11"/>
      <c r="CN228" s="12"/>
      <c r="CO228" s="28"/>
      <c r="CP228" s="12"/>
      <c r="CQ228" s="9"/>
      <c r="CR228" s="10"/>
      <c r="CS228" s="68"/>
      <c r="CT228" s="22"/>
      <c r="EC228" s="344" t="str">
        <f t="shared" si="30"/>
        <v>META_EL CASTILLO</v>
      </c>
      <c r="ED228" s="341"/>
      <c r="EE228" s="341" t="s">
        <v>3114</v>
      </c>
      <c r="EF228" s="349" t="s">
        <v>3115</v>
      </c>
      <c r="EG228" s="341" t="s">
        <v>3417</v>
      </c>
      <c r="EH228" s="341" t="s">
        <v>4559</v>
      </c>
      <c r="EI228" s="341" t="str">
        <f t="shared" si="24"/>
        <v>Bolivar_Turbaco</v>
      </c>
    </row>
    <row r="229" spans="1:139" ht="36">
      <c r="A229" s="228">
        <v>40233</v>
      </c>
      <c r="B229" s="102" t="s">
        <v>1943</v>
      </c>
      <c r="C229" s="102" t="s">
        <v>1967</v>
      </c>
      <c r="D229" s="206" t="s">
        <v>1752</v>
      </c>
      <c r="E229" s="320" t="s">
        <v>4157</v>
      </c>
      <c r="F229" s="320"/>
      <c r="G229" s="210"/>
      <c r="H229" s="71"/>
      <c r="I229" s="71"/>
      <c r="J229" s="71">
        <f>75*5</f>
        <v>375</v>
      </c>
      <c r="K229" s="71">
        <v>75</v>
      </c>
      <c r="L229" s="1"/>
      <c r="M229" s="73">
        <f t="shared" si="25"/>
        <v>0</v>
      </c>
      <c r="N229" s="73">
        <f t="shared" si="26"/>
        <v>0</v>
      </c>
      <c r="O229" s="73">
        <f t="shared" si="27"/>
        <v>0</v>
      </c>
      <c r="P229" s="73">
        <f t="shared" si="28"/>
        <v>0</v>
      </c>
      <c r="Q229" s="73"/>
      <c r="R229" s="73">
        <v>0</v>
      </c>
      <c r="S229" s="75">
        <f t="shared" si="31"/>
        <v>0</v>
      </c>
      <c r="T229" s="77">
        <v>0</v>
      </c>
      <c r="U229" s="66">
        <v>40351</v>
      </c>
      <c r="V229" s="79">
        <v>98450</v>
      </c>
      <c r="W229" s="66" t="s">
        <v>1606</v>
      </c>
      <c r="X229" s="24" t="s">
        <v>1586</v>
      </c>
      <c r="Y229" s="62"/>
      <c r="Z229" s="177" t="s">
        <v>506</v>
      </c>
      <c r="AA229" s="80" t="s">
        <v>327</v>
      </c>
      <c r="AB229" s="3"/>
      <c r="AC229" s="4"/>
      <c r="AD229" s="5"/>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6"/>
      <c r="CE229" s="7"/>
      <c r="CF229" s="6"/>
      <c r="CG229" s="7"/>
      <c r="CH229" s="6"/>
      <c r="CI229" s="7"/>
      <c r="CJ229" s="8">
        <f t="shared" si="29"/>
        <v>0</v>
      </c>
      <c r="CK229" s="9"/>
      <c r="CL229" s="10"/>
      <c r="CM229" s="11"/>
      <c r="CN229" s="12"/>
      <c r="CO229" s="28"/>
      <c r="CP229" s="12"/>
      <c r="CQ229" s="9"/>
      <c r="CR229" s="10"/>
      <c r="CS229" s="68"/>
      <c r="EC229" s="344" t="str">
        <f t="shared" si="30"/>
        <v>SUCRE_CHALAN</v>
      </c>
      <c r="ED229" s="341"/>
      <c r="EE229" s="341" t="s">
        <v>3114</v>
      </c>
      <c r="EF229" s="349" t="s">
        <v>3115</v>
      </c>
      <c r="EG229" s="341" t="s">
        <v>3418</v>
      </c>
      <c r="EH229" s="341" t="s">
        <v>4560</v>
      </c>
      <c r="EI229" s="341" t="str">
        <f t="shared" ref="EI229:EI291" si="32">EF229&amp;"_"&amp;EH229</f>
        <v>Bolivar_Turbana</v>
      </c>
    </row>
    <row r="230" spans="1:139" ht="36">
      <c r="A230" s="228">
        <v>40233</v>
      </c>
      <c r="B230" s="102" t="s">
        <v>1943</v>
      </c>
      <c r="C230" s="102" t="s">
        <v>504</v>
      </c>
      <c r="D230" s="206" t="s">
        <v>1752</v>
      </c>
      <c r="E230" s="320" t="s">
        <v>4172</v>
      </c>
      <c r="F230" s="320"/>
      <c r="G230" s="210"/>
      <c r="H230" s="71"/>
      <c r="I230" s="71"/>
      <c r="J230" s="71">
        <f>75*5</f>
        <v>375</v>
      </c>
      <c r="K230" s="71">
        <v>75</v>
      </c>
      <c r="L230" s="1"/>
      <c r="M230" s="73">
        <f t="shared" si="25"/>
        <v>0</v>
      </c>
      <c r="N230" s="73">
        <f t="shared" si="26"/>
        <v>0</v>
      </c>
      <c r="O230" s="73">
        <f t="shared" si="27"/>
        <v>0</v>
      </c>
      <c r="P230" s="73">
        <f t="shared" si="28"/>
        <v>0</v>
      </c>
      <c r="Q230" s="73"/>
      <c r="R230" s="73">
        <v>0</v>
      </c>
      <c r="S230" s="75">
        <f t="shared" si="31"/>
        <v>0</v>
      </c>
      <c r="T230" s="77">
        <v>0</v>
      </c>
      <c r="U230" s="66">
        <v>40351</v>
      </c>
      <c r="V230" s="79">
        <v>98450</v>
      </c>
      <c r="W230" s="66" t="s">
        <v>1606</v>
      </c>
      <c r="X230" s="24" t="s">
        <v>1586</v>
      </c>
      <c r="Y230" s="62"/>
      <c r="Z230" s="177" t="s">
        <v>506</v>
      </c>
      <c r="AA230" s="80" t="s">
        <v>326</v>
      </c>
      <c r="AB230" s="3"/>
      <c r="AC230" s="4"/>
      <c r="AD230" s="5"/>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6"/>
      <c r="CE230" s="7"/>
      <c r="CF230" s="6"/>
      <c r="CG230" s="7"/>
      <c r="CH230" s="6"/>
      <c r="CI230" s="7"/>
      <c r="CJ230" s="8">
        <f t="shared" si="29"/>
        <v>0</v>
      </c>
      <c r="CK230" s="9"/>
      <c r="CL230" s="10"/>
      <c r="CM230" s="11"/>
      <c r="CN230" s="12"/>
      <c r="CO230" s="28"/>
      <c r="CP230" s="12"/>
      <c r="CQ230" s="9"/>
      <c r="CR230" s="10"/>
      <c r="CS230" s="68"/>
      <c r="EC230" s="344" t="str">
        <f t="shared" si="30"/>
        <v>SUCRE_SAN PEDRO</v>
      </c>
      <c r="ED230" s="341"/>
      <c r="EE230" s="341" t="s">
        <v>3114</v>
      </c>
      <c r="EF230" s="349" t="s">
        <v>3115</v>
      </c>
      <c r="EG230" s="341" t="s">
        <v>3419</v>
      </c>
      <c r="EH230" s="341" t="s">
        <v>4561</v>
      </c>
      <c r="EI230" s="341" t="str">
        <f t="shared" si="32"/>
        <v>Bolivar_Villanueva</v>
      </c>
    </row>
    <row r="231" spans="1:139" ht="36">
      <c r="A231" s="228">
        <v>40233</v>
      </c>
      <c r="B231" s="102" t="s">
        <v>1943</v>
      </c>
      <c r="C231" s="102" t="s">
        <v>1943</v>
      </c>
      <c r="D231" s="206" t="s">
        <v>1752</v>
      </c>
      <c r="E231" s="320" t="s">
        <v>4174</v>
      </c>
      <c r="F231" s="320"/>
      <c r="G231" s="210"/>
      <c r="H231" s="71"/>
      <c r="I231" s="71"/>
      <c r="J231" s="71">
        <f>750*5</f>
        <v>3750</v>
      </c>
      <c r="K231" s="71">
        <v>750</v>
      </c>
      <c r="L231" s="1"/>
      <c r="M231" s="73">
        <f t="shared" si="25"/>
        <v>0</v>
      </c>
      <c r="N231" s="73">
        <f t="shared" si="26"/>
        <v>0</v>
      </c>
      <c r="O231" s="73">
        <f t="shared" si="27"/>
        <v>0</v>
      </c>
      <c r="P231" s="73">
        <f t="shared" si="28"/>
        <v>0</v>
      </c>
      <c r="Q231" s="73"/>
      <c r="R231" s="73">
        <v>0</v>
      </c>
      <c r="S231" s="75">
        <f t="shared" si="31"/>
        <v>0</v>
      </c>
      <c r="T231" s="77">
        <v>0</v>
      </c>
      <c r="U231" s="66">
        <v>40351</v>
      </c>
      <c r="V231" s="79">
        <v>98450</v>
      </c>
      <c r="W231" s="66" t="s">
        <v>1606</v>
      </c>
      <c r="X231" s="24" t="s">
        <v>1586</v>
      </c>
      <c r="Y231" s="62"/>
      <c r="Z231" s="177" t="s">
        <v>506</v>
      </c>
      <c r="AA231" s="80" t="s">
        <v>326</v>
      </c>
      <c r="AB231" s="3"/>
      <c r="AC231" s="4"/>
      <c r="AD231" s="5"/>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6"/>
      <c r="CE231" s="7"/>
      <c r="CF231" s="6"/>
      <c r="CG231" s="7"/>
      <c r="CH231" s="6"/>
      <c r="CI231" s="7"/>
      <c r="CJ231" s="8">
        <f t="shared" si="29"/>
        <v>0</v>
      </c>
      <c r="CK231" s="9"/>
      <c r="CL231" s="10"/>
      <c r="CM231" s="11"/>
      <c r="CN231" s="12"/>
      <c r="CO231" s="28"/>
      <c r="CP231" s="12"/>
      <c r="CQ231" s="9"/>
      <c r="CR231" s="10"/>
      <c r="CS231" s="68"/>
      <c r="EC231" s="344" t="str">
        <f t="shared" si="30"/>
        <v>SUCRE_SUCRE</v>
      </c>
      <c r="ED231" s="341"/>
      <c r="EE231" s="341" t="s">
        <v>3114</v>
      </c>
      <c r="EF231" s="349" t="s">
        <v>3115</v>
      </c>
      <c r="EG231" s="341" t="s">
        <v>3420</v>
      </c>
      <c r="EH231" s="341" t="s">
        <v>4562</v>
      </c>
      <c r="EI231" s="341" t="str">
        <f t="shared" si="32"/>
        <v>Bolivar_Zambrano</v>
      </c>
    </row>
    <row r="232" spans="1:139" ht="90">
      <c r="A232" s="228">
        <v>40233</v>
      </c>
      <c r="B232" s="102" t="s">
        <v>2400</v>
      </c>
      <c r="C232" s="102" t="s">
        <v>3054</v>
      </c>
      <c r="D232" s="206" t="s">
        <v>2606</v>
      </c>
      <c r="E232" s="320" t="s">
        <v>4197</v>
      </c>
      <c r="F232" s="320"/>
      <c r="G232" s="210"/>
      <c r="H232" s="71"/>
      <c r="I232" s="71"/>
      <c r="J232" s="71">
        <f>70*5</f>
        <v>350</v>
      </c>
      <c r="K232" s="71">
        <v>70</v>
      </c>
      <c r="L232" s="1">
        <v>40252</v>
      </c>
      <c r="M232" s="73">
        <f t="shared" si="25"/>
        <v>5215000</v>
      </c>
      <c r="N232" s="73">
        <f t="shared" si="26"/>
        <v>5950000</v>
      </c>
      <c r="O232" s="73">
        <f t="shared" si="27"/>
        <v>5637600</v>
      </c>
      <c r="P232" s="73">
        <f t="shared" si="28"/>
        <v>0</v>
      </c>
      <c r="Q232" s="73"/>
      <c r="R232" s="73">
        <v>0</v>
      </c>
      <c r="S232" s="75">
        <f t="shared" si="31"/>
        <v>16802600</v>
      </c>
      <c r="T232" s="77">
        <v>0</v>
      </c>
      <c r="U232" s="66">
        <v>40234</v>
      </c>
      <c r="V232" s="79">
        <v>95623</v>
      </c>
      <c r="W232" s="66" t="s">
        <v>1606</v>
      </c>
      <c r="X232" s="24" t="s">
        <v>1607</v>
      </c>
      <c r="Y232" s="83" t="s">
        <v>2719</v>
      </c>
      <c r="Z232" s="177" t="s">
        <v>629</v>
      </c>
      <c r="AA232" s="80" t="s">
        <v>1836</v>
      </c>
      <c r="AB232" s="3"/>
      <c r="AC232" s="4"/>
      <c r="AD232" s="5"/>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6">
        <v>70</v>
      </c>
      <c r="CE232" s="7">
        <f>70*38500</f>
        <v>2695000</v>
      </c>
      <c r="CF232" s="6">
        <v>70</v>
      </c>
      <c r="CG232" s="7">
        <f>70*36000</f>
        <v>2520000</v>
      </c>
      <c r="CH232" s="6"/>
      <c r="CI232" s="7"/>
      <c r="CJ232" s="8">
        <f t="shared" si="29"/>
        <v>5215000</v>
      </c>
      <c r="CK232" s="9"/>
      <c r="CL232" s="10"/>
      <c r="CM232" s="11">
        <v>70</v>
      </c>
      <c r="CN232" s="12">
        <f>70*85000</f>
        <v>5950000</v>
      </c>
      <c r="CO232" s="28"/>
      <c r="CP232" s="12"/>
      <c r="CQ232" s="9">
        <v>300</v>
      </c>
      <c r="CR232" s="10">
        <f>300*18792</f>
        <v>5637600</v>
      </c>
      <c r="CS232" s="84"/>
      <c r="EC232" s="344" t="str">
        <f t="shared" si="30"/>
        <v>TOLIMA_HERVEO</v>
      </c>
      <c r="ED232" s="341"/>
      <c r="EE232" s="341" t="s">
        <v>3120</v>
      </c>
      <c r="EF232" s="349" t="s">
        <v>4563</v>
      </c>
      <c r="EG232" s="341" t="s">
        <v>3421</v>
      </c>
      <c r="EH232" s="341" t="s">
        <v>4564</v>
      </c>
      <c r="EI232" s="341" t="str">
        <f t="shared" si="32"/>
        <v>Boyaca_Tunja</v>
      </c>
    </row>
    <row r="233" spans="1:139" s="127" customFormat="1" ht="25.5">
      <c r="A233" s="228">
        <v>40234</v>
      </c>
      <c r="B233" s="102" t="s">
        <v>1192</v>
      </c>
      <c r="C233" s="102" t="s">
        <v>1354</v>
      </c>
      <c r="D233" s="206" t="s">
        <v>1752</v>
      </c>
      <c r="E233" s="320" t="s">
        <v>3475</v>
      </c>
      <c r="F233" s="320"/>
      <c r="G233" s="210"/>
      <c r="H233" s="71"/>
      <c r="I233" s="71"/>
      <c r="J233" s="71"/>
      <c r="K233" s="71"/>
      <c r="L233" s="1"/>
      <c r="M233" s="73">
        <f t="shared" si="25"/>
        <v>0</v>
      </c>
      <c r="N233" s="73">
        <f t="shared" si="26"/>
        <v>0</v>
      </c>
      <c r="O233" s="73">
        <f t="shared" si="27"/>
        <v>0</v>
      </c>
      <c r="P233" s="73">
        <f t="shared" si="28"/>
        <v>0</v>
      </c>
      <c r="Q233" s="73"/>
      <c r="R233" s="73">
        <v>0</v>
      </c>
      <c r="S233" s="75">
        <f t="shared" si="31"/>
        <v>0</v>
      </c>
      <c r="T233" s="77">
        <v>0</v>
      </c>
      <c r="U233" s="66">
        <v>40235</v>
      </c>
      <c r="V233" s="79"/>
      <c r="W233" s="66" t="s">
        <v>1585</v>
      </c>
      <c r="X233" s="24" t="s">
        <v>1586</v>
      </c>
      <c r="Y233" s="62"/>
      <c r="Z233" s="177" t="s">
        <v>894</v>
      </c>
      <c r="AA233" s="80" t="s">
        <v>847</v>
      </c>
      <c r="AB233" s="3"/>
      <c r="AC233" s="4"/>
      <c r="AD233" s="5"/>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6"/>
      <c r="CE233" s="7"/>
      <c r="CF233" s="6"/>
      <c r="CG233" s="7"/>
      <c r="CH233" s="6"/>
      <c r="CI233" s="7"/>
      <c r="CJ233" s="8">
        <f t="shared" si="29"/>
        <v>0</v>
      </c>
      <c r="CK233" s="9"/>
      <c r="CL233" s="10"/>
      <c r="CM233" s="11"/>
      <c r="CN233" s="12"/>
      <c r="CO233" s="28"/>
      <c r="CP233" s="12"/>
      <c r="CQ233" s="9"/>
      <c r="CR233" s="10"/>
      <c r="CS233" s="68"/>
      <c r="CT233" s="22"/>
      <c r="EC233" s="344" t="str">
        <f t="shared" si="30"/>
        <v>BOYACA_MONGUA</v>
      </c>
      <c r="ED233" s="341"/>
      <c r="EE233" s="341" t="s">
        <v>3120</v>
      </c>
      <c r="EF233" s="349" t="s">
        <v>4563</v>
      </c>
      <c r="EG233" s="341" t="s">
        <v>3422</v>
      </c>
      <c r="EH233" s="341" t="s">
        <v>4565</v>
      </c>
      <c r="EI233" s="341" t="str">
        <f t="shared" si="32"/>
        <v>Boyaca_Almeida</v>
      </c>
    </row>
    <row r="234" spans="1:139" s="127" customFormat="1" ht="25.5">
      <c r="A234" s="228">
        <v>40234</v>
      </c>
      <c r="B234" s="102" t="s">
        <v>653</v>
      </c>
      <c r="C234" s="102" t="s">
        <v>399</v>
      </c>
      <c r="D234" s="206" t="s">
        <v>1316</v>
      </c>
      <c r="E234" s="320" t="s">
        <v>3543</v>
      </c>
      <c r="F234" s="320"/>
      <c r="G234" s="210">
        <v>2</v>
      </c>
      <c r="H234" s="71"/>
      <c r="I234" s="71"/>
      <c r="J234" s="71">
        <v>63</v>
      </c>
      <c r="K234" s="71">
        <v>12</v>
      </c>
      <c r="L234" s="1"/>
      <c r="M234" s="73">
        <f t="shared" si="25"/>
        <v>0</v>
      </c>
      <c r="N234" s="73">
        <f t="shared" si="26"/>
        <v>0</v>
      </c>
      <c r="O234" s="73">
        <f t="shared" si="27"/>
        <v>0</v>
      </c>
      <c r="P234" s="73">
        <f t="shared" si="28"/>
        <v>0</v>
      </c>
      <c r="Q234" s="73"/>
      <c r="R234" s="73">
        <v>0</v>
      </c>
      <c r="S234" s="75">
        <f t="shared" si="31"/>
        <v>0</v>
      </c>
      <c r="T234" s="77">
        <v>0</v>
      </c>
      <c r="U234" s="66">
        <v>40234</v>
      </c>
      <c r="V234" s="79"/>
      <c r="W234" s="66" t="s">
        <v>1585</v>
      </c>
      <c r="X234" s="24" t="s">
        <v>1586</v>
      </c>
      <c r="Y234" s="62"/>
      <c r="Z234" s="177" t="s">
        <v>894</v>
      </c>
      <c r="AA234" s="80" t="s">
        <v>400</v>
      </c>
      <c r="AB234" s="3"/>
      <c r="AC234" s="4"/>
      <c r="AD234" s="5"/>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6"/>
      <c r="CE234" s="7"/>
      <c r="CF234" s="6"/>
      <c r="CG234" s="7"/>
      <c r="CH234" s="6"/>
      <c r="CI234" s="7"/>
      <c r="CJ234" s="8">
        <f t="shared" si="29"/>
        <v>0</v>
      </c>
      <c r="CK234" s="9"/>
      <c r="CL234" s="10"/>
      <c r="CM234" s="11"/>
      <c r="CN234" s="12"/>
      <c r="CO234" s="28"/>
      <c r="CP234" s="12"/>
      <c r="CQ234" s="9"/>
      <c r="CR234" s="10"/>
      <c r="CS234" s="68"/>
      <c r="CT234" s="22"/>
      <c r="EC234" s="344" t="str">
        <f t="shared" si="30"/>
        <v>CALDAS_MANIZALES</v>
      </c>
      <c r="ED234" s="341"/>
      <c r="EE234" s="341" t="s">
        <v>3120</v>
      </c>
      <c r="EF234" s="349" t="s">
        <v>4563</v>
      </c>
      <c r="EG234" s="341" t="s">
        <v>3423</v>
      </c>
      <c r="EH234" s="341" t="s">
        <v>4566</v>
      </c>
      <c r="EI234" s="341" t="str">
        <f t="shared" si="32"/>
        <v>Boyaca_Aquitania</v>
      </c>
    </row>
    <row r="235" spans="1:139" s="127" customFormat="1" ht="108">
      <c r="A235" s="228">
        <v>40234</v>
      </c>
      <c r="B235" s="102" t="s">
        <v>1604</v>
      </c>
      <c r="C235" s="102" t="s">
        <v>848</v>
      </c>
      <c r="D235" s="206" t="s">
        <v>1752</v>
      </c>
      <c r="E235" s="320" t="s">
        <v>3761</v>
      </c>
      <c r="F235" s="320"/>
      <c r="G235" s="210"/>
      <c r="H235" s="71"/>
      <c r="I235" s="71"/>
      <c r="J235" s="71"/>
      <c r="K235" s="71"/>
      <c r="L235" s="1"/>
      <c r="M235" s="73">
        <f t="shared" si="25"/>
        <v>0</v>
      </c>
      <c r="N235" s="73">
        <f t="shared" si="26"/>
        <v>0</v>
      </c>
      <c r="O235" s="73">
        <f t="shared" si="27"/>
        <v>0</v>
      </c>
      <c r="P235" s="73">
        <f t="shared" si="28"/>
        <v>0</v>
      </c>
      <c r="Q235" s="73"/>
      <c r="R235" s="73">
        <v>0</v>
      </c>
      <c r="S235" s="75">
        <f t="shared" si="31"/>
        <v>0</v>
      </c>
      <c r="T235" s="77">
        <v>0</v>
      </c>
      <c r="U235" s="66">
        <v>40235</v>
      </c>
      <c r="V235" s="79"/>
      <c r="W235" s="66" t="s">
        <v>1585</v>
      </c>
      <c r="X235" s="24" t="s">
        <v>1586</v>
      </c>
      <c r="Y235" s="62"/>
      <c r="Z235" s="177" t="s">
        <v>894</v>
      </c>
      <c r="AA235" s="80" t="s">
        <v>849</v>
      </c>
      <c r="AB235" s="3"/>
      <c r="AC235" s="4"/>
      <c r="AD235" s="5"/>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6"/>
      <c r="CE235" s="7"/>
      <c r="CF235" s="6"/>
      <c r="CG235" s="7"/>
      <c r="CH235" s="6"/>
      <c r="CI235" s="7"/>
      <c r="CJ235" s="8">
        <f t="shared" si="29"/>
        <v>0</v>
      </c>
      <c r="CK235" s="9"/>
      <c r="CL235" s="10"/>
      <c r="CM235" s="11"/>
      <c r="CN235" s="12"/>
      <c r="CO235" s="28"/>
      <c r="CP235" s="12"/>
      <c r="CQ235" s="9"/>
      <c r="CR235" s="10"/>
      <c r="CS235" s="68"/>
      <c r="CT235" s="22"/>
      <c r="EC235" s="344" t="str">
        <f t="shared" si="30"/>
        <v>CUNDINAMARCA_SIBATE</v>
      </c>
      <c r="ED235" s="341"/>
      <c r="EE235" s="341" t="s">
        <v>3120</v>
      </c>
      <c r="EF235" s="349" t="s">
        <v>4563</v>
      </c>
      <c r="EG235" s="341" t="s">
        <v>3424</v>
      </c>
      <c r="EH235" s="341" t="s">
        <v>4567</v>
      </c>
      <c r="EI235" s="341" t="str">
        <f t="shared" si="32"/>
        <v>Boyaca_Arcabuco</v>
      </c>
    </row>
    <row r="236" spans="1:139" ht="38.25">
      <c r="A236" s="228">
        <v>40234</v>
      </c>
      <c r="B236" s="102" t="s">
        <v>1604</v>
      </c>
      <c r="C236" s="102" t="s">
        <v>956</v>
      </c>
      <c r="D236" s="206" t="s">
        <v>1902</v>
      </c>
      <c r="E236" s="320" t="s">
        <v>3788</v>
      </c>
      <c r="F236" s="320"/>
      <c r="G236" s="210">
        <v>3</v>
      </c>
      <c r="H236" s="71"/>
      <c r="I236" s="71"/>
      <c r="J236" s="71"/>
      <c r="K236" s="71"/>
      <c r="L236" s="1"/>
      <c r="M236" s="73">
        <f t="shared" si="25"/>
        <v>0</v>
      </c>
      <c r="N236" s="73">
        <f t="shared" si="26"/>
        <v>0</v>
      </c>
      <c r="O236" s="73">
        <f t="shared" si="27"/>
        <v>0</v>
      </c>
      <c r="P236" s="73">
        <f t="shared" si="28"/>
        <v>0</v>
      </c>
      <c r="Q236" s="73"/>
      <c r="R236" s="73">
        <v>0</v>
      </c>
      <c r="S236" s="75">
        <f t="shared" si="31"/>
        <v>0</v>
      </c>
      <c r="T236" s="77">
        <v>0</v>
      </c>
      <c r="U236" s="66">
        <v>40234</v>
      </c>
      <c r="V236" s="79"/>
      <c r="W236" s="66" t="s">
        <v>1585</v>
      </c>
      <c r="X236" s="24" t="s">
        <v>1586</v>
      </c>
      <c r="Y236" s="62"/>
      <c r="Z236" s="177" t="s">
        <v>894</v>
      </c>
      <c r="AA236" s="80" t="s">
        <v>1903</v>
      </c>
      <c r="AB236" s="3"/>
      <c r="AC236" s="4"/>
      <c r="AD236" s="5"/>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6"/>
      <c r="CE236" s="7"/>
      <c r="CF236" s="6"/>
      <c r="CG236" s="7"/>
      <c r="CH236" s="6"/>
      <c r="CI236" s="7"/>
      <c r="CJ236" s="8">
        <f t="shared" si="29"/>
        <v>0</v>
      </c>
      <c r="CK236" s="9"/>
      <c r="CL236" s="10"/>
      <c r="CM236" s="11"/>
      <c r="CN236" s="12"/>
      <c r="CO236" s="28"/>
      <c r="CP236" s="12"/>
      <c r="CQ236" s="9"/>
      <c r="CR236" s="10"/>
      <c r="CS236" s="68"/>
      <c r="EC236" s="344" t="str">
        <f t="shared" si="30"/>
        <v>CUNDINAMARCA_VILLETA</v>
      </c>
      <c r="ED236" s="341"/>
      <c r="EE236" s="341" t="s">
        <v>3120</v>
      </c>
      <c r="EF236" s="349" t="s">
        <v>4563</v>
      </c>
      <c r="EG236" s="341" t="s">
        <v>3425</v>
      </c>
      <c r="EH236" s="341" t="s">
        <v>4568</v>
      </c>
      <c r="EI236" s="341" t="str">
        <f t="shared" si="32"/>
        <v>Boyaca_Belen</v>
      </c>
    </row>
    <row r="237" spans="1:139" ht="48">
      <c r="A237" s="228">
        <v>40235</v>
      </c>
      <c r="B237" s="102" t="s">
        <v>1615</v>
      </c>
      <c r="C237" s="102" t="s">
        <v>1198</v>
      </c>
      <c r="D237" s="206" t="s">
        <v>1752</v>
      </c>
      <c r="E237" s="320" t="s">
        <v>3414</v>
      </c>
      <c r="F237" s="320"/>
      <c r="G237" s="210"/>
      <c r="H237" s="71"/>
      <c r="I237" s="71"/>
      <c r="J237" s="71"/>
      <c r="K237" s="71"/>
      <c r="L237" s="1"/>
      <c r="M237" s="73">
        <f t="shared" si="25"/>
        <v>0</v>
      </c>
      <c r="N237" s="73">
        <f t="shared" si="26"/>
        <v>0</v>
      </c>
      <c r="O237" s="73">
        <f t="shared" si="27"/>
        <v>0</v>
      </c>
      <c r="P237" s="73">
        <f t="shared" si="28"/>
        <v>0</v>
      </c>
      <c r="Q237" s="73"/>
      <c r="R237" s="73">
        <v>0</v>
      </c>
      <c r="S237" s="75">
        <f t="shared" si="31"/>
        <v>0</v>
      </c>
      <c r="T237" s="77">
        <v>0</v>
      </c>
      <c r="U237" s="66">
        <v>40235</v>
      </c>
      <c r="V237" s="79"/>
      <c r="W237" s="66" t="s">
        <v>1585</v>
      </c>
      <c r="X237" s="24" t="s">
        <v>1586</v>
      </c>
      <c r="Y237" s="62"/>
      <c r="Z237" s="177" t="s">
        <v>894</v>
      </c>
      <c r="AA237" s="80" t="s">
        <v>1199</v>
      </c>
      <c r="AB237" s="3"/>
      <c r="AC237" s="4"/>
      <c r="AD237" s="5"/>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6"/>
      <c r="CE237" s="7"/>
      <c r="CF237" s="6"/>
      <c r="CG237" s="7"/>
      <c r="CH237" s="6"/>
      <c r="CI237" s="7"/>
      <c r="CJ237" s="8">
        <f t="shared" si="29"/>
        <v>0</v>
      </c>
      <c r="CK237" s="9"/>
      <c r="CL237" s="10"/>
      <c r="CM237" s="11"/>
      <c r="CN237" s="12"/>
      <c r="CO237" s="28"/>
      <c r="CP237" s="12"/>
      <c r="CQ237" s="9"/>
      <c r="CR237" s="10"/>
      <c r="CS237" s="68"/>
      <c r="EC237" s="344" t="str">
        <f t="shared" si="30"/>
        <v>BOLIVAR_SOPLAVIENTO</v>
      </c>
      <c r="ED237" s="341"/>
      <c r="EE237" s="341" t="s">
        <v>3120</v>
      </c>
      <c r="EF237" s="349" t="s">
        <v>4563</v>
      </c>
      <c r="EG237" s="341" t="s">
        <v>3426</v>
      </c>
      <c r="EH237" s="341" t="s">
        <v>4569</v>
      </c>
      <c r="EI237" s="341" t="str">
        <f t="shared" si="32"/>
        <v>Boyaca_Berbeo</v>
      </c>
    </row>
    <row r="238" spans="1:139" ht="38.25">
      <c r="A238" s="228">
        <v>40235</v>
      </c>
      <c r="B238" s="102" t="s">
        <v>1088</v>
      </c>
      <c r="C238" s="102" t="s">
        <v>901</v>
      </c>
      <c r="D238" s="206" t="s">
        <v>1316</v>
      </c>
      <c r="E238" s="320" t="s">
        <v>4259</v>
      </c>
      <c r="F238" s="320"/>
      <c r="G238" s="210"/>
      <c r="H238" s="71"/>
      <c r="I238" s="71"/>
      <c r="J238" s="71"/>
      <c r="K238" s="71"/>
      <c r="L238" s="1"/>
      <c r="M238" s="73">
        <f t="shared" si="25"/>
        <v>0</v>
      </c>
      <c r="N238" s="73">
        <f t="shared" si="26"/>
        <v>0</v>
      </c>
      <c r="O238" s="73">
        <f t="shared" si="27"/>
        <v>0</v>
      </c>
      <c r="P238" s="73">
        <f t="shared" si="28"/>
        <v>0</v>
      </c>
      <c r="Q238" s="73"/>
      <c r="R238" s="73">
        <v>0</v>
      </c>
      <c r="S238" s="75">
        <f t="shared" si="31"/>
        <v>0</v>
      </c>
      <c r="T238" s="77">
        <v>0</v>
      </c>
      <c r="U238" s="66">
        <v>40238</v>
      </c>
      <c r="V238" s="79"/>
      <c r="W238" s="66" t="s">
        <v>1585</v>
      </c>
      <c r="X238" s="24" t="s">
        <v>1586</v>
      </c>
      <c r="Y238" s="62"/>
      <c r="Z238" s="177" t="s">
        <v>894</v>
      </c>
      <c r="AA238" s="80" t="s">
        <v>902</v>
      </c>
      <c r="AB238" s="3"/>
      <c r="AC238" s="4"/>
      <c r="AD238" s="5"/>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6"/>
      <c r="CE238" s="7"/>
      <c r="CF238" s="6"/>
      <c r="CG238" s="7"/>
      <c r="CH238" s="6"/>
      <c r="CI238" s="7"/>
      <c r="CJ238" s="8">
        <f t="shared" si="29"/>
        <v>0</v>
      </c>
      <c r="CK238" s="9"/>
      <c r="CL238" s="10"/>
      <c r="CM238" s="11"/>
      <c r="CN238" s="12"/>
      <c r="CO238" s="28"/>
      <c r="CP238" s="12"/>
      <c r="CQ238" s="9"/>
      <c r="CR238" s="10"/>
      <c r="CS238" s="68"/>
      <c r="EC238" s="344" t="str">
        <f t="shared" si="30"/>
        <v>VALLE DEL CAUCA_TULUA</v>
      </c>
      <c r="ED238" s="341"/>
      <c r="EE238" s="341" t="s">
        <v>3120</v>
      </c>
      <c r="EF238" s="349" t="s">
        <v>4563</v>
      </c>
      <c r="EG238" s="341" t="s">
        <v>3427</v>
      </c>
      <c r="EH238" s="341" t="s">
        <v>4570</v>
      </c>
      <c r="EI238" s="341" t="str">
        <f t="shared" si="32"/>
        <v>Boyaca_Beteitiva</v>
      </c>
    </row>
    <row r="239" spans="1:139" ht="25.5">
      <c r="A239" s="228">
        <v>40237</v>
      </c>
      <c r="B239" s="102" t="s">
        <v>653</v>
      </c>
      <c r="C239" s="102" t="s">
        <v>1082</v>
      </c>
      <c r="D239" s="206" t="s">
        <v>1316</v>
      </c>
      <c r="E239" s="320" t="s">
        <v>3568</v>
      </c>
      <c r="F239" s="320"/>
      <c r="G239" s="210"/>
      <c r="H239" s="71"/>
      <c r="I239" s="71"/>
      <c r="J239" s="71">
        <v>64</v>
      </c>
      <c r="K239" s="71">
        <v>13</v>
      </c>
      <c r="L239" s="1"/>
      <c r="M239" s="73">
        <f t="shared" si="25"/>
        <v>0</v>
      </c>
      <c r="N239" s="73">
        <f t="shared" si="26"/>
        <v>0</v>
      </c>
      <c r="O239" s="73">
        <f t="shared" si="27"/>
        <v>0</v>
      </c>
      <c r="P239" s="73">
        <f t="shared" si="28"/>
        <v>0</v>
      </c>
      <c r="Q239" s="73"/>
      <c r="R239" s="73">
        <v>0</v>
      </c>
      <c r="S239" s="75">
        <f t="shared" si="31"/>
        <v>0</v>
      </c>
      <c r="T239" s="77">
        <v>0</v>
      </c>
      <c r="U239" s="66">
        <v>40238</v>
      </c>
      <c r="V239" s="79"/>
      <c r="W239" s="66" t="s">
        <v>1585</v>
      </c>
      <c r="X239" s="24" t="s">
        <v>1586</v>
      </c>
      <c r="Y239" s="62"/>
      <c r="Z239" s="177" t="s">
        <v>894</v>
      </c>
      <c r="AA239" s="80" t="s">
        <v>900</v>
      </c>
      <c r="AB239" s="3"/>
      <c r="AC239" s="4"/>
      <c r="AD239" s="5"/>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6"/>
      <c r="CE239" s="7"/>
      <c r="CF239" s="6"/>
      <c r="CG239" s="7"/>
      <c r="CH239" s="6"/>
      <c r="CI239" s="7"/>
      <c r="CJ239" s="8">
        <f t="shared" si="29"/>
        <v>0</v>
      </c>
      <c r="CK239" s="9"/>
      <c r="CL239" s="10"/>
      <c r="CM239" s="11"/>
      <c r="CN239" s="12"/>
      <c r="CO239" s="28"/>
      <c r="CP239" s="12"/>
      <c r="CQ239" s="9"/>
      <c r="CR239" s="10"/>
      <c r="CS239" s="68"/>
      <c r="EC239" s="344" t="str">
        <f t="shared" si="30"/>
        <v>CALDAS_VILLAMARIA</v>
      </c>
      <c r="ED239" s="341"/>
      <c r="EE239" s="341" t="s">
        <v>3120</v>
      </c>
      <c r="EF239" s="349" t="s">
        <v>4563</v>
      </c>
      <c r="EG239" s="341" t="s">
        <v>3428</v>
      </c>
      <c r="EH239" s="341" t="s">
        <v>4571</v>
      </c>
      <c r="EI239" s="341" t="str">
        <f t="shared" si="32"/>
        <v>Boyaca_Boavita</v>
      </c>
    </row>
    <row r="240" spans="1:139" ht="25.5">
      <c r="A240" s="228">
        <v>40237</v>
      </c>
      <c r="B240" s="205" t="s">
        <v>962</v>
      </c>
      <c r="C240" s="205" t="s">
        <v>2821</v>
      </c>
      <c r="D240" s="207" t="s">
        <v>2606</v>
      </c>
      <c r="E240" s="323" t="s">
        <v>3845</v>
      </c>
      <c r="F240" s="323"/>
      <c r="G240" s="204"/>
      <c r="H240" s="151"/>
      <c r="I240" s="151"/>
      <c r="J240" s="151">
        <v>43</v>
      </c>
      <c r="K240" s="151">
        <v>10</v>
      </c>
      <c r="L240" s="1"/>
      <c r="M240" s="73">
        <f t="shared" si="25"/>
        <v>0</v>
      </c>
      <c r="N240" s="73">
        <f t="shared" si="26"/>
        <v>0</v>
      </c>
      <c r="O240" s="73">
        <f t="shared" si="27"/>
        <v>0</v>
      </c>
      <c r="P240" s="73">
        <f t="shared" si="28"/>
        <v>0</v>
      </c>
      <c r="Q240" s="73"/>
      <c r="R240" s="73">
        <v>0</v>
      </c>
      <c r="S240" s="75">
        <f t="shared" si="31"/>
        <v>0</v>
      </c>
      <c r="T240" s="77">
        <v>0</v>
      </c>
      <c r="U240" s="66">
        <v>40581</v>
      </c>
      <c r="V240" s="79"/>
      <c r="W240" s="66" t="s">
        <v>1585</v>
      </c>
      <c r="X240" s="24" t="s">
        <v>1586</v>
      </c>
      <c r="Y240" s="62"/>
      <c r="Z240" s="169" t="s">
        <v>894</v>
      </c>
      <c r="AA240" s="166" t="s">
        <v>54</v>
      </c>
      <c r="AB240" s="152"/>
      <c r="AC240" s="153"/>
      <c r="AD240" s="154"/>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c r="BI240" s="153"/>
      <c r="BJ240" s="153"/>
      <c r="BK240" s="153"/>
      <c r="BL240" s="153"/>
      <c r="BM240" s="153"/>
      <c r="BN240" s="153"/>
      <c r="BO240" s="153"/>
      <c r="BP240" s="153"/>
      <c r="BQ240" s="153"/>
      <c r="BR240" s="153"/>
      <c r="BS240" s="153"/>
      <c r="BT240" s="153"/>
      <c r="BU240" s="153"/>
      <c r="BV240" s="153"/>
      <c r="BW240" s="153"/>
      <c r="BX240" s="153"/>
      <c r="BY240" s="153"/>
      <c r="BZ240" s="153"/>
      <c r="CA240" s="153"/>
      <c r="CB240" s="153"/>
      <c r="CC240" s="153"/>
      <c r="CD240" s="155"/>
      <c r="CE240" s="156"/>
      <c r="CF240" s="155"/>
      <c r="CG240" s="156"/>
      <c r="CH240" s="155"/>
      <c r="CI240" s="156"/>
      <c r="CJ240" s="157">
        <f t="shared" si="29"/>
        <v>0</v>
      </c>
      <c r="CK240" s="158"/>
      <c r="CL240" s="159"/>
      <c r="CM240" s="160"/>
      <c r="CN240" s="161"/>
      <c r="CO240" s="162"/>
      <c r="CP240" s="161"/>
      <c r="CQ240" s="158"/>
      <c r="CR240" s="159"/>
      <c r="CS240" s="68"/>
      <c r="CT240" s="163"/>
      <c r="EC240" s="344" t="str">
        <f t="shared" si="30"/>
        <v>HUILA_PALESTINA</v>
      </c>
      <c r="ED240" s="341"/>
      <c r="EE240" s="341" t="s">
        <v>3120</v>
      </c>
      <c r="EF240" s="349" t="s">
        <v>4563</v>
      </c>
      <c r="EG240" s="341" t="s">
        <v>3429</v>
      </c>
      <c r="EH240" s="341" t="s">
        <v>4563</v>
      </c>
      <c r="EI240" s="341" t="str">
        <f t="shared" si="32"/>
        <v>Boyaca_Boyaca</v>
      </c>
    </row>
    <row r="241" spans="1:139" ht="36">
      <c r="A241" s="229">
        <v>40238</v>
      </c>
      <c r="B241" s="220" t="s">
        <v>1824</v>
      </c>
      <c r="C241" s="220" t="s">
        <v>1337</v>
      </c>
      <c r="D241" s="231" t="s">
        <v>1752</v>
      </c>
      <c r="E241" s="322" t="s">
        <v>3977</v>
      </c>
      <c r="F241" s="322"/>
      <c r="G241" s="211"/>
      <c r="H241" s="107"/>
      <c r="I241" s="107"/>
      <c r="J241" s="107">
        <f>368*5</f>
        <v>1840</v>
      </c>
      <c r="K241" s="107">
        <v>368</v>
      </c>
      <c r="L241" s="90">
        <v>40275</v>
      </c>
      <c r="M241" s="108">
        <f t="shared" si="25"/>
        <v>13598336</v>
      </c>
      <c r="N241" s="108">
        <f t="shared" si="26"/>
        <v>31280000</v>
      </c>
      <c r="O241" s="108">
        <f t="shared" si="27"/>
        <v>0</v>
      </c>
      <c r="P241" s="108">
        <f t="shared" si="28"/>
        <v>0</v>
      </c>
      <c r="Q241" s="108"/>
      <c r="R241" s="108">
        <v>0</v>
      </c>
      <c r="S241" s="109">
        <f t="shared" si="31"/>
        <v>44878336</v>
      </c>
      <c r="T241" s="110">
        <v>0</v>
      </c>
      <c r="U241" s="111">
        <v>40249</v>
      </c>
      <c r="V241" s="112">
        <v>95957</v>
      </c>
      <c r="W241" s="111" t="s">
        <v>1606</v>
      </c>
      <c r="X241" s="113" t="s">
        <v>1607</v>
      </c>
      <c r="Y241" s="129" t="s">
        <v>943</v>
      </c>
      <c r="Z241" s="197" t="s">
        <v>643</v>
      </c>
      <c r="AA241" s="115" t="s">
        <v>642</v>
      </c>
      <c r="AB241" s="116"/>
      <c r="AC241" s="117"/>
      <c r="AD241" s="118"/>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9">
        <v>368</v>
      </c>
      <c r="CE241" s="120">
        <f>368*36952</f>
        <v>13598336</v>
      </c>
      <c r="CF241" s="119"/>
      <c r="CG241" s="120"/>
      <c r="CH241" s="119"/>
      <c r="CI241" s="120"/>
      <c r="CJ241" s="128">
        <f t="shared" si="29"/>
        <v>13598336</v>
      </c>
      <c r="CK241" s="121"/>
      <c r="CL241" s="122"/>
      <c r="CM241" s="123">
        <v>368</v>
      </c>
      <c r="CN241" s="124">
        <f>368*85000</f>
        <v>31280000</v>
      </c>
      <c r="CO241" s="125"/>
      <c r="CP241" s="124"/>
      <c r="CQ241" s="121"/>
      <c r="CR241" s="122"/>
      <c r="CS241" s="131"/>
      <c r="CT241" s="126"/>
      <c r="EC241" s="344" t="str">
        <f t="shared" si="30"/>
        <v>NARIÑO_POLICARPA</v>
      </c>
      <c r="ED241" s="341"/>
      <c r="EE241" s="341" t="s">
        <v>3120</v>
      </c>
      <c r="EF241" s="349" t="s">
        <v>4563</v>
      </c>
      <c r="EG241" s="341" t="s">
        <v>3430</v>
      </c>
      <c r="EH241" s="341" t="s">
        <v>4393</v>
      </c>
      <c r="EI241" s="341" t="str">
        <f t="shared" si="32"/>
        <v>Boyaca_Briceño</v>
      </c>
    </row>
    <row r="242" spans="1:139" ht="38.25">
      <c r="A242" s="229">
        <v>40238</v>
      </c>
      <c r="B242" s="220" t="s">
        <v>1824</v>
      </c>
      <c r="C242" s="220" t="s">
        <v>384</v>
      </c>
      <c r="D242" s="231" t="s">
        <v>1752</v>
      </c>
      <c r="E242" s="322" t="s">
        <v>3987</v>
      </c>
      <c r="F242" s="322"/>
      <c r="G242" s="211"/>
      <c r="H242" s="107"/>
      <c r="I242" s="107"/>
      <c r="J242" s="107">
        <f>293*5</f>
        <v>1465</v>
      </c>
      <c r="K242" s="107">
        <v>293</v>
      </c>
      <c r="L242" s="90">
        <v>40275</v>
      </c>
      <c r="M242" s="108">
        <f t="shared" si="25"/>
        <v>10826936</v>
      </c>
      <c r="N242" s="108">
        <f t="shared" si="26"/>
        <v>24905000</v>
      </c>
      <c r="O242" s="108">
        <f t="shared" si="27"/>
        <v>0</v>
      </c>
      <c r="P242" s="108">
        <f t="shared" si="28"/>
        <v>0</v>
      </c>
      <c r="Q242" s="108"/>
      <c r="R242" s="108">
        <v>0</v>
      </c>
      <c r="S242" s="109">
        <f t="shared" si="31"/>
        <v>35731936</v>
      </c>
      <c r="T242" s="110">
        <v>0</v>
      </c>
      <c r="U242" s="111">
        <v>40249</v>
      </c>
      <c r="V242" s="112">
        <v>95957</v>
      </c>
      <c r="W242" s="111" t="s">
        <v>1606</v>
      </c>
      <c r="X242" s="113" t="s">
        <v>1607</v>
      </c>
      <c r="Y242" s="129" t="s">
        <v>943</v>
      </c>
      <c r="Z242" s="197" t="s">
        <v>643</v>
      </c>
      <c r="AA242" s="115" t="s">
        <v>642</v>
      </c>
      <c r="AB242" s="116"/>
      <c r="AC242" s="117"/>
      <c r="AD242" s="118"/>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9">
        <v>293</v>
      </c>
      <c r="CE242" s="120">
        <f>293*36952</f>
        <v>10826936</v>
      </c>
      <c r="CF242" s="119"/>
      <c r="CG242" s="120"/>
      <c r="CH242" s="119"/>
      <c r="CI242" s="120"/>
      <c r="CJ242" s="128">
        <f t="shared" si="29"/>
        <v>10826936</v>
      </c>
      <c r="CK242" s="121"/>
      <c r="CL242" s="122"/>
      <c r="CM242" s="123">
        <v>293</v>
      </c>
      <c r="CN242" s="124">
        <f>293*85000</f>
        <v>24905000</v>
      </c>
      <c r="CO242" s="125"/>
      <c r="CP242" s="124"/>
      <c r="CQ242" s="121"/>
      <c r="CR242" s="122"/>
      <c r="CS242" s="131"/>
      <c r="CT242" s="126"/>
      <c r="EC242" s="344" t="str">
        <f t="shared" si="30"/>
        <v>NARIÑO_SAN LORENZO</v>
      </c>
      <c r="ED242" s="341"/>
      <c r="EE242" s="341" t="s">
        <v>3120</v>
      </c>
      <c r="EF242" s="349" t="s">
        <v>4563</v>
      </c>
      <c r="EG242" s="341" t="s">
        <v>3431</v>
      </c>
      <c r="EH242" s="341" t="s">
        <v>4572</v>
      </c>
      <c r="EI242" s="341" t="str">
        <f t="shared" si="32"/>
        <v>Boyaca_Buenavista</v>
      </c>
    </row>
    <row r="243" spans="1:139" ht="36">
      <c r="A243" s="229">
        <v>40238</v>
      </c>
      <c r="B243" s="220" t="s">
        <v>1824</v>
      </c>
      <c r="C243" s="220" t="s">
        <v>1338</v>
      </c>
      <c r="D243" s="231" t="s">
        <v>1752</v>
      </c>
      <c r="E243" s="322" t="s">
        <v>3993</v>
      </c>
      <c r="F243" s="322"/>
      <c r="G243" s="211"/>
      <c r="H243" s="107"/>
      <c r="I243" s="107"/>
      <c r="J243" s="107">
        <f>839*5</f>
        <v>4195</v>
      </c>
      <c r="K243" s="107">
        <v>839</v>
      </c>
      <c r="L243" s="90">
        <v>40275</v>
      </c>
      <c r="M243" s="108">
        <f t="shared" si="25"/>
        <v>31002728</v>
      </c>
      <c r="N243" s="108">
        <f t="shared" si="26"/>
        <v>71315000</v>
      </c>
      <c r="O243" s="108">
        <f t="shared" si="27"/>
        <v>0</v>
      </c>
      <c r="P243" s="108">
        <f t="shared" si="28"/>
        <v>0</v>
      </c>
      <c r="Q243" s="108"/>
      <c r="R243" s="108">
        <v>0</v>
      </c>
      <c r="S243" s="109">
        <f t="shared" si="31"/>
        <v>102317728</v>
      </c>
      <c r="T243" s="110">
        <v>0</v>
      </c>
      <c r="U243" s="111">
        <v>40249</v>
      </c>
      <c r="V243" s="112">
        <v>95957</v>
      </c>
      <c r="W243" s="111" t="s">
        <v>1606</v>
      </c>
      <c r="X243" s="113" t="s">
        <v>1607</v>
      </c>
      <c r="Y243" s="129" t="s">
        <v>943</v>
      </c>
      <c r="Z243" s="197" t="s">
        <v>643</v>
      </c>
      <c r="AA243" s="115" t="s">
        <v>642</v>
      </c>
      <c r="AB243" s="116"/>
      <c r="AC243" s="117"/>
      <c r="AD243" s="118"/>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9">
        <v>839</v>
      </c>
      <c r="CE243" s="120">
        <f>839*36952</f>
        <v>31002728</v>
      </c>
      <c r="CF243" s="119"/>
      <c r="CG243" s="120"/>
      <c r="CH243" s="119"/>
      <c r="CI243" s="120"/>
      <c r="CJ243" s="128">
        <f t="shared" si="29"/>
        <v>31002728</v>
      </c>
      <c r="CK243" s="121"/>
      <c r="CL243" s="122"/>
      <c r="CM243" s="123">
        <v>839</v>
      </c>
      <c r="CN243" s="124">
        <f>839*85000</f>
        <v>71315000</v>
      </c>
      <c r="CO243" s="125"/>
      <c r="CP243" s="124"/>
      <c r="CQ243" s="121"/>
      <c r="CR243" s="122"/>
      <c r="CS243" s="131"/>
      <c r="CT243" s="126"/>
      <c r="EC243" s="344" t="str">
        <f t="shared" si="30"/>
        <v>NARIÑO_TAMINANGO</v>
      </c>
      <c r="ED243" s="341"/>
      <c r="EE243" s="341" t="s">
        <v>3120</v>
      </c>
      <c r="EF243" s="349" t="s">
        <v>4563</v>
      </c>
      <c r="EG243" s="341" t="s">
        <v>3432</v>
      </c>
      <c r="EH243" s="341" t="s">
        <v>4573</v>
      </c>
      <c r="EI243" s="341" t="str">
        <f t="shared" si="32"/>
        <v>Boyaca_Busbanza</v>
      </c>
    </row>
    <row r="244" spans="1:139" ht="132">
      <c r="A244" s="228">
        <v>40239</v>
      </c>
      <c r="B244" s="102" t="s">
        <v>1972</v>
      </c>
      <c r="C244" s="102" t="s">
        <v>1166</v>
      </c>
      <c r="D244" s="206" t="s">
        <v>2606</v>
      </c>
      <c r="E244" s="320" t="s">
        <v>3247</v>
      </c>
      <c r="F244" s="320"/>
      <c r="G244" s="210"/>
      <c r="H244" s="71"/>
      <c r="I244" s="71"/>
      <c r="J244" s="71">
        <v>2050</v>
      </c>
      <c r="K244" s="71">
        <v>416</v>
      </c>
      <c r="L244" s="1">
        <v>40255</v>
      </c>
      <c r="M244" s="73">
        <f t="shared" si="25"/>
        <v>0</v>
      </c>
      <c r="N244" s="73">
        <f t="shared" si="26"/>
        <v>35360000</v>
      </c>
      <c r="O244" s="73">
        <f t="shared" si="27"/>
        <v>100226320</v>
      </c>
      <c r="P244" s="73">
        <f t="shared" si="28"/>
        <v>0</v>
      </c>
      <c r="Q244" s="73"/>
      <c r="R244" s="73">
        <v>10000000</v>
      </c>
      <c r="S244" s="75">
        <f t="shared" si="31"/>
        <v>145586320</v>
      </c>
      <c r="T244" s="77">
        <v>0</v>
      </c>
      <c r="U244" s="66">
        <v>40240</v>
      </c>
      <c r="V244" s="89" t="s">
        <v>1360</v>
      </c>
      <c r="W244" s="66" t="s">
        <v>1606</v>
      </c>
      <c r="X244" s="24" t="s">
        <v>1607</v>
      </c>
      <c r="Y244" s="83" t="s">
        <v>1647</v>
      </c>
      <c r="Z244" s="177" t="s">
        <v>1403</v>
      </c>
      <c r="AA244" s="80" t="s">
        <v>38</v>
      </c>
      <c r="AB244" s="3"/>
      <c r="AC244" s="4"/>
      <c r="AD244" s="5"/>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6"/>
      <c r="CE244" s="7"/>
      <c r="CF244" s="6"/>
      <c r="CG244" s="7"/>
      <c r="CH244" s="6"/>
      <c r="CI244" s="7"/>
      <c r="CJ244" s="8">
        <f t="shared" si="29"/>
        <v>0</v>
      </c>
      <c r="CK244" s="9"/>
      <c r="CL244" s="10"/>
      <c r="CM244" s="11">
        <v>416</v>
      </c>
      <c r="CN244" s="12">
        <f>416*85000</f>
        <v>35360000</v>
      </c>
      <c r="CO244" s="28">
        <v>36</v>
      </c>
      <c r="CP244" s="12">
        <f>36*30160</f>
        <v>1085760</v>
      </c>
      <c r="CQ244" s="9">
        <f>607+600+507+373+1027</f>
        <v>3114</v>
      </c>
      <c r="CR244" s="10">
        <f>607*43732+600*34220+507*24592+3528*522+2100*174+373*18792+1027*29580</f>
        <v>99140560</v>
      </c>
      <c r="CS244" s="84">
        <v>2</v>
      </c>
      <c r="CT244" s="22" t="s">
        <v>1402</v>
      </c>
      <c r="EC244" s="344" t="str">
        <f t="shared" si="30"/>
        <v>ANTIOQUIA_BETULIA</v>
      </c>
      <c r="ED244" s="341"/>
      <c r="EE244" s="341" t="s">
        <v>3120</v>
      </c>
      <c r="EF244" s="349" t="s">
        <v>4563</v>
      </c>
      <c r="EG244" s="341" t="s">
        <v>3433</v>
      </c>
      <c r="EH244" s="341" t="s">
        <v>3126</v>
      </c>
      <c r="EI244" s="341" t="str">
        <f t="shared" si="32"/>
        <v>Boyaca_Caldas</v>
      </c>
    </row>
    <row r="245" spans="1:139" s="86" customFormat="1" ht="38.25">
      <c r="A245" s="228">
        <v>40239</v>
      </c>
      <c r="B245" s="102" t="s">
        <v>653</v>
      </c>
      <c r="C245" s="102" t="s">
        <v>1974</v>
      </c>
      <c r="D245" s="206" t="s">
        <v>2606</v>
      </c>
      <c r="E245" s="320" t="s">
        <v>3552</v>
      </c>
      <c r="F245" s="320"/>
      <c r="G245" s="210"/>
      <c r="H245" s="71"/>
      <c r="I245" s="71"/>
      <c r="J245" s="71">
        <f>118*5</f>
        <v>590</v>
      </c>
      <c r="K245" s="71">
        <f>113+5</f>
        <v>118</v>
      </c>
      <c r="L245" s="1"/>
      <c r="M245" s="73">
        <f t="shared" si="25"/>
        <v>0</v>
      </c>
      <c r="N245" s="73">
        <f t="shared" si="26"/>
        <v>0</v>
      </c>
      <c r="O245" s="73">
        <f t="shared" si="27"/>
        <v>0</v>
      </c>
      <c r="P245" s="73">
        <f t="shared" si="28"/>
        <v>0</v>
      </c>
      <c r="Q245" s="73"/>
      <c r="R245" s="73">
        <v>0</v>
      </c>
      <c r="S245" s="75">
        <f t="shared" si="31"/>
        <v>0</v>
      </c>
      <c r="T245" s="77">
        <v>0</v>
      </c>
      <c r="U245" s="66">
        <v>40240</v>
      </c>
      <c r="V245" s="79"/>
      <c r="W245" s="66" t="s">
        <v>1585</v>
      </c>
      <c r="X245" s="24" t="s">
        <v>1586</v>
      </c>
      <c r="Y245" s="62"/>
      <c r="Z245" s="177" t="s">
        <v>894</v>
      </c>
      <c r="AA245" s="80" t="s">
        <v>1165</v>
      </c>
      <c r="AB245" s="3"/>
      <c r="AC245" s="4"/>
      <c r="AD245" s="5"/>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6"/>
      <c r="CE245" s="7"/>
      <c r="CF245" s="6"/>
      <c r="CG245" s="7"/>
      <c r="CH245" s="6"/>
      <c r="CI245" s="7"/>
      <c r="CJ245" s="8">
        <f t="shared" si="29"/>
        <v>0</v>
      </c>
      <c r="CK245" s="9"/>
      <c r="CL245" s="10"/>
      <c r="CM245" s="11"/>
      <c r="CN245" s="12"/>
      <c r="CO245" s="28"/>
      <c r="CP245" s="12"/>
      <c r="CQ245" s="9"/>
      <c r="CR245" s="10"/>
      <c r="CS245" s="68"/>
      <c r="CT245" s="22"/>
      <c r="EC245" s="344" t="str">
        <f t="shared" si="30"/>
        <v>CALDAS_MANZANARES</v>
      </c>
      <c r="ED245" s="341"/>
      <c r="EE245" s="341" t="s">
        <v>3120</v>
      </c>
      <c r="EF245" s="349" t="s">
        <v>4563</v>
      </c>
      <c r="EG245" s="341" t="s">
        <v>3434</v>
      </c>
      <c r="EH245" s="341" t="s">
        <v>4574</v>
      </c>
      <c r="EI245" s="341" t="str">
        <f t="shared" si="32"/>
        <v>Boyaca_Campohermoso</v>
      </c>
    </row>
    <row r="246" spans="1:139" ht="67.5">
      <c r="A246" s="228">
        <v>40239</v>
      </c>
      <c r="B246" s="102" t="s">
        <v>1617</v>
      </c>
      <c r="C246" s="102" t="s">
        <v>735</v>
      </c>
      <c r="D246" s="206" t="s">
        <v>2606</v>
      </c>
      <c r="E246" s="320" t="s">
        <v>4282</v>
      </c>
      <c r="F246" s="320"/>
      <c r="G246" s="210"/>
      <c r="H246" s="71"/>
      <c r="I246" s="71"/>
      <c r="J246" s="71">
        <v>70</v>
      </c>
      <c r="K246" s="71">
        <v>14</v>
      </c>
      <c r="L246" s="1">
        <v>40261</v>
      </c>
      <c r="M246" s="73">
        <f t="shared" si="25"/>
        <v>0</v>
      </c>
      <c r="N246" s="73">
        <f t="shared" si="26"/>
        <v>0</v>
      </c>
      <c r="O246" s="73">
        <f t="shared" si="27"/>
        <v>5266400</v>
      </c>
      <c r="P246" s="73">
        <f t="shared" si="28"/>
        <v>0</v>
      </c>
      <c r="Q246" s="73"/>
      <c r="R246" s="73">
        <v>0</v>
      </c>
      <c r="S246" s="75">
        <f t="shared" si="31"/>
        <v>5266400</v>
      </c>
      <c r="T246" s="77">
        <v>0</v>
      </c>
      <c r="U246" s="66">
        <v>40240</v>
      </c>
      <c r="V246" s="79">
        <v>95757</v>
      </c>
      <c r="W246" s="66" t="s">
        <v>1606</v>
      </c>
      <c r="X246" s="24" t="s">
        <v>1607</v>
      </c>
      <c r="Y246" s="62">
        <v>50</v>
      </c>
      <c r="Z246" s="177" t="s">
        <v>576</v>
      </c>
      <c r="AA246" s="80" t="s">
        <v>2742</v>
      </c>
      <c r="AB246" s="3"/>
      <c r="AC246" s="4"/>
      <c r="AD246" s="5"/>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6"/>
      <c r="CE246" s="7"/>
      <c r="CF246" s="6"/>
      <c r="CG246" s="7"/>
      <c r="CH246" s="6"/>
      <c r="CI246" s="7"/>
      <c r="CJ246" s="8">
        <f t="shared" si="29"/>
        <v>0</v>
      </c>
      <c r="CK246" s="9"/>
      <c r="CL246" s="10"/>
      <c r="CM246" s="11"/>
      <c r="CN246" s="12"/>
      <c r="CO246" s="28">
        <v>50</v>
      </c>
      <c r="CP246" s="12">
        <f>50*30160</f>
        <v>1508000</v>
      </c>
      <c r="CQ246" s="9">
        <v>200</v>
      </c>
      <c r="CR246" s="10">
        <f>200*18792</f>
        <v>3758400</v>
      </c>
      <c r="CS246" s="68"/>
      <c r="EC246" s="344" t="str">
        <f t="shared" si="30"/>
        <v>CASANARE_PAZ DE ARIPORO</v>
      </c>
      <c r="ED246" s="341"/>
      <c r="EE246" s="341" t="s">
        <v>3120</v>
      </c>
      <c r="EF246" s="349" t="s">
        <v>4563</v>
      </c>
      <c r="EG246" s="341" t="s">
        <v>3435</v>
      </c>
      <c r="EH246" s="341" t="s">
        <v>4575</v>
      </c>
      <c r="EI246" s="341" t="str">
        <f t="shared" si="32"/>
        <v>Boyaca_Cerinza</v>
      </c>
    </row>
    <row r="247" spans="1:139" ht="38.25">
      <c r="A247" s="228">
        <v>40239</v>
      </c>
      <c r="B247" s="102" t="s">
        <v>965</v>
      </c>
      <c r="C247" s="102" t="s">
        <v>312</v>
      </c>
      <c r="D247" s="206" t="s">
        <v>2606</v>
      </c>
      <c r="E247" s="320" t="s">
        <v>3999</v>
      </c>
      <c r="F247" s="320"/>
      <c r="G247" s="210"/>
      <c r="H247" s="71"/>
      <c r="I247" s="71"/>
      <c r="J247" s="71">
        <v>35</v>
      </c>
      <c r="K247" s="71">
        <v>7</v>
      </c>
      <c r="L247" s="1"/>
      <c r="M247" s="73">
        <f t="shared" si="25"/>
        <v>0</v>
      </c>
      <c r="N247" s="73">
        <f t="shared" si="26"/>
        <v>0</v>
      </c>
      <c r="O247" s="73">
        <f t="shared" si="27"/>
        <v>0</v>
      </c>
      <c r="P247" s="73">
        <f t="shared" si="28"/>
        <v>0</v>
      </c>
      <c r="Q247" s="73"/>
      <c r="R247" s="73">
        <v>0</v>
      </c>
      <c r="S247" s="75">
        <f t="shared" si="31"/>
        <v>0</v>
      </c>
      <c r="T247" s="77">
        <v>0</v>
      </c>
      <c r="U247" s="66">
        <v>40240</v>
      </c>
      <c r="V247" s="79"/>
      <c r="W247" s="66" t="s">
        <v>1585</v>
      </c>
      <c r="X247" s="24" t="s">
        <v>1586</v>
      </c>
      <c r="Y247" s="62"/>
      <c r="Z247" s="177" t="s">
        <v>894</v>
      </c>
      <c r="AA247" s="82" t="s">
        <v>570</v>
      </c>
      <c r="AB247" s="3"/>
      <c r="AC247" s="4"/>
      <c r="AD247" s="5"/>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6"/>
      <c r="CE247" s="7"/>
      <c r="CF247" s="6"/>
      <c r="CG247" s="7"/>
      <c r="CH247" s="6"/>
      <c r="CI247" s="7"/>
      <c r="CJ247" s="8">
        <f t="shared" si="29"/>
        <v>0</v>
      </c>
      <c r="CK247" s="9"/>
      <c r="CL247" s="10"/>
      <c r="CM247" s="11"/>
      <c r="CN247" s="12"/>
      <c r="CO247" s="28"/>
      <c r="CP247" s="12"/>
      <c r="CQ247" s="9"/>
      <c r="CR247" s="10"/>
      <c r="CS247" s="68"/>
      <c r="EC247" s="344" t="str">
        <f t="shared" si="30"/>
        <v>NORTE DE SANTANDER_ABREGO</v>
      </c>
      <c r="ED247" s="341"/>
      <c r="EE247" s="341" t="s">
        <v>3120</v>
      </c>
      <c r="EF247" s="349" t="s">
        <v>4563</v>
      </c>
      <c r="EG247" s="341" t="s">
        <v>3436</v>
      </c>
      <c r="EH247" s="341" t="s">
        <v>4576</v>
      </c>
      <c r="EI247" s="341" t="str">
        <f t="shared" si="32"/>
        <v>Boyaca_Chinavita</v>
      </c>
    </row>
    <row r="248" spans="1:139" ht="45">
      <c r="A248" s="228">
        <v>40239</v>
      </c>
      <c r="B248" s="102" t="s">
        <v>2400</v>
      </c>
      <c r="C248" s="102" t="s">
        <v>736</v>
      </c>
      <c r="D248" s="206" t="s">
        <v>2606</v>
      </c>
      <c r="E248" s="320" t="s">
        <v>4186</v>
      </c>
      <c r="F248" s="320"/>
      <c r="G248" s="210"/>
      <c r="H248" s="71"/>
      <c r="I248" s="71"/>
      <c r="J248" s="71">
        <v>200</v>
      </c>
      <c r="K248" s="71">
        <v>40</v>
      </c>
      <c r="L248" s="1">
        <v>40252</v>
      </c>
      <c r="M248" s="73">
        <f t="shared" si="25"/>
        <v>2980000</v>
      </c>
      <c r="N248" s="73">
        <f t="shared" si="26"/>
        <v>3400000</v>
      </c>
      <c r="O248" s="73">
        <f t="shared" si="27"/>
        <v>3758400</v>
      </c>
      <c r="P248" s="73">
        <f t="shared" si="28"/>
        <v>0</v>
      </c>
      <c r="Q248" s="73"/>
      <c r="R248" s="73">
        <v>0</v>
      </c>
      <c r="S248" s="75">
        <f t="shared" si="31"/>
        <v>10138400</v>
      </c>
      <c r="T248" s="77">
        <v>0</v>
      </c>
      <c r="U248" s="66">
        <v>40241</v>
      </c>
      <c r="V248" s="79">
        <v>95751</v>
      </c>
      <c r="W248" s="66" t="s">
        <v>1606</v>
      </c>
      <c r="X248" s="24" t="s">
        <v>1607</v>
      </c>
      <c r="Y248" s="83" t="s">
        <v>2719</v>
      </c>
      <c r="Z248" s="177" t="s">
        <v>2580</v>
      </c>
      <c r="AA248" s="80" t="s">
        <v>1702</v>
      </c>
      <c r="AB248" s="3"/>
      <c r="AC248" s="4"/>
      <c r="AD248" s="5"/>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6">
        <v>40</v>
      </c>
      <c r="CE248" s="7">
        <f>40*38500</f>
        <v>1540000</v>
      </c>
      <c r="CF248" s="6">
        <v>40</v>
      </c>
      <c r="CG248" s="7">
        <f>40*36000</f>
        <v>1440000</v>
      </c>
      <c r="CH248" s="6"/>
      <c r="CI248" s="7"/>
      <c r="CJ248" s="8">
        <f t="shared" si="29"/>
        <v>2980000</v>
      </c>
      <c r="CK248" s="9"/>
      <c r="CL248" s="10"/>
      <c r="CM248" s="11">
        <v>40</v>
      </c>
      <c r="CN248" s="12">
        <f>40*85000</f>
        <v>3400000</v>
      </c>
      <c r="CO248" s="28"/>
      <c r="CP248" s="12"/>
      <c r="CQ248" s="9">
        <v>200</v>
      </c>
      <c r="CR248" s="10">
        <f>200*18792</f>
        <v>3758400</v>
      </c>
      <c r="CS248" s="84"/>
      <c r="EC248" s="344" t="str">
        <f t="shared" si="30"/>
        <v>TOLIMA_CASABIANCA</v>
      </c>
      <c r="ED248" s="341"/>
      <c r="EE248" s="341" t="s">
        <v>3120</v>
      </c>
      <c r="EF248" s="349" t="s">
        <v>4563</v>
      </c>
      <c r="EG248" s="341" t="s">
        <v>3437</v>
      </c>
      <c r="EH248" s="341" t="s">
        <v>4577</v>
      </c>
      <c r="EI248" s="341" t="str">
        <f t="shared" si="32"/>
        <v>Boyaca_Chiquinquira</v>
      </c>
    </row>
    <row r="249" spans="1:139" s="101" customFormat="1" ht="90">
      <c r="A249" s="228">
        <v>40239</v>
      </c>
      <c r="B249" s="102" t="s">
        <v>2400</v>
      </c>
      <c r="C249" s="102" t="s">
        <v>1701</v>
      </c>
      <c r="D249" s="206" t="s">
        <v>2606</v>
      </c>
      <c r="E249" s="320" t="s">
        <v>4188</v>
      </c>
      <c r="F249" s="320"/>
      <c r="G249" s="210"/>
      <c r="H249" s="71"/>
      <c r="I249" s="71"/>
      <c r="J249" s="71">
        <f>15*5</f>
        <v>75</v>
      </c>
      <c r="K249" s="71">
        <v>15</v>
      </c>
      <c r="L249" s="1">
        <v>40252</v>
      </c>
      <c r="M249" s="73">
        <f t="shared" si="25"/>
        <v>1117500</v>
      </c>
      <c r="N249" s="73">
        <f t="shared" si="26"/>
        <v>1275000</v>
      </c>
      <c r="O249" s="73">
        <f t="shared" si="27"/>
        <v>1879200</v>
      </c>
      <c r="P249" s="73">
        <f t="shared" si="28"/>
        <v>0</v>
      </c>
      <c r="Q249" s="73"/>
      <c r="R249" s="73">
        <v>0</v>
      </c>
      <c r="S249" s="75">
        <f t="shared" si="31"/>
        <v>4271700</v>
      </c>
      <c r="T249" s="77">
        <v>0</v>
      </c>
      <c r="U249" s="66">
        <v>40242</v>
      </c>
      <c r="V249" s="79">
        <v>95751</v>
      </c>
      <c r="W249" s="66" t="s">
        <v>1606</v>
      </c>
      <c r="X249" s="24" t="s">
        <v>1607</v>
      </c>
      <c r="Y249" s="83" t="s">
        <v>2719</v>
      </c>
      <c r="Z249" s="177" t="s">
        <v>629</v>
      </c>
      <c r="AA249" s="80" t="s">
        <v>1260</v>
      </c>
      <c r="AB249" s="3"/>
      <c r="AC249" s="4"/>
      <c r="AD249" s="5"/>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6">
        <v>15</v>
      </c>
      <c r="CE249" s="7">
        <f>15*38500</f>
        <v>577500</v>
      </c>
      <c r="CF249" s="6">
        <v>15</v>
      </c>
      <c r="CG249" s="7">
        <f>15*36000</f>
        <v>540000</v>
      </c>
      <c r="CH249" s="6"/>
      <c r="CI249" s="7"/>
      <c r="CJ249" s="8">
        <f t="shared" si="29"/>
        <v>1117500</v>
      </c>
      <c r="CK249" s="9"/>
      <c r="CL249" s="10"/>
      <c r="CM249" s="11">
        <v>15</v>
      </c>
      <c r="CN249" s="12">
        <f>15*85000</f>
        <v>1275000</v>
      </c>
      <c r="CO249" s="28"/>
      <c r="CP249" s="12"/>
      <c r="CQ249" s="9">
        <v>100</v>
      </c>
      <c r="CR249" s="10">
        <f>100*18792</f>
        <v>1879200</v>
      </c>
      <c r="CS249" s="84"/>
      <c r="CT249" s="22"/>
      <c r="EC249" s="344" t="str">
        <f t="shared" si="30"/>
        <v>TOLIMA_COELLO</v>
      </c>
      <c r="ED249" s="341"/>
      <c r="EE249" s="341" t="s">
        <v>3120</v>
      </c>
      <c r="EF249" s="349" t="s">
        <v>4563</v>
      </c>
      <c r="EG249" s="341" t="s">
        <v>3438</v>
      </c>
      <c r="EH249" s="341" t="s">
        <v>4578</v>
      </c>
      <c r="EI249" s="341" t="str">
        <f t="shared" si="32"/>
        <v>Boyaca_Chiscas</v>
      </c>
    </row>
    <row r="250" spans="1:139" ht="90">
      <c r="A250" s="228">
        <v>40239</v>
      </c>
      <c r="B250" s="102" t="s">
        <v>2400</v>
      </c>
      <c r="C250" s="102" t="s">
        <v>738</v>
      </c>
      <c r="D250" s="206" t="s">
        <v>2606</v>
      </c>
      <c r="E250" s="320" t="s">
        <v>4195</v>
      </c>
      <c r="F250" s="320"/>
      <c r="G250" s="210"/>
      <c r="H250" s="71"/>
      <c r="I250" s="71"/>
      <c r="J250" s="71">
        <f>80*5</f>
        <v>400</v>
      </c>
      <c r="K250" s="71">
        <v>80</v>
      </c>
      <c r="L250" s="1">
        <v>40252</v>
      </c>
      <c r="M250" s="73">
        <f t="shared" si="25"/>
        <v>5960000</v>
      </c>
      <c r="N250" s="73">
        <f t="shared" si="26"/>
        <v>6800000</v>
      </c>
      <c r="O250" s="73">
        <f t="shared" si="27"/>
        <v>5637600</v>
      </c>
      <c r="P250" s="73">
        <f t="shared" si="28"/>
        <v>0</v>
      </c>
      <c r="Q250" s="73"/>
      <c r="R250" s="73">
        <v>0</v>
      </c>
      <c r="S250" s="75">
        <f t="shared" si="31"/>
        <v>18397600</v>
      </c>
      <c r="T250" s="77">
        <v>0</v>
      </c>
      <c r="U250" s="66">
        <v>40242</v>
      </c>
      <c r="V250" s="79">
        <v>95751</v>
      </c>
      <c r="W250" s="66" t="s">
        <v>1606</v>
      </c>
      <c r="X250" s="24" t="s">
        <v>1607</v>
      </c>
      <c r="Y250" s="83" t="s">
        <v>2719</v>
      </c>
      <c r="Z250" s="177" t="s">
        <v>629</v>
      </c>
      <c r="AA250" s="80" t="s">
        <v>1259</v>
      </c>
      <c r="AB250" s="3"/>
      <c r="AC250" s="4"/>
      <c r="AD250" s="5"/>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6">
        <v>80</v>
      </c>
      <c r="CE250" s="7">
        <f>80*38500</f>
        <v>3080000</v>
      </c>
      <c r="CF250" s="6">
        <v>80</v>
      </c>
      <c r="CG250" s="7">
        <f>80*36000</f>
        <v>2880000</v>
      </c>
      <c r="CH250" s="6"/>
      <c r="CI250" s="7"/>
      <c r="CJ250" s="8">
        <f t="shared" si="29"/>
        <v>5960000</v>
      </c>
      <c r="CK250" s="9"/>
      <c r="CL250" s="10"/>
      <c r="CM250" s="11">
        <v>80</v>
      </c>
      <c r="CN250" s="12">
        <f>80*85000</f>
        <v>6800000</v>
      </c>
      <c r="CO250" s="28"/>
      <c r="CP250" s="12"/>
      <c r="CQ250" s="9">
        <v>300</v>
      </c>
      <c r="CR250" s="10">
        <f>300*18792</f>
        <v>5637600</v>
      </c>
      <c r="CS250" s="84"/>
      <c r="EC250" s="344" t="str">
        <f t="shared" si="30"/>
        <v>TOLIMA_FRESNO</v>
      </c>
      <c r="ED250" s="341"/>
      <c r="EE250" s="341" t="s">
        <v>3120</v>
      </c>
      <c r="EF250" s="349" t="s">
        <v>4563</v>
      </c>
      <c r="EG250" s="341" t="s">
        <v>3439</v>
      </c>
      <c r="EH250" s="341" t="s">
        <v>4579</v>
      </c>
      <c r="EI250" s="341" t="str">
        <f t="shared" si="32"/>
        <v>Boyaca_Chita</v>
      </c>
    </row>
    <row r="251" spans="1:139" ht="90">
      <c r="A251" s="228">
        <v>40239</v>
      </c>
      <c r="B251" s="102" t="s">
        <v>2400</v>
      </c>
      <c r="C251" s="102" t="s">
        <v>737</v>
      </c>
      <c r="D251" s="206" t="s">
        <v>2606</v>
      </c>
      <c r="E251" s="320" t="s">
        <v>4202</v>
      </c>
      <c r="F251" s="320"/>
      <c r="G251" s="210"/>
      <c r="H251" s="71"/>
      <c r="I251" s="71"/>
      <c r="J251" s="71">
        <f>20*5</f>
        <v>100</v>
      </c>
      <c r="K251" s="71">
        <v>20</v>
      </c>
      <c r="L251" s="1">
        <v>40252</v>
      </c>
      <c r="M251" s="73">
        <f t="shared" si="25"/>
        <v>1490000</v>
      </c>
      <c r="N251" s="73">
        <f t="shared" si="26"/>
        <v>1700000</v>
      </c>
      <c r="O251" s="73">
        <f t="shared" si="27"/>
        <v>1879200</v>
      </c>
      <c r="P251" s="73">
        <f t="shared" si="28"/>
        <v>0</v>
      </c>
      <c r="Q251" s="73"/>
      <c r="R251" s="73">
        <v>0</v>
      </c>
      <c r="S251" s="75">
        <f t="shared" si="31"/>
        <v>5069200</v>
      </c>
      <c r="T251" s="77">
        <v>0</v>
      </c>
      <c r="U251" s="66">
        <v>40241</v>
      </c>
      <c r="V251" s="79">
        <v>95751</v>
      </c>
      <c r="W251" s="66" t="s">
        <v>1606</v>
      </c>
      <c r="X251" s="24" t="s">
        <v>1607</v>
      </c>
      <c r="Y251" s="83" t="s">
        <v>2719</v>
      </c>
      <c r="Z251" s="177" t="s">
        <v>629</v>
      </c>
      <c r="AA251" s="80" t="s">
        <v>1703</v>
      </c>
      <c r="AB251" s="3"/>
      <c r="AC251" s="4"/>
      <c r="AD251" s="5"/>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6">
        <v>20</v>
      </c>
      <c r="CE251" s="7">
        <f>20*38500</f>
        <v>770000</v>
      </c>
      <c r="CF251" s="6">
        <v>20</v>
      </c>
      <c r="CG251" s="7">
        <f>20*36000</f>
        <v>720000</v>
      </c>
      <c r="CH251" s="6"/>
      <c r="CI251" s="7"/>
      <c r="CJ251" s="8">
        <f t="shared" si="29"/>
        <v>1490000</v>
      </c>
      <c r="CK251" s="9"/>
      <c r="CL251" s="10"/>
      <c r="CM251" s="11">
        <v>20</v>
      </c>
      <c r="CN251" s="12">
        <f>20*85000</f>
        <v>1700000</v>
      </c>
      <c r="CO251" s="28"/>
      <c r="CP251" s="12"/>
      <c r="CQ251" s="9">
        <v>100</v>
      </c>
      <c r="CR251" s="10">
        <f>100*18792</f>
        <v>1879200</v>
      </c>
      <c r="CS251" s="84"/>
      <c r="EC251" s="344" t="str">
        <f t="shared" si="30"/>
        <v>TOLIMA_MARIQUITA</v>
      </c>
      <c r="ED251" s="341"/>
      <c r="EE251" s="341" t="s">
        <v>3120</v>
      </c>
      <c r="EF251" s="349" t="s">
        <v>4563</v>
      </c>
      <c r="EG251" s="341" t="s">
        <v>3440</v>
      </c>
      <c r="EH251" s="341" t="s">
        <v>4580</v>
      </c>
      <c r="EI251" s="341" t="str">
        <f t="shared" si="32"/>
        <v>Boyaca_Chitaraque</v>
      </c>
    </row>
    <row r="252" spans="1:139" ht="67.5">
      <c r="A252" s="228">
        <v>40240</v>
      </c>
      <c r="B252" s="102" t="s">
        <v>1617</v>
      </c>
      <c r="C252" s="102" t="s">
        <v>401</v>
      </c>
      <c r="D252" s="206" t="s">
        <v>2606</v>
      </c>
      <c r="E252" s="320" t="s">
        <v>4276</v>
      </c>
      <c r="F252" s="320"/>
      <c r="G252" s="210"/>
      <c r="H252" s="71"/>
      <c r="I252" s="71"/>
      <c r="J252" s="71">
        <v>33</v>
      </c>
      <c r="K252" s="71">
        <v>5</v>
      </c>
      <c r="L252" s="1">
        <v>40261</v>
      </c>
      <c r="M252" s="73">
        <f t="shared" si="25"/>
        <v>0</v>
      </c>
      <c r="N252" s="73">
        <f t="shared" si="26"/>
        <v>0</v>
      </c>
      <c r="O252" s="73">
        <f t="shared" si="27"/>
        <v>1693600</v>
      </c>
      <c r="P252" s="73">
        <f t="shared" si="28"/>
        <v>0</v>
      </c>
      <c r="Q252" s="73"/>
      <c r="R252" s="73">
        <v>0</v>
      </c>
      <c r="S252" s="75">
        <f t="shared" si="31"/>
        <v>1693600</v>
      </c>
      <c r="T252" s="77">
        <v>0</v>
      </c>
      <c r="U252" s="66">
        <v>40240</v>
      </c>
      <c r="V252" s="79">
        <v>95743</v>
      </c>
      <c r="W252" s="66" t="s">
        <v>1606</v>
      </c>
      <c r="X252" s="24" t="s">
        <v>1607</v>
      </c>
      <c r="Y252" s="62">
        <v>50</v>
      </c>
      <c r="Z252" s="177" t="s">
        <v>576</v>
      </c>
      <c r="AA252" s="80" t="s">
        <v>566</v>
      </c>
      <c r="AB252" s="3"/>
      <c r="AC252" s="4"/>
      <c r="AD252" s="5"/>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6"/>
      <c r="CE252" s="7"/>
      <c r="CF252" s="6"/>
      <c r="CG252" s="7"/>
      <c r="CH252" s="6"/>
      <c r="CI252" s="7"/>
      <c r="CJ252" s="8">
        <f t="shared" si="29"/>
        <v>0</v>
      </c>
      <c r="CK252" s="9"/>
      <c r="CL252" s="10"/>
      <c r="CM252" s="11"/>
      <c r="CN252" s="12"/>
      <c r="CO252" s="28">
        <v>25</v>
      </c>
      <c r="CP252" s="12">
        <f>25*30160</f>
        <v>754000</v>
      </c>
      <c r="CQ252" s="9">
        <v>50</v>
      </c>
      <c r="CR252" s="10">
        <f>50*18792</f>
        <v>939600</v>
      </c>
      <c r="CS252" s="68"/>
      <c r="EC252" s="344" t="str">
        <f t="shared" si="30"/>
        <v>CASANARE_HATO COROZAL</v>
      </c>
      <c r="ED252" s="341"/>
      <c r="EE252" s="341" t="s">
        <v>3120</v>
      </c>
      <c r="EF252" s="349" t="s">
        <v>4563</v>
      </c>
      <c r="EG252" s="341" t="s">
        <v>3441</v>
      </c>
      <c r="EH252" s="341" t="s">
        <v>4581</v>
      </c>
      <c r="EI252" s="341" t="str">
        <f t="shared" si="32"/>
        <v>Boyaca_Chivata</v>
      </c>
    </row>
    <row r="253" spans="1:139" ht="84">
      <c r="A253" s="228">
        <v>40240</v>
      </c>
      <c r="B253" s="102" t="s">
        <v>1998</v>
      </c>
      <c r="C253" s="102" t="s">
        <v>1405</v>
      </c>
      <c r="D253" s="206" t="s">
        <v>1752</v>
      </c>
      <c r="E253" s="320" t="s">
        <v>4088</v>
      </c>
      <c r="F253" s="320"/>
      <c r="G253" s="210"/>
      <c r="H253" s="71"/>
      <c r="I253" s="71"/>
      <c r="J253" s="71">
        <f>429*5</f>
        <v>2145</v>
      </c>
      <c r="K253" s="71">
        <v>429</v>
      </c>
      <c r="L253" s="1">
        <v>40318</v>
      </c>
      <c r="M253" s="73">
        <f t="shared" si="25"/>
        <v>0</v>
      </c>
      <c r="N253" s="73">
        <f t="shared" si="26"/>
        <v>0</v>
      </c>
      <c r="O253" s="73">
        <f t="shared" si="27"/>
        <v>0</v>
      </c>
      <c r="P253" s="73">
        <f t="shared" si="28"/>
        <v>0</v>
      </c>
      <c r="Q253" s="73"/>
      <c r="R253" s="73">
        <v>50000000</v>
      </c>
      <c r="S253" s="75">
        <f t="shared" si="31"/>
        <v>50000000</v>
      </c>
      <c r="T253" s="77">
        <v>0</v>
      </c>
      <c r="U253" s="66">
        <v>40316</v>
      </c>
      <c r="V253" s="79">
        <v>97575</v>
      </c>
      <c r="W253" s="66" t="s">
        <v>1606</v>
      </c>
      <c r="X253" s="24" t="s">
        <v>1607</v>
      </c>
      <c r="Y253" s="62">
        <v>260</v>
      </c>
      <c r="Z253" s="177" t="s">
        <v>665</v>
      </c>
      <c r="AA253" s="80" t="s">
        <v>1213</v>
      </c>
      <c r="AB253" s="3"/>
      <c r="AC253" s="4"/>
      <c r="AD253" s="5"/>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6"/>
      <c r="CE253" s="7"/>
      <c r="CF253" s="6"/>
      <c r="CG253" s="7"/>
      <c r="CH253" s="6"/>
      <c r="CI253" s="7"/>
      <c r="CJ253" s="8">
        <f t="shared" si="29"/>
        <v>0</v>
      </c>
      <c r="CK253" s="9"/>
      <c r="CL253" s="10"/>
      <c r="CM253" s="11"/>
      <c r="CN253" s="12"/>
      <c r="CO253" s="28"/>
      <c r="CP253" s="12"/>
      <c r="CQ253" s="9"/>
      <c r="CR253" s="10"/>
      <c r="CS253" s="68">
        <v>2</v>
      </c>
      <c r="EC253" s="344" t="str">
        <f t="shared" si="30"/>
        <v>SANTANDER_CURITI</v>
      </c>
      <c r="ED253" s="341"/>
      <c r="EE253" s="341" t="s">
        <v>3120</v>
      </c>
      <c r="EF253" s="349" t="s">
        <v>4563</v>
      </c>
      <c r="EG253" s="341" t="s">
        <v>3442</v>
      </c>
      <c r="EH253" s="341" t="s">
        <v>4582</v>
      </c>
      <c r="EI253" s="341" t="str">
        <f t="shared" si="32"/>
        <v>Boyaca_Cienega</v>
      </c>
    </row>
    <row r="254" spans="1:139" ht="36">
      <c r="A254" s="228">
        <v>40240</v>
      </c>
      <c r="B254" s="102" t="s">
        <v>2400</v>
      </c>
      <c r="C254" s="102" t="s">
        <v>734</v>
      </c>
      <c r="D254" s="206" t="s">
        <v>2606</v>
      </c>
      <c r="E254" s="320" t="s">
        <v>4221</v>
      </c>
      <c r="F254" s="320"/>
      <c r="G254" s="210"/>
      <c r="H254" s="71"/>
      <c r="I254" s="71"/>
      <c r="J254" s="71">
        <v>6</v>
      </c>
      <c r="K254" s="71">
        <v>1</v>
      </c>
      <c r="L254" s="1"/>
      <c r="M254" s="73">
        <f t="shared" si="25"/>
        <v>0</v>
      </c>
      <c r="N254" s="73">
        <f t="shared" si="26"/>
        <v>0</v>
      </c>
      <c r="O254" s="73">
        <f t="shared" si="27"/>
        <v>0</v>
      </c>
      <c r="P254" s="73">
        <f t="shared" si="28"/>
        <v>0</v>
      </c>
      <c r="Q254" s="73"/>
      <c r="R254" s="73">
        <v>0</v>
      </c>
      <c r="S254" s="75">
        <f t="shared" si="31"/>
        <v>0</v>
      </c>
      <c r="T254" s="77">
        <v>0</v>
      </c>
      <c r="U254" s="66">
        <v>40241</v>
      </c>
      <c r="V254" s="79"/>
      <c r="W254" s="66" t="s">
        <v>1585</v>
      </c>
      <c r="X254" s="24" t="s">
        <v>1586</v>
      </c>
      <c r="Y254" s="62"/>
      <c r="Z254" s="177" t="s">
        <v>894</v>
      </c>
      <c r="AA254" s="80" t="s">
        <v>1261</v>
      </c>
      <c r="AB254" s="3"/>
      <c r="AC254" s="4"/>
      <c r="AD254" s="5"/>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6"/>
      <c r="CE254" s="7"/>
      <c r="CF254" s="6"/>
      <c r="CG254" s="7"/>
      <c r="CH254" s="6"/>
      <c r="CI254" s="7"/>
      <c r="CJ254" s="8">
        <f t="shared" si="29"/>
        <v>0</v>
      </c>
      <c r="CK254" s="9"/>
      <c r="CL254" s="10"/>
      <c r="CM254" s="11"/>
      <c r="CN254" s="12"/>
      <c r="CO254" s="28"/>
      <c r="CP254" s="12"/>
      <c r="CQ254" s="9"/>
      <c r="CR254" s="10"/>
      <c r="CS254" s="68"/>
      <c r="EC254" s="344" t="str">
        <f t="shared" si="30"/>
        <v>TOLIMA_VENADILLO</v>
      </c>
      <c r="ED254" s="341"/>
      <c r="EE254" s="341" t="s">
        <v>3120</v>
      </c>
      <c r="EF254" s="349" t="s">
        <v>4563</v>
      </c>
      <c r="EG254" s="341" t="s">
        <v>3443</v>
      </c>
      <c r="EH254" s="341" t="s">
        <v>4583</v>
      </c>
      <c r="EI254" s="341" t="str">
        <f t="shared" si="32"/>
        <v>Boyaca_Combita</v>
      </c>
    </row>
    <row r="255" spans="1:139" ht="56.25">
      <c r="A255" s="228">
        <v>40241</v>
      </c>
      <c r="B255" s="102" t="s">
        <v>1314</v>
      </c>
      <c r="C255" s="102" t="s">
        <v>2734</v>
      </c>
      <c r="D255" s="206" t="s">
        <v>618</v>
      </c>
      <c r="E255" s="320" t="s">
        <v>3603</v>
      </c>
      <c r="F255" s="320"/>
      <c r="G255" s="210"/>
      <c r="H255" s="71"/>
      <c r="I255" s="71"/>
      <c r="J255" s="71">
        <f>158*5</f>
        <v>790</v>
      </c>
      <c r="K255" s="71">
        <v>158</v>
      </c>
      <c r="L255" s="1">
        <v>40302</v>
      </c>
      <c r="M255" s="73">
        <f t="shared" si="25"/>
        <v>11526416</v>
      </c>
      <c r="N255" s="73">
        <f t="shared" si="26"/>
        <v>26860000</v>
      </c>
      <c r="O255" s="73">
        <f t="shared" si="27"/>
        <v>24088000</v>
      </c>
      <c r="P255" s="73">
        <f t="shared" si="28"/>
        <v>0</v>
      </c>
      <c r="Q255" s="73">
        <f>500*1675</f>
        <v>837500</v>
      </c>
      <c r="R255" s="73">
        <v>0</v>
      </c>
      <c r="S255" s="75">
        <f t="shared" si="31"/>
        <v>63311916</v>
      </c>
      <c r="T255" s="77">
        <v>0</v>
      </c>
      <c r="U255" s="66">
        <v>40283</v>
      </c>
      <c r="V255" s="79">
        <v>96588</v>
      </c>
      <c r="W255" s="66" t="s">
        <v>1606</v>
      </c>
      <c r="X255" s="24" t="s">
        <v>1607</v>
      </c>
      <c r="Y255" s="62">
        <v>103</v>
      </c>
      <c r="Z255" s="177" t="s">
        <v>2794</v>
      </c>
      <c r="AA255" s="80" t="s">
        <v>2219</v>
      </c>
      <c r="AB255" s="3"/>
      <c r="AC255" s="4"/>
      <c r="AD255" s="5"/>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6">
        <v>158</v>
      </c>
      <c r="CE255" s="7">
        <f>158*36952</f>
        <v>5838416</v>
      </c>
      <c r="CF255" s="6">
        <v>158</v>
      </c>
      <c r="CG255" s="7">
        <f>158*36000</f>
        <v>5688000</v>
      </c>
      <c r="CH255" s="6"/>
      <c r="CI255" s="7"/>
      <c r="CJ255" s="8">
        <f t="shared" si="29"/>
        <v>11526416</v>
      </c>
      <c r="CK255" s="9"/>
      <c r="CL255" s="10"/>
      <c r="CM255" s="11">
        <v>316</v>
      </c>
      <c r="CN255" s="12">
        <f>316*85000</f>
        <v>26860000</v>
      </c>
      <c r="CO255" s="28"/>
      <c r="CP255" s="12"/>
      <c r="CQ255" s="9">
        <v>1000</v>
      </c>
      <c r="CR255" s="10">
        <f>1000*22000+6000*348</f>
        <v>24088000</v>
      </c>
      <c r="CS255" s="68"/>
      <c r="EC255" s="344" t="str">
        <f t="shared" si="30"/>
        <v>CAUCA_LA VEGA</v>
      </c>
      <c r="ED255" s="341"/>
      <c r="EE255" s="341" t="s">
        <v>3120</v>
      </c>
      <c r="EF255" s="349" t="s">
        <v>4563</v>
      </c>
      <c r="EG255" s="341" t="s">
        <v>3444</v>
      </c>
      <c r="EH255" s="341" t="s">
        <v>4584</v>
      </c>
      <c r="EI255" s="341" t="str">
        <f t="shared" si="32"/>
        <v>Boyaca_Coper</v>
      </c>
    </row>
    <row r="256" spans="1:139" ht="144">
      <c r="A256" s="228">
        <v>40241</v>
      </c>
      <c r="B256" s="102" t="s">
        <v>1996</v>
      </c>
      <c r="C256" s="102" t="s">
        <v>1645</v>
      </c>
      <c r="D256" s="206" t="s">
        <v>1873</v>
      </c>
      <c r="E256" s="320" t="s">
        <v>3795</v>
      </c>
      <c r="F256" s="320"/>
      <c r="G256" s="210"/>
      <c r="H256" s="71"/>
      <c r="I256" s="71"/>
      <c r="J256" s="71"/>
      <c r="K256" s="71"/>
      <c r="L256" s="1">
        <v>40374</v>
      </c>
      <c r="M256" s="73">
        <f t="shared" si="25"/>
        <v>0</v>
      </c>
      <c r="N256" s="73">
        <f t="shared" si="26"/>
        <v>87000000</v>
      </c>
      <c r="O256" s="73">
        <f t="shared" si="27"/>
        <v>0</v>
      </c>
      <c r="P256" s="73">
        <f t="shared" si="28"/>
        <v>0</v>
      </c>
      <c r="Q256" s="73"/>
      <c r="R256" s="73">
        <v>0</v>
      </c>
      <c r="S256" s="75">
        <f t="shared" si="31"/>
        <v>87000000</v>
      </c>
      <c r="T256" s="77">
        <v>0</v>
      </c>
      <c r="U256" s="66">
        <v>40304</v>
      </c>
      <c r="V256" s="79">
        <v>97285</v>
      </c>
      <c r="W256" s="66" t="s">
        <v>1606</v>
      </c>
      <c r="X256" s="24" t="s">
        <v>1607</v>
      </c>
      <c r="Y256" s="62">
        <v>204</v>
      </c>
      <c r="Z256" s="177" t="s">
        <v>2580</v>
      </c>
      <c r="AA256" s="80" t="s">
        <v>1648</v>
      </c>
      <c r="AB256" s="3"/>
      <c r="AC256" s="4"/>
      <c r="AD256" s="5"/>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6"/>
      <c r="CE256" s="7"/>
      <c r="CF256" s="6"/>
      <c r="CG256" s="7"/>
      <c r="CH256" s="6"/>
      <c r="CI256" s="7"/>
      <c r="CJ256" s="8">
        <f t="shared" si="29"/>
        <v>0</v>
      </c>
      <c r="CK256" s="9"/>
      <c r="CL256" s="10"/>
      <c r="CM256" s="11">
        <v>1000</v>
      </c>
      <c r="CN256" s="12">
        <f>1000*87000</f>
        <v>87000000</v>
      </c>
      <c r="CO256" s="28"/>
      <c r="CP256" s="12"/>
      <c r="CQ256" s="9"/>
      <c r="CR256" s="10"/>
      <c r="CS256" s="68"/>
      <c r="EC256" s="344" t="str">
        <f t="shared" si="30"/>
        <v>CHOCO_ALTO BAUDO</v>
      </c>
      <c r="ED256" s="341"/>
      <c r="EE256" s="341" t="s">
        <v>3120</v>
      </c>
      <c r="EF256" s="349" t="s">
        <v>4563</v>
      </c>
      <c r="EG256" s="341" t="s">
        <v>3445</v>
      </c>
      <c r="EH256" s="341" t="s">
        <v>4585</v>
      </c>
      <c r="EI256" s="341" t="str">
        <f t="shared" si="32"/>
        <v>Boyaca_Corrales</v>
      </c>
    </row>
    <row r="257" spans="1:139" ht="36">
      <c r="A257" s="228">
        <v>40241</v>
      </c>
      <c r="B257" s="102" t="s">
        <v>1996</v>
      </c>
      <c r="C257" s="102" t="s">
        <v>1945</v>
      </c>
      <c r="D257" s="206" t="s">
        <v>1201</v>
      </c>
      <c r="E257" s="320" t="s">
        <v>3793</v>
      </c>
      <c r="F257" s="320"/>
      <c r="G257" s="210"/>
      <c r="H257" s="71"/>
      <c r="I257" s="71"/>
      <c r="J257" s="71">
        <v>170</v>
      </c>
      <c r="K257" s="71">
        <v>32</v>
      </c>
      <c r="L257" s="1"/>
      <c r="M257" s="73">
        <f t="shared" si="25"/>
        <v>0</v>
      </c>
      <c r="N257" s="73">
        <f t="shared" si="26"/>
        <v>0</v>
      </c>
      <c r="O257" s="73">
        <f t="shared" si="27"/>
        <v>0</v>
      </c>
      <c r="P257" s="73">
        <f t="shared" si="28"/>
        <v>0</v>
      </c>
      <c r="Q257" s="73"/>
      <c r="R257" s="73">
        <v>0</v>
      </c>
      <c r="S257" s="75">
        <f t="shared" si="31"/>
        <v>0</v>
      </c>
      <c r="T257" s="77">
        <v>0</v>
      </c>
      <c r="U257" s="66">
        <v>40245</v>
      </c>
      <c r="V257" s="79"/>
      <c r="W257" s="66" t="s">
        <v>1585</v>
      </c>
      <c r="X257" s="24" t="s">
        <v>1586</v>
      </c>
      <c r="Y257" s="62"/>
      <c r="Z257" s="177" t="s">
        <v>894</v>
      </c>
      <c r="AA257" s="80" t="s">
        <v>1222</v>
      </c>
      <c r="AB257" s="3"/>
      <c r="AC257" s="4"/>
      <c r="AD257" s="5"/>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6"/>
      <c r="CE257" s="7"/>
      <c r="CF257" s="6"/>
      <c r="CG257" s="7"/>
      <c r="CH257" s="6"/>
      <c r="CI257" s="7"/>
      <c r="CJ257" s="8">
        <f t="shared" si="29"/>
        <v>0</v>
      </c>
      <c r="CK257" s="9"/>
      <c r="CL257" s="10"/>
      <c r="CM257" s="11"/>
      <c r="CN257" s="12"/>
      <c r="CO257" s="28"/>
      <c r="CP257" s="12"/>
      <c r="CQ257" s="9"/>
      <c r="CR257" s="10"/>
      <c r="CS257" s="68"/>
      <c r="EC257" s="344" t="str">
        <f t="shared" si="30"/>
        <v>CHOCO_QUIBDO</v>
      </c>
      <c r="ED257" s="341"/>
      <c r="EE257" s="341" t="s">
        <v>3120</v>
      </c>
      <c r="EF257" s="349" t="s">
        <v>4563</v>
      </c>
      <c r="EG257" s="341" t="s">
        <v>3446</v>
      </c>
      <c r="EH257" s="341" t="s">
        <v>4586</v>
      </c>
      <c r="EI257" s="341" t="str">
        <f t="shared" si="32"/>
        <v>Boyaca_Covarachia</v>
      </c>
    </row>
    <row r="258" spans="1:139" ht="60">
      <c r="A258" s="229">
        <v>40242</v>
      </c>
      <c r="B258" s="219" t="s">
        <v>965</v>
      </c>
      <c r="C258" s="219" t="s">
        <v>1605</v>
      </c>
      <c r="D258" s="230" t="s">
        <v>2389</v>
      </c>
      <c r="E258" s="321" t="s">
        <v>3176</v>
      </c>
      <c r="F258" s="321"/>
      <c r="G258" s="210"/>
      <c r="H258" s="71"/>
      <c r="I258" s="71"/>
      <c r="J258" s="71"/>
      <c r="K258" s="71"/>
      <c r="L258" s="1">
        <v>40262</v>
      </c>
      <c r="M258" s="73">
        <f t="shared" si="25"/>
        <v>0</v>
      </c>
      <c r="N258" s="73">
        <f t="shared" si="26"/>
        <v>0</v>
      </c>
      <c r="O258" s="73">
        <f t="shared" si="27"/>
        <v>0</v>
      </c>
      <c r="P258" s="73">
        <f t="shared" si="28"/>
        <v>0</v>
      </c>
      <c r="Q258" s="73">
        <f>40*796293.1*1.16+40*123500*1.16+40*130000*1.16+80*106465.52*1.16+120*26897*1.16+40*130000*1.16+4*2630000*1.16</f>
        <v>80569662.495999992</v>
      </c>
      <c r="R258" s="73">
        <v>0</v>
      </c>
      <c r="S258" s="75">
        <f t="shared" si="31"/>
        <v>80569662.495999992</v>
      </c>
      <c r="T258" s="77">
        <v>0</v>
      </c>
      <c r="U258" s="66">
        <v>40252</v>
      </c>
      <c r="V258" s="79">
        <v>95982</v>
      </c>
      <c r="W258" s="66" t="s">
        <v>1606</v>
      </c>
      <c r="X258" s="24" t="s">
        <v>1607</v>
      </c>
      <c r="Y258" s="62">
        <v>53</v>
      </c>
      <c r="Z258" s="177" t="s">
        <v>2421</v>
      </c>
      <c r="AA258" s="92" t="s">
        <v>2420</v>
      </c>
      <c r="AB258" s="3"/>
      <c r="AC258" s="4"/>
      <c r="AD258" s="5"/>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6"/>
      <c r="CE258" s="7"/>
      <c r="CF258" s="6"/>
      <c r="CG258" s="7"/>
      <c r="CH258" s="6"/>
      <c r="CI258" s="7"/>
      <c r="CJ258" s="8">
        <f t="shared" si="29"/>
        <v>0</v>
      </c>
      <c r="CK258" s="9"/>
      <c r="CL258" s="10"/>
      <c r="CM258" s="11"/>
      <c r="CN258" s="12"/>
      <c r="CO258" s="28"/>
      <c r="CP258" s="12"/>
      <c r="CQ258" s="9"/>
      <c r="CR258" s="10"/>
      <c r="CS258" s="68"/>
      <c r="EC258" s="344" t="str">
        <f t="shared" si="30"/>
        <v>NORTE DE SANTANDER_DEPARTAMENTO</v>
      </c>
      <c r="ED258" s="341"/>
      <c r="EE258" s="341" t="s">
        <v>3120</v>
      </c>
      <c r="EF258" s="349" t="s">
        <v>4563</v>
      </c>
      <c r="EG258" s="341" t="s">
        <v>3447</v>
      </c>
      <c r="EH258" s="341" t="s">
        <v>4587</v>
      </c>
      <c r="EI258" s="341" t="str">
        <f t="shared" si="32"/>
        <v>Boyaca_Cubara</v>
      </c>
    </row>
    <row r="259" spans="1:139" ht="38.25">
      <c r="A259" s="228">
        <v>40243</v>
      </c>
      <c r="B259" s="102" t="s">
        <v>1821</v>
      </c>
      <c r="C259" s="102" t="s">
        <v>1640</v>
      </c>
      <c r="D259" s="206" t="s">
        <v>2606</v>
      </c>
      <c r="E259" s="320" t="s">
        <v>3652</v>
      </c>
      <c r="F259" s="320"/>
      <c r="G259" s="210"/>
      <c r="H259" s="71"/>
      <c r="I259" s="71"/>
      <c r="J259" s="71"/>
      <c r="K259" s="71"/>
      <c r="L259" s="1"/>
      <c r="M259" s="73">
        <f t="shared" ref="M259:M322" si="33">CJ259</f>
        <v>0</v>
      </c>
      <c r="N259" s="73">
        <f t="shared" ref="N259:N322" si="34">CN259</f>
        <v>0</v>
      </c>
      <c r="O259" s="73">
        <f t="shared" ref="O259:O322" si="35">CP259+CR259</f>
        <v>0</v>
      </c>
      <c r="P259" s="73">
        <f t="shared" ref="P259:P322" si="36">CL259</f>
        <v>0</v>
      </c>
      <c r="Q259" s="73"/>
      <c r="R259" s="73">
        <v>0</v>
      </c>
      <c r="S259" s="75">
        <f t="shared" si="31"/>
        <v>0</v>
      </c>
      <c r="T259" s="77">
        <v>0</v>
      </c>
      <c r="U259" s="66">
        <v>40243</v>
      </c>
      <c r="V259" s="79"/>
      <c r="W259" s="66" t="s">
        <v>1585</v>
      </c>
      <c r="X259" s="24" t="s">
        <v>1586</v>
      </c>
      <c r="Y259" s="62"/>
      <c r="Z259" s="177" t="s">
        <v>894</v>
      </c>
      <c r="AA259" s="80" t="s">
        <v>1641</v>
      </c>
      <c r="AB259" s="3"/>
      <c r="AC259" s="4"/>
      <c r="AD259" s="5"/>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6"/>
      <c r="CE259" s="7"/>
      <c r="CF259" s="6"/>
      <c r="CG259" s="7"/>
      <c r="CH259" s="6"/>
      <c r="CI259" s="7"/>
      <c r="CJ259" s="8">
        <f t="shared" ref="CJ259:CJ322" si="37">AC259+AE259+AG259+AI259+AK259+AM259+AO259+AQ259+AS259+AU259+AW259+AY259+BA259+BC259+BE259+BG259+BI259+BK259+BM259+BO259+BQ259+BS259+BU259+BW259+BY259+CA259+CC259+CE259+CG259+CI259</f>
        <v>0</v>
      </c>
      <c r="CK259" s="9"/>
      <c r="CL259" s="10"/>
      <c r="CM259" s="11"/>
      <c r="CN259" s="12"/>
      <c r="CO259" s="28"/>
      <c r="CP259" s="12"/>
      <c r="CQ259" s="9"/>
      <c r="CR259" s="10"/>
      <c r="CS259" s="68"/>
      <c r="EC259" s="344" t="str">
        <f t="shared" ref="EC259:EC321" si="38">B259&amp;"_"&amp;C259</f>
        <v>CESAR_TAMALAMEQUE</v>
      </c>
      <c r="ED259" s="341"/>
      <c r="EE259" s="341" t="s">
        <v>3120</v>
      </c>
      <c r="EF259" s="349" t="s">
        <v>4563</v>
      </c>
      <c r="EG259" s="341" t="s">
        <v>3448</v>
      </c>
      <c r="EH259" s="341" t="s">
        <v>4588</v>
      </c>
      <c r="EI259" s="341" t="str">
        <f t="shared" si="32"/>
        <v>Boyaca_Cucaita</v>
      </c>
    </row>
    <row r="260" spans="1:139" ht="51">
      <c r="A260" s="228">
        <v>40244</v>
      </c>
      <c r="B260" s="102" t="s">
        <v>1295</v>
      </c>
      <c r="C260" s="102" t="s">
        <v>1194</v>
      </c>
      <c r="D260" s="206" t="s">
        <v>1201</v>
      </c>
      <c r="E260" s="320" t="s">
        <v>3671</v>
      </c>
      <c r="F260" s="320"/>
      <c r="G260" s="210"/>
      <c r="H260" s="71"/>
      <c r="I260" s="71"/>
      <c r="J260" s="71">
        <v>180</v>
      </c>
      <c r="K260" s="71">
        <v>36</v>
      </c>
      <c r="L260" s="1"/>
      <c r="M260" s="73">
        <f t="shared" si="33"/>
        <v>0</v>
      </c>
      <c r="N260" s="73">
        <f t="shared" si="34"/>
        <v>0</v>
      </c>
      <c r="O260" s="73">
        <f t="shared" si="35"/>
        <v>0</v>
      </c>
      <c r="P260" s="73">
        <f t="shared" si="36"/>
        <v>0</v>
      </c>
      <c r="Q260" s="73"/>
      <c r="R260" s="73">
        <v>0</v>
      </c>
      <c r="S260" s="75">
        <f t="shared" si="31"/>
        <v>0</v>
      </c>
      <c r="T260" s="77">
        <v>0</v>
      </c>
      <c r="U260" s="66">
        <v>40249</v>
      </c>
      <c r="V260" s="79"/>
      <c r="W260" s="66" t="s">
        <v>1585</v>
      </c>
      <c r="X260" s="24" t="s">
        <v>1586</v>
      </c>
      <c r="Y260" s="62"/>
      <c r="Z260" s="177" t="s">
        <v>894</v>
      </c>
      <c r="AA260" s="80" t="s">
        <v>1195</v>
      </c>
      <c r="AB260" s="3"/>
      <c r="AC260" s="4"/>
      <c r="AD260" s="5"/>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6"/>
      <c r="CE260" s="7"/>
      <c r="CF260" s="6"/>
      <c r="CG260" s="7"/>
      <c r="CH260" s="6"/>
      <c r="CI260" s="7"/>
      <c r="CJ260" s="8">
        <f t="shared" si="37"/>
        <v>0</v>
      </c>
      <c r="CK260" s="9"/>
      <c r="CL260" s="10"/>
      <c r="CM260" s="11"/>
      <c r="CN260" s="12"/>
      <c r="CO260" s="28"/>
      <c r="CP260" s="12"/>
      <c r="CQ260" s="9"/>
      <c r="CR260" s="10"/>
      <c r="CS260" s="68"/>
      <c r="EC260" s="344" t="str">
        <f t="shared" si="38"/>
        <v>CORDOBA_PUERTO LIBERTADOR</v>
      </c>
      <c r="ED260" s="341"/>
      <c r="EE260" s="341" t="s">
        <v>3120</v>
      </c>
      <c r="EF260" s="349" t="s">
        <v>4563</v>
      </c>
      <c r="EG260" s="341" t="s">
        <v>3449</v>
      </c>
      <c r="EH260" s="341" t="s">
        <v>4589</v>
      </c>
      <c r="EI260" s="341" t="str">
        <f t="shared" si="32"/>
        <v>Boyaca_Cuitiva</v>
      </c>
    </row>
    <row r="261" spans="1:139" ht="45">
      <c r="A261" s="228">
        <v>40245</v>
      </c>
      <c r="B261" s="102" t="s">
        <v>1943</v>
      </c>
      <c r="C261" s="102" t="s">
        <v>1605</v>
      </c>
      <c r="D261" s="206" t="s">
        <v>1201</v>
      </c>
      <c r="E261" s="320" t="s">
        <v>3191</v>
      </c>
      <c r="F261" s="320"/>
      <c r="G261" s="210"/>
      <c r="H261" s="71"/>
      <c r="I261" s="71"/>
      <c r="J261" s="71"/>
      <c r="K261" s="71"/>
      <c r="L261" s="1">
        <v>40291</v>
      </c>
      <c r="M261" s="73">
        <f t="shared" si="33"/>
        <v>0</v>
      </c>
      <c r="N261" s="73">
        <f t="shared" si="34"/>
        <v>0</v>
      </c>
      <c r="O261" s="73">
        <f t="shared" si="35"/>
        <v>0</v>
      </c>
      <c r="P261" s="73">
        <f t="shared" si="36"/>
        <v>45008000</v>
      </c>
      <c r="Q261" s="73"/>
      <c r="R261" s="73">
        <v>0</v>
      </c>
      <c r="S261" s="75">
        <f t="shared" si="31"/>
        <v>45008000</v>
      </c>
      <c r="T261" s="77">
        <v>0</v>
      </c>
      <c r="U261" s="66">
        <v>40277</v>
      </c>
      <c r="V261" s="79">
        <v>96484</v>
      </c>
      <c r="W261" s="66" t="s">
        <v>1606</v>
      </c>
      <c r="X261" s="24" t="s">
        <v>1607</v>
      </c>
      <c r="Y261" s="62">
        <v>86</v>
      </c>
      <c r="Z261" s="177" t="s">
        <v>1780</v>
      </c>
      <c r="AA261" s="80" t="s">
        <v>1078</v>
      </c>
      <c r="AB261" s="3"/>
      <c r="AC261" s="4"/>
      <c r="AD261" s="5"/>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6"/>
      <c r="CE261" s="7"/>
      <c r="CF261" s="6"/>
      <c r="CG261" s="7"/>
      <c r="CH261" s="6"/>
      <c r="CI261" s="7"/>
      <c r="CJ261" s="8">
        <f t="shared" si="37"/>
        <v>0</v>
      </c>
      <c r="CK261" s="9">
        <v>50000</v>
      </c>
      <c r="CL261" s="10">
        <f>50000*900.16</f>
        <v>45008000</v>
      </c>
      <c r="CM261" s="11"/>
      <c r="CN261" s="12"/>
      <c r="CO261" s="28"/>
      <c r="CP261" s="12"/>
      <c r="CQ261" s="9"/>
      <c r="CR261" s="10"/>
      <c r="CS261" s="68"/>
      <c r="EC261" s="344" t="str">
        <f t="shared" si="38"/>
        <v>SUCRE_DEPARTAMENTO</v>
      </c>
      <c r="ED261" s="341"/>
      <c r="EE261" s="341" t="s">
        <v>3120</v>
      </c>
      <c r="EF261" s="349" t="s">
        <v>4563</v>
      </c>
      <c r="EG261" s="341" t="s">
        <v>3450</v>
      </c>
      <c r="EH261" s="341" t="s">
        <v>4590</v>
      </c>
      <c r="EI261" s="341" t="str">
        <f t="shared" si="32"/>
        <v>Boyaca_Chiquiza</v>
      </c>
    </row>
    <row r="262" spans="1:139" ht="60">
      <c r="A262" s="228">
        <v>40245</v>
      </c>
      <c r="B262" s="102" t="s">
        <v>2400</v>
      </c>
      <c r="C262" s="102" t="s">
        <v>1018</v>
      </c>
      <c r="D262" s="206" t="s">
        <v>1752</v>
      </c>
      <c r="E262" s="320" t="s">
        <v>4199</v>
      </c>
      <c r="F262" s="320"/>
      <c r="G262" s="210"/>
      <c r="H262" s="71"/>
      <c r="I262" s="71"/>
      <c r="J262" s="71">
        <f>289*5</f>
        <v>1445</v>
      </c>
      <c r="K262" s="71">
        <v>289</v>
      </c>
      <c r="L262" s="1">
        <v>40358</v>
      </c>
      <c r="M262" s="73">
        <f t="shared" si="33"/>
        <v>0</v>
      </c>
      <c r="N262" s="73">
        <f t="shared" si="34"/>
        <v>24565000</v>
      </c>
      <c r="O262" s="73">
        <f t="shared" si="35"/>
        <v>0</v>
      </c>
      <c r="P262" s="73">
        <f t="shared" si="36"/>
        <v>0</v>
      </c>
      <c r="Q262" s="73"/>
      <c r="R262" s="73">
        <v>0</v>
      </c>
      <c r="S262" s="75">
        <f t="shared" si="31"/>
        <v>24565000</v>
      </c>
      <c r="T262" s="77">
        <v>0</v>
      </c>
      <c r="U262" s="66">
        <v>40284</v>
      </c>
      <c r="V262" s="79">
        <v>96689</v>
      </c>
      <c r="W262" s="66" t="s">
        <v>1606</v>
      </c>
      <c r="X262" s="24" t="s">
        <v>1607</v>
      </c>
      <c r="Y262" s="62">
        <v>180</v>
      </c>
      <c r="Z262" s="177" t="s">
        <v>403</v>
      </c>
      <c r="AA262" s="80" t="s">
        <v>1019</v>
      </c>
      <c r="AB262" s="3"/>
      <c r="AC262" s="4"/>
      <c r="AD262" s="5"/>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6"/>
      <c r="CE262" s="7"/>
      <c r="CF262" s="6"/>
      <c r="CG262" s="7"/>
      <c r="CH262" s="6"/>
      <c r="CI262" s="7"/>
      <c r="CJ262" s="8">
        <f t="shared" si="37"/>
        <v>0</v>
      </c>
      <c r="CK262" s="9"/>
      <c r="CL262" s="10"/>
      <c r="CM262" s="11">
        <v>289</v>
      </c>
      <c r="CN262" s="12">
        <f>289*85000</f>
        <v>24565000</v>
      </c>
      <c r="CO262" s="28"/>
      <c r="CP262" s="12"/>
      <c r="CQ262" s="9"/>
      <c r="CR262" s="10"/>
      <c r="CS262" s="68"/>
      <c r="EC262" s="344" t="str">
        <f t="shared" si="38"/>
        <v>TOLIMA_ICONONZO</v>
      </c>
      <c r="ED262" s="341"/>
      <c r="EE262" s="341" t="s">
        <v>3120</v>
      </c>
      <c r="EF262" s="349" t="s">
        <v>4563</v>
      </c>
      <c r="EG262" s="341" t="s">
        <v>3451</v>
      </c>
      <c r="EH262" s="341" t="s">
        <v>4591</v>
      </c>
      <c r="EI262" s="341" t="str">
        <f t="shared" si="32"/>
        <v>Boyaca_Chivor</v>
      </c>
    </row>
    <row r="263" spans="1:139" ht="36">
      <c r="A263" s="228">
        <v>40246</v>
      </c>
      <c r="B263" s="102" t="s">
        <v>1615</v>
      </c>
      <c r="C263" s="102" t="s">
        <v>1642</v>
      </c>
      <c r="D263" s="206" t="s">
        <v>1923</v>
      </c>
      <c r="E263" s="320" t="s">
        <v>3376</v>
      </c>
      <c r="F263" s="320"/>
      <c r="G263" s="210"/>
      <c r="H263" s="71">
        <v>4</v>
      </c>
      <c r="I263" s="71"/>
      <c r="J263" s="71">
        <v>4</v>
      </c>
      <c r="K263" s="71">
        <v>1</v>
      </c>
      <c r="L263" s="1"/>
      <c r="M263" s="73">
        <f t="shared" si="33"/>
        <v>0</v>
      </c>
      <c r="N263" s="73">
        <f t="shared" si="34"/>
        <v>0</v>
      </c>
      <c r="O263" s="73">
        <f t="shared" si="35"/>
        <v>0</v>
      </c>
      <c r="P263" s="73">
        <f t="shared" si="36"/>
        <v>0</v>
      </c>
      <c r="Q263" s="73"/>
      <c r="R263" s="73">
        <v>0</v>
      </c>
      <c r="S263" s="75">
        <f t="shared" si="31"/>
        <v>0</v>
      </c>
      <c r="T263" s="77">
        <v>0</v>
      </c>
      <c r="U263" s="66">
        <v>40247</v>
      </c>
      <c r="V263" s="79"/>
      <c r="W263" s="66" t="s">
        <v>1585</v>
      </c>
      <c r="X263" s="24" t="s">
        <v>1586</v>
      </c>
      <c r="Y263" s="62"/>
      <c r="Z263" s="177" t="s">
        <v>894</v>
      </c>
      <c r="AA263" s="80" t="s">
        <v>1643</v>
      </c>
      <c r="AB263" s="3"/>
      <c r="AC263" s="4"/>
      <c r="AD263" s="5"/>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6"/>
      <c r="CE263" s="7"/>
      <c r="CF263" s="6"/>
      <c r="CG263" s="7"/>
      <c r="CH263" s="6"/>
      <c r="CI263" s="7"/>
      <c r="CJ263" s="8">
        <f t="shared" si="37"/>
        <v>0</v>
      </c>
      <c r="CK263" s="9"/>
      <c r="CL263" s="10"/>
      <c r="CM263" s="11"/>
      <c r="CN263" s="12"/>
      <c r="CO263" s="28"/>
      <c r="CP263" s="12"/>
      <c r="CQ263" s="9"/>
      <c r="CR263" s="10"/>
      <c r="CS263" s="68"/>
      <c r="EC263" s="344" t="str">
        <f t="shared" si="38"/>
        <v>BOLIVAR_CARTAGENA</v>
      </c>
      <c r="ED263" s="341"/>
      <c r="EE263" s="341" t="s">
        <v>3120</v>
      </c>
      <c r="EF263" s="349" t="s">
        <v>4563</v>
      </c>
      <c r="EG263" s="341" t="s">
        <v>3452</v>
      </c>
      <c r="EH263" s="341" t="s">
        <v>4592</v>
      </c>
      <c r="EI263" s="341" t="str">
        <f t="shared" si="32"/>
        <v>Boyaca_Duitama</v>
      </c>
    </row>
    <row r="264" spans="1:139" ht="120">
      <c r="A264" s="228">
        <v>40247</v>
      </c>
      <c r="B264" s="102" t="s">
        <v>1972</v>
      </c>
      <c r="C264" s="102" t="s">
        <v>1159</v>
      </c>
      <c r="D264" s="206" t="s">
        <v>2606</v>
      </c>
      <c r="E264" s="320" t="s">
        <v>3327</v>
      </c>
      <c r="F264" s="320"/>
      <c r="G264" s="210"/>
      <c r="H264" s="71"/>
      <c r="I264" s="71"/>
      <c r="J264" s="71">
        <f>45*5</f>
        <v>225</v>
      </c>
      <c r="K264" s="71">
        <v>45</v>
      </c>
      <c r="L264" s="1">
        <v>40310</v>
      </c>
      <c r="M264" s="73">
        <f t="shared" si="33"/>
        <v>14850000</v>
      </c>
      <c r="N264" s="73">
        <f t="shared" si="34"/>
        <v>8500000</v>
      </c>
      <c r="O264" s="73">
        <f t="shared" si="35"/>
        <v>0</v>
      </c>
      <c r="P264" s="73">
        <f t="shared" si="36"/>
        <v>0</v>
      </c>
      <c r="Q264" s="73">
        <f>292*19140+830*31769+190*24244+3400*1508+850*9338+200*2900+325*25520+1500*406+1850*174</f>
        <v>59432910</v>
      </c>
      <c r="R264" s="73">
        <v>0</v>
      </c>
      <c r="S264" s="75">
        <f t="shared" si="31"/>
        <v>82782910</v>
      </c>
      <c r="T264" s="77">
        <v>0</v>
      </c>
      <c r="U264" s="66">
        <v>40294</v>
      </c>
      <c r="V264" s="79">
        <v>96948</v>
      </c>
      <c r="W264" s="66" t="s">
        <v>1606</v>
      </c>
      <c r="X264" s="24" t="s">
        <v>1607</v>
      </c>
      <c r="Y264" s="83" t="s">
        <v>1212</v>
      </c>
      <c r="Z264" s="177" t="s">
        <v>2580</v>
      </c>
      <c r="AA264" s="80" t="s">
        <v>2792</v>
      </c>
      <c r="AB264" s="3"/>
      <c r="AC264" s="4"/>
      <c r="AD264" s="5"/>
      <c r="AE264" s="4"/>
      <c r="AF264" s="4"/>
      <c r="AG264" s="4"/>
      <c r="AH264" s="4"/>
      <c r="AI264" s="4"/>
      <c r="AJ264" s="4">
        <v>100</v>
      </c>
      <c r="AK264" s="4">
        <f>100*18000</f>
        <v>1800000</v>
      </c>
      <c r="AL264" s="4"/>
      <c r="AM264" s="4"/>
      <c r="AN264" s="4"/>
      <c r="AO264" s="4"/>
      <c r="AP264" s="4">
        <v>100</v>
      </c>
      <c r="AQ264" s="4">
        <f>100*56000</f>
        <v>5600000</v>
      </c>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6">
        <v>100</v>
      </c>
      <c r="CE264" s="7">
        <f>100*38500</f>
        <v>3850000</v>
      </c>
      <c r="CF264" s="6">
        <v>100</v>
      </c>
      <c r="CG264" s="7">
        <f>100*36000</f>
        <v>3600000</v>
      </c>
      <c r="CH264" s="6"/>
      <c r="CI264" s="7"/>
      <c r="CJ264" s="8">
        <f t="shared" si="37"/>
        <v>14850000</v>
      </c>
      <c r="CK264" s="9"/>
      <c r="CL264" s="10"/>
      <c r="CM264" s="11">
        <v>100</v>
      </c>
      <c r="CN264" s="12">
        <f>100*85000</f>
        <v>8500000</v>
      </c>
      <c r="CO264" s="28"/>
      <c r="CP264" s="12"/>
      <c r="CQ264" s="9"/>
      <c r="CR264" s="10"/>
      <c r="CS264" s="68"/>
      <c r="EC264" s="344" t="str">
        <f t="shared" si="38"/>
        <v>ANTIOQUIA_SANTA BARBARA</v>
      </c>
      <c r="ED264" s="341"/>
      <c r="EE264" s="341" t="s">
        <v>3120</v>
      </c>
      <c r="EF264" s="349" t="s">
        <v>4563</v>
      </c>
      <c r="EG264" s="341" t="s">
        <v>3453</v>
      </c>
      <c r="EH264" s="341" t="s">
        <v>4593</v>
      </c>
      <c r="EI264" s="341" t="str">
        <f t="shared" si="32"/>
        <v>Boyaca_El Cocuy</v>
      </c>
    </row>
    <row r="265" spans="1:139" ht="252">
      <c r="A265" s="228">
        <v>40247</v>
      </c>
      <c r="B265" s="102" t="s">
        <v>2704</v>
      </c>
      <c r="C265" s="102" t="s">
        <v>1158</v>
      </c>
      <c r="D265" s="206" t="s">
        <v>1201</v>
      </c>
      <c r="E265" s="320" t="s">
        <v>3570</v>
      </c>
      <c r="F265" s="320"/>
      <c r="G265" s="210"/>
      <c r="H265" s="71"/>
      <c r="I265" s="71"/>
      <c r="J265" s="71">
        <f>700*5</f>
        <v>3500</v>
      </c>
      <c r="K265" s="71">
        <v>700</v>
      </c>
      <c r="L265" s="1">
        <v>40273</v>
      </c>
      <c r="M265" s="73">
        <f t="shared" si="33"/>
        <v>74500000</v>
      </c>
      <c r="N265" s="73">
        <f t="shared" si="34"/>
        <v>85000000</v>
      </c>
      <c r="O265" s="73">
        <f t="shared" si="35"/>
        <v>0</v>
      </c>
      <c r="P265" s="73">
        <f t="shared" si="36"/>
        <v>0</v>
      </c>
      <c r="Q265" s="73">
        <f>320*322248</f>
        <v>103119360</v>
      </c>
      <c r="R265" s="73">
        <v>300000000</v>
      </c>
      <c r="S265" s="75">
        <f t="shared" ref="S265:S328" si="39">M265+N265+O265+P265+Q265+R265</f>
        <v>562619360</v>
      </c>
      <c r="T265" s="77">
        <v>0</v>
      </c>
      <c r="U265" s="66">
        <v>40248</v>
      </c>
      <c r="V265" s="79">
        <v>96283</v>
      </c>
      <c r="W265" s="66" t="s">
        <v>1606</v>
      </c>
      <c r="X265" s="24" t="s">
        <v>1607</v>
      </c>
      <c r="Y265" s="83" t="s">
        <v>389</v>
      </c>
      <c r="Z265" s="177" t="s">
        <v>1248</v>
      </c>
      <c r="AA265" s="80" t="s">
        <v>660</v>
      </c>
      <c r="AB265" s="3"/>
      <c r="AC265" s="4"/>
      <c r="AD265" s="5"/>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6">
        <v>1000</v>
      </c>
      <c r="CE265" s="7">
        <f>1000*38500</f>
        <v>38500000</v>
      </c>
      <c r="CF265" s="6">
        <v>1000</v>
      </c>
      <c r="CG265" s="7">
        <f>1000*36000</f>
        <v>36000000</v>
      </c>
      <c r="CH265" s="6"/>
      <c r="CI265" s="7"/>
      <c r="CJ265" s="8">
        <f t="shared" si="37"/>
        <v>74500000</v>
      </c>
      <c r="CK265" s="9"/>
      <c r="CL265" s="10"/>
      <c r="CM265" s="11">
        <v>1000</v>
      </c>
      <c r="CN265" s="12">
        <f>1000*85000</f>
        <v>85000000</v>
      </c>
      <c r="CO265" s="28"/>
      <c r="CP265" s="12"/>
      <c r="CQ265" s="9"/>
      <c r="CR265" s="10"/>
      <c r="CS265" s="84">
        <v>4</v>
      </c>
      <c r="EC265" s="352" t="str">
        <f t="shared" si="38"/>
        <v>CAQUETA_FLORENCIA</v>
      </c>
      <c r="ED265" s="353"/>
      <c r="EE265" s="341" t="s">
        <v>3120</v>
      </c>
      <c r="EF265" s="349" t="s">
        <v>4563</v>
      </c>
      <c r="EG265" s="341" t="s">
        <v>3454</v>
      </c>
      <c r="EH265" s="341" t="s">
        <v>4594</v>
      </c>
      <c r="EI265" s="341" t="str">
        <f t="shared" si="32"/>
        <v>Boyaca_El Espino</v>
      </c>
    </row>
    <row r="266" spans="1:139" ht="25.5">
      <c r="A266" s="228">
        <v>40247</v>
      </c>
      <c r="B266" s="205" t="s">
        <v>962</v>
      </c>
      <c r="C266" s="205" t="s">
        <v>2430</v>
      </c>
      <c r="D266" s="207" t="s">
        <v>2606</v>
      </c>
      <c r="E266" s="323" t="s">
        <v>3835</v>
      </c>
      <c r="F266" s="323"/>
      <c r="G266" s="204"/>
      <c r="H266" s="151"/>
      <c r="I266" s="151"/>
      <c r="J266" s="151">
        <v>130</v>
      </c>
      <c r="K266" s="151">
        <v>26</v>
      </c>
      <c r="L266" s="1"/>
      <c r="M266" s="73">
        <f t="shared" si="33"/>
        <v>0</v>
      </c>
      <c r="N266" s="73">
        <f t="shared" si="34"/>
        <v>0</v>
      </c>
      <c r="O266" s="73">
        <f t="shared" si="35"/>
        <v>0</v>
      </c>
      <c r="P266" s="73">
        <f t="shared" si="36"/>
        <v>0</v>
      </c>
      <c r="Q266" s="73"/>
      <c r="R266" s="73">
        <v>0</v>
      </c>
      <c r="S266" s="75">
        <f t="shared" si="39"/>
        <v>0</v>
      </c>
      <c r="T266" s="77">
        <v>0</v>
      </c>
      <c r="U266" s="66">
        <v>40581</v>
      </c>
      <c r="V266" s="79"/>
      <c r="W266" s="66" t="s">
        <v>1585</v>
      </c>
      <c r="X266" s="24" t="s">
        <v>1586</v>
      </c>
      <c r="Y266" s="62"/>
      <c r="Z266" s="169" t="s">
        <v>894</v>
      </c>
      <c r="AA266" s="166" t="s">
        <v>54</v>
      </c>
      <c r="AB266" s="152"/>
      <c r="AC266" s="153"/>
      <c r="AD266" s="154"/>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c r="BI266" s="153"/>
      <c r="BJ266" s="153"/>
      <c r="BK266" s="153"/>
      <c r="BL266" s="153"/>
      <c r="BM266" s="153"/>
      <c r="BN266" s="153"/>
      <c r="BO266" s="153"/>
      <c r="BP266" s="153"/>
      <c r="BQ266" s="153"/>
      <c r="BR266" s="153"/>
      <c r="BS266" s="153"/>
      <c r="BT266" s="153"/>
      <c r="BU266" s="153"/>
      <c r="BV266" s="153"/>
      <c r="BW266" s="153"/>
      <c r="BX266" s="153"/>
      <c r="BY266" s="153"/>
      <c r="BZ266" s="153"/>
      <c r="CA266" s="153"/>
      <c r="CB266" s="153"/>
      <c r="CC266" s="153"/>
      <c r="CD266" s="155"/>
      <c r="CE266" s="156"/>
      <c r="CF266" s="155"/>
      <c r="CG266" s="156"/>
      <c r="CH266" s="155"/>
      <c r="CI266" s="156"/>
      <c r="CJ266" s="157">
        <f t="shared" si="37"/>
        <v>0</v>
      </c>
      <c r="CK266" s="158"/>
      <c r="CL266" s="159"/>
      <c r="CM266" s="160"/>
      <c r="CN266" s="161"/>
      <c r="CO266" s="162"/>
      <c r="CP266" s="161"/>
      <c r="CQ266" s="158"/>
      <c r="CR266" s="159"/>
      <c r="CS266" s="68"/>
      <c r="CT266" s="163"/>
      <c r="EC266" s="352" t="str">
        <f t="shared" si="38"/>
        <v>HUILA_GUADALUPE</v>
      </c>
      <c r="ED266" s="353"/>
      <c r="EE266" s="341" t="s">
        <v>3120</v>
      </c>
      <c r="EF266" s="349" t="s">
        <v>4563</v>
      </c>
      <c r="EG266" s="341" t="s">
        <v>3455</v>
      </c>
      <c r="EH266" s="341" t="s">
        <v>4595</v>
      </c>
      <c r="EI266" s="341" t="str">
        <f t="shared" si="32"/>
        <v>Boyaca_Firavitoba</v>
      </c>
    </row>
    <row r="267" spans="1:139" ht="38.25">
      <c r="A267" s="228">
        <v>40247</v>
      </c>
      <c r="B267" s="102" t="s">
        <v>1196</v>
      </c>
      <c r="C267" s="102" t="s">
        <v>3217</v>
      </c>
      <c r="D267" s="206" t="s">
        <v>1201</v>
      </c>
      <c r="E267" s="320" t="s">
        <v>4304</v>
      </c>
      <c r="F267" s="320"/>
      <c r="G267" s="210"/>
      <c r="H267" s="71"/>
      <c r="I267" s="71"/>
      <c r="J267" s="71">
        <v>209</v>
      </c>
      <c r="K267" s="71">
        <v>43</v>
      </c>
      <c r="L267" s="1"/>
      <c r="M267" s="73">
        <f t="shared" si="33"/>
        <v>0</v>
      </c>
      <c r="N267" s="73">
        <f t="shared" si="34"/>
        <v>0</v>
      </c>
      <c r="O267" s="73">
        <f t="shared" si="35"/>
        <v>0</v>
      </c>
      <c r="P267" s="73">
        <f t="shared" si="36"/>
        <v>0</v>
      </c>
      <c r="Q267" s="73"/>
      <c r="R267" s="73">
        <v>0</v>
      </c>
      <c r="S267" s="75">
        <f t="shared" si="39"/>
        <v>0</v>
      </c>
      <c r="T267" s="77">
        <v>0</v>
      </c>
      <c r="U267" s="66">
        <v>40249</v>
      </c>
      <c r="V267" s="79"/>
      <c r="W267" s="66" t="s">
        <v>1585</v>
      </c>
      <c r="X267" s="24" t="s">
        <v>1586</v>
      </c>
      <c r="Y267" s="62"/>
      <c r="Z267" s="177" t="s">
        <v>894</v>
      </c>
      <c r="AA267" s="80" t="s">
        <v>1331</v>
      </c>
      <c r="AB267" s="3"/>
      <c r="AC267" s="4"/>
      <c r="AD267" s="5"/>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6"/>
      <c r="CE267" s="7"/>
      <c r="CF267" s="6"/>
      <c r="CG267" s="7"/>
      <c r="CH267" s="6"/>
      <c r="CI267" s="7"/>
      <c r="CJ267" s="8">
        <f t="shared" si="37"/>
        <v>0</v>
      </c>
      <c r="CK267" s="9"/>
      <c r="CL267" s="10"/>
      <c r="CM267" s="11"/>
      <c r="CN267" s="12"/>
      <c r="CO267" s="28"/>
      <c r="CP267" s="12"/>
      <c r="CQ267" s="9"/>
      <c r="CR267" s="10"/>
      <c r="CS267" s="68"/>
      <c r="EC267" s="350" t="str">
        <f t="shared" si="38"/>
        <v>PUTUMAYO_VILLAGARZON</v>
      </c>
      <c r="ED267" s="351"/>
      <c r="EE267" s="341" t="s">
        <v>3120</v>
      </c>
      <c r="EF267" s="349" t="s">
        <v>4563</v>
      </c>
      <c r="EG267" s="341" t="s">
        <v>3456</v>
      </c>
      <c r="EH267" s="341" t="s">
        <v>4596</v>
      </c>
      <c r="EI267" s="341" t="str">
        <f t="shared" si="32"/>
        <v>Boyaca_Floresta</v>
      </c>
    </row>
    <row r="268" spans="1:139" ht="132">
      <c r="A268" s="228">
        <v>40248</v>
      </c>
      <c r="B268" s="102" t="s">
        <v>2704</v>
      </c>
      <c r="C268" s="102" t="s">
        <v>2592</v>
      </c>
      <c r="D268" s="206" t="s">
        <v>1878</v>
      </c>
      <c r="E268" s="320" t="s">
        <v>3572</v>
      </c>
      <c r="F268" s="320"/>
      <c r="G268" s="210"/>
      <c r="H268" s="71"/>
      <c r="I268" s="71"/>
      <c r="J268" s="71">
        <f>55*5</f>
        <v>275</v>
      </c>
      <c r="K268" s="71">
        <v>55</v>
      </c>
      <c r="L268" s="1">
        <v>40340</v>
      </c>
      <c r="M268" s="73">
        <f t="shared" si="33"/>
        <v>0</v>
      </c>
      <c r="N268" s="73">
        <f t="shared" si="34"/>
        <v>0</v>
      </c>
      <c r="O268" s="73">
        <f t="shared" si="35"/>
        <v>0</v>
      </c>
      <c r="P268" s="73">
        <f t="shared" si="36"/>
        <v>0</v>
      </c>
      <c r="Q268" s="73">
        <f>70*33872+30*24940+8*32480+130*40368+25*164720+500*18560+80*1879</f>
        <v>22175240</v>
      </c>
      <c r="R268" s="73">
        <v>0</v>
      </c>
      <c r="S268" s="75">
        <f t="shared" si="39"/>
        <v>22175240</v>
      </c>
      <c r="T268" s="77">
        <v>0</v>
      </c>
      <c r="U268" s="66">
        <v>40303</v>
      </c>
      <c r="V268" s="79">
        <v>97232</v>
      </c>
      <c r="W268" s="66" t="s">
        <v>1606</v>
      </c>
      <c r="X268" s="24" t="s">
        <v>1607</v>
      </c>
      <c r="Y268" s="62">
        <v>154</v>
      </c>
      <c r="Z268" s="177" t="s">
        <v>2580</v>
      </c>
      <c r="AA268" s="80" t="s">
        <v>1209</v>
      </c>
      <c r="AB268" s="3"/>
      <c r="AC268" s="4"/>
      <c r="AD268" s="5"/>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6"/>
      <c r="CE268" s="7"/>
      <c r="CF268" s="6"/>
      <c r="CG268" s="7"/>
      <c r="CH268" s="6"/>
      <c r="CI268" s="7"/>
      <c r="CJ268" s="8">
        <f t="shared" si="37"/>
        <v>0</v>
      </c>
      <c r="CK268" s="9"/>
      <c r="CL268" s="10"/>
      <c r="CM268" s="11"/>
      <c r="CN268" s="12"/>
      <c r="CO268" s="28"/>
      <c r="CP268" s="12"/>
      <c r="CQ268" s="9"/>
      <c r="CR268" s="10"/>
      <c r="CS268" s="68"/>
      <c r="EC268" s="350" t="str">
        <f t="shared" si="38"/>
        <v>CAQUETA_BELEN DE LOS ANDAQUIES</v>
      </c>
      <c r="ED268" s="351"/>
      <c r="EE268" s="341" t="s">
        <v>3120</v>
      </c>
      <c r="EF268" s="349" t="s">
        <v>4563</v>
      </c>
      <c r="EG268" s="341" t="s">
        <v>3457</v>
      </c>
      <c r="EH268" s="341" t="s">
        <v>4597</v>
      </c>
      <c r="EI268" s="341" t="str">
        <f t="shared" si="32"/>
        <v>Boyaca_Gachantiva</v>
      </c>
    </row>
    <row r="269" spans="1:139" ht="38.25">
      <c r="A269" s="228">
        <v>40249</v>
      </c>
      <c r="B269" s="102" t="s">
        <v>1617</v>
      </c>
      <c r="C269" s="102" t="s">
        <v>401</v>
      </c>
      <c r="D269" s="206" t="s">
        <v>2606</v>
      </c>
      <c r="E269" s="320" t="s">
        <v>4276</v>
      </c>
      <c r="F269" s="320"/>
      <c r="G269" s="210"/>
      <c r="H269" s="71"/>
      <c r="I269" s="71"/>
      <c r="J269" s="71">
        <v>60</v>
      </c>
      <c r="K269" s="71">
        <v>10</v>
      </c>
      <c r="L269" s="1"/>
      <c r="M269" s="73">
        <f t="shared" si="33"/>
        <v>0</v>
      </c>
      <c r="N269" s="73">
        <f t="shared" si="34"/>
        <v>0</v>
      </c>
      <c r="O269" s="73">
        <f t="shared" si="35"/>
        <v>0</v>
      </c>
      <c r="P269" s="73">
        <f t="shared" si="36"/>
        <v>0</v>
      </c>
      <c r="Q269" s="73"/>
      <c r="R269" s="73">
        <v>0</v>
      </c>
      <c r="S269" s="75">
        <f t="shared" si="39"/>
        <v>0</v>
      </c>
      <c r="T269" s="77">
        <v>0</v>
      </c>
      <c r="U269" s="66">
        <v>40252</v>
      </c>
      <c r="V269" s="79"/>
      <c r="W269" s="66" t="s">
        <v>1585</v>
      </c>
      <c r="X269" s="24" t="s">
        <v>1586</v>
      </c>
      <c r="Y269" s="62"/>
      <c r="Z269" s="177" t="s">
        <v>894</v>
      </c>
      <c r="AA269" s="80" t="s">
        <v>1330</v>
      </c>
      <c r="AB269" s="3"/>
      <c r="AC269" s="4"/>
      <c r="AD269" s="5"/>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6"/>
      <c r="CE269" s="7"/>
      <c r="CF269" s="6"/>
      <c r="CG269" s="7"/>
      <c r="CH269" s="6"/>
      <c r="CI269" s="7"/>
      <c r="CJ269" s="8">
        <f t="shared" si="37"/>
        <v>0</v>
      </c>
      <c r="CK269" s="9"/>
      <c r="CL269" s="10"/>
      <c r="CM269" s="11"/>
      <c r="CN269" s="12"/>
      <c r="CO269" s="28"/>
      <c r="CP269" s="12"/>
      <c r="CQ269" s="9"/>
      <c r="CR269" s="10"/>
      <c r="CS269" s="68"/>
      <c r="EC269" s="344" t="str">
        <f t="shared" si="38"/>
        <v>CASANARE_HATO COROZAL</v>
      </c>
      <c r="ED269" s="341"/>
      <c r="EE269" s="353" t="s">
        <v>3120</v>
      </c>
      <c r="EF269" s="349" t="s">
        <v>4563</v>
      </c>
      <c r="EG269" s="353" t="s">
        <v>3458</v>
      </c>
      <c r="EH269" s="353" t="s">
        <v>4598</v>
      </c>
      <c r="EI269" s="353" t="str">
        <f t="shared" si="32"/>
        <v>Boyaca_Gameza</v>
      </c>
    </row>
    <row r="270" spans="1:139" ht="84">
      <c r="A270" s="228">
        <v>40250</v>
      </c>
      <c r="B270" s="102" t="s">
        <v>1192</v>
      </c>
      <c r="C270" s="102" t="s">
        <v>651</v>
      </c>
      <c r="D270" s="206" t="s">
        <v>2606</v>
      </c>
      <c r="E270" s="320" t="s">
        <v>3521</v>
      </c>
      <c r="F270" s="320"/>
      <c r="G270" s="210"/>
      <c r="H270" s="71"/>
      <c r="I270" s="71"/>
      <c r="J270" s="71"/>
      <c r="K270" s="71"/>
      <c r="L270" s="1"/>
      <c r="M270" s="73">
        <f t="shared" si="33"/>
        <v>0</v>
      </c>
      <c r="N270" s="73">
        <f t="shared" si="34"/>
        <v>0</v>
      </c>
      <c r="O270" s="73">
        <f t="shared" si="35"/>
        <v>0</v>
      </c>
      <c r="P270" s="73">
        <f t="shared" si="36"/>
        <v>0</v>
      </c>
      <c r="Q270" s="73"/>
      <c r="R270" s="73">
        <v>0</v>
      </c>
      <c r="S270" s="75">
        <f t="shared" si="39"/>
        <v>0</v>
      </c>
      <c r="T270" s="77">
        <v>0</v>
      </c>
      <c r="U270" s="66">
        <v>40282</v>
      </c>
      <c r="V270" s="79">
        <v>96447</v>
      </c>
      <c r="W270" s="66" t="s">
        <v>1606</v>
      </c>
      <c r="X270" s="24" t="s">
        <v>1586</v>
      </c>
      <c r="Y270" s="62"/>
      <c r="Z270" s="177" t="s">
        <v>2584</v>
      </c>
      <c r="AA270" s="80" t="s">
        <v>580</v>
      </c>
      <c r="AB270" s="3"/>
      <c r="AC270" s="4"/>
      <c r="AD270" s="5"/>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6"/>
      <c r="CE270" s="7"/>
      <c r="CF270" s="6"/>
      <c r="CG270" s="7"/>
      <c r="CH270" s="6"/>
      <c r="CI270" s="7"/>
      <c r="CJ270" s="8">
        <f t="shared" si="37"/>
        <v>0</v>
      </c>
      <c r="CK270" s="9"/>
      <c r="CL270" s="10"/>
      <c r="CM270" s="11"/>
      <c r="CN270" s="12"/>
      <c r="CO270" s="28"/>
      <c r="CP270" s="12"/>
      <c r="CQ270" s="9"/>
      <c r="CR270" s="10"/>
      <c r="CS270" s="68"/>
      <c r="EC270" s="344" t="str">
        <f t="shared" si="38"/>
        <v>BOYACA_SOTAQUIRA</v>
      </c>
      <c r="ED270" s="341"/>
      <c r="EE270" s="353" t="s">
        <v>3120</v>
      </c>
      <c r="EF270" s="349" t="s">
        <v>4563</v>
      </c>
      <c r="EG270" s="353" t="s">
        <v>3459</v>
      </c>
      <c r="EH270" s="353" t="s">
        <v>4599</v>
      </c>
      <c r="EI270" s="353" t="str">
        <f t="shared" si="32"/>
        <v>Boyaca_Garagoa</v>
      </c>
    </row>
    <row r="271" spans="1:139" ht="101.25">
      <c r="A271" s="232">
        <v>40250</v>
      </c>
      <c r="B271" s="221" t="s">
        <v>1604</v>
      </c>
      <c r="C271" s="221" t="s">
        <v>2416</v>
      </c>
      <c r="D271" s="206" t="s">
        <v>2389</v>
      </c>
      <c r="E271" s="320" t="s">
        <v>3774</v>
      </c>
      <c r="F271" s="320"/>
      <c r="G271" s="210"/>
      <c r="H271" s="71"/>
      <c r="I271" s="71"/>
      <c r="J271" s="71"/>
      <c r="K271" s="71"/>
      <c r="L271" s="1">
        <v>40262</v>
      </c>
      <c r="M271" s="73">
        <f t="shared" si="33"/>
        <v>0</v>
      </c>
      <c r="N271" s="73">
        <f t="shared" si="34"/>
        <v>0</v>
      </c>
      <c r="O271" s="73">
        <f t="shared" si="35"/>
        <v>0</v>
      </c>
      <c r="P271" s="73">
        <f t="shared" si="36"/>
        <v>0</v>
      </c>
      <c r="Q271" s="73"/>
      <c r="R271" s="73">
        <v>39931350</v>
      </c>
      <c r="S271" s="75">
        <f t="shared" si="39"/>
        <v>39931350</v>
      </c>
      <c r="T271" s="77">
        <v>0</v>
      </c>
      <c r="U271" s="66">
        <v>40260</v>
      </c>
      <c r="V271" s="79">
        <v>96127</v>
      </c>
      <c r="W271" s="66" t="s">
        <v>1606</v>
      </c>
      <c r="X271" s="24" t="s">
        <v>1607</v>
      </c>
      <c r="Y271" s="62">
        <v>177</v>
      </c>
      <c r="Z271" s="177" t="s">
        <v>2417</v>
      </c>
      <c r="AA271" s="103" t="s">
        <v>2418</v>
      </c>
      <c r="AB271" s="3"/>
      <c r="AC271" s="4"/>
      <c r="AD271" s="5"/>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6"/>
      <c r="CE271" s="7"/>
      <c r="CF271" s="6"/>
      <c r="CG271" s="7"/>
      <c r="CH271" s="6"/>
      <c r="CI271" s="7"/>
      <c r="CJ271" s="8">
        <f t="shared" si="37"/>
        <v>0</v>
      </c>
      <c r="CK271" s="9"/>
      <c r="CL271" s="10"/>
      <c r="CM271" s="11"/>
      <c r="CN271" s="12"/>
      <c r="CO271" s="28"/>
      <c r="CP271" s="12"/>
      <c r="CQ271" s="9"/>
      <c r="CR271" s="10"/>
      <c r="CS271" s="68">
        <v>2</v>
      </c>
      <c r="EC271" s="344" t="str">
        <f t="shared" si="38"/>
        <v>CUNDINAMARCA_TENJO</v>
      </c>
      <c r="ED271" s="341"/>
      <c r="EE271" s="351" t="s">
        <v>3120</v>
      </c>
      <c r="EF271" s="349" t="s">
        <v>4563</v>
      </c>
      <c r="EG271" s="351" t="s">
        <v>3460</v>
      </c>
      <c r="EH271" s="351" t="s">
        <v>4600</v>
      </c>
      <c r="EI271" s="351" t="str">
        <f t="shared" si="32"/>
        <v>Boyaca_Guacamayas</v>
      </c>
    </row>
    <row r="272" spans="1:139" ht="25.5">
      <c r="A272" s="228">
        <v>40251</v>
      </c>
      <c r="B272" s="102" t="s">
        <v>396</v>
      </c>
      <c r="C272" s="102" t="s">
        <v>1332</v>
      </c>
      <c r="D272" s="206" t="s">
        <v>2606</v>
      </c>
      <c r="E272" s="320" t="s">
        <v>3922</v>
      </c>
      <c r="F272" s="320"/>
      <c r="G272" s="210"/>
      <c r="H272" s="71"/>
      <c r="I272" s="71"/>
      <c r="J272" s="71">
        <v>5</v>
      </c>
      <c r="K272" s="71">
        <v>1</v>
      </c>
      <c r="L272" s="1"/>
      <c r="M272" s="73">
        <f t="shared" si="33"/>
        <v>0</v>
      </c>
      <c r="N272" s="73">
        <f t="shared" si="34"/>
        <v>0</v>
      </c>
      <c r="O272" s="73">
        <f t="shared" si="35"/>
        <v>0</v>
      </c>
      <c r="P272" s="73">
        <f t="shared" si="36"/>
        <v>0</v>
      </c>
      <c r="Q272" s="73"/>
      <c r="R272" s="73">
        <v>0</v>
      </c>
      <c r="S272" s="75">
        <f t="shared" si="39"/>
        <v>0</v>
      </c>
      <c r="T272" s="77">
        <v>0</v>
      </c>
      <c r="U272" s="66">
        <v>40251</v>
      </c>
      <c r="V272" s="79"/>
      <c r="W272" s="66" t="s">
        <v>1585</v>
      </c>
      <c r="X272" s="24" t="s">
        <v>1586</v>
      </c>
      <c r="Y272" s="62"/>
      <c r="Z272" s="177" t="s">
        <v>894</v>
      </c>
      <c r="AA272" s="80" t="s">
        <v>1165</v>
      </c>
      <c r="AB272" s="3"/>
      <c r="AC272" s="4"/>
      <c r="AD272" s="5"/>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6"/>
      <c r="CE272" s="7"/>
      <c r="CF272" s="6"/>
      <c r="CG272" s="7"/>
      <c r="CH272" s="6"/>
      <c r="CI272" s="7"/>
      <c r="CJ272" s="8">
        <f t="shared" si="37"/>
        <v>0</v>
      </c>
      <c r="CK272" s="9"/>
      <c r="CL272" s="10"/>
      <c r="CM272" s="11"/>
      <c r="CN272" s="12"/>
      <c r="CO272" s="28"/>
      <c r="CP272" s="12"/>
      <c r="CQ272" s="9"/>
      <c r="CR272" s="10"/>
      <c r="CS272" s="68"/>
      <c r="EC272" s="344" t="str">
        <f t="shared" si="38"/>
        <v>META_LEJANIAS</v>
      </c>
      <c r="ED272" s="341"/>
      <c r="EE272" s="351" t="s">
        <v>3120</v>
      </c>
      <c r="EF272" s="349" t="s">
        <v>4563</v>
      </c>
      <c r="EG272" s="351" t="s">
        <v>3461</v>
      </c>
      <c r="EH272" s="351" t="s">
        <v>4601</v>
      </c>
      <c r="EI272" s="351" t="str">
        <f t="shared" si="32"/>
        <v>Boyaca_Guateque</v>
      </c>
    </row>
    <row r="273" spans="1:139" ht="38.25">
      <c r="A273" s="228">
        <v>40252</v>
      </c>
      <c r="B273" s="102" t="s">
        <v>1551</v>
      </c>
      <c r="C273" s="102" t="s">
        <v>1590</v>
      </c>
      <c r="D273" s="206" t="s">
        <v>1201</v>
      </c>
      <c r="E273" s="320" t="s">
        <v>3352</v>
      </c>
      <c r="F273" s="320"/>
      <c r="G273" s="210"/>
      <c r="H273" s="71"/>
      <c r="I273" s="71"/>
      <c r="J273" s="71">
        <v>35</v>
      </c>
      <c r="K273" s="71">
        <v>7</v>
      </c>
      <c r="L273" s="1"/>
      <c r="M273" s="73">
        <f t="shared" si="33"/>
        <v>0</v>
      </c>
      <c r="N273" s="73">
        <f t="shared" si="34"/>
        <v>0</v>
      </c>
      <c r="O273" s="73">
        <f t="shared" si="35"/>
        <v>0</v>
      </c>
      <c r="P273" s="73">
        <f t="shared" si="36"/>
        <v>0</v>
      </c>
      <c r="Q273" s="73"/>
      <c r="R273" s="73">
        <v>0</v>
      </c>
      <c r="S273" s="75">
        <f t="shared" si="39"/>
        <v>0</v>
      </c>
      <c r="T273" s="77">
        <v>0</v>
      </c>
      <c r="U273" s="66">
        <v>40260</v>
      </c>
      <c r="V273" s="79"/>
      <c r="W273" s="66" t="s">
        <v>1585</v>
      </c>
      <c r="X273" s="24" t="s">
        <v>1586</v>
      </c>
      <c r="Y273" s="62"/>
      <c r="Z273" s="177" t="s">
        <v>894</v>
      </c>
      <c r="AA273" s="80" t="s">
        <v>1090</v>
      </c>
      <c r="AB273" s="3"/>
      <c r="AC273" s="4"/>
      <c r="AD273" s="5"/>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6"/>
      <c r="CE273" s="7"/>
      <c r="CF273" s="6"/>
      <c r="CG273" s="7"/>
      <c r="CH273" s="6"/>
      <c r="CI273" s="7"/>
      <c r="CJ273" s="8">
        <f t="shared" si="37"/>
        <v>0</v>
      </c>
      <c r="CK273" s="9"/>
      <c r="CL273" s="10"/>
      <c r="CM273" s="11"/>
      <c r="CN273" s="12"/>
      <c r="CO273" s="28"/>
      <c r="CP273" s="12"/>
      <c r="CQ273" s="9"/>
      <c r="CR273" s="10"/>
      <c r="CS273" s="68"/>
      <c r="EC273" s="344" t="str">
        <f t="shared" si="38"/>
        <v>ATLANTICO_BARRANQUILLA</v>
      </c>
      <c r="ED273" s="341"/>
      <c r="EE273" s="341" t="s">
        <v>3120</v>
      </c>
      <c r="EF273" s="349" t="s">
        <v>4563</v>
      </c>
      <c r="EG273" s="341" t="s">
        <v>3462</v>
      </c>
      <c r="EH273" s="341" t="s">
        <v>4602</v>
      </c>
      <c r="EI273" s="341" t="str">
        <f t="shared" si="32"/>
        <v>Boyaca_Guayata</v>
      </c>
    </row>
    <row r="274" spans="1:139" s="85" customFormat="1" ht="25.5">
      <c r="A274" s="228">
        <v>40252</v>
      </c>
      <c r="B274" s="102" t="s">
        <v>396</v>
      </c>
      <c r="C274" s="102" t="s">
        <v>397</v>
      </c>
      <c r="D274" s="206" t="s">
        <v>2606</v>
      </c>
      <c r="E274" s="320" t="s">
        <v>3913</v>
      </c>
      <c r="F274" s="320"/>
      <c r="G274" s="210"/>
      <c r="H274" s="71">
        <v>1</v>
      </c>
      <c r="I274" s="71"/>
      <c r="J274" s="71">
        <v>15</v>
      </c>
      <c r="K274" s="71">
        <v>3</v>
      </c>
      <c r="L274" s="1"/>
      <c r="M274" s="73">
        <f t="shared" si="33"/>
        <v>0</v>
      </c>
      <c r="N274" s="73">
        <f t="shared" si="34"/>
        <v>0</v>
      </c>
      <c r="O274" s="73">
        <f t="shared" si="35"/>
        <v>0</v>
      </c>
      <c r="P274" s="73">
        <f t="shared" si="36"/>
        <v>0</v>
      </c>
      <c r="Q274" s="73"/>
      <c r="R274" s="73">
        <v>0</v>
      </c>
      <c r="S274" s="75">
        <f t="shared" si="39"/>
        <v>0</v>
      </c>
      <c r="T274" s="77">
        <v>0</v>
      </c>
      <c r="U274" s="66">
        <v>40253</v>
      </c>
      <c r="V274" s="79"/>
      <c r="W274" s="66" t="s">
        <v>1585</v>
      </c>
      <c r="X274" s="24" t="s">
        <v>1586</v>
      </c>
      <c r="Y274" s="62"/>
      <c r="Z274" s="177" t="s">
        <v>894</v>
      </c>
      <c r="AA274" s="80" t="s">
        <v>2425</v>
      </c>
      <c r="AB274" s="3"/>
      <c r="AC274" s="4"/>
      <c r="AD274" s="5"/>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6"/>
      <c r="CE274" s="7"/>
      <c r="CF274" s="6"/>
      <c r="CG274" s="7"/>
      <c r="CH274" s="6"/>
      <c r="CI274" s="7"/>
      <c r="CJ274" s="8">
        <f t="shared" si="37"/>
        <v>0</v>
      </c>
      <c r="CK274" s="9"/>
      <c r="CL274" s="10"/>
      <c r="CM274" s="11"/>
      <c r="CN274" s="12"/>
      <c r="CO274" s="28"/>
      <c r="CP274" s="12"/>
      <c r="CQ274" s="9"/>
      <c r="CR274" s="10"/>
      <c r="CS274" s="68"/>
      <c r="CT274" s="22"/>
      <c r="EC274" s="344" t="str">
        <f t="shared" si="38"/>
        <v>META_EL CASTILLO</v>
      </c>
      <c r="ED274" s="341"/>
      <c r="EE274" s="341" t="s">
        <v>3120</v>
      </c>
      <c r="EF274" s="349" t="s">
        <v>4563</v>
      </c>
      <c r="EG274" s="341" t="s">
        <v>3463</v>
      </c>
      <c r="EH274" s="341" t="s">
        <v>4603</v>
      </c>
      <c r="EI274" s="341" t="str">
        <f t="shared" si="32"/>
        <v>Boyaca_Guican</v>
      </c>
    </row>
    <row r="275" spans="1:139" ht="60">
      <c r="A275" s="228">
        <v>40253</v>
      </c>
      <c r="B275" s="102" t="s">
        <v>2400</v>
      </c>
      <c r="C275" s="102" t="s">
        <v>2426</v>
      </c>
      <c r="D275" s="206" t="s">
        <v>2606</v>
      </c>
      <c r="E275" s="320" t="s">
        <v>4179</v>
      </c>
      <c r="F275" s="320"/>
      <c r="G275" s="210"/>
      <c r="H275" s="71"/>
      <c r="I275" s="71"/>
      <c r="J275" s="71">
        <f>15*5</f>
        <v>75</v>
      </c>
      <c r="K275" s="71">
        <v>15</v>
      </c>
      <c r="L275" s="1"/>
      <c r="M275" s="73">
        <f t="shared" si="33"/>
        <v>0</v>
      </c>
      <c r="N275" s="73">
        <f t="shared" si="34"/>
        <v>0</v>
      </c>
      <c r="O275" s="73">
        <f t="shared" si="35"/>
        <v>0</v>
      </c>
      <c r="P275" s="73">
        <f t="shared" si="36"/>
        <v>0</v>
      </c>
      <c r="Q275" s="73"/>
      <c r="R275" s="73">
        <v>0</v>
      </c>
      <c r="S275" s="75">
        <f t="shared" si="39"/>
        <v>0</v>
      </c>
      <c r="T275" s="77">
        <v>0</v>
      </c>
      <c r="U275" s="66">
        <v>40253</v>
      </c>
      <c r="V275" s="79"/>
      <c r="W275" s="66" t="s">
        <v>1585</v>
      </c>
      <c r="X275" s="24" t="s">
        <v>1586</v>
      </c>
      <c r="Y275" s="62"/>
      <c r="Z275" s="177" t="s">
        <v>894</v>
      </c>
      <c r="AA275" s="80" t="s">
        <v>2753</v>
      </c>
      <c r="AB275" s="3"/>
      <c r="AC275" s="4"/>
      <c r="AD275" s="5"/>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6"/>
      <c r="CE275" s="7"/>
      <c r="CF275" s="6"/>
      <c r="CG275" s="7"/>
      <c r="CH275" s="6"/>
      <c r="CI275" s="7"/>
      <c r="CJ275" s="8">
        <f t="shared" si="37"/>
        <v>0</v>
      </c>
      <c r="CK275" s="9"/>
      <c r="CL275" s="10"/>
      <c r="CM275" s="11"/>
      <c r="CN275" s="12"/>
      <c r="CO275" s="28"/>
      <c r="CP275" s="12"/>
      <c r="CQ275" s="9"/>
      <c r="CR275" s="10"/>
      <c r="CS275" s="68"/>
      <c r="EC275" s="344" t="str">
        <f t="shared" si="38"/>
        <v>TOLIMA_ALVARADO</v>
      </c>
      <c r="ED275" s="341"/>
      <c r="EE275" s="341" t="s">
        <v>3120</v>
      </c>
      <c r="EF275" s="349" t="s">
        <v>4563</v>
      </c>
      <c r="EG275" s="341" t="s">
        <v>3464</v>
      </c>
      <c r="EH275" s="341" t="s">
        <v>4604</v>
      </c>
      <c r="EI275" s="341" t="str">
        <f t="shared" si="32"/>
        <v>Boyaca_Iza</v>
      </c>
    </row>
    <row r="276" spans="1:139" ht="72">
      <c r="A276" s="228">
        <v>40255</v>
      </c>
      <c r="B276" s="102" t="s">
        <v>1821</v>
      </c>
      <c r="C276" s="102" t="s">
        <v>1605</v>
      </c>
      <c r="D276" s="206" t="s">
        <v>2389</v>
      </c>
      <c r="E276" s="320" t="s">
        <v>3134</v>
      </c>
      <c r="F276" s="320"/>
      <c r="G276" s="210"/>
      <c r="H276" s="71"/>
      <c r="I276" s="71"/>
      <c r="J276" s="71"/>
      <c r="K276" s="71"/>
      <c r="L276" s="1">
        <v>40283</v>
      </c>
      <c r="M276" s="73">
        <f t="shared" si="33"/>
        <v>0</v>
      </c>
      <c r="N276" s="73">
        <f t="shared" si="34"/>
        <v>0</v>
      </c>
      <c r="O276" s="73">
        <f t="shared" si="35"/>
        <v>0</v>
      </c>
      <c r="P276" s="73">
        <f t="shared" si="36"/>
        <v>0</v>
      </c>
      <c r="Q276" s="73">
        <v>103906904.95999999</v>
      </c>
      <c r="R276" s="73">
        <v>0</v>
      </c>
      <c r="S276" s="75">
        <f t="shared" si="39"/>
        <v>103906904.95999999</v>
      </c>
      <c r="T276" s="77">
        <v>0</v>
      </c>
      <c r="U276" s="66">
        <v>40283</v>
      </c>
      <c r="V276" s="79">
        <v>96088</v>
      </c>
      <c r="W276" s="66" t="s">
        <v>1606</v>
      </c>
      <c r="X276" s="24" t="s">
        <v>1607</v>
      </c>
      <c r="Y276" s="62">
        <v>70</v>
      </c>
      <c r="Z276" s="177" t="s">
        <v>2224</v>
      </c>
      <c r="AA276" s="92" t="s">
        <v>644</v>
      </c>
      <c r="AB276" s="3"/>
      <c r="AC276" s="4"/>
      <c r="AD276" s="5"/>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6"/>
      <c r="CE276" s="7"/>
      <c r="CF276" s="6"/>
      <c r="CG276" s="7"/>
      <c r="CH276" s="6"/>
      <c r="CI276" s="7"/>
      <c r="CJ276" s="8">
        <f t="shared" si="37"/>
        <v>0</v>
      </c>
      <c r="CK276" s="9"/>
      <c r="CL276" s="10"/>
      <c r="CM276" s="11"/>
      <c r="CN276" s="12"/>
      <c r="CO276" s="28"/>
      <c r="CP276" s="12"/>
      <c r="CQ276" s="9"/>
      <c r="CR276" s="10"/>
      <c r="CS276" s="68"/>
      <c r="EC276" s="344" t="str">
        <f t="shared" si="38"/>
        <v>CESAR_DEPARTAMENTO</v>
      </c>
      <c r="ED276" s="341"/>
      <c r="EE276" s="341" t="s">
        <v>3120</v>
      </c>
      <c r="EF276" s="349" t="s">
        <v>4563</v>
      </c>
      <c r="EG276" s="341" t="s">
        <v>3465</v>
      </c>
      <c r="EH276" s="341" t="s">
        <v>4605</v>
      </c>
      <c r="EI276" s="341" t="str">
        <f t="shared" si="32"/>
        <v>Boyaca_Jenesano</v>
      </c>
    </row>
    <row r="277" spans="1:139" ht="36">
      <c r="A277" s="228">
        <v>40256</v>
      </c>
      <c r="B277" s="102" t="s">
        <v>1314</v>
      </c>
      <c r="C277" s="102" t="s">
        <v>2720</v>
      </c>
      <c r="D277" s="206" t="s">
        <v>2606</v>
      </c>
      <c r="E277" s="320" t="s">
        <v>3606</v>
      </c>
      <c r="F277" s="320"/>
      <c r="G277" s="210"/>
      <c r="H277" s="71"/>
      <c r="I277" s="71"/>
      <c r="J277" s="71">
        <f>143*5</f>
        <v>715</v>
      </c>
      <c r="K277" s="71">
        <v>143</v>
      </c>
      <c r="L277" s="1">
        <v>40261</v>
      </c>
      <c r="M277" s="73">
        <f t="shared" si="33"/>
        <v>34626416</v>
      </c>
      <c r="N277" s="73">
        <f t="shared" si="34"/>
        <v>13430000</v>
      </c>
      <c r="O277" s="73">
        <f t="shared" si="35"/>
        <v>12334400</v>
      </c>
      <c r="P277" s="73">
        <f t="shared" si="36"/>
        <v>0</v>
      </c>
      <c r="Q277" s="73"/>
      <c r="R277" s="73">
        <v>0</v>
      </c>
      <c r="S277" s="75">
        <f t="shared" si="39"/>
        <v>60390816</v>
      </c>
      <c r="T277" s="77">
        <v>0</v>
      </c>
      <c r="U277" s="66">
        <v>40261</v>
      </c>
      <c r="V277" s="79">
        <v>96166</v>
      </c>
      <c r="W277" s="66" t="s">
        <v>1606</v>
      </c>
      <c r="X277" s="24" t="s">
        <v>1607</v>
      </c>
      <c r="Y277" s="83" t="s">
        <v>2220</v>
      </c>
      <c r="Z277" s="177" t="s">
        <v>1358</v>
      </c>
      <c r="AA277" s="80" t="s">
        <v>1359</v>
      </c>
      <c r="AB277" s="3"/>
      <c r="AC277" s="4"/>
      <c r="AD277" s="5"/>
      <c r="AE277" s="4"/>
      <c r="AF277" s="4"/>
      <c r="AG277" s="4"/>
      <c r="AH277" s="4"/>
      <c r="AI277" s="4"/>
      <c r="AJ277" s="4"/>
      <c r="AK277" s="4"/>
      <c r="AL277" s="4"/>
      <c r="AM277" s="4"/>
      <c r="AN277" s="4">
        <v>300</v>
      </c>
      <c r="AO277" s="4">
        <f>300*56000</f>
        <v>16800000</v>
      </c>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v>300</v>
      </c>
      <c r="BY277" s="4">
        <f>300*21000</f>
        <v>6300000</v>
      </c>
      <c r="BZ277" s="4"/>
      <c r="CA277" s="4"/>
      <c r="CB277" s="4"/>
      <c r="CC277" s="4"/>
      <c r="CD277" s="93">
        <v>158</v>
      </c>
      <c r="CE277" s="94">
        <f>158*36952</f>
        <v>5838416</v>
      </c>
      <c r="CF277" s="93">
        <v>158</v>
      </c>
      <c r="CG277" s="94">
        <f>158*36000</f>
        <v>5688000</v>
      </c>
      <c r="CH277" s="93"/>
      <c r="CI277" s="94"/>
      <c r="CJ277" s="8">
        <f t="shared" si="37"/>
        <v>34626416</v>
      </c>
      <c r="CK277" s="95"/>
      <c r="CL277" s="96"/>
      <c r="CM277" s="97">
        <v>158</v>
      </c>
      <c r="CN277" s="98">
        <f>158*85000</f>
        <v>13430000</v>
      </c>
      <c r="CO277" s="99"/>
      <c r="CP277" s="98"/>
      <c r="CQ277" s="95">
        <f>400+200</f>
        <v>600</v>
      </c>
      <c r="CR277" s="96">
        <f>400*18792+200*22000+1200*348</f>
        <v>12334400</v>
      </c>
      <c r="CS277" s="84"/>
      <c r="CT277" s="100"/>
      <c r="EC277" s="344" t="str">
        <f t="shared" si="38"/>
        <v>CAUCA_MIRANDA</v>
      </c>
      <c r="ED277" s="341"/>
      <c r="EE277" s="341" t="s">
        <v>3120</v>
      </c>
      <c r="EF277" s="349" t="s">
        <v>4563</v>
      </c>
      <c r="EG277" s="341" t="s">
        <v>3466</v>
      </c>
      <c r="EH277" s="341" t="s">
        <v>4431</v>
      </c>
      <c r="EI277" s="341" t="str">
        <f t="shared" si="32"/>
        <v>Boyaca_Jerico</v>
      </c>
    </row>
    <row r="278" spans="1:139" ht="120">
      <c r="A278" s="228">
        <v>40257</v>
      </c>
      <c r="B278" s="102" t="s">
        <v>1996</v>
      </c>
      <c r="C278" s="102" t="s">
        <v>2428</v>
      </c>
      <c r="D278" s="206" t="s">
        <v>2606</v>
      </c>
      <c r="E278" s="320" t="s">
        <v>3814</v>
      </c>
      <c r="F278" s="320"/>
      <c r="G278" s="210"/>
      <c r="H278" s="71"/>
      <c r="I278" s="71"/>
      <c r="J278" s="71">
        <v>1403</v>
      </c>
      <c r="K278" s="71">
        <v>325</v>
      </c>
      <c r="L278" s="1">
        <v>40283</v>
      </c>
      <c r="M278" s="73">
        <f t="shared" si="33"/>
        <v>0</v>
      </c>
      <c r="N278" s="73">
        <f t="shared" si="34"/>
        <v>0</v>
      </c>
      <c r="O278" s="73">
        <f t="shared" si="35"/>
        <v>73103200</v>
      </c>
      <c r="P278" s="73">
        <f t="shared" si="36"/>
        <v>0</v>
      </c>
      <c r="Q278" s="73"/>
      <c r="R278" s="73">
        <v>20000000</v>
      </c>
      <c r="S278" s="75">
        <f t="shared" si="39"/>
        <v>93103200</v>
      </c>
      <c r="T278" s="77">
        <v>0</v>
      </c>
      <c r="U278" s="66">
        <v>40257</v>
      </c>
      <c r="V278" s="79">
        <v>96225</v>
      </c>
      <c r="W278" s="66" t="s">
        <v>1606</v>
      </c>
      <c r="X278" s="24" t="s">
        <v>1607</v>
      </c>
      <c r="Y278" s="83" t="s">
        <v>1711</v>
      </c>
      <c r="Z278" s="177" t="s">
        <v>1712</v>
      </c>
      <c r="AA278" s="80" t="s">
        <v>1713</v>
      </c>
      <c r="AB278" s="3"/>
      <c r="AC278" s="4"/>
      <c r="AD278" s="5"/>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6"/>
      <c r="CE278" s="7"/>
      <c r="CF278" s="6"/>
      <c r="CG278" s="7"/>
      <c r="CH278" s="6"/>
      <c r="CI278" s="7"/>
      <c r="CJ278" s="8">
        <f t="shared" si="37"/>
        <v>0</v>
      </c>
      <c r="CK278" s="9"/>
      <c r="CL278" s="10"/>
      <c r="CM278" s="11"/>
      <c r="CN278" s="12"/>
      <c r="CO278" s="28"/>
      <c r="CP278" s="12"/>
      <c r="CQ278" s="9">
        <v>4600</v>
      </c>
      <c r="CR278" s="10">
        <v>73103200</v>
      </c>
      <c r="CS278" s="84">
        <v>2</v>
      </c>
      <c r="CT278" s="22" t="s">
        <v>2435</v>
      </c>
      <c r="EC278" s="344" t="str">
        <f t="shared" si="38"/>
        <v>CHOCO_NUQUI</v>
      </c>
      <c r="ED278" s="341"/>
      <c r="EE278" s="341" t="s">
        <v>3120</v>
      </c>
      <c r="EF278" s="349" t="s">
        <v>4563</v>
      </c>
      <c r="EG278" s="341" t="s">
        <v>3467</v>
      </c>
      <c r="EH278" s="341" t="s">
        <v>4606</v>
      </c>
      <c r="EI278" s="341" t="str">
        <f t="shared" si="32"/>
        <v>Boyaca_Labranzagrande</v>
      </c>
    </row>
    <row r="279" spans="1:139" ht="72">
      <c r="A279" s="228">
        <v>40258</v>
      </c>
      <c r="B279" s="102" t="s">
        <v>1972</v>
      </c>
      <c r="C279" s="102" t="s">
        <v>2718</v>
      </c>
      <c r="D279" s="206" t="s">
        <v>2606</v>
      </c>
      <c r="E279" s="320" t="s">
        <v>3275</v>
      </c>
      <c r="F279" s="320"/>
      <c r="G279" s="210"/>
      <c r="H279" s="71"/>
      <c r="I279" s="71"/>
      <c r="J279" s="71">
        <v>500</v>
      </c>
      <c r="K279" s="71">
        <v>100</v>
      </c>
      <c r="L279" s="1">
        <v>40317</v>
      </c>
      <c r="M279" s="73">
        <f t="shared" si="33"/>
        <v>0</v>
      </c>
      <c r="N279" s="73">
        <f t="shared" si="34"/>
        <v>0</v>
      </c>
      <c r="O279" s="73">
        <f t="shared" si="35"/>
        <v>21090000</v>
      </c>
      <c r="P279" s="73">
        <f t="shared" si="36"/>
        <v>0</v>
      </c>
      <c r="Q279" s="73"/>
      <c r="R279" s="73">
        <v>0</v>
      </c>
      <c r="S279" s="75">
        <f t="shared" si="39"/>
        <v>21090000</v>
      </c>
      <c r="T279" s="77">
        <v>0</v>
      </c>
      <c r="U279" s="66">
        <v>40283</v>
      </c>
      <c r="V279" s="79">
        <v>96665</v>
      </c>
      <c r="W279" s="66" t="s">
        <v>1606</v>
      </c>
      <c r="X279" s="24" t="s">
        <v>1607</v>
      </c>
      <c r="Y279" s="62">
        <v>123</v>
      </c>
      <c r="Z279" s="177" t="s">
        <v>2580</v>
      </c>
      <c r="AA279" s="80" t="s">
        <v>2422</v>
      </c>
      <c r="AB279" s="3"/>
      <c r="AC279" s="4"/>
      <c r="AD279" s="5"/>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6"/>
      <c r="CE279" s="7"/>
      <c r="CF279" s="6"/>
      <c r="CG279" s="7"/>
      <c r="CH279" s="6"/>
      <c r="CI279" s="7"/>
      <c r="CJ279" s="8">
        <f t="shared" si="37"/>
        <v>0</v>
      </c>
      <c r="CK279" s="9"/>
      <c r="CL279" s="10"/>
      <c r="CM279" s="11"/>
      <c r="CN279" s="12"/>
      <c r="CO279" s="28"/>
      <c r="CP279" s="12"/>
      <c r="CQ279" s="9">
        <f>200+500</f>
        <v>700</v>
      </c>
      <c r="CR279" s="10">
        <f>200*22388+500*31769+1850*174+1000*406</f>
        <v>21090000</v>
      </c>
      <c r="CS279" s="68"/>
      <c r="CT279" s="22" t="s">
        <v>2793</v>
      </c>
      <c r="EC279" s="344" t="str">
        <f t="shared" si="38"/>
        <v>ANTIOQUIA_FRONTINO</v>
      </c>
      <c r="ED279" s="341"/>
      <c r="EE279" s="341" t="s">
        <v>3120</v>
      </c>
      <c r="EF279" s="349" t="s">
        <v>4563</v>
      </c>
      <c r="EG279" s="341" t="s">
        <v>3468</v>
      </c>
      <c r="EH279" s="341" t="s">
        <v>4607</v>
      </c>
      <c r="EI279" s="341" t="str">
        <f t="shared" si="32"/>
        <v>Boyaca_La Capilla</v>
      </c>
    </row>
    <row r="280" spans="1:139" ht="38.25">
      <c r="A280" s="228">
        <v>40258</v>
      </c>
      <c r="B280" s="102" t="s">
        <v>965</v>
      </c>
      <c r="C280" s="102" t="s">
        <v>1327</v>
      </c>
      <c r="D280" s="206" t="s">
        <v>1316</v>
      </c>
      <c r="E280" s="320" t="s">
        <v>3998</v>
      </c>
      <c r="F280" s="320"/>
      <c r="G280" s="210"/>
      <c r="H280" s="71"/>
      <c r="I280" s="71"/>
      <c r="J280" s="71">
        <v>20</v>
      </c>
      <c r="K280" s="71">
        <v>4</v>
      </c>
      <c r="L280" s="1"/>
      <c r="M280" s="73">
        <f t="shared" si="33"/>
        <v>0</v>
      </c>
      <c r="N280" s="73">
        <f t="shared" si="34"/>
        <v>0</v>
      </c>
      <c r="O280" s="73">
        <f t="shared" si="35"/>
        <v>0</v>
      </c>
      <c r="P280" s="73">
        <f t="shared" si="36"/>
        <v>0</v>
      </c>
      <c r="Q280" s="73"/>
      <c r="R280" s="73">
        <v>0</v>
      </c>
      <c r="S280" s="75">
        <f t="shared" si="39"/>
        <v>0</v>
      </c>
      <c r="T280" s="77">
        <v>0</v>
      </c>
      <c r="U280" s="66">
        <v>40260</v>
      </c>
      <c r="V280" s="79"/>
      <c r="W280" s="66" t="s">
        <v>1585</v>
      </c>
      <c r="X280" s="24" t="s">
        <v>1586</v>
      </c>
      <c r="Y280" s="62"/>
      <c r="Z280" s="177" t="s">
        <v>894</v>
      </c>
      <c r="AA280" s="80" t="s">
        <v>1361</v>
      </c>
      <c r="AB280" s="3"/>
      <c r="AC280" s="4"/>
      <c r="AD280" s="5"/>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6"/>
      <c r="CE280" s="7"/>
      <c r="CF280" s="6"/>
      <c r="CG280" s="7"/>
      <c r="CH280" s="6"/>
      <c r="CI280" s="7"/>
      <c r="CJ280" s="8">
        <f t="shared" si="37"/>
        <v>0</v>
      </c>
      <c r="CK280" s="9"/>
      <c r="CL280" s="10"/>
      <c r="CM280" s="11"/>
      <c r="CN280" s="12"/>
      <c r="CO280" s="28"/>
      <c r="CP280" s="12"/>
      <c r="CQ280" s="9"/>
      <c r="CR280" s="10"/>
      <c r="CS280" s="68"/>
      <c r="EC280" s="344" t="str">
        <f t="shared" si="38"/>
        <v>NORTE DE SANTANDER_CUCUTA</v>
      </c>
      <c r="ED280" s="341"/>
      <c r="EE280" s="341" t="s">
        <v>3120</v>
      </c>
      <c r="EF280" s="349" t="s">
        <v>4563</v>
      </c>
      <c r="EG280" s="341" t="s">
        <v>3470</v>
      </c>
      <c r="EH280" s="341" t="s">
        <v>4609</v>
      </c>
      <c r="EI280" s="341" t="str">
        <f t="shared" si="32"/>
        <v>Boyaca_La Uvita</v>
      </c>
    </row>
    <row r="281" spans="1:139" ht="25.5">
      <c r="A281" s="228">
        <v>40261</v>
      </c>
      <c r="B281" s="102" t="s">
        <v>653</v>
      </c>
      <c r="C281" s="102" t="s">
        <v>2731</v>
      </c>
      <c r="D281" s="206" t="s">
        <v>2391</v>
      </c>
      <c r="E281" s="320" t="s">
        <v>3551</v>
      </c>
      <c r="F281" s="320"/>
      <c r="G281" s="210">
        <v>1</v>
      </c>
      <c r="H281" s="71">
        <v>4</v>
      </c>
      <c r="I281" s="71"/>
      <c r="J281" s="71"/>
      <c r="K281" s="71"/>
      <c r="L281" s="1"/>
      <c r="M281" s="73">
        <f t="shared" si="33"/>
        <v>0</v>
      </c>
      <c r="N281" s="73">
        <f t="shared" si="34"/>
        <v>0</v>
      </c>
      <c r="O281" s="73">
        <f t="shared" si="35"/>
        <v>0</v>
      </c>
      <c r="P281" s="73">
        <f t="shared" si="36"/>
        <v>0</v>
      </c>
      <c r="Q281" s="73"/>
      <c r="R281" s="73">
        <v>0</v>
      </c>
      <c r="S281" s="75">
        <f t="shared" si="39"/>
        <v>0</v>
      </c>
      <c r="T281" s="77">
        <v>0</v>
      </c>
      <c r="U281" s="66">
        <v>40262</v>
      </c>
      <c r="V281" s="79"/>
      <c r="W281" s="66" t="s">
        <v>1585</v>
      </c>
      <c r="X281" s="24" t="s">
        <v>1586</v>
      </c>
      <c r="Y281" s="62"/>
      <c r="Z281" s="177" t="s">
        <v>894</v>
      </c>
      <c r="AA281" s="80" t="s">
        <v>2732</v>
      </c>
      <c r="AB281" s="3"/>
      <c r="AC281" s="4"/>
      <c r="AD281" s="5"/>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6"/>
      <c r="CE281" s="7"/>
      <c r="CF281" s="6"/>
      <c r="CG281" s="7"/>
      <c r="CH281" s="6"/>
      <c r="CI281" s="7"/>
      <c r="CJ281" s="8">
        <f t="shared" si="37"/>
        <v>0</v>
      </c>
      <c r="CK281" s="9"/>
      <c r="CL281" s="10"/>
      <c r="CM281" s="11"/>
      <c r="CN281" s="12"/>
      <c r="CO281" s="28"/>
      <c r="CP281" s="12"/>
      <c r="CQ281" s="9"/>
      <c r="CR281" s="10"/>
      <c r="CS281" s="68"/>
      <c r="EC281" s="344" t="str">
        <f t="shared" si="38"/>
        <v>CALDAS_LA MERCED</v>
      </c>
      <c r="ED281" s="341"/>
      <c r="EE281" s="341" t="s">
        <v>3120</v>
      </c>
      <c r="EF281" s="349" t="s">
        <v>4563</v>
      </c>
      <c r="EG281" s="341" t="s">
        <v>3471</v>
      </c>
      <c r="EH281" s="341" t="s">
        <v>4610</v>
      </c>
      <c r="EI281" s="341" t="str">
        <f t="shared" si="32"/>
        <v>Boyaca_Villa de Leyva</v>
      </c>
    </row>
    <row r="282" spans="1:139" ht="25.5">
      <c r="A282" s="228">
        <v>40261</v>
      </c>
      <c r="B282" s="102" t="s">
        <v>1612</v>
      </c>
      <c r="C282" s="102" t="s">
        <v>1613</v>
      </c>
      <c r="D282" s="206" t="s">
        <v>1316</v>
      </c>
      <c r="E282" s="320" t="s">
        <v>4038</v>
      </c>
      <c r="F282" s="320"/>
      <c r="G282" s="210"/>
      <c r="H282" s="71"/>
      <c r="I282" s="71"/>
      <c r="J282" s="71">
        <v>7</v>
      </c>
      <c r="K282" s="71">
        <v>4</v>
      </c>
      <c r="L282" s="1"/>
      <c r="M282" s="73">
        <f t="shared" si="33"/>
        <v>0</v>
      </c>
      <c r="N282" s="73">
        <f t="shared" si="34"/>
        <v>0</v>
      </c>
      <c r="O282" s="73">
        <f t="shared" si="35"/>
        <v>0</v>
      </c>
      <c r="P282" s="73">
        <f t="shared" si="36"/>
        <v>0</v>
      </c>
      <c r="Q282" s="73"/>
      <c r="R282" s="73">
        <v>0</v>
      </c>
      <c r="S282" s="75">
        <f t="shared" si="39"/>
        <v>0</v>
      </c>
      <c r="T282" s="77">
        <v>0</v>
      </c>
      <c r="U282" s="66">
        <v>40262</v>
      </c>
      <c r="V282" s="79"/>
      <c r="W282" s="66" t="s">
        <v>1585</v>
      </c>
      <c r="X282" s="24" t="s">
        <v>1586</v>
      </c>
      <c r="Y282" s="62"/>
      <c r="Z282" s="177" t="s">
        <v>894</v>
      </c>
      <c r="AA282" s="80" t="s">
        <v>1401</v>
      </c>
      <c r="AB282" s="3"/>
      <c r="AC282" s="4"/>
      <c r="AD282" s="5"/>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6"/>
      <c r="CE282" s="7"/>
      <c r="CF282" s="6"/>
      <c r="CG282" s="7"/>
      <c r="CH282" s="6"/>
      <c r="CI282" s="7"/>
      <c r="CJ282" s="8">
        <f t="shared" si="37"/>
        <v>0</v>
      </c>
      <c r="CK282" s="9"/>
      <c r="CL282" s="10"/>
      <c r="CM282" s="11"/>
      <c r="CN282" s="12"/>
      <c r="CO282" s="28"/>
      <c r="CP282" s="12"/>
      <c r="CQ282" s="9"/>
      <c r="CR282" s="10"/>
      <c r="CS282" s="68"/>
      <c r="EC282" s="344" t="str">
        <f t="shared" si="38"/>
        <v>QUINDIO_ARMENIA</v>
      </c>
      <c r="ED282" s="341"/>
      <c r="EE282" s="341" t="s">
        <v>3120</v>
      </c>
      <c r="EF282" s="349" t="s">
        <v>4563</v>
      </c>
      <c r="EG282" s="341" t="s">
        <v>3472</v>
      </c>
      <c r="EH282" s="341" t="s">
        <v>4611</v>
      </c>
      <c r="EI282" s="341" t="str">
        <f t="shared" si="32"/>
        <v>Boyaca_Macanal</v>
      </c>
    </row>
    <row r="283" spans="1:139" s="127" customFormat="1" ht="56.25">
      <c r="A283" s="228">
        <v>40261</v>
      </c>
      <c r="B283" s="102" t="s">
        <v>2400</v>
      </c>
      <c r="C283" s="102" t="s">
        <v>1701</v>
      </c>
      <c r="D283" s="206" t="s">
        <v>2606</v>
      </c>
      <c r="E283" s="320" t="s">
        <v>4188</v>
      </c>
      <c r="F283" s="320"/>
      <c r="G283" s="210"/>
      <c r="H283" s="71"/>
      <c r="I283" s="71"/>
      <c r="J283" s="71">
        <f>86*5</f>
        <v>430</v>
      </c>
      <c r="K283" s="71">
        <v>86</v>
      </c>
      <c r="L283" s="1">
        <v>40295</v>
      </c>
      <c r="M283" s="73">
        <f t="shared" si="33"/>
        <v>19249870</v>
      </c>
      <c r="N283" s="73">
        <f t="shared" si="34"/>
        <v>0</v>
      </c>
      <c r="O283" s="73">
        <f t="shared" si="35"/>
        <v>50511040</v>
      </c>
      <c r="P283" s="73">
        <f t="shared" si="36"/>
        <v>0</v>
      </c>
      <c r="Q283" s="73"/>
      <c r="R283" s="73">
        <v>0</v>
      </c>
      <c r="S283" s="75">
        <f t="shared" si="39"/>
        <v>69760910</v>
      </c>
      <c r="T283" s="77">
        <v>0</v>
      </c>
      <c r="U283" s="66">
        <v>40284</v>
      </c>
      <c r="V283" s="79">
        <v>96689</v>
      </c>
      <c r="W283" s="66" t="s">
        <v>1606</v>
      </c>
      <c r="X283" s="24" t="s">
        <v>1607</v>
      </c>
      <c r="Y283" s="83" t="s">
        <v>2218</v>
      </c>
      <c r="Z283" s="177" t="s">
        <v>403</v>
      </c>
      <c r="AA283" s="80" t="s">
        <v>1904</v>
      </c>
      <c r="AB283" s="3"/>
      <c r="AC283" s="4"/>
      <c r="AD283" s="5"/>
      <c r="AE283" s="4"/>
      <c r="AF283" s="4"/>
      <c r="AG283" s="4"/>
      <c r="AH283" s="4"/>
      <c r="AI283" s="4"/>
      <c r="AJ283" s="4"/>
      <c r="AK283" s="4"/>
      <c r="AL283" s="4"/>
      <c r="AM283" s="4"/>
      <c r="AN283" s="4"/>
      <c r="AO283" s="4"/>
      <c r="AP283" s="4">
        <v>250</v>
      </c>
      <c r="AQ283" s="4">
        <f>250*56000</f>
        <v>14000000</v>
      </c>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v>250</v>
      </c>
      <c r="BY283" s="4">
        <f>250*20999.48</f>
        <v>5249870</v>
      </c>
      <c r="BZ283" s="4"/>
      <c r="CA283" s="4"/>
      <c r="CB283" s="4"/>
      <c r="CC283" s="4"/>
      <c r="CD283" s="6"/>
      <c r="CE283" s="7"/>
      <c r="CF283" s="6"/>
      <c r="CG283" s="7"/>
      <c r="CH283" s="6"/>
      <c r="CI283" s="7"/>
      <c r="CJ283" s="8">
        <f t="shared" si="37"/>
        <v>19249870</v>
      </c>
      <c r="CK283" s="9"/>
      <c r="CL283" s="10"/>
      <c r="CM283" s="11"/>
      <c r="CN283" s="12"/>
      <c r="CO283" s="28">
        <v>200</v>
      </c>
      <c r="CP283" s="12">
        <f>200*29928</f>
        <v>5985600</v>
      </c>
      <c r="CQ283" s="9">
        <f>800+800</f>
        <v>1600</v>
      </c>
      <c r="CR283" s="10">
        <f>800*34568+800*19140+1600*556.8+3200*208.8</f>
        <v>44525440</v>
      </c>
      <c r="CS283" s="84"/>
      <c r="CT283" s="22"/>
      <c r="EC283" s="344" t="str">
        <f t="shared" si="38"/>
        <v>TOLIMA_COELLO</v>
      </c>
      <c r="ED283" s="341"/>
      <c r="EE283" s="341" t="s">
        <v>3120</v>
      </c>
      <c r="EF283" s="349" t="s">
        <v>4563</v>
      </c>
      <c r="EG283" s="341" t="s">
        <v>3473</v>
      </c>
      <c r="EH283" s="341" t="s">
        <v>4612</v>
      </c>
      <c r="EI283" s="341" t="str">
        <f t="shared" si="32"/>
        <v>Boyaca_Maripi</v>
      </c>
    </row>
    <row r="284" spans="1:139" ht="38.25">
      <c r="A284" s="228">
        <v>40262</v>
      </c>
      <c r="B284" s="102" t="s">
        <v>2298</v>
      </c>
      <c r="C284" s="102" t="s">
        <v>1610</v>
      </c>
      <c r="D284" s="206" t="s">
        <v>1316</v>
      </c>
      <c r="E284" s="320" t="s">
        <v>3375</v>
      </c>
      <c r="F284" s="320"/>
      <c r="G284" s="210"/>
      <c r="H284" s="71">
        <v>1</v>
      </c>
      <c r="I284" s="71"/>
      <c r="J284" s="71">
        <v>5</v>
      </c>
      <c r="K284" s="71">
        <v>1</v>
      </c>
      <c r="L284" s="1"/>
      <c r="M284" s="73">
        <f t="shared" si="33"/>
        <v>0</v>
      </c>
      <c r="N284" s="73">
        <f t="shared" si="34"/>
        <v>0</v>
      </c>
      <c r="O284" s="73">
        <f t="shared" si="35"/>
        <v>0</v>
      </c>
      <c r="P284" s="73">
        <f t="shared" si="36"/>
        <v>0</v>
      </c>
      <c r="Q284" s="73"/>
      <c r="R284" s="73">
        <v>0</v>
      </c>
      <c r="S284" s="75">
        <f t="shared" si="39"/>
        <v>0</v>
      </c>
      <c r="T284" s="77">
        <v>0</v>
      </c>
      <c r="U284" s="66">
        <v>40263</v>
      </c>
      <c r="V284" s="79"/>
      <c r="W284" s="66" t="s">
        <v>1585</v>
      </c>
      <c r="X284" s="24" t="s">
        <v>1586</v>
      </c>
      <c r="Y284" s="62"/>
      <c r="Z284" s="177" t="s">
        <v>894</v>
      </c>
      <c r="AA284" s="80" t="s">
        <v>1646</v>
      </c>
      <c r="AB284" s="3"/>
      <c r="AC284" s="4"/>
      <c r="AD284" s="5"/>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6"/>
      <c r="CE284" s="7"/>
      <c r="CF284" s="6"/>
      <c r="CG284" s="7"/>
      <c r="CH284" s="6"/>
      <c r="CI284" s="7"/>
      <c r="CJ284" s="8">
        <f t="shared" si="37"/>
        <v>0</v>
      </c>
      <c r="CK284" s="9"/>
      <c r="CL284" s="10"/>
      <c r="CM284" s="11"/>
      <c r="CN284" s="12"/>
      <c r="CO284" s="28"/>
      <c r="CP284" s="12"/>
      <c r="CQ284" s="9"/>
      <c r="CR284" s="10"/>
      <c r="CS284" s="68"/>
      <c r="EC284" s="344" t="str">
        <f t="shared" si="38"/>
        <v>BOGOTA D.C._BOGOTA</v>
      </c>
      <c r="ED284" s="341"/>
      <c r="EE284" s="341" t="s">
        <v>3120</v>
      </c>
      <c r="EF284" s="349" t="s">
        <v>4563</v>
      </c>
      <c r="EG284" s="341" t="s">
        <v>3474</v>
      </c>
      <c r="EH284" s="341" t="s">
        <v>4613</v>
      </c>
      <c r="EI284" s="341" t="str">
        <f t="shared" si="32"/>
        <v>Boyaca_Miraflores</v>
      </c>
    </row>
    <row r="285" spans="1:139" ht="72">
      <c r="A285" s="228">
        <v>40262</v>
      </c>
      <c r="B285" s="102" t="s">
        <v>2704</v>
      </c>
      <c r="C285" s="102" t="s">
        <v>2591</v>
      </c>
      <c r="D285" s="206" t="s">
        <v>2606</v>
      </c>
      <c r="E285" s="320" t="s">
        <v>3579</v>
      </c>
      <c r="F285" s="320"/>
      <c r="G285" s="210"/>
      <c r="H285" s="71"/>
      <c r="I285" s="71"/>
      <c r="J285" s="71">
        <f>40*5</f>
        <v>200</v>
      </c>
      <c r="K285" s="71">
        <v>40</v>
      </c>
      <c r="L285" s="1">
        <v>40340</v>
      </c>
      <c r="M285" s="73">
        <f t="shared" si="33"/>
        <v>0</v>
      </c>
      <c r="N285" s="73">
        <f t="shared" si="34"/>
        <v>0</v>
      </c>
      <c r="O285" s="73">
        <f t="shared" si="35"/>
        <v>0</v>
      </c>
      <c r="P285" s="73">
        <f t="shared" si="36"/>
        <v>0</v>
      </c>
      <c r="Q285" s="73">
        <f>300*24940+45*40368+14*42804+30*164720+10*214600</f>
        <v>16985416</v>
      </c>
      <c r="R285" s="73">
        <v>0</v>
      </c>
      <c r="S285" s="75">
        <f t="shared" si="39"/>
        <v>16985416</v>
      </c>
      <c r="T285" s="77">
        <v>0</v>
      </c>
      <c r="U285" s="66">
        <v>40303</v>
      </c>
      <c r="V285" s="79">
        <v>97232</v>
      </c>
      <c r="W285" s="66" t="s">
        <v>1606</v>
      </c>
      <c r="X285" s="24" t="s">
        <v>1607</v>
      </c>
      <c r="Y285" s="62">
        <v>154</v>
      </c>
      <c r="Z285" s="177" t="s">
        <v>2580</v>
      </c>
      <c r="AA285" s="80" t="s">
        <v>1208</v>
      </c>
      <c r="AB285" s="3"/>
      <c r="AC285" s="4"/>
      <c r="AD285" s="5"/>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6"/>
      <c r="CE285" s="7"/>
      <c r="CF285" s="6"/>
      <c r="CG285" s="7"/>
      <c r="CH285" s="6"/>
      <c r="CI285" s="7"/>
      <c r="CJ285" s="8">
        <f t="shared" si="37"/>
        <v>0</v>
      </c>
      <c r="CK285" s="9"/>
      <c r="CL285" s="10"/>
      <c r="CM285" s="11"/>
      <c r="CN285" s="12"/>
      <c r="CO285" s="28"/>
      <c r="CP285" s="12"/>
      <c r="CQ285" s="9"/>
      <c r="CR285" s="10"/>
      <c r="CS285" s="68"/>
      <c r="EC285" s="344" t="str">
        <f t="shared" si="38"/>
        <v>CAQUETA_MORELIA</v>
      </c>
      <c r="ED285" s="341"/>
      <c r="EE285" s="341" t="s">
        <v>3120</v>
      </c>
      <c r="EF285" s="349" t="s">
        <v>4563</v>
      </c>
      <c r="EG285" s="341" t="s">
        <v>3475</v>
      </c>
      <c r="EH285" s="341" t="s">
        <v>4614</v>
      </c>
      <c r="EI285" s="341" t="str">
        <f t="shared" si="32"/>
        <v>Boyaca_Mongua</v>
      </c>
    </row>
    <row r="286" spans="1:139" ht="45">
      <c r="A286" s="228">
        <v>40262</v>
      </c>
      <c r="B286" s="102" t="s">
        <v>1996</v>
      </c>
      <c r="C286" s="102" t="s">
        <v>1891</v>
      </c>
      <c r="D286" s="206" t="s">
        <v>2606</v>
      </c>
      <c r="E286" s="320" t="s">
        <v>3812</v>
      </c>
      <c r="F286" s="320"/>
      <c r="G286" s="210"/>
      <c r="H286" s="71"/>
      <c r="I286" s="71"/>
      <c r="J286" s="71">
        <f>16*5</f>
        <v>80</v>
      </c>
      <c r="K286" s="71">
        <v>16</v>
      </c>
      <c r="L286" s="1">
        <v>40374</v>
      </c>
      <c r="M286" s="73">
        <f t="shared" si="33"/>
        <v>0</v>
      </c>
      <c r="N286" s="73">
        <f t="shared" si="34"/>
        <v>0</v>
      </c>
      <c r="O286" s="73">
        <f t="shared" si="35"/>
        <v>10944000</v>
      </c>
      <c r="P286" s="73">
        <f t="shared" si="36"/>
        <v>0</v>
      </c>
      <c r="Q286" s="73"/>
      <c r="R286" s="73">
        <v>0</v>
      </c>
      <c r="S286" s="75">
        <f t="shared" si="39"/>
        <v>10944000</v>
      </c>
      <c r="T286" s="77">
        <v>0</v>
      </c>
      <c r="U286" s="66">
        <v>40330</v>
      </c>
      <c r="V286" s="79">
        <v>97967</v>
      </c>
      <c r="W286" s="66" t="s">
        <v>1606</v>
      </c>
      <c r="X286" s="24" t="s">
        <v>1607</v>
      </c>
      <c r="Y286" s="62">
        <v>204</v>
      </c>
      <c r="Z286" s="177" t="s">
        <v>2580</v>
      </c>
      <c r="AA286" s="80"/>
      <c r="AB286" s="3"/>
      <c r="AC286" s="4"/>
      <c r="AD286" s="5"/>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6"/>
      <c r="CE286" s="7"/>
      <c r="CF286" s="6"/>
      <c r="CG286" s="7"/>
      <c r="CH286" s="6"/>
      <c r="CI286" s="7"/>
      <c r="CJ286" s="8">
        <f t="shared" si="37"/>
        <v>0</v>
      </c>
      <c r="CK286" s="9"/>
      <c r="CL286" s="10"/>
      <c r="CM286" s="11"/>
      <c r="CN286" s="12"/>
      <c r="CO286" s="28"/>
      <c r="CP286" s="12"/>
      <c r="CQ286" s="9">
        <v>480</v>
      </c>
      <c r="CR286" s="10">
        <f>480*22800</f>
        <v>10944000</v>
      </c>
      <c r="CS286" s="68"/>
      <c r="EC286" s="344" t="str">
        <f t="shared" si="38"/>
        <v>CHOCO_MEDIO SAN JUAN</v>
      </c>
      <c r="ED286" s="341"/>
      <c r="EE286" s="341" t="s">
        <v>3120</v>
      </c>
      <c r="EF286" s="349" t="s">
        <v>4563</v>
      </c>
      <c r="EG286" s="341" t="s">
        <v>3476</v>
      </c>
      <c r="EH286" s="341" t="s">
        <v>4615</v>
      </c>
      <c r="EI286" s="341" t="str">
        <f t="shared" si="32"/>
        <v>Boyaca_Mongui</v>
      </c>
    </row>
    <row r="287" spans="1:139" ht="25.5">
      <c r="A287" s="228">
        <v>40262</v>
      </c>
      <c r="B287" s="102" t="s">
        <v>2694</v>
      </c>
      <c r="C287" s="102" t="s">
        <v>3221</v>
      </c>
      <c r="D287" s="206" t="s">
        <v>2606</v>
      </c>
      <c r="E287" s="320" t="s">
        <v>4309</v>
      </c>
      <c r="F287" s="320"/>
      <c r="G287" s="210"/>
      <c r="H287" s="71"/>
      <c r="I287" s="71"/>
      <c r="J287" s="71">
        <v>60</v>
      </c>
      <c r="K287" s="71">
        <v>12</v>
      </c>
      <c r="L287" s="1"/>
      <c r="M287" s="73">
        <f t="shared" si="33"/>
        <v>0</v>
      </c>
      <c r="N287" s="73">
        <f t="shared" si="34"/>
        <v>0</v>
      </c>
      <c r="O287" s="73">
        <f t="shared" si="35"/>
        <v>0</v>
      </c>
      <c r="P287" s="73">
        <f t="shared" si="36"/>
        <v>0</v>
      </c>
      <c r="Q287" s="73"/>
      <c r="R287" s="73">
        <v>0</v>
      </c>
      <c r="S287" s="75">
        <f t="shared" si="39"/>
        <v>0</v>
      </c>
      <c r="T287" s="77">
        <v>0</v>
      </c>
      <c r="U287" s="66">
        <v>40280</v>
      </c>
      <c r="V287" s="79"/>
      <c r="W287" s="66" t="s">
        <v>1585</v>
      </c>
      <c r="X287" s="24" t="s">
        <v>1586</v>
      </c>
      <c r="Y287" s="62"/>
      <c r="Z287" s="177" t="s">
        <v>894</v>
      </c>
      <c r="AA287" s="80" t="s">
        <v>2695</v>
      </c>
      <c r="AB287" s="3"/>
      <c r="AC287" s="4"/>
      <c r="AD287" s="5"/>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6"/>
      <c r="CE287" s="7"/>
      <c r="CF287" s="6"/>
      <c r="CG287" s="7"/>
      <c r="CH287" s="6"/>
      <c r="CI287" s="7"/>
      <c r="CJ287" s="8">
        <f t="shared" si="37"/>
        <v>0</v>
      </c>
      <c r="CK287" s="9"/>
      <c r="CL287" s="10"/>
      <c r="CM287" s="11"/>
      <c r="CN287" s="12"/>
      <c r="CO287" s="28"/>
      <c r="CP287" s="12"/>
      <c r="CQ287" s="9"/>
      <c r="CR287" s="10"/>
      <c r="CS287" s="68"/>
      <c r="EC287" s="344" t="str">
        <f t="shared" si="38"/>
        <v>GUAINIA_INIRIDA</v>
      </c>
      <c r="ED287" s="341"/>
      <c r="EE287" s="341" t="s">
        <v>3120</v>
      </c>
      <c r="EF287" s="349" t="s">
        <v>4563</v>
      </c>
      <c r="EG287" s="341" t="s">
        <v>3477</v>
      </c>
      <c r="EH287" s="341" t="s">
        <v>4616</v>
      </c>
      <c r="EI287" s="341" t="str">
        <f t="shared" si="32"/>
        <v>Boyaca_Moniquira</v>
      </c>
    </row>
    <row r="288" spans="1:139" ht="72">
      <c r="A288" s="228">
        <v>40262</v>
      </c>
      <c r="B288" s="102" t="s">
        <v>962</v>
      </c>
      <c r="C288" s="102" t="s">
        <v>1161</v>
      </c>
      <c r="D288" s="206" t="s">
        <v>1162</v>
      </c>
      <c r="E288" s="320" t="s">
        <v>3840</v>
      </c>
      <c r="F288" s="320"/>
      <c r="G288" s="210"/>
      <c r="H288" s="71"/>
      <c r="I288" s="71"/>
      <c r="J288" s="71"/>
      <c r="K288" s="71"/>
      <c r="L288" s="1">
        <v>40345</v>
      </c>
      <c r="M288" s="73">
        <f t="shared" si="33"/>
        <v>0</v>
      </c>
      <c r="N288" s="73">
        <f t="shared" si="34"/>
        <v>0</v>
      </c>
      <c r="O288" s="73">
        <f t="shared" si="35"/>
        <v>0</v>
      </c>
      <c r="P288" s="73">
        <f t="shared" si="36"/>
        <v>0</v>
      </c>
      <c r="Q288" s="73"/>
      <c r="R288" s="73">
        <v>73705272</v>
      </c>
      <c r="S288" s="75">
        <f t="shared" si="39"/>
        <v>73705272</v>
      </c>
      <c r="T288" s="77">
        <v>0</v>
      </c>
      <c r="U288" s="66">
        <v>40262</v>
      </c>
      <c r="V288" s="79">
        <v>96227</v>
      </c>
      <c r="W288" s="66" t="s">
        <v>1606</v>
      </c>
      <c r="X288" s="24" t="s">
        <v>1607</v>
      </c>
      <c r="Y288" s="62">
        <v>310</v>
      </c>
      <c r="Z288" s="177" t="s">
        <v>590</v>
      </c>
      <c r="AA288" s="92" t="s">
        <v>591</v>
      </c>
      <c r="AB288" s="3"/>
      <c r="AC288" s="4"/>
      <c r="AD288" s="5"/>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6"/>
      <c r="CE288" s="7"/>
      <c r="CF288" s="6"/>
      <c r="CG288" s="7"/>
      <c r="CH288" s="6"/>
      <c r="CI288" s="7"/>
      <c r="CJ288" s="8">
        <f t="shared" si="37"/>
        <v>0</v>
      </c>
      <c r="CK288" s="9"/>
      <c r="CL288" s="10"/>
      <c r="CM288" s="11"/>
      <c r="CN288" s="12"/>
      <c r="CO288" s="28"/>
      <c r="CP288" s="12"/>
      <c r="CQ288" s="9"/>
      <c r="CR288" s="10"/>
      <c r="CS288" s="68">
        <v>2</v>
      </c>
      <c r="EC288" s="344" t="str">
        <f t="shared" si="38"/>
        <v>HUILA_LA PLATA</v>
      </c>
      <c r="ED288" s="341"/>
      <c r="EE288" s="341" t="s">
        <v>3120</v>
      </c>
      <c r="EF288" s="349" t="s">
        <v>4563</v>
      </c>
      <c r="EG288" s="341" t="s">
        <v>3478</v>
      </c>
      <c r="EH288" s="341" t="s">
        <v>4617</v>
      </c>
      <c r="EI288" s="341" t="str">
        <f t="shared" si="32"/>
        <v>Boyaca_Motavita</v>
      </c>
    </row>
    <row r="289" spans="1:139" ht="84">
      <c r="A289" s="228">
        <v>40262</v>
      </c>
      <c r="B289" s="102" t="s">
        <v>1943</v>
      </c>
      <c r="C289" s="102" t="s">
        <v>1242</v>
      </c>
      <c r="D289" s="206" t="s">
        <v>1244</v>
      </c>
      <c r="E289" s="320" t="s">
        <v>4153</v>
      </c>
      <c r="F289" s="320"/>
      <c r="G289" s="210"/>
      <c r="H289" s="71"/>
      <c r="I289" s="71"/>
      <c r="J289" s="71"/>
      <c r="K289" s="71"/>
      <c r="L289" s="1">
        <v>40317</v>
      </c>
      <c r="M289" s="73">
        <f t="shared" si="33"/>
        <v>0</v>
      </c>
      <c r="N289" s="73">
        <f t="shared" si="34"/>
        <v>55250000</v>
      </c>
      <c r="O289" s="73">
        <f t="shared" si="35"/>
        <v>0</v>
      </c>
      <c r="P289" s="73">
        <f t="shared" si="36"/>
        <v>0</v>
      </c>
      <c r="Q289" s="73"/>
      <c r="R289" s="73">
        <v>0</v>
      </c>
      <c r="S289" s="75">
        <f t="shared" si="39"/>
        <v>55250000</v>
      </c>
      <c r="T289" s="77">
        <v>0</v>
      </c>
      <c r="U289" s="66">
        <v>40283</v>
      </c>
      <c r="V289" s="79">
        <v>96609</v>
      </c>
      <c r="W289" s="66" t="s">
        <v>1606</v>
      </c>
      <c r="X289" s="24" t="s">
        <v>1607</v>
      </c>
      <c r="Y289" s="62">
        <v>124</v>
      </c>
      <c r="Z289" s="177" t="s">
        <v>2039</v>
      </c>
      <c r="AA289" s="80" t="s">
        <v>2038</v>
      </c>
      <c r="AB289" s="3"/>
      <c r="AC289" s="4"/>
      <c r="AD289" s="5"/>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6"/>
      <c r="CE289" s="7"/>
      <c r="CF289" s="6"/>
      <c r="CG289" s="7"/>
      <c r="CH289" s="6"/>
      <c r="CI289" s="7"/>
      <c r="CJ289" s="8">
        <f t="shared" si="37"/>
        <v>0</v>
      </c>
      <c r="CK289" s="9"/>
      <c r="CL289" s="10"/>
      <c r="CM289" s="11">
        <v>650</v>
      </c>
      <c r="CN289" s="12">
        <f>650*85000</f>
        <v>55250000</v>
      </c>
      <c r="CO289" s="28"/>
      <c r="CP289" s="12"/>
      <c r="CQ289" s="9"/>
      <c r="CR289" s="10"/>
      <c r="CS289" s="68"/>
      <c r="EC289" s="344" t="str">
        <f t="shared" si="38"/>
        <v>SUCRE_CAIMITO</v>
      </c>
      <c r="ED289" s="341"/>
      <c r="EE289" s="341" t="s">
        <v>3120</v>
      </c>
      <c r="EF289" s="349" t="s">
        <v>4563</v>
      </c>
      <c r="EG289" s="341" t="s">
        <v>3479</v>
      </c>
      <c r="EH289" s="341" t="s">
        <v>4618</v>
      </c>
      <c r="EI289" s="341" t="str">
        <f t="shared" si="32"/>
        <v>Boyaca_Muzo</v>
      </c>
    </row>
    <row r="290" spans="1:139" ht="45">
      <c r="A290" s="228">
        <v>40262</v>
      </c>
      <c r="B290" s="102" t="s">
        <v>1943</v>
      </c>
      <c r="C290" s="102" t="s">
        <v>1968</v>
      </c>
      <c r="D290" s="206" t="s">
        <v>2606</v>
      </c>
      <c r="E290" s="320" t="s">
        <v>4162</v>
      </c>
      <c r="F290" s="320"/>
      <c r="G290" s="210"/>
      <c r="H290" s="71"/>
      <c r="I290" s="71"/>
      <c r="J290" s="71">
        <f>13*5</f>
        <v>65</v>
      </c>
      <c r="K290" s="71">
        <v>13</v>
      </c>
      <c r="L290" s="1">
        <v>40368</v>
      </c>
      <c r="M290" s="73">
        <f t="shared" si="33"/>
        <v>0</v>
      </c>
      <c r="N290" s="73">
        <f t="shared" si="34"/>
        <v>0</v>
      </c>
      <c r="O290" s="73">
        <f t="shared" si="35"/>
        <v>4817600</v>
      </c>
      <c r="P290" s="73">
        <f t="shared" si="36"/>
        <v>0</v>
      </c>
      <c r="Q290" s="73"/>
      <c r="R290" s="73">
        <v>0</v>
      </c>
      <c r="S290" s="75">
        <f t="shared" si="39"/>
        <v>4817600</v>
      </c>
      <c r="T290" s="77">
        <v>0</v>
      </c>
      <c r="U290" s="66">
        <v>40330</v>
      </c>
      <c r="V290" s="79">
        <v>97922</v>
      </c>
      <c r="W290" s="66" t="s">
        <v>1606</v>
      </c>
      <c r="X290" s="24" t="s">
        <v>1607</v>
      </c>
      <c r="Y290" s="62">
        <v>194</v>
      </c>
      <c r="Z290" s="177" t="s">
        <v>2580</v>
      </c>
      <c r="AA290" s="80" t="s">
        <v>647</v>
      </c>
      <c r="AB290" s="3"/>
      <c r="AC290" s="4"/>
      <c r="AD290" s="5"/>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6"/>
      <c r="CE290" s="7"/>
      <c r="CF290" s="6"/>
      <c r="CG290" s="7"/>
      <c r="CH290" s="6"/>
      <c r="CI290" s="7"/>
      <c r="CJ290" s="8">
        <f t="shared" si="37"/>
        <v>0</v>
      </c>
      <c r="CK290" s="9"/>
      <c r="CL290" s="10"/>
      <c r="CM290" s="11"/>
      <c r="CN290" s="12"/>
      <c r="CO290" s="28"/>
      <c r="CP290" s="12"/>
      <c r="CQ290" s="9">
        <v>200</v>
      </c>
      <c r="CR290" s="10">
        <f>200*22000+1200*348</f>
        <v>4817600</v>
      </c>
      <c r="CS290" s="68"/>
      <c r="EC290" s="344" t="str">
        <f t="shared" si="38"/>
        <v>SUCRE_LOS PALMITOS</v>
      </c>
      <c r="ED290" s="341"/>
      <c r="EE290" s="341" t="s">
        <v>3120</v>
      </c>
      <c r="EF290" s="349" t="s">
        <v>4563</v>
      </c>
      <c r="EG290" s="341" t="s">
        <v>3480</v>
      </c>
      <c r="EH290" s="341" t="s">
        <v>4619</v>
      </c>
      <c r="EI290" s="341" t="str">
        <f t="shared" si="32"/>
        <v>Boyaca_Nobsa</v>
      </c>
    </row>
    <row r="291" spans="1:139" ht="84">
      <c r="A291" s="228">
        <v>40262</v>
      </c>
      <c r="B291" s="102" t="s">
        <v>1943</v>
      </c>
      <c r="C291" s="102" t="s">
        <v>1243</v>
      </c>
      <c r="D291" s="206" t="s">
        <v>1244</v>
      </c>
      <c r="E291" s="320" t="s">
        <v>4168</v>
      </c>
      <c r="F291" s="320"/>
      <c r="G291" s="210"/>
      <c r="H291" s="71"/>
      <c r="I291" s="71"/>
      <c r="J291" s="71"/>
      <c r="K291" s="71"/>
      <c r="L291" s="1">
        <v>40317</v>
      </c>
      <c r="M291" s="73">
        <f t="shared" si="33"/>
        <v>0</v>
      </c>
      <c r="N291" s="73">
        <f t="shared" si="34"/>
        <v>54400000</v>
      </c>
      <c r="O291" s="73">
        <f t="shared" si="35"/>
        <v>0</v>
      </c>
      <c r="P291" s="73">
        <f t="shared" si="36"/>
        <v>0</v>
      </c>
      <c r="Q291" s="73"/>
      <c r="R291" s="73">
        <v>0</v>
      </c>
      <c r="S291" s="75">
        <f t="shared" si="39"/>
        <v>54400000</v>
      </c>
      <c r="T291" s="77">
        <v>0</v>
      </c>
      <c r="U291" s="66">
        <v>40283</v>
      </c>
      <c r="V291" s="79">
        <v>96609</v>
      </c>
      <c r="W291" s="66" t="s">
        <v>1606</v>
      </c>
      <c r="X291" s="24" t="s">
        <v>1607</v>
      </c>
      <c r="Y291" s="62">
        <v>124</v>
      </c>
      <c r="Z291" s="177" t="s">
        <v>2039</v>
      </c>
      <c r="AA291" s="80" t="s">
        <v>1245</v>
      </c>
      <c r="AB291" s="3"/>
      <c r="AC291" s="4"/>
      <c r="AD291" s="5"/>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6"/>
      <c r="CE291" s="7"/>
      <c r="CF291" s="6"/>
      <c r="CG291" s="7"/>
      <c r="CH291" s="6"/>
      <c r="CI291" s="7"/>
      <c r="CJ291" s="8">
        <f t="shared" si="37"/>
        <v>0</v>
      </c>
      <c r="CK291" s="9"/>
      <c r="CL291" s="10"/>
      <c r="CM291" s="11">
        <v>640</v>
      </c>
      <c r="CN291" s="12">
        <f>640*85000</f>
        <v>54400000</v>
      </c>
      <c r="CO291" s="28"/>
      <c r="CP291" s="12"/>
      <c r="CQ291" s="9"/>
      <c r="CR291" s="10"/>
      <c r="CS291" s="68"/>
      <c r="EC291" s="344" t="str">
        <f t="shared" si="38"/>
        <v>SUCRE_SAN BENITO ABAD</v>
      </c>
      <c r="ED291" s="341"/>
      <c r="EE291" s="341" t="s">
        <v>3120</v>
      </c>
      <c r="EF291" s="349" t="s">
        <v>4563</v>
      </c>
      <c r="EG291" s="341" t="s">
        <v>3481</v>
      </c>
      <c r="EH291" s="341" t="s">
        <v>4620</v>
      </c>
      <c r="EI291" s="341" t="str">
        <f t="shared" si="32"/>
        <v>Boyaca_Nuevo Colon</v>
      </c>
    </row>
    <row r="292" spans="1:139" ht="36">
      <c r="A292" s="228">
        <v>40263</v>
      </c>
      <c r="B292" s="102" t="s">
        <v>1972</v>
      </c>
      <c r="C292" s="102" t="s">
        <v>1841</v>
      </c>
      <c r="D292" s="206" t="s">
        <v>2391</v>
      </c>
      <c r="E292" s="320" t="s">
        <v>3331</v>
      </c>
      <c r="F292" s="320"/>
      <c r="G292" s="210"/>
      <c r="H292" s="71">
        <v>34</v>
      </c>
      <c r="I292" s="71"/>
      <c r="J292" s="71"/>
      <c r="K292" s="71"/>
      <c r="L292" s="1"/>
      <c r="M292" s="73">
        <f t="shared" si="33"/>
        <v>0</v>
      </c>
      <c r="N292" s="73">
        <f t="shared" si="34"/>
        <v>0</v>
      </c>
      <c r="O292" s="73">
        <f t="shared" si="35"/>
        <v>0</v>
      </c>
      <c r="P292" s="73">
        <f t="shared" si="36"/>
        <v>0</v>
      </c>
      <c r="Q292" s="73"/>
      <c r="R292" s="73">
        <v>0</v>
      </c>
      <c r="S292" s="75">
        <f t="shared" si="39"/>
        <v>0</v>
      </c>
      <c r="T292" s="77">
        <v>0</v>
      </c>
      <c r="U292" s="66">
        <v>40267</v>
      </c>
      <c r="V292" s="79"/>
      <c r="W292" s="66" t="s">
        <v>1585</v>
      </c>
      <c r="X292" s="24" t="s">
        <v>1586</v>
      </c>
      <c r="Y292" s="62"/>
      <c r="Z292" s="177" t="s">
        <v>894</v>
      </c>
      <c r="AA292" s="80" t="s">
        <v>1842</v>
      </c>
      <c r="AB292" s="3"/>
      <c r="AC292" s="4"/>
      <c r="AD292" s="5"/>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6"/>
      <c r="CE292" s="7"/>
      <c r="CF292" s="6"/>
      <c r="CG292" s="7"/>
      <c r="CH292" s="6"/>
      <c r="CI292" s="7"/>
      <c r="CJ292" s="8">
        <f t="shared" si="37"/>
        <v>0</v>
      </c>
      <c r="CK292" s="9"/>
      <c r="CL292" s="10"/>
      <c r="CM292" s="11"/>
      <c r="CN292" s="12"/>
      <c r="CO292" s="28"/>
      <c r="CP292" s="12"/>
      <c r="CQ292" s="9"/>
      <c r="CR292" s="10"/>
      <c r="CS292" s="68"/>
      <c r="EC292" s="344" t="str">
        <f t="shared" si="38"/>
        <v>ANTIOQUIA_SEGOVIA</v>
      </c>
      <c r="ED292" s="341"/>
      <c r="EE292" s="341" t="s">
        <v>3120</v>
      </c>
      <c r="EF292" s="349" t="s">
        <v>4563</v>
      </c>
      <c r="EG292" s="341" t="s">
        <v>3482</v>
      </c>
      <c r="EH292" s="341" t="s">
        <v>4621</v>
      </c>
      <c r="EI292" s="341" t="str">
        <f t="shared" ref="EI292:EI354" si="40">EF292&amp;"_"&amp;EH292</f>
        <v>Boyaca_Oicata</v>
      </c>
    </row>
    <row r="293" spans="1:139" ht="72">
      <c r="A293" s="228">
        <v>40263</v>
      </c>
      <c r="B293" s="102" t="s">
        <v>1996</v>
      </c>
      <c r="C293" s="102" t="s">
        <v>1901</v>
      </c>
      <c r="D293" s="206" t="s">
        <v>1201</v>
      </c>
      <c r="E293" s="320" t="s">
        <v>3810</v>
      </c>
      <c r="F293" s="320"/>
      <c r="G293" s="210"/>
      <c r="H293" s="71"/>
      <c r="I293" s="71"/>
      <c r="J293" s="71">
        <f>974*5</f>
        <v>4870</v>
      </c>
      <c r="K293" s="71">
        <f>123+33+16+75+110+70+44+49+32+70+127+34+48+27+53+63</f>
        <v>974</v>
      </c>
      <c r="L293" s="1">
        <v>40422</v>
      </c>
      <c r="M293" s="73">
        <f t="shared" si="33"/>
        <v>0</v>
      </c>
      <c r="N293" s="73">
        <f t="shared" si="34"/>
        <v>0</v>
      </c>
      <c r="O293" s="73">
        <f t="shared" si="35"/>
        <v>0</v>
      </c>
      <c r="P293" s="73">
        <f t="shared" si="36"/>
        <v>0</v>
      </c>
      <c r="Q293" s="73"/>
      <c r="R293" s="73">
        <v>57800000</v>
      </c>
      <c r="S293" s="75">
        <f t="shared" si="39"/>
        <v>57800000</v>
      </c>
      <c r="T293" s="77">
        <v>0</v>
      </c>
      <c r="U293" s="66">
        <v>40267</v>
      </c>
      <c r="V293" s="79"/>
      <c r="W293" s="66" t="s">
        <v>1606</v>
      </c>
      <c r="X293" s="24" t="s">
        <v>1607</v>
      </c>
      <c r="Y293" s="62">
        <v>401</v>
      </c>
      <c r="Z293" s="177" t="s">
        <v>357</v>
      </c>
      <c r="AA293" s="80" t="s">
        <v>358</v>
      </c>
      <c r="AB293" s="3"/>
      <c r="AC293" s="4"/>
      <c r="AD293" s="5"/>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6"/>
      <c r="CE293" s="7"/>
      <c r="CF293" s="6"/>
      <c r="CG293" s="7"/>
      <c r="CH293" s="6"/>
      <c r="CI293" s="7"/>
      <c r="CJ293" s="8">
        <f t="shared" si="37"/>
        <v>0</v>
      </c>
      <c r="CK293" s="9"/>
      <c r="CL293" s="10"/>
      <c r="CM293" s="11"/>
      <c r="CN293" s="12"/>
      <c r="CO293" s="28"/>
      <c r="CP293" s="12"/>
      <c r="CQ293" s="9"/>
      <c r="CR293" s="10"/>
      <c r="CS293" s="68">
        <v>2</v>
      </c>
      <c r="EC293" s="344" t="str">
        <f t="shared" si="38"/>
        <v>CHOCO_MEDIO ATRATO</v>
      </c>
      <c r="ED293" s="341"/>
      <c r="EE293" s="341" t="s">
        <v>3120</v>
      </c>
      <c r="EF293" s="349" t="s">
        <v>4563</v>
      </c>
      <c r="EG293" s="341" t="s">
        <v>3483</v>
      </c>
      <c r="EH293" s="341" t="s">
        <v>4622</v>
      </c>
      <c r="EI293" s="341" t="str">
        <f t="shared" si="40"/>
        <v>Boyaca_Otanche</v>
      </c>
    </row>
    <row r="294" spans="1:139" ht="108">
      <c r="A294" s="228">
        <v>40263</v>
      </c>
      <c r="B294" s="102" t="s">
        <v>1996</v>
      </c>
      <c r="C294" s="102" t="s">
        <v>1945</v>
      </c>
      <c r="D294" s="206" t="s">
        <v>1902</v>
      </c>
      <c r="E294" s="320" t="s">
        <v>3793</v>
      </c>
      <c r="F294" s="320"/>
      <c r="G294" s="210">
        <v>3</v>
      </c>
      <c r="H294" s="71"/>
      <c r="I294" s="71"/>
      <c r="J294" s="71">
        <f>612*5</f>
        <v>3060</v>
      </c>
      <c r="K294" s="71">
        <v>612</v>
      </c>
      <c r="L294" s="1">
        <v>40309</v>
      </c>
      <c r="M294" s="73">
        <f t="shared" si="33"/>
        <v>101592000</v>
      </c>
      <c r="N294" s="73">
        <f t="shared" si="34"/>
        <v>52020000</v>
      </c>
      <c r="O294" s="73">
        <f t="shared" si="35"/>
        <v>59995000</v>
      </c>
      <c r="P294" s="73">
        <f t="shared" si="36"/>
        <v>0</v>
      </c>
      <c r="Q294" s="73"/>
      <c r="R294" s="73">
        <v>80000000</v>
      </c>
      <c r="S294" s="75">
        <f t="shared" si="39"/>
        <v>293607000</v>
      </c>
      <c r="T294" s="77">
        <v>0</v>
      </c>
      <c r="U294" s="66">
        <v>40263</v>
      </c>
      <c r="V294" s="79">
        <v>96274</v>
      </c>
      <c r="W294" s="66" t="s">
        <v>1606</v>
      </c>
      <c r="X294" s="24" t="s">
        <v>1607</v>
      </c>
      <c r="Y294" s="83" t="s">
        <v>878</v>
      </c>
      <c r="Z294" s="177" t="s">
        <v>2402</v>
      </c>
      <c r="AA294" s="80" t="s">
        <v>633</v>
      </c>
      <c r="AB294" s="3"/>
      <c r="AC294" s="4"/>
      <c r="AD294" s="5"/>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6">
        <v>612</v>
      </c>
      <c r="CE294" s="7">
        <f>612*37000</f>
        <v>22644000</v>
      </c>
      <c r="CF294" s="6">
        <v>612</v>
      </c>
      <c r="CG294" s="7">
        <f>612*36050</f>
        <v>22062600</v>
      </c>
      <c r="CH294" s="6">
        <v>612</v>
      </c>
      <c r="CI294" s="7">
        <f>612*92950</f>
        <v>56885400</v>
      </c>
      <c r="CJ294" s="8">
        <f t="shared" si="37"/>
        <v>101592000</v>
      </c>
      <c r="CK294" s="9"/>
      <c r="CL294" s="10"/>
      <c r="CM294" s="11">
        <v>612</v>
      </c>
      <c r="CN294" s="12">
        <f>612*85000</f>
        <v>52020000</v>
      </c>
      <c r="CO294" s="28"/>
      <c r="CP294" s="12"/>
      <c r="CQ294" s="9">
        <v>3000</v>
      </c>
      <c r="CR294" s="10">
        <f>3000*19890+125*2600</f>
        <v>59995000</v>
      </c>
      <c r="CS294" s="84" t="s">
        <v>1207</v>
      </c>
      <c r="EC294" s="344" t="str">
        <f t="shared" si="38"/>
        <v>CHOCO_QUIBDO</v>
      </c>
      <c r="ED294" s="341"/>
      <c r="EE294" s="341" t="s">
        <v>3120</v>
      </c>
      <c r="EF294" s="349" t="s">
        <v>4563</v>
      </c>
      <c r="EG294" s="341" t="s">
        <v>3484</v>
      </c>
      <c r="EH294" s="341" t="s">
        <v>4623</v>
      </c>
      <c r="EI294" s="341" t="str">
        <f t="shared" si="40"/>
        <v>Boyaca_Pachavita</v>
      </c>
    </row>
    <row r="295" spans="1:139" ht="36">
      <c r="A295" s="228">
        <v>40263</v>
      </c>
      <c r="B295" s="102" t="s">
        <v>1609</v>
      </c>
      <c r="C295" s="102" t="s">
        <v>2004</v>
      </c>
      <c r="D295" s="206" t="s">
        <v>2606</v>
      </c>
      <c r="E295" s="320" t="s">
        <v>4050</v>
      </c>
      <c r="F295" s="320"/>
      <c r="G295" s="210"/>
      <c r="H295" s="71"/>
      <c r="I295" s="71"/>
      <c r="J295" s="71">
        <v>152</v>
      </c>
      <c r="K295" s="71">
        <v>37</v>
      </c>
      <c r="L295" s="1"/>
      <c r="M295" s="73">
        <f t="shared" si="33"/>
        <v>0</v>
      </c>
      <c r="N295" s="73">
        <f t="shared" si="34"/>
        <v>0</v>
      </c>
      <c r="O295" s="73">
        <f t="shared" si="35"/>
        <v>0</v>
      </c>
      <c r="P295" s="73">
        <f t="shared" si="36"/>
        <v>0</v>
      </c>
      <c r="Q295" s="73"/>
      <c r="R295" s="73">
        <v>0</v>
      </c>
      <c r="S295" s="75">
        <f t="shared" si="39"/>
        <v>0</v>
      </c>
      <c r="T295" s="77">
        <v>0</v>
      </c>
      <c r="U295" s="66">
        <v>40267</v>
      </c>
      <c r="V295" s="79"/>
      <c r="W295" s="66" t="s">
        <v>1585</v>
      </c>
      <c r="X295" s="24" t="s">
        <v>1586</v>
      </c>
      <c r="Y295" s="62"/>
      <c r="Z295" s="177" t="s">
        <v>894</v>
      </c>
      <c r="AA295" s="80" t="s">
        <v>1837</v>
      </c>
      <c r="AB295" s="3"/>
      <c r="AC295" s="4"/>
      <c r="AD295" s="5"/>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6"/>
      <c r="CE295" s="7"/>
      <c r="CF295" s="6"/>
      <c r="CG295" s="7"/>
      <c r="CH295" s="6"/>
      <c r="CI295" s="7"/>
      <c r="CJ295" s="8">
        <f t="shared" si="37"/>
        <v>0</v>
      </c>
      <c r="CK295" s="9"/>
      <c r="CL295" s="10"/>
      <c r="CM295" s="11"/>
      <c r="CN295" s="12"/>
      <c r="CO295" s="28"/>
      <c r="CP295" s="12"/>
      <c r="CQ295" s="9"/>
      <c r="CR295" s="10"/>
      <c r="CS295" s="68"/>
      <c r="EC295" s="344" t="str">
        <f t="shared" si="38"/>
        <v>RISARALDA_PEREIRA</v>
      </c>
      <c r="ED295" s="341"/>
      <c r="EE295" s="341" t="s">
        <v>3120</v>
      </c>
      <c r="EF295" s="349" t="s">
        <v>4563</v>
      </c>
      <c r="EG295" s="341" t="s">
        <v>3485</v>
      </c>
      <c r="EH295" s="341" t="s">
        <v>4624</v>
      </c>
      <c r="EI295" s="341" t="str">
        <f t="shared" si="40"/>
        <v>Boyaca_Paez</v>
      </c>
    </row>
    <row r="296" spans="1:139" ht="60">
      <c r="A296" s="228">
        <v>40263</v>
      </c>
      <c r="B296" s="102" t="s">
        <v>2400</v>
      </c>
      <c r="C296" s="102" t="s">
        <v>1545</v>
      </c>
      <c r="D296" s="206" t="s">
        <v>2606</v>
      </c>
      <c r="E296" s="320" t="s">
        <v>4177</v>
      </c>
      <c r="F296" s="320"/>
      <c r="G296" s="210"/>
      <c r="H296" s="71"/>
      <c r="I296" s="71"/>
      <c r="J296" s="71">
        <v>185</v>
      </c>
      <c r="K296" s="71">
        <v>48</v>
      </c>
      <c r="L296" s="1"/>
      <c r="M296" s="73">
        <f t="shared" si="33"/>
        <v>0</v>
      </c>
      <c r="N296" s="73">
        <f t="shared" si="34"/>
        <v>0</v>
      </c>
      <c r="O296" s="73">
        <f t="shared" si="35"/>
        <v>0</v>
      </c>
      <c r="P296" s="73">
        <f t="shared" si="36"/>
        <v>0</v>
      </c>
      <c r="Q296" s="73"/>
      <c r="R296" s="73">
        <v>0</v>
      </c>
      <c r="S296" s="75">
        <f t="shared" si="39"/>
        <v>0</v>
      </c>
      <c r="T296" s="77">
        <v>0</v>
      </c>
      <c r="U296" s="66">
        <v>40267</v>
      </c>
      <c r="V296" s="79"/>
      <c r="W296" s="66" t="s">
        <v>1585</v>
      </c>
      <c r="X296" s="24" t="s">
        <v>1586</v>
      </c>
      <c r="Y296" s="62"/>
      <c r="Z296" s="177" t="s">
        <v>894</v>
      </c>
      <c r="AA296" s="80" t="s">
        <v>1839</v>
      </c>
      <c r="AB296" s="3"/>
      <c r="AC296" s="4"/>
      <c r="AD296" s="5"/>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6"/>
      <c r="CE296" s="7"/>
      <c r="CF296" s="6"/>
      <c r="CG296" s="7"/>
      <c r="CH296" s="6"/>
      <c r="CI296" s="7"/>
      <c r="CJ296" s="8">
        <f t="shared" si="37"/>
        <v>0</v>
      </c>
      <c r="CK296" s="9"/>
      <c r="CL296" s="10"/>
      <c r="CM296" s="11"/>
      <c r="CN296" s="12"/>
      <c r="CO296" s="28"/>
      <c r="CP296" s="12"/>
      <c r="CQ296" s="9"/>
      <c r="CR296" s="10"/>
      <c r="CS296" s="68"/>
      <c r="EC296" s="344" t="str">
        <f t="shared" si="38"/>
        <v>TOLIMA_IBAGUE</v>
      </c>
      <c r="ED296" s="341"/>
      <c r="EE296" s="341" t="s">
        <v>3120</v>
      </c>
      <c r="EF296" s="349" t="s">
        <v>4563</v>
      </c>
      <c r="EG296" s="341" t="s">
        <v>3486</v>
      </c>
      <c r="EH296" s="341" t="s">
        <v>4625</v>
      </c>
      <c r="EI296" s="341" t="str">
        <f t="shared" si="40"/>
        <v>Boyaca_Paipa</v>
      </c>
    </row>
    <row r="297" spans="1:139" ht="45">
      <c r="A297" s="228">
        <v>40263</v>
      </c>
      <c r="B297" s="102" t="s">
        <v>2400</v>
      </c>
      <c r="C297" s="102" t="s">
        <v>2754</v>
      </c>
      <c r="D297" s="206" t="s">
        <v>2606</v>
      </c>
      <c r="E297" s="320" t="s">
        <v>4210</v>
      </c>
      <c r="F297" s="320"/>
      <c r="G297" s="210"/>
      <c r="H297" s="71"/>
      <c r="I297" s="71"/>
      <c r="J297" s="71">
        <v>100</v>
      </c>
      <c r="K297" s="71">
        <v>20</v>
      </c>
      <c r="L297" s="1"/>
      <c r="M297" s="73">
        <f t="shared" si="33"/>
        <v>0</v>
      </c>
      <c r="N297" s="73">
        <f t="shared" si="34"/>
        <v>0</v>
      </c>
      <c r="O297" s="73">
        <f t="shared" si="35"/>
        <v>9987600</v>
      </c>
      <c r="P297" s="73">
        <f t="shared" si="36"/>
        <v>0</v>
      </c>
      <c r="Q297" s="73"/>
      <c r="R297" s="73">
        <v>0</v>
      </c>
      <c r="S297" s="75">
        <f t="shared" si="39"/>
        <v>9987600</v>
      </c>
      <c r="T297" s="77">
        <v>0</v>
      </c>
      <c r="U297" s="66">
        <v>40284</v>
      </c>
      <c r="V297" s="79">
        <v>96689</v>
      </c>
      <c r="W297" s="66" t="s">
        <v>1606</v>
      </c>
      <c r="X297" s="24" t="s">
        <v>1607</v>
      </c>
      <c r="Y297" s="62">
        <v>99</v>
      </c>
      <c r="Z297" s="177" t="s">
        <v>2580</v>
      </c>
      <c r="AA297" s="80" t="s">
        <v>2302</v>
      </c>
      <c r="AB297" s="3"/>
      <c r="AC297" s="4"/>
      <c r="AD297" s="5"/>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6"/>
      <c r="CE297" s="7"/>
      <c r="CF297" s="6"/>
      <c r="CG297" s="7"/>
      <c r="CH297" s="6"/>
      <c r="CI297" s="7"/>
      <c r="CJ297" s="8">
        <f t="shared" si="37"/>
        <v>0</v>
      </c>
      <c r="CK297" s="9"/>
      <c r="CL297" s="10"/>
      <c r="CM297" s="11"/>
      <c r="CN297" s="12"/>
      <c r="CO297" s="28"/>
      <c r="CP297" s="12"/>
      <c r="CQ297" s="9">
        <v>500</v>
      </c>
      <c r="CR297" s="10">
        <f>500*19140+2000*208.8</f>
        <v>9987600</v>
      </c>
      <c r="CS297" s="68"/>
      <c r="EC297" s="344" t="str">
        <f t="shared" si="38"/>
        <v>TOLIMA_PRADO</v>
      </c>
      <c r="ED297" s="341"/>
      <c r="EE297" s="341" t="s">
        <v>3120</v>
      </c>
      <c r="EF297" s="349" t="s">
        <v>4563</v>
      </c>
      <c r="EG297" s="341" t="s">
        <v>3487</v>
      </c>
      <c r="EH297" s="341" t="s">
        <v>4626</v>
      </c>
      <c r="EI297" s="341" t="str">
        <f t="shared" si="40"/>
        <v>Boyaca_Pajarito</v>
      </c>
    </row>
    <row r="298" spans="1:139" ht="72">
      <c r="A298" s="229">
        <v>40264</v>
      </c>
      <c r="B298" s="220" t="s">
        <v>2400</v>
      </c>
      <c r="C298" s="220" t="s">
        <v>2303</v>
      </c>
      <c r="D298" s="231" t="s">
        <v>1752</v>
      </c>
      <c r="E298" s="322" t="s">
        <v>4190</v>
      </c>
      <c r="F298" s="322"/>
      <c r="G298" s="211"/>
      <c r="H298" s="107"/>
      <c r="I298" s="107"/>
      <c r="J298" s="107">
        <v>440</v>
      </c>
      <c r="K298" s="107">
        <v>88</v>
      </c>
      <c r="L298" s="90">
        <v>40304</v>
      </c>
      <c r="M298" s="108">
        <f t="shared" si="33"/>
        <v>0</v>
      </c>
      <c r="N298" s="108">
        <f t="shared" si="34"/>
        <v>14960000</v>
      </c>
      <c r="O298" s="108">
        <f t="shared" si="35"/>
        <v>0</v>
      </c>
      <c r="P298" s="108">
        <f t="shared" si="36"/>
        <v>0</v>
      </c>
      <c r="Q298" s="108"/>
      <c r="R298" s="108">
        <v>0</v>
      </c>
      <c r="S298" s="109">
        <f t="shared" si="39"/>
        <v>14960000</v>
      </c>
      <c r="T298" s="110">
        <v>0</v>
      </c>
      <c r="U298" s="111">
        <v>40284</v>
      </c>
      <c r="V298" s="112">
        <v>96689</v>
      </c>
      <c r="W298" s="111" t="s">
        <v>1606</v>
      </c>
      <c r="X298" s="113" t="s">
        <v>1607</v>
      </c>
      <c r="Y298" s="114">
        <v>107</v>
      </c>
      <c r="Z298" s="197" t="s">
        <v>1086</v>
      </c>
      <c r="AA298" s="115" t="s">
        <v>2281</v>
      </c>
      <c r="AB298" s="116"/>
      <c r="AC298" s="117"/>
      <c r="AD298" s="118"/>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9"/>
      <c r="CE298" s="120"/>
      <c r="CF298" s="119"/>
      <c r="CG298" s="120"/>
      <c r="CH298" s="119"/>
      <c r="CI298" s="120"/>
      <c r="CJ298" s="8">
        <f t="shared" si="37"/>
        <v>0</v>
      </c>
      <c r="CK298" s="121"/>
      <c r="CL298" s="122"/>
      <c r="CM298" s="123">
        <v>176</v>
      </c>
      <c r="CN298" s="124">
        <f>176*85000</f>
        <v>14960000</v>
      </c>
      <c r="CO298" s="125"/>
      <c r="CP298" s="124"/>
      <c r="CQ298" s="121"/>
      <c r="CR298" s="122"/>
      <c r="CS298" s="132"/>
      <c r="CT298" s="126"/>
      <c r="EC298" s="344" t="str">
        <f t="shared" si="38"/>
        <v>TOLIMA_CUNDAY</v>
      </c>
      <c r="ED298" s="341"/>
      <c r="EE298" s="341" t="s">
        <v>3120</v>
      </c>
      <c r="EF298" s="349" t="s">
        <v>4563</v>
      </c>
      <c r="EG298" s="341" t="s">
        <v>3488</v>
      </c>
      <c r="EH298" s="341" t="s">
        <v>4627</v>
      </c>
      <c r="EI298" s="341" t="str">
        <f t="shared" si="40"/>
        <v>Boyaca_Panqueba</v>
      </c>
    </row>
    <row r="299" spans="1:139" ht="48">
      <c r="A299" s="228">
        <v>40266</v>
      </c>
      <c r="B299" s="102" t="s">
        <v>1972</v>
      </c>
      <c r="C299" s="102" t="s">
        <v>1843</v>
      </c>
      <c r="D299" s="206" t="s">
        <v>1201</v>
      </c>
      <c r="E299" s="320" t="s">
        <v>3300</v>
      </c>
      <c r="F299" s="320"/>
      <c r="G299" s="210"/>
      <c r="H299" s="71"/>
      <c r="I299" s="71"/>
      <c r="J299" s="71">
        <f>350*5</f>
        <v>1750</v>
      </c>
      <c r="K299" s="71">
        <v>350</v>
      </c>
      <c r="L299" s="1">
        <v>40302</v>
      </c>
      <c r="M299" s="73">
        <f t="shared" si="33"/>
        <v>26099850</v>
      </c>
      <c r="N299" s="73">
        <f t="shared" si="34"/>
        <v>29750000</v>
      </c>
      <c r="O299" s="73">
        <f t="shared" si="35"/>
        <v>0</v>
      </c>
      <c r="P299" s="73">
        <f t="shared" si="36"/>
        <v>0</v>
      </c>
      <c r="Q299" s="73"/>
      <c r="R299" s="73">
        <v>0</v>
      </c>
      <c r="S299" s="75">
        <f t="shared" si="39"/>
        <v>55849850</v>
      </c>
      <c r="T299" s="77">
        <v>0</v>
      </c>
      <c r="U299" s="66">
        <v>40284</v>
      </c>
      <c r="V299" s="79">
        <v>96686</v>
      </c>
      <c r="W299" s="66" t="s">
        <v>1606</v>
      </c>
      <c r="X299" s="24" t="s">
        <v>1607</v>
      </c>
      <c r="Y299" s="62">
        <v>101</v>
      </c>
      <c r="Z299" s="177" t="s">
        <v>2580</v>
      </c>
      <c r="AA299" s="80" t="s">
        <v>1362</v>
      </c>
      <c r="AB299" s="3"/>
      <c r="AC299" s="4"/>
      <c r="AD299" s="5"/>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6">
        <v>350</v>
      </c>
      <c r="CE299" s="7">
        <f>350*36595</f>
        <v>12808250</v>
      </c>
      <c r="CF299" s="6">
        <v>350</v>
      </c>
      <c r="CG299" s="7">
        <f>350*37976</f>
        <v>13291600</v>
      </c>
      <c r="CH299" s="6"/>
      <c r="CI299" s="7"/>
      <c r="CJ299" s="8">
        <f t="shared" si="37"/>
        <v>26099850</v>
      </c>
      <c r="CK299" s="9"/>
      <c r="CL299" s="10"/>
      <c r="CM299" s="11">
        <v>350</v>
      </c>
      <c r="CN299" s="12">
        <f>350*85000</f>
        <v>29750000</v>
      </c>
      <c r="CO299" s="28"/>
      <c r="CP299" s="12"/>
      <c r="CQ299" s="9"/>
      <c r="CR299" s="10"/>
      <c r="CS299" s="68"/>
      <c r="EC299" s="344" t="str">
        <f t="shared" si="38"/>
        <v>ANTIOQUIA_NECOCLI</v>
      </c>
      <c r="ED299" s="341"/>
      <c r="EE299" s="341" t="s">
        <v>3120</v>
      </c>
      <c r="EF299" s="349" t="s">
        <v>4563</v>
      </c>
      <c r="EG299" s="341" t="s">
        <v>3489</v>
      </c>
      <c r="EH299" s="341" t="s">
        <v>4628</v>
      </c>
      <c r="EI299" s="341" t="str">
        <f t="shared" si="40"/>
        <v>Boyaca_Pauna</v>
      </c>
    </row>
    <row r="300" spans="1:139" ht="45">
      <c r="A300" s="228">
        <v>40266</v>
      </c>
      <c r="B300" s="102" t="s">
        <v>1972</v>
      </c>
      <c r="C300" s="102" t="s">
        <v>1844</v>
      </c>
      <c r="D300" s="206" t="s">
        <v>1201</v>
      </c>
      <c r="E300" s="320" t="s">
        <v>3339</v>
      </c>
      <c r="F300" s="320"/>
      <c r="G300" s="210"/>
      <c r="H300" s="71"/>
      <c r="I300" s="71"/>
      <c r="J300" s="71">
        <f>250*5</f>
        <v>1250</v>
      </c>
      <c r="K300" s="71">
        <v>250</v>
      </c>
      <c r="L300" s="1">
        <v>40302</v>
      </c>
      <c r="M300" s="73">
        <f t="shared" si="33"/>
        <v>18642750</v>
      </c>
      <c r="N300" s="73">
        <f t="shared" si="34"/>
        <v>21250000</v>
      </c>
      <c r="O300" s="73">
        <f t="shared" si="35"/>
        <v>0</v>
      </c>
      <c r="P300" s="73">
        <f t="shared" si="36"/>
        <v>0</v>
      </c>
      <c r="Q300" s="73"/>
      <c r="R300" s="73">
        <v>0</v>
      </c>
      <c r="S300" s="75">
        <f t="shared" si="39"/>
        <v>39892750</v>
      </c>
      <c r="T300" s="77">
        <v>0</v>
      </c>
      <c r="U300" s="66">
        <v>40284</v>
      </c>
      <c r="V300" s="79">
        <v>96686</v>
      </c>
      <c r="W300" s="66" t="s">
        <v>1606</v>
      </c>
      <c r="X300" s="24" t="s">
        <v>1607</v>
      </c>
      <c r="Y300" s="62">
        <v>101</v>
      </c>
      <c r="Z300" s="177" t="s">
        <v>2580</v>
      </c>
      <c r="AA300" s="80" t="s">
        <v>2579</v>
      </c>
      <c r="AB300" s="3"/>
      <c r="AC300" s="4"/>
      <c r="AD300" s="5"/>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6">
        <v>250</v>
      </c>
      <c r="CE300" s="7">
        <f>250*36595</f>
        <v>9148750</v>
      </c>
      <c r="CF300" s="6">
        <v>250</v>
      </c>
      <c r="CG300" s="7">
        <f>250*37976</f>
        <v>9494000</v>
      </c>
      <c r="CH300" s="6"/>
      <c r="CI300" s="7"/>
      <c r="CJ300" s="8">
        <f t="shared" si="37"/>
        <v>18642750</v>
      </c>
      <c r="CK300" s="9"/>
      <c r="CL300" s="10"/>
      <c r="CM300" s="11">
        <v>250</v>
      </c>
      <c r="CN300" s="12">
        <f>250*85000</f>
        <v>21250000</v>
      </c>
      <c r="CO300" s="28"/>
      <c r="CP300" s="12"/>
      <c r="CQ300" s="9"/>
      <c r="CR300" s="10"/>
      <c r="CS300" s="68"/>
      <c r="EC300" s="344" t="str">
        <f t="shared" si="38"/>
        <v>ANTIOQUIA_TURBO</v>
      </c>
      <c r="ED300" s="341"/>
      <c r="EE300" s="341" t="s">
        <v>3120</v>
      </c>
      <c r="EF300" s="349" t="s">
        <v>4563</v>
      </c>
      <c r="EG300" s="341" t="s">
        <v>3490</v>
      </c>
      <c r="EH300" s="341" t="s">
        <v>4629</v>
      </c>
      <c r="EI300" s="341" t="str">
        <f t="shared" si="40"/>
        <v>Boyaca_Paya</v>
      </c>
    </row>
    <row r="301" spans="1:139" ht="132">
      <c r="A301" s="228">
        <v>40267</v>
      </c>
      <c r="B301" s="102" t="s">
        <v>1609</v>
      </c>
      <c r="C301" s="102" t="s">
        <v>2581</v>
      </c>
      <c r="D301" s="206" t="s">
        <v>2606</v>
      </c>
      <c r="E301" s="320" t="s">
        <v>4053</v>
      </c>
      <c r="F301" s="320"/>
      <c r="G301" s="210"/>
      <c r="H301" s="71"/>
      <c r="I301" s="71"/>
      <c r="J301" s="71">
        <v>806</v>
      </c>
      <c r="K301" s="71">
        <v>185</v>
      </c>
      <c r="L301" s="1">
        <v>40295</v>
      </c>
      <c r="M301" s="73">
        <f t="shared" si="33"/>
        <v>12894000</v>
      </c>
      <c r="N301" s="73">
        <f t="shared" si="34"/>
        <v>0</v>
      </c>
      <c r="O301" s="73">
        <f t="shared" si="35"/>
        <v>27351600</v>
      </c>
      <c r="P301" s="73">
        <f t="shared" si="36"/>
        <v>0</v>
      </c>
      <c r="Q301" s="73"/>
      <c r="R301" s="73">
        <v>0</v>
      </c>
      <c r="S301" s="75">
        <f t="shared" si="39"/>
        <v>40245600</v>
      </c>
      <c r="T301" s="77">
        <v>0</v>
      </c>
      <c r="U301" s="66">
        <v>40280</v>
      </c>
      <c r="V301" s="79">
        <v>96537</v>
      </c>
      <c r="W301" s="66" t="s">
        <v>1606</v>
      </c>
      <c r="X301" s="24" t="s">
        <v>1607</v>
      </c>
      <c r="Y301" s="62">
        <v>87</v>
      </c>
      <c r="Z301" s="177" t="s">
        <v>2580</v>
      </c>
      <c r="AA301" s="80" t="s">
        <v>2376</v>
      </c>
      <c r="AB301" s="3"/>
      <c r="AC301" s="4"/>
      <c r="AD301" s="5"/>
      <c r="AE301" s="4"/>
      <c r="AF301" s="4"/>
      <c r="AG301" s="4"/>
      <c r="AH301" s="4"/>
      <c r="AI301" s="4"/>
      <c r="AJ301" s="4"/>
      <c r="AK301" s="4"/>
      <c r="AL301" s="4"/>
      <c r="AM301" s="4"/>
      <c r="AN301" s="4">
        <v>155</v>
      </c>
      <c r="AO301" s="4">
        <f>155*56000</f>
        <v>8680000</v>
      </c>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v>196</v>
      </c>
      <c r="BY301" s="4">
        <f>196*21500</f>
        <v>4214000</v>
      </c>
      <c r="BZ301" s="4"/>
      <c r="CA301" s="4"/>
      <c r="CB301" s="4"/>
      <c r="CC301" s="4"/>
      <c r="CD301" s="6"/>
      <c r="CE301" s="7"/>
      <c r="CF301" s="6"/>
      <c r="CG301" s="7"/>
      <c r="CH301" s="6"/>
      <c r="CI301" s="7"/>
      <c r="CJ301" s="8">
        <f t="shared" si="37"/>
        <v>12894000</v>
      </c>
      <c r="CK301" s="9"/>
      <c r="CL301" s="10"/>
      <c r="CM301" s="11"/>
      <c r="CN301" s="12"/>
      <c r="CO301" s="28"/>
      <c r="CP301" s="12"/>
      <c r="CQ301" s="9">
        <f>10200+135</f>
        <v>10335</v>
      </c>
      <c r="CR301" s="10">
        <f>1022*22000+135*30000+4088*200</f>
        <v>27351600</v>
      </c>
      <c r="CS301" s="68"/>
      <c r="CT301" s="22" t="s">
        <v>2342</v>
      </c>
      <c r="EC301" s="344" t="str">
        <f t="shared" si="38"/>
        <v>RISARALDA_BELEN DE UMBRIA</v>
      </c>
      <c r="ED301" s="341"/>
      <c r="EE301" s="341" t="s">
        <v>3120</v>
      </c>
      <c r="EF301" s="349" t="s">
        <v>4563</v>
      </c>
      <c r="EG301" s="341" t="s">
        <v>3491</v>
      </c>
      <c r="EH301" s="341" t="s">
        <v>4630</v>
      </c>
      <c r="EI301" s="341" t="str">
        <f t="shared" si="40"/>
        <v>Boyaca_Paz de Rio</v>
      </c>
    </row>
    <row r="302" spans="1:139" ht="60">
      <c r="A302" s="228">
        <v>40267</v>
      </c>
      <c r="B302" s="102" t="s">
        <v>1609</v>
      </c>
      <c r="C302" s="102" t="s">
        <v>2377</v>
      </c>
      <c r="D302" s="206" t="s">
        <v>2606</v>
      </c>
      <c r="E302" s="320" t="s">
        <v>4058</v>
      </c>
      <c r="F302" s="320"/>
      <c r="G302" s="210"/>
      <c r="H302" s="71"/>
      <c r="I302" s="71"/>
      <c r="J302" s="71">
        <f>45*5</f>
        <v>225</v>
      </c>
      <c r="K302" s="71">
        <v>45</v>
      </c>
      <c r="L302" s="1">
        <v>40295</v>
      </c>
      <c r="M302" s="73">
        <f t="shared" si="33"/>
        <v>0</v>
      </c>
      <c r="N302" s="73">
        <f t="shared" si="34"/>
        <v>0</v>
      </c>
      <c r="O302" s="73">
        <f t="shared" si="35"/>
        <v>14750400</v>
      </c>
      <c r="P302" s="73">
        <f t="shared" si="36"/>
        <v>0</v>
      </c>
      <c r="Q302" s="73"/>
      <c r="R302" s="73">
        <v>0</v>
      </c>
      <c r="S302" s="75">
        <f t="shared" si="39"/>
        <v>14750400</v>
      </c>
      <c r="T302" s="77">
        <v>0</v>
      </c>
      <c r="U302" s="66">
        <v>40280</v>
      </c>
      <c r="V302" s="79">
        <v>96537</v>
      </c>
      <c r="W302" s="66" t="s">
        <v>1606</v>
      </c>
      <c r="X302" s="24" t="s">
        <v>1607</v>
      </c>
      <c r="Y302" s="62">
        <v>87</v>
      </c>
      <c r="Z302" s="177" t="s">
        <v>2580</v>
      </c>
      <c r="AA302" s="80" t="s">
        <v>1592</v>
      </c>
      <c r="AB302" s="3"/>
      <c r="AC302" s="4"/>
      <c r="AD302" s="5"/>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6"/>
      <c r="CE302" s="7"/>
      <c r="CF302" s="6"/>
      <c r="CG302" s="7"/>
      <c r="CH302" s="6"/>
      <c r="CI302" s="7"/>
      <c r="CJ302" s="8">
        <f t="shared" si="37"/>
        <v>0</v>
      </c>
      <c r="CK302" s="9"/>
      <c r="CL302" s="10"/>
      <c r="CM302" s="11"/>
      <c r="CN302" s="12"/>
      <c r="CO302" s="28"/>
      <c r="CP302" s="12"/>
      <c r="CQ302" s="9">
        <f>268+288</f>
        <v>556</v>
      </c>
      <c r="CR302" s="10">
        <f>268*22000+288*30000+1072*200</f>
        <v>14750400</v>
      </c>
      <c r="CS302" s="68"/>
      <c r="CT302" s="22" t="s">
        <v>2343</v>
      </c>
      <c r="EC302" s="344" t="str">
        <f t="shared" si="38"/>
        <v>RISARALDA_MARSELLA</v>
      </c>
      <c r="ED302" s="341"/>
      <c r="EE302" s="341" t="s">
        <v>3120</v>
      </c>
      <c r="EF302" s="349" t="s">
        <v>4563</v>
      </c>
      <c r="EG302" s="341" t="s">
        <v>3492</v>
      </c>
      <c r="EH302" s="341" t="s">
        <v>4631</v>
      </c>
      <c r="EI302" s="341" t="str">
        <f t="shared" si="40"/>
        <v>Boyaca_Pesca</v>
      </c>
    </row>
    <row r="303" spans="1:139" ht="45">
      <c r="A303" s="228">
        <v>40267</v>
      </c>
      <c r="B303" s="102" t="s">
        <v>1943</v>
      </c>
      <c r="C303" s="102" t="s">
        <v>1967</v>
      </c>
      <c r="D303" s="206" t="s">
        <v>2606</v>
      </c>
      <c r="E303" s="320" t="s">
        <v>4157</v>
      </c>
      <c r="F303" s="320"/>
      <c r="G303" s="210"/>
      <c r="H303" s="71"/>
      <c r="I303" s="71"/>
      <c r="J303" s="71">
        <f>14*5</f>
        <v>70</v>
      </c>
      <c r="K303" s="71">
        <v>14</v>
      </c>
      <c r="L303" s="1">
        <v>40368</v>
      </c>
      <c r="M303" s="73">
        <f t="shared" si="33"/>
        <v>0</v>
      </c>
      <c r="N303" s="73">
        <f t="shared" si="34"/>
        <v>0</v>
      </c>
      <c r="O303" s="73">
        <f t="shared" si="35"/>
        <v>4817600</v>
      </c>
      <c r="P303" s="73">
        <f t="shared" si="36"/>
        <v>0</v>
      </c>
      <c r="Q303" s="73"/>
      <c r="R303" s="73">
        <v>0</v>
      </c>
      <c r="S303" s="75">
        <f t="shared" si="39"/>
        <v>4817600</v>
      </c>
      <c r="T303" s="77">
        <v>0</v>
      </c>
      <c r="U303" s="66">
        <v>40330</v>
      </c>
      <c r="V303" s="79">
        <v>97922</v>
      </c>
      <c r="W303" s="66" t="s">
        <v>1606</v>
      </c>
      <c r="X303" s="24" t="s">
        <v>1607</v>
      </c>
      <c r="Y303" s="62">
        <v>194</v>
      </c>
      <c r="Z303" s="177" t="s">
        <v>2580</v>
      </c>
      <c r="AA303" s="80" t="s">
        <v>647</v>
      </c>
      <c r="AB303" s="3"/>
      <c r="AC303" s="4"/>
      <c r="AD303" s="5"/>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6"/>
      <c r="CE303" s="7"/>
      <c r="CF303" s="6"/>
      <c r="CG303" s="7"/>
      <c r="CH303" s="6"/>
      <c r="CI303" s="7"/>
      <c r="CJ303" s="8">
        <f t="shared" si="37"/>
        <v>0</v>
      </c>
      <c r="CK303" s="9"/>
      <c r="CL303" s="10"/>
      <c r="CM303" s="11"/>
      <c r="CN303" s="12"/>
      <c r="CO303" s="28"/>
      <c r="CP303" s="12"/>
      <c r="CQ303" s="9">
        <v>200</v>
      </c>
      <c r="CR303" s="10">
        <f>200*22000+1200*348</f>
        <v>4817600</v>
      </c>
      <c r="CS303" s="68"/>
      <c r="EC303" s="344" t="str">
        <f t="shared" si="38"/>
        <v>SUCRE_CHALAN</v>
      </c>
      <c r="ED303" s="341"/>
      <c r="EE303" s="341" t="s">
        <v>3120</v>
      </c>
      <c r="EF303" s="349" t="s">
        <v>4563</v>
      </c>
      <c r="EG303" s="341" t="s">
        <v>3493</v>
      </c>
      <c r="EH303" s="341" t="s">
        <v>4632</v>
      </c>
      <c r="EI303" s="341" t="str">
        <f t="shared" si="40"/>
        <v>Boyaca_Pisba</v>
      </c>
    </row>
    <row r="304" spans="1:139" ht="45">
      <c r="A304" s="228">
        <v>40267</v>
      </c>
      <c r="B304" s="102" t="s">
        <v>1943</v>
      </c>
      <c r="C304" s="102" t="s">
        <v>1965</v>
      </c>
      <c r="D304" s="206" t="s">
        <v>2606</v>
      </c>
      <c r="E304" s="320" t="s">
        <v>4171</v>
      </c>
      <c r="F304" s="320"/>
      <c r="G304" s="210"/>
      <c r="H304" s="71"/>
      <c r="I304" s="71"/>
      <c r="J304" s="71">
        <f>92*5</f>
        <v>460</v>
      </c>
      <c r="K304" s="71">
        <v>92</v>
      </c>
      <c r="L304" s="1">
        <v>40368</v>
      </c>
      <c r="M304" s="73">
        <f t="shared" si="33"/>
        <v>0</v>
      </c>
      <c r="N304" s="73">
        <f t="shared" si="34"/>
        <v>0</v>
      </c>
      <c r="O304" s="73">
        <f t="shared" si="35"/>
        <v>49212576</v>
      </c>
      <c r="P304" s="73">
        <f t="shared" si="36"/>
        <v>0</v>
      </c>
      <c r="Q304" s="73"/>
      <c r="R304" s="73">
        <v>0</v>
      </c>
      <c r="S304" s="75">
        <f t="shared" si="39"/>
        <v>49212576</v>
      </c>
      <c r="T304" s="77">
        <v>0</v>
      </c>
      <c r="U304" s="66">
        <v>40330</v>
      </c>
      <c r="V304" s="79">
        <v>97922</v>
      </c>
      <c r="W304" s="66" t="s">
        <v>1606</v>
      </c>
      <c r="X304" s="24" t="s">
        <v>1607</v>
      </c>
      <c r="Y304" s="62">
        <v>194</v>
      </c>
      <c r="Z304" s="177" t="s">
        <v>2580</v>
      </c>
      <c r="AA304" s="80" t="s">
        <v>1970</v>
      </c>
      <c r="AB304" s="3"/>
      <c r="AC304" s="4"/>
      <c r="AD304" s="5"/>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6"/>
      <c r="CE304" s="7"/>
      <c r="CF304" s="6"/>
      <c r="CG304" s="7"/>
      <c r="CH304" s="6"/>
      <c r="CI304" s="7"/>
      <c r="CJ304" s="8">
        <f t="shared" si="37"/>
        <v>0</v>
      </c>
      <c r="CK304" s="9"/>
      <c r="CL304" s="10"/>
      <c r="CM304" s="11"/>
      <c r="CN304" s="12"/>
      <c r="CO304" s="28"/>
      <c r="CP304" s="12"/>
      <c r="CQ304" s="9">
        <v>927</v>
      </c>
      <c r="CR304" s="10">
        <f>927*51000+5562*348</f>
        <v>49212576</v>
      </c>
      <c r="CS304" s="68"/>
      <c r="CT304" s="22" t="s">
        <v>1298</v>
      </c>
      <c r="EC304" s="344" t="str">
        <f t="shared" si="38"/>
        <v>SUCRE_SAN ONOFRE</v>
      </c>
      <c r="ED304" s="341"/>
      <c r="EE304" s="341" t="s">
        <v>3120</v>
      </c>
      <c r="EF304" s="349" t="s">
        <v>4563</v>
      </c>
      <c r="EG304" s="341" t="s">
        <v>3494</v>
      </c>
      <c r="EH304" s="341" t="s">
        <v>4633</v>
      </c>
      <c r="EI304" s="341" t="str">
        <f t="shared" si="40"/>
        <v>Boyaca_Puerto Boyaca</v>
      </c>
    </row>
    <row r="305" spans="1:139" ht="45">
      <c r="A305" s="228">
        <v>40269</v>
      </c>
      <c r="B305" s="102" t="s">
        <v>1314</v>
      </c>
      <c r="C305" s="102" t="s">
        <v>1385</v>
      </c>
      <c r="D305" s="206" t="s">
        <v>2606</v>
      </c>
      <c r="E305" s="320" t="s">
        <v>3607</v>
      </c>
      <c r="F305" s="320"/>
      <c r="G305" s="210"/>
      <c r="H305" s="71"/>
      <c r="I305" s="71"/>
      <c r="J305" s="71">
        <f>38*5</f>
        <v>190</v>
      </c>
      <c r="K305" s="71">
        <v>38</v>
      </c>
      <c r="L305" s="1">
        <v>40389</v>
      </c>
      <c r="M305" s="73">
        <f t="shared" si="33"/>
        <v>0</v>
      </c>
      <c r="N305" s="73">
        <f t="shared" si="34"/>
        <v>0</v>
      </c>
      <c r="O305" s="73">
        <f t="shared" si="35"/>
        <v>17182000</v>
      </c>
      <c r="P305" s="73">
        <f t="shared" si="36"/>
        <v>0</v>
      </c>
      <c r="Q305" s="73"/>
      <c r="R305" s="73">
        <v>0</v>
      </c>
      <c r="S305" s="75">
        <f t="shared" si="39"/>
        <v>17182000</v>
      </c>
      <c r="T305" s="77">
        <v>0</v>
      </c>
      <c r="U305" s="66">
        <v>40337</v>
      </c>
      <c r="V305" s="79">
        <v>98107</v>
      </c>
      <c r="W305" s="66" t="s">
        <v>1606</v>
      </c>
      <c r="X305" s="24" t="s">
        <v>1607</v>
      </c>
      <c r="Y305" s="62">
        <v>220</v>
      </c>
      <c r="Z305" s="177" t="s">
        <v>2580</v>
      </c>
      <c r="AA305" s="80" t="s">
        <v>647</v>
      </c>
      <c r="AB305" s="3"/>
      <c r="AC305" s="4"/>
      <c r="AD305" s="5"/>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6"/>
      <c r="CE305" s="7"/>
      <c r="CF305" s="6"/>
      <c r="CG305" s="7"/>
      <c r="CH305" s="6"/>
      <c r="CI305" s="7"/>
      <c r="CJ305" s="8">
        <f t="shared" si="37"/>
        <v>0</v>
      </c>
      <c r="CK305" s="9"/>
      <c r="CL305" s="10"/>
      <c r="CM305" s="11"/>
      <c r="CN305" s="12"/>
      <c r="CO305" s="28"/>
      <c r="CP305" s="12"/>
      <c r="CQ305" s="9">
        <f>100+600</f>
        <v>700</v>
      </c>
      <c r="CR305" s="10">
        <f>100*28000+200*450+600*22500+3600*220</f>
        <v>17182000</v>
      </c>
      <c r="CS305" s="68"/>
      <c r="EC305" s="344" t="str">
        <f t="shared" si="38"/>
        <v>CAUCA_MORALES</v>
      </c>
      <c r="ED305" s="341"/>
      <c r="EE305" s="341" t="s">
        <v>3120</v>
      </c>
      <c r="EF305" s="349" t="s">
        <v>4563</v>
      </c>
      <c r="EG305" s="341" t="s">
        <v>3495</v>
      </c>
      <c r="EH305" s="341" t="s">
        <v>4634</v>
      </c>
      <c r="EI305" s="341" t="str">
        <f t="shared" si="40"/>
        <v>Boyaca_Quipama</v>
      </c>
    </row>
    <row r="306" spans="1:139" ht="25.5">
      <c r="A306" s="228">
        <v>40269</v>
      </c>
      <c r="B306" s="102" t="s">
        <v>1824</v>
      </c>
      <c r="C306" s="102" t="s">
        <v>841</v>
      </c>
      <c r="D306" s="206" t="s">
        <v>1201</v>
      </c>
      <c r="E306" s="320" t="s">
        <v>3934</v>
      </c>
      <c r="F306" s="320"/>
      <c r="G306" s="210"/>
      <c r="H306" s="71"/>
      <c r="I306" s="71"/>
      <c r="J306" s="71">
        <f>56*5</f>
        <v>280</v>
      </c>
      <c r="K306" s="71">
        <v>56</v>
      </c>
      <c r="L306" s="1"/>
      <c r="M306" s="73">
        <f t="shared" si="33"/>
        <v>0</v>
      </c>
      <c r="N306" s="73">
        <f t="shared" si="34"/>
        <v>0</v>
      </c>
      <c r="O306" s="73">
        <f t="shared" si="35"/>
        <v>0</v>
      </c>
      <c r="P306" s="73">
        <f t="shared" si="36"/>
        <v>0</v>
      </c>
      <c r="Q306" s="73"/>
      <c r="R306" s="73">
        <v>0</v>
      </c>
      <c r="S306" s="75">
        <f t="shared" si="39"/>
        <v>0</v>
      </c>
      <c r="T306" s="77">
        <v>0</v>
      </c>
      <c r="U306" s="66">
        <v>40276</v>
      </c>
      <c r="V306" s="79"/>
      <c r="W306" s="66" t="s">
        <v>1585</v>
      </c>
      <c r="X306" s="24" t="s">
        <v>1586</v>
      </c>
      <c r="Y306" s="62"/>
      <c r="Z306" s="177" t="s">
        <v>894</v>
      </c>
      <c r="AA306" s="80" t="s">
        <v>842</v>
      </c>
      <c r="AB306" s="3"/>
      <c r="AC306" s="4"/>
      <c r="AD306" s="5"/>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6"/>
      <c r="CE306" s="7"/>
      <c r="CF306" s="6"/>
      <c r="CG306" s="7"/>
      <c r="CH306" s="6"/>
      <c r="CI306" s="7"/>
      <c r="CJ306" s="8">
        <f t="shared" si="37"/>
        <v>0</v>
      </c>
      <c r="CK306" s="9"/>
      <c r="CL306" s="10"/>
      <c r="CM306" s="11"/>
      <c r="CN306" s="12"/>
      <c r="CO306" s="28"/>
      <c r="CP306" s="12"/>
      <c r="CQ306" s="9"/>
      <c r="CR306" s="10"/>
      <c r="CS306" s="68"/>
      <c r="EC306" s="344" t="str">
        <f t="shared" si="38"/>
        <v>NARIÑO_PASTO</v>
      </c>
      <c r="ED306" s="341"/>
      <c r="EE306" s="341" t="s">
        <v>3120</v>
      </c>
      <c r="EF306" s="349" t="s">
        <v>4563</v>
      </c>
      <c r="EG306" s="341" t="s">
        <v>3496</v>
      </c>
      <c r="EH306" s="341" t="s">
        <v>4635</v>
      </c>
      <c r="EI306" s="341" t="str">
        <f t="shared" si="40"/>
        <v>Boyaca_Ramiriqui</v>
      </c>
    </row>
    <row r="307" spans="1:139" ht="25.5">
      <c r="A307" s="228">
        <v>40269</v>
      </c>
      <c r="B307" s="102" t="s">
        <v>1612</v>
      </c>
      <c r="C307" s="102" t="s">
        <v>1613</v>
      </c>
      <c r="D307" s="206" t="s">
        <v>1316</v>
      </c>
      <c r="E307" s="320" t="s">
        <v>4038</v>
      </c>
      <c r="F307" s="320"/>
      <c r="G307" s="210"/>
      <c r="H307" s="71"/>
      <c r="I307" s="71"/>
      <c r="J307" s="71">
        <v>4</v>
      </c>
      <c r="K307" s="71">
        <v>1</v>
      </c>
      <c r="L307" s="1"/>
      <c r="M307" s="73">
        <f t="shared" si="33"/>
        <v>0</v>
      </c>
      <c r="N307" s="73">
        <f t="shared" si="34"/>
        <v>0</v>
      </c>
      <c r="O307" s="73">
        <f t="shared" si="35"/>
        <v>0</v>
      </c>
      <c r="P307" s="73">
        <f t="shared" si="36"/>
        <v>0</v>
      </c>
      <c r="Q307" s="73"/>
      <c r="R307" s="73">
        <v>0</v>
      </c>
      <c r="S307" s="75">
        <f t="shared" si="39"/>
        <v>0</v>
      </c>
      <c r="T307" s="77">
        <v>0</v>
      </c>
      <c r="U307" s="66">
        <v>40271</v>
      </c>
      <c r="V307" s="79"/>
      <c r="W307" s="66" t="s">
        <v>1585</v>
      </c>
      <c r="X307" s="24" t="s">
        <v>1586</v>
      </c>
      <c r="Y307" s="62"/>
      <c r="Z307" s="177" t="s">
        <v>894</v>
      </c>
      <c r="AA307" s="80" t="s">
        <v>2612</v>
      </c>
      <c r="AB307" s="3"/>
      <c r="AC307" s="4"/>
      <c r="AD307" s="5"/>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6"/>
      <c r="CE307" s="7"/>
      <c r="CF307" s="6"/>
      <c r="CG307" s="7"/>
      <c r="CH307" s="6"/>
      <c r="CI307" s="7"/>
      <c r="CJ307" s="8">
        <f t="shared" si="37"/>
        <v>0</v>
      </c>
      <c r="CK307" s="9"/>
      <c r="CL307" s="10"/>
      <c r="CM307" s="11"/>
      <c r="CN307" s="12"/>
      <c r="CO307" s="28"/>
      <c r="CP307" s="12"/>
      <c r="CQ307" s="9"/>
      <c r="CR307" s="10"/>
      <c r="CS307" s="68"/>
      <c r="EC307" s="344" t="str">
        <f t="shared" si="38"/>
        <v>QUINDIO_ARMENIA</v>
      </c>
      <c r="ED307" s="341"/>
      <c r="EE307" s="341" t="s">
        <v>3120</v>
      </c>
      <c r="EF307" s="349" t="s">
        <v>4563</v>
      </c>
      <c r="EG307" s="341" t="s">
        <v>3497</v>
      </c>
      <c r="EH307" s="341" t="s">
        <v>4636</v>
      </c>
      <c r="EI307" s="341" t="str">
        <f t="shared" si="40"/>
        <v>Boyaca_Raquira</v>
      </c>
    </row>
    <row r="308" spans="1:139" ht="56.25">
      <c r="A308" s="228">
        <v>40269</v>
      </c>
      <c r="B308" s="102" t="s">
        <v>2400</v>
      </c>
      <c r="C308" s="102" t="s">
        <v>1363</v>
      </c>
      <c r="D308" s="206" t="s">
        <v>2606</v>
      </c>
      <c r="E308" s="320" t="s">
        <v>4209</v>
      </c>
      <c r="F308" s="320"/>
      <c r="G308" s="210"/>
      <c r="H308" s="71"/>
      <c r="I308" s="71"/>
      <c r="J308" s="71">
        <v>400</v>
      </c>
      <c r="K308" s="71">
        <v>73</v>
      </c>
      <c r="L308" s="1">
        <v>40295</v>
      </c>
      <c r="M308" s="73">
        <f t="shared" si="33"/>
        <v>11241924.08</v>
      </c>
      <c r="N308" s="73">
        <f t="shared" si="34"/>
        <v>0</v>
      </c>
      <c r="O308" s="73">
        <f t="shared" si="35"/>
        <v>9987600</v>
      </c>
      <c r="P308" s="73">
        <f t="shared" si="36"/>
        <v>0</v>
      </c>
      <c r="Q308" s="73"/>
      <c r="R308" s="73">
        <v>0</v>
      </c>
      <c r="S308" s="75">
        <f t="shared" si="39"/>
        <v>21229524.079999998</v>
      </c>
      <c r="T308" s="77">
        <v>0</v>
      </c>
      <c r="U308" s="66">
        <v>40284</v>
      </c>
      <c r="V308" s="79">
        <v>96689</v>
      </c>
      <c r="W308" s="66" t="s">
        <v>1606</v>
      </c>
      <c r="X308" s="24" t="s">
        <v>1607</v>
      </c>
      <c r="Y308" s="83" t="s">
        <v>2218</v>
      </c>
      <c r="Z308" s="177" t="s">
        <v>2794</v>
      </c>
      <c r="AA308" s="80" t="s">
        <v>1840</v>
      </c>
      <c r="AB308" s="3"/>
      <c r="AC308" s="4"/>
      <c r="AD308" s="5"/>
      <c r="AE308" s="4"/>
      <c r="AF308" s="4"/>
      <c r="AG308" s="4"/>
      <c r="AH308" s="4"/>
      <c r="AI308" s="4"/>
      <c r="AJ308" s="4"/>
      <c r="AK308" s="4"/>
      <c r="AL308" s="4"/>
      <c r="AM308" s="4"/>
      <c r="AN308" s="4"/>
      <c r="AO308" s="4"/>
      <c r="AP308" s="4">
        <v>146</v>
      </c>
      <c r="AQ308" s="4">
        <f>146*56000</f>
        <v>8176000</v>
      </c>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v>146</v>
      </c>
      <c r="BY308" s="4">
        <f>146*20999.48</f>
        <v>3065924.08</v>
      </c>
      <c r="BZ308" s="4"/>
      <c r="CA308" s="4"/>
      <c r="CB308" s="4"/>
      <c r="CC308" s="4"/>
      <c r="CD308" s="6"/>
      <c r="CE308" s="7"/>
      <c r="CF308" s="6"/>
      <c r="CG308" s="7"/>
      <c r="CH308" s="6"/>
      <c r="CI308" s="7"/>
      <c r="CJ308" s="8">
        <f t="shared" si="37"/>
        <v>11241924.08</v>
      </c>
      <c r="CK308" s="9"/>
      <c r="CL308" s="10"/>
      <c r="CM308" s="11"/>
      <c r="CN308" s="12"/>
      <c r="CO308" s="28"/>
      <c r="CP308" s="12"/>
      <c r="CQ308" s="9">
        <v>500</v>
      </c>
      <c r="CR308" s="10">
        <f>500*19140+2000*208.8</f>
        <v>9987600</v>
      </c>
      <c r="CS308" s="84"/>
      <c r="EC308" s="344" t="str">
        <f t="shared" si="38"/>
        <v>TOLIMA_PLANADAS</v>
      </c>
      <c r="ED308" s="341"/>
      <c r="EE308" s="341" t="s">
        <v>3120</v>
      </c>
      <c r="EF308" s="349" t="s">
        <v>4563</v>
      </c>
      <c r="EG308" s="341" t="s">
        <v>3498</v>
      </c>
      <c r="EH308" s="341" t="s">
        <v>4637</v>
      </c>
      <c r="EI308" s="341" t="str">
        <f t="shared" si="40"/>
        <v>Boyaca_Rondon</v>
      </c>
    </row>
    <row r="309" spans="1:139" ht="25.5">
      <c r="A309" s="228">
        <v>40270</v>
      </c>
      <c r="B309" s="102" t="s">
        <v>1821</v>
      </c>
      <c r="C309" s="102" t="s">
        <v>744</v>
      </c>
      <c r="D309" s="206" t="s">
        <v>1316</v>
      </c>
      <c r="E309" s="320" t="s">
        <v>3631</v>
      </c>
      <c r="F309" s="320"/>
      <c r="G309" s="210"/>
      <c r="H309" s="71"/>
      <c r="I309" s="71"/>
      <c r="J309" s="71">
        <v>30</v>
      </c>
      <c r="K309" s="71">
        <v>6</v>
      </c>
      <c r="L309" s="1"/>
      <c r="M309" s="73">
        <f t="shared" si="33"/>
        <v>0</v>
      </c>
      <c r="N309" s="73">
        <f t="shared" si="34"/>
        <v>0</v>
      </c>
      <c r="O309" s="73">
        <f t="shared" si="35"/>
        <v>0</v>
      </c>
      <c r="P309" s="73">
        <f t="shared" si="36"/>
        <v>0</v>
      </c>
      <c r="Q309" s="73"/>
      <c r="R309" s="73">
        <v>0</v>
      </c>
      <c r="S309" s="75">
        <f t="shared" si="39"/>
        <v>0</v>
      </c>
      <c r="T309" s="77">
        <v>0</v>
      </c>
      <c r="U309" s="66">
        <v>40312</v>
      </c>
      <c r="V309" s="79"/>
      <c r="W309" s="66" t="s">
        <v>1585</v>
      </c>
      <c r="X309" s="24" t="s">
        <v>1586</v>
      </c>
      <c r="Y309" s="62"/>
      <c r="Z309" s="177" t="s">
        <v>894</v>
      </c>
      <c r="AA309" s="80" t="s">
        <v>746</v>
      </c>
      <c r="AB309" s="3"/>
      <c r="AC309" s="4"/>
      <c r="AD309" s="5"/>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6"/>
      <c r="CE309" s="7"/>
      <c r="CF309" s="6"/>
      <c r="CG309" s="7"/>
      <c r="CH309" s="6"/>
      <c r="CI309" s="7"/>
      <c r="CJ309" s="8">
        <f t="shared" si="37"/>
        <v>0</v>
      </c>
      <c r="CK309" s="9"/>
      <c r="CL309" s="10"/>
      <c r="CM309" s="11"/>
      <c r="CN309" s="12"/>
      <c r="CO309" s="28"/>
      <c r="CP309" s="12"/>
      <c r="CQ309" s="9"/>
      <c r="CR309" s="10"/>
      <c r="CS309" s="68"/>
      <c r="EC309" s="344" t="str">
        <f t="shared" si="38"/>
        <v>CESAR_ASTREA</v>
      </c>
      <c r="ED309" s="341"/>
      <c r="EE309" s="341" t="s">
        <v>3120</v>
      </c>
      <c r="EF309" s="349" t="s">
        <v>4563</v>
      </c>
      <c r="EG309" s="341" t="s">
        <v>3499</v>
      </c>
      <c r="EH309" s="341" t="s">
        <v>4638</v>
      </c>
      <c r="EI309" s="341" t="str">
        <f t="shared" si="40"/>
        <v>Boyaca_Saboya</v>
      </c>
    </row>
    <row r="310" spans="1:139" ht="56.25">
      <c r="A310" s="228">
        <v>40270</v>
      </c>
      <c r="B310" s="102" t="s">
        <v>1604</v>
      </c>
      <c r="C310" s="102" t="s">
        <v>2616</v>
      </c>
      <c r="D310" s="206" t="s">
        <v>2606</v>
      </c>
      <c r="E310" s="320" t="s">
        <v>3739</v>
      </c>
      <c r="F310" s="320"/>
      <c r="G310" s="210"/>
      <c r="H310" s="71"/>
      <c r="I310" s="71"/>
      <c r="J310" s="71">
        <v>330</v>
      </c>
      <c r="K310" s="71">
        <v>86</v>
      </c>
      <c r="L310" s="1">
        <v>40290</v>
      </c>
      <c r="M310" s="73">
        <f t="shared" si="33"/>
        <v>9240000</v>
      </c>
      <c r="N310" s="73">
        <f t="shared" si="34"/>
        <v>12750000</v>
      </c>
      <c r="O310" s="73">
        <f t="shared" si="35"/>
        <v>13200000</v>
      </c>
      <c r="P310" s="73">
        <f t="shared" si="36"/>
        <v>0</v>
      </c>
      <c r="Q310" s="73"/>
      <c r="R310" s="73">
        <v>0</v>
      </c>
      <c r="S310" s="75">
        <f t="shared" si="39"/>
        <v>35190000</v>
      </c>
      <c r="T310" s="77">
        <v>0</v>
      </c>
      <c r="U310" s="66">
        <v>40271</v>
      </c>
      <c r="V310" s="79">
        <v>96471</v>
      </c>
      <c r="W310" s="66" t="s">
        <v>1606</v>
      </c>
      <c r="X310" s="24" t="s">
        <v>1607</v>
      </c>
      <c r="Y310" s="62">
        <v>79</v>
      </c>
      <c r="Z310" s="177" t="s">
        <v>2794</v>
      </c>
      <c r="AA310" s="80" t="s">
        <v>911</v>
      </c>
      <c r="AB310" s="3"/>
      <c r="AC310" s="4"/>
      <c r="AD310" s="5"/>
      <c r="AE310" s="4"/>
      <c r="AF310" s="4"/>
      <c r="AG310" s="4"/>
      <c r="AH310" s="4"/>
      <c r="AI310" s="4"/>
      <c r="AJ310" s="4"/>
      <c r="AK310" s="4"/>
      <c r="AL310" s="4"/>
      <c r="AM310" s="4"/>
      <c r="AN310" s="4">
        <v>120</v>
      </c>
      <c r="AO310" s="4">
        <f>120*56000</f>
        <v>6720000</v>
      </c>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v>120</v>
      </c>
      <c r="BY310" s="4">
        <f>120*21000</f>
        <v>2520000</v>
      </c>
      <c r="BZ310" s="4"/>
      <c r="CA310" s="4"/>
      <c r="CB310" s="4"/>
      <c r="CC310" s="4"/>
      <c r="CD310" s="6"/>
      <c r="CE310" s="7"/>
      <c r="CF310" s="6"/>
      <c r="CG310" s="7"/>
      <c r="CH310" s="6"/>
      <c r="CI310" s="7"/>
      <c r="CJ310" s="8">
        <f t="shared" si="37"/>
        <v>9240000</v>
      </c>
      <c r="CK310" s="9"/>
      <c r="CL310" s="10"/>
      <c r="CM310" s="11">
        <v>150</v>
      </c>
      <c r="CN310" s="12">
        <f>150*85000</f>
        <v>12750000</v>
      </c>
      <c r="CO310" s="28"/>
      <c r="CP310" s="12"/>
      <c r="CQ310" s="9">
        <v>600</v>
      </c>
      <c r="CR310" s="10">
        <f>600*22000</f>
        <v>13200000</v>
      </c>
      <c r="CS310" s="68"/>
      <c r="EC310" s="344" t="str">
        <f t="shared" si="38"/>
        <v>CUNDINAMARCA_NIMAIMA</v>
      </c>
      <c r="ED310" s="341"/>
      <c r="EE310" s="341" t="s">
        <v>3120</v>
      </c>
      <c r="EF310" s="349" t="s">
        <v>4563</v>
      </c>
      <c r="EG310" s="341" t="s">
        <v>3500</v>
      </c>
      <c r="EH310" s="341" t="s">
        <v>4639</v>
      </c>
      <c r="EI310" s="341" t="str">
        <f t="shared" si="40"/>
        <v>Boyaca_Sachica</v>
      </c>
    </row>
    <row r="311" spans="1:139" ht="45">
      <c r="A311" s="228">
        <v>40270</v>
      </c>
      <c r="B311" s="102" t="s">
        <v>1612</v>
      </c>
      <c r="C311" s="102" t="s">
        <v>2614</v>
      </c>
      <c r="D311" s="206" t="s">
        <v>2606</v>
      </c>
      <c r="E311" s="320" t="s">
        <v>4041</v>
      </c>
      <c r="F311" s="320"/>
      <c r="G311" s="210"/>
      <c r="H311" s="71"/>
      <c r="I311" s="71"/>
      <c r="J311" s="71">
        <f>18*5</f>
        <v>90</v>
      </c>
      <c r="K311" s="71">
        <v>18</v>
      </c>
      <c r="L311" s="1">
        <v>40330</v>
      </c>
      <c r="M311" s="73">
        <f t="shared" si="33"/>
        <v>2310000</v>
      </c>
      <c r="N311" s="73">
        <f t="shared" si="34"/>
        <v>0</v>
      </c>
      <c r="O311" s="73">
        <f t="shared" si="35"/>
        <v>6400000</v>
      </c>
      <c r="P311" s="73">
        <f t="shared" si="36"/>
        <v>0</v>
      </c>
      <c r="Q311" s="73"/>
      <c r="R311" s="73">
        <v>0</v>
      </c>
      <c r="S311" s="75">
        <f t="shared" si="39"/>
        <v>8710000</v>
      </c>
      <c r="T311" s="77">
        <v>0</v>
      </c>
      <c r="U311" s="66">
        <v>40275</v>
      </c>
      <c r="V311" s="79">
        <v>96411</v>
      </c>
      <c r="W311" s="66" t="s">
        <v>1606</v>
      </c>
      <c r="X311" s="24" t="s">
        <v>1607</v>
      </c>
      <c r="Y311" s="62">
        <v>139</v>
      </c>
      <c r="Z311" s="177" t="s">
        <v>2580</v>
      </c>
      <c r="AA311" s="80" t="s">
        <v>2615</v>
      </c>
      <c r="AB311" s="3"/>
      <c r="AC311" s="4"/>
      <c r="AD311" s="5"/>
      <c r="AE311" s="4"/>
      <c r="AF311" s="4"/>
      <c r="AG311" s="4"/>
      <c r="AH311" s="4"/>
      <c r="AI311" s="4"/>
      <c r="AJ311" s="4"/>
      <c r="AK311" s="4"/>
      <c r="AL311" s="4"/>
      <c r="AM311" s="4"/>
      <c r="AN311" s="4">
        <v>30</v>
      </c>
      <c r="AO311" s="4">
        <f>30*56000</f>
        <v>1680000</v>
      </c>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v>30</v>
      </c>
      <c r="BY311" s="4">
        <f>30*21000</f>
        <v>630000</v>
      </c>
      <c r="BZ311" s="4"/>
      <c r="CA311" s="4"/>
      <c r="CB311" s="4"/>
      <c r="CC311" s="4"/>
      <c r="CD311" s="6"/>
      <c r="CE311" s="7"/>
      <c r="CF311" s="6"/>
      <c r="CG311" s="7"/>
      <c r="CH311" s="6"/>
      <c r="CI311" s="7"/>
      <c r="CJ311" s="8">
        <f t="shared" si="37"/>
        <v>2310000</v>
      </c>
      <c r="CK311" s="9"/>
      <c r="CL311" s="10"/>
      <c r="CM311" s="11"/>
      <c r="CN311" s="12"/>
      <c r="CO311" s="28"/>
      <c r="CP311" s="12"/>
      <c r="CQ311" s="9">
        <f>90+130</f>
        <v>220</v>
      </c>
      <c r="CR311" s="10">
        <f>90*22000+130*34000</f>
        <v>6400000</v>
      </c>
      <c r="CS311" s="68"/>
      <c r="EC311" s="344" t="str">
        <f t="shared" si="38"/>
        <v>QUINDIO_CIRCASIA</v>
      </c>
      <c r="ED311" s="341"/>
      <c r="EE311" s="341" t="s">
        <v>3120</v>
      </c>
      <c r="EF311" s="349" t="s">
        <v>4563</v>
      </c>
      <c r="EG311" s="341" t="s">
        <v>3501</v>
      </c>
      <c r="EH311" s="341" t="s">
        <v>4640</v>
      </c>
      <c r="EI311" s="341" t="str">
        <f t="shared" si="40"/>
        <v>Boyaca_Samaca</v>
      </c>
    </row>
    <row r="312" spans="1:139" ht="45">
      <c r="A312" s="228">
        <v>40270</v>
      </c>
      <c r="B312" s="102" t="s">
        <v>1612</v>
      </c>
      <c r="C312" s="102" t="s">
        <v>1578</v>
      </c>
      <c r="D312" s="206" t="s">
        <v>2606</v>
      </c>
      <c r="E312" s="320" t="s">
        <v>4048</v>
      </c>
      <c r="F312" s="320"/>
      <c r="G312" s="210"/>
      <c r="H312" s="71"/>
      <c r="I312" s="71"/>
      <c r="J312" s="71"/>
      <c r="K312" s="71"/>
      <c r="L312" s="1">
        <v>40330</v>
      </c>
      <c r="M312" s="73">
        <f t="shared" si="33"/>
        <v>1155000</v>
      </c>
      <c r="N312" s="73">
        <f t="shared" si="34"/>
        <v>0</v>
      </c>
      <c r="O312" s="73">
        <f t="shared" si="35"/>
        <v>5274000</v>
      </c>
      <c r="P312" s="73">
        <f t="shared" si="36"/>
        <v>0</v>
      </c>
      <c r="Q312" s="73"/>
      <c r="R312" s="73">
        <v>0</v>
      </c>
      <c r="S312" s="75">
        <f t="shared" si="39"/>
        <v>6429000</v>
      </c>
      <c r="T312" s="77">
        <v>0</v>
      </c>
      <c r="U312" s="66">
        <v>40275</v>
      </c>
      <c r="V312" s="79">
        <v>96411</v>
      </c>
      <c r="W312" s="66" t="s">
        <v>1606</v>
      </c>
      <c r="X312" s="24" t="s">
        <v>1607</v>
      </c>
      <c r="Y312" s="62">
        <v>139</v>
      </c>
      <c r="Z312" s="177" t="s">
        <v>2580</v>
      </c>
      <c r="AA312" s="80" t="s">
        <v>2615</v>
      </c>
      <c r="AB312" s="3"/>
      <c r="AC312" s="4"/>
      <c r="AD312" s="5"/>
      <c r="AE312" s="4"/>
      <c r="AF312" s="4"/>
      <c r="AG312" s="4"/>
      <c r="AH312" s="4"/>
      <c r="AI312" s="4"/>
      <c r="AJ312" s="4"/>
      <c r="AK312" s="4"/>
      <c r="AL312" s="4"/>
      <c r="AM312" s="4"/>
      <c r="AN312" s="4">
        <v>15</v>
      </c>
      <c r="AO312" s="4">
        <f>15*56000</f>
        <v>840000</v>
      </c>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v>15</v>
      </c>
      <c r="BY312" s="4">
        <f>15*21000</f>
        <v>315000</v>
      </c>
      <c r="BZ312" s="4"/>
      <c r="CA312" s="4"/>
      <c r="CB312" s="4"/>
      <c r="CC312" s="4"/>
      <c r="CD312" s="6"/>
      <c r="CE312" s="7"/>
      <c r="CF312" s="6"/>
      <c r="CG312" s="7"/>
      <c r="CH312" s="6"/>
      <c r="CI312" s="7"/>
      <c r="CJ312" s="8">
        <f t="shared" si="37"/>
        <v>1155000</v>
      </c>
      <c r="CK312" s="9"/>
      <c r="CL312" s="10"/>
      <c r="CM312" s="11"/>
      <c r="CN312" s="12"/>
      <c r="CO312" s="28"/>
      <c r="CP312" s="12"/>
      <c r="CQ312" s="9">
        <f>45+126</f>
        <v>171</v>
      </c>
      <c r="CR312" s="10">
        <f>45*22000+126*34000</f>
        <v>5274000</v>
      </c>
      <c r="CS312" s="68"/>
      <c r="EC312" s="344" t="str">
        <f t="shared" si="38"/>
        <v>QUINDIO_QUIMBAYA</v>
      </c>
      <c r="ED312" s="341"/>
      <c r="EE312" s="341" t="s">
        <v>3120</v>
      </c>
      <c r="EF312" s="349" t="s">
        <v>4563</v>
      </c>
      <c r="EG312" s="341" t="s">
        <v>3502</v>
      </c>
      <c r="EH312" s="341" t="s">
        <v>4641</v>
      </c>
      <c r="EI312" s="341" t="str">
        <f t="shared" si="40"/>
        <v>Boyaca_San Eduardo</v>
      </c>
    </row>
    <row r="313" spans="1:139" ht="48">
      <c r="A313" s="228">
        <v>40270</v>
      </c>
      <c r="B313" s="102" t="s">
        <v>1088</v>
      </c>
      <c r="C313" s="102" t="s">
        <v>1575</v>
      </c>
      <c r="D313" s="206" t="s">
        <v>1201</v>
      </c>
      <c r="E313" s="320" t="s">
        <v>4243</v>
      </c>
      <c r="F313" s="320"/>
      <c r="G313" s="210"/>
      <c r="H313" s="71"/>
      <c r="I313" s="71"/>
      <c r="J313" s="71">
        <f>800*5</f>
        <v>4000</v>
      </c>
      <c r="K313" s="71">
        <v>800</v>
      </c>
      <c r="L313" s="1">
        <v>40339</v>
      </c>
      <c r="M313" s="73">
        <f t="shared" si="33"/>
        <v>36952000</v>
      </c>
      <c r="N313" s="73">
        <f t="shared" si="34"/>
        <v>85000000</v>
      </c>
      <c r="O313" s="73">
        <f t="shared" si="35"/>
        <v>0</v>
      </c>
      <c r="P313" s="73">
        <f t="shared" si="36"/>
        <v>0</v>
      </c>
      <c r="Q313" s="73">
        <f>100*330600+35*160080+2600*580</f>
        <v>40170800</v>
      </c>
      <c r="R313" s="73">
        <v>0</v>
      </c>
      <c r="S313" s="75">
        <f t="shared" si="39"/>
        <v>162122800</v>
      </c>
      <c r="T313" s="77">
        <v>0</v>
      </c>
      <c r="U313" s="66">
        <v>40310</v>
      </c>
      <c r="V313" s="79">
        <v>97441</v>
      </c>
      <c r="W313" s="66" t="s">
        <v>1606</v>
      </c>
      <c r="X313" s="24" t="s">
        <v>1607</v>
      </c>
      <c r="Y313" s="83" t="s">
        <v>853</v>
      </c>
      <c r="Z313" s="177" t="s">
        <v>2580</v>
      </c>
      <c r="AA313" s="80" t="s">
        <v>1694</v>
      </c>
      <c r="AB313" s="3"/>
      <c r="AC313" s="4"/>
      <c r="AD313" s="5"/>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6">
        <v>1000</v>
      </c>
      <c r="CE313" s="7">
        <f>1000*36952</f>
        <v>36952000</v>
      </c>
      <c r="CF313" s="6"/>
      <c r="CG313" s="7"/>
      <c r="CH313" s="6"/>
      <c r="CI313" s="7"/>
      <c r="CJ313" s="8">
        <f t="shared" si="37"/>
        <v>36952000</v>
      </c>
      <c r="CK313" s="9"/>
      <c r="CL313" s="10"/>
      <c r="CM313" s="11">
        <v>1000</v>
      </c>
      <c r="CN313" s="12">
        <f>1000*85000</f>
        <v>85000000</v>
      </c>
      <c r="CO313" s="28"/>
      <c r="CP313" s="12"/>
      <c r="CQ313" s="9"/>
      <c r="CR313" s="10"/>
      <c r="CS313" s="68"/>
      <c r="EC313" s="344" t="str">
        <f t="shared" si="38"/>
        <v>VALLE DEL CAUCA_GINEBRA</v>
      </c>
      <c r="ED313" s="341"/>
      <c r="EE313" s="341" t="s">
        <v>3120</v>
      </c>
      <c r="EF313" s="349" t="s">
        <v>4563</v>
      </c>
      <c r="EG313" s="341" t="s">
        <v>3503</v>
      </c>
      <c r="EH313" s="341" t="s">
        <v>4642</v>
      </c>
      <c r="EI313" s="341" t="str">
        <f t="shared" si="40"/>
        <v>Boyaca_San Jose de Pare</v>
      </c>
    </row>
    <row r="314" spans="1:139" ht="51">
      <c r="A314" s="228">
        <v>40271</v>
      </c>
      <c r="B314" s="102" t="s">
        <v>1998</v>
      </c>
      <c r="C314" s="102" t="s">
        <v>582</v>
      </c>
      <c r="D314" s="206" t="s">
        <v>1201</v>
      </c>
      <c r="E314" s="320" t="s">
        <v>4130</v>
      </c>
      <c r="F314" s="320"/>
      <c r="G314" s="210">
        <v>1</v>
      </c>
      <c r="H314" s="71"/>
      <c r="I314" s="71"/>
      <c r="J314" s="71"/>
      <c r="K314" s="71"/>
      <c r="L314" s="1"/>
      <c r="M314" s="73">
        <f t="shared" si="33"/>
        <v>0</v>
      </c>
      <c r="N314" s="73">
        <f t="shared" si="34"/>
        <v>0</v>
      </c>
      <c r="O314" s="73">
        <f t="shared" si="35"/>
        <v>0</v>
      </c>
      <c r="P314" s="73">
        <f t="shared" si="36"/>
        <v>0</v>
      </c>
      <c r="Q314" s="73"/>
      <c r="R314" s="73">
        <v>0</v>
      </c>
      <c r="S314" s="75">
        <f t="shared" si="39"/>
        <v>0</v>
      </c>
      <c r="T314" s="77">
        <v>0</v>
      </c>
      <c r="U314" s="66">
        <v>40284</v>
      </c>
      <c r="V314" s="79"/>
      <c r="W314" s="66" t="s">
        <v>1585</v>
      </c>
      <c r="X314" s="24" t="s">
        <v>1586</v>
      </c>
      <c r="Y314" s="62"/>
      <c r="Z314" s="177" t="s">
        <v>894</v>
      </c>
      <c r="AA314" s="80" t="s">
        <v>1806</v>
      </c>
      <c r="AB314" s="3"/>
      <c r="AC314" s="4"/>
      <c r="AD314" s="5"/>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6"/>
      <c r="CE314" s="7"/>
      <c r="CF314" s="6"/>
      <c r="CG314" s="7"/>
      <c r="CH314" s="6"/>
      <c r="CI314" s="7"/>
      <c r="CJ314" s="8">
        <f t="shared" si="37"/>
        <v>0</v>
      </c>
      <c r="CK314" s="9"/>
      <c r="CL314" s="10"/>
      <c r="CM314" s="11"/>
      <c r="CN314" s="12"/>
      <c r="CO314" s="28"/>
      <c r="CP314" s="12"/>
      <c r="CQ314" s="9"/>
      <c r="CR314" s="10"/>
      <c r="CS314" s="68"/>
      <c r="EC314" s="344" t="str">
        <f t="shared" si="38"/>
        <v>SANTANDER_SABANA DE TORRES</v>
      </c>
      <c r="ED314" s="341"/>
      <c r="EE314" s="341" t="s">
        <v>3120</v>
      </c>
      <c r="EF314" s="349" t="s">
        <v>4563</v>
      </c>
      <c r="EG314" s="341" t="s">
        <v>3504</v>
      </c>
      <c r="EH314" s="341" t="s">
        <v>4643</v>
      </c>
      <c r="EI314" s="341" t="str">
        <f t="shared" si="40"/>
        <v>Boyaca_San Luis de Gaceno</v>
      </c>
    </row>
    <row r="315" spans="1:139" ht="60">
      <c r="A315" s="228">
        <v>40271</v>
      </c>
      <c r="B315" s="102" t="s">
        <v>2400</v>
      </c>
      <c r="C315" s="102" t="s">
        <v>2613</v>
      </c>
      <c r="D315" s="206" t="s">
        <v>2606</v>
      </c>
      <c r="E315" s="320" t="s">
        <v>4201</v>
      </c>
      <c r="F315" s="320"/>
      <c r="G315" s="210"/>
      <c r="H315" s="71"/>
      <c r="I315" s="71"/>
      <c r="J315" s="71">
        <v>1435</v>
      </c>
      <c r="K315" s="71">
        <v>287</v>
      </c>
      <c r="L315" s="1"/>
      <c r="M315" s="73">
        <f t="shared" si="33"/>
        <v>0</v>
      </c>
      <c r="N315" s="73">
        <f t="shared" si="34"/>
        <v>0</v>
      </c>
      <c r="O315" s="73">
        <f t="shared" si="35"/>
        <v>0</v>
      </c>
      <c r="P315" s="73">
        <f t="shared" si="36"/>
        <v>0</v>
      </c>
      <c r="Q315" s="73"/>
      <c r="R315" s="73">
        <v>0</v>
      </c>
      <c r="S315" s="75">
        <f t="shared" si="39"/>
        <v>0</v>
      </c>
      <c r="T315" s="77">
        <v>0</v>
      </c>
      <c r="U315" s="66">
        <v>40271</v>
      </c>
      <c r="V315" s="79"/>
      <c r="W315" s="66" t="s">
        <v>1585</v>
      </c>
      <c r="X315" s="24" t="s">
        <v>1586</v>
      </c>
      <c r="Y315" s="62"/>
      <c r="Z315" s="177" t="s">
        <v>894</v>
      </c>
      <c r="AA315" s="80" t="s">
        <v>2283</v>
      </c>
      <c r="AB315" s="3"/>
      <c r="AC315" s="4"/>
      <c r="AD315" s="5"/>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6"/>
      <c r="CE315" s="7"/>
      <c r="CF315" s="6"/>
      <c r="CG315" s="7"/>
      <c r="CH315" s="6"/>
      <c r="CI315" s="7"/>
      <c r="CJ315" s="8">
        <f t="shared" si="37"/>
        <v>0</v>
      </c>
      <c r="CK315" s="9"/>
      <c r="CL315" s="10"/>
      <c r="CM315" s="11"/>
      <c r="CN315" s="12"/>
      <c r="CO315" s="28"/>
      <c r="CP315" s="12"/>
      <c r="CQ315" s="9"/>
      <c r="CR315" s="10"/>
      <c r="CS315" s="68"/>
      <c r="EC315" s="344" t="str">
        <f t="shared" si="38"/>
        <v>TOLIMA_LIBANO</v>
      </c>
      <c r="ED315" s="341"/>
      <c r="EE315" s="341" t="s">
        <v>3120</v>
      </c>
      <c r="EF315" s="349" t="s">
        <v>4563</v>
      </c>
      <c r="EG315" s="341" t="s">
        <v>3505</v>
      </c>
      <c r="EH315" s="341" t="s">
        <v>4644</v>
      </c>
      <c r="EI315" s="341" t="str">
        <f t="shared" si="40"/>
        <v>Boyaca_San Mateo</v>
      </c>
    </row>
    <row r="316" spans="1:139" ht="38.25">
      <c r="A316" s="228">
        <v>40271</v>
      </c>
      <c r="B316" s="102" t="s">
        <v>1088</v>
      </c>
      <c r="C316" s="102" t="s">
        <v>3204</v>
      </c>
      <c r="D316" s="206" t="s">
        <v>1316</v>
      </c>
      <c r="E316" s="320" t="s">
        <v>4224</v>
      </c>
      <c r="F316" s="320"/>
      <c r="G316" s="210"/>
      <c r="H316" s="71"/>
      <c r="I316" s="71"/>
      <c r="J316" s="71"/>
      <c r="K316" s="71"/>
      <c r="L316" s="1"/>
      <c r="M316" s="73">
        <f t="shared" si="33"/>
        <v>0</v>
      </c>
      <c r="N316" s="73">
        <f t="shared" si="34"/>
        <v>0</v>
      </c>
      <c r="O316" s="73">
        <f t="shared" si="35"/>
        <v>0</v>
      </c>
      <c r="P316" s="73">
        <f t="shared" si="36"/>
        <v>0</v>
      </c>
      <c r="Q316" s="73"/>
      <c r="R316" s="73">
        <v>0</v>
      </c>
      <c r="S316" s="75">
        <f t="shared" si="39"/>
        <v>0</v>
      </c>
      <c r="T316" s="77">
        <v>0</v>
      </c>
      <c r="U316" s="66">
        <v>40271</v>
      </c>
      <c r="V316" s="79"/>
      <c r="W316" s="66" t="s">
        <v>1585</v>
      </c>
      <c r="X316" s="24" t="s">
        <v>1586</v>
      </c>
      <c r="Y316" s="62"/>
      <c r="Z316" s="177" t="s">
        <v>894</v>
      </c>
      <c r="AA316" s="80" t="s">
        <v>740</v>
      </c>
      <c r="AB316" s="3"/>
      <c r="AC316" s="4"/>
      <c r="AD316" s="5"/>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6"/>
      <c r="CE316" s="7"/>
      <c r="CF316" s="6"/>
      <c r="CG316" s="7"/>
      <c r="CH316" s="6"/>
      <c r="CI316" s="7"/>
      <c r="CJ316" s="8">
        <f t="shared" si="37"/>
        <v>0</v>
      </c>
      <c r="CK316" s="9"/>
      <c r="CL316" s="10"/>
      <c r="CM316" s="11"/>
      <c r="CN316" s="12"/>
      <c r="CO316" s="28"/>
      <c r="CP316" s="12"/>
      <c r="CQ316" s="9"/>
      <c r="CR316" s="10"/>
      <c r="CS316" s="68"/>
      <c r="EC316" s="344" t="str">
        <f t="shared" si="38"/>
        <v>VALLE DEL CAUCA_CALI</v>
      </c>
      <c r="ED316" s="341"/>
      <c r="EE316" s="341" t="s">
        <v>3120</v>
      </c>
      <c r="EF316" s="349" t="s">
        <v>4563</v>
      </c>
      <c r="EG316" s="341" t="s">
        <v>3506</v>
      </c>
      <c r="EH316" s="341" t="s">
        <v>4645</v>
      </c>
      <c r="EI316" s="341" t="str">
        <f t="shared" si="40"/>
        <v>Boyaca_San Miguel de Sema</v>
      </c>
    </row>
    <row r="317" spans="1:139" ht="45">
      <c r="A317" s="228">
        <v>40272</v>
      </c>
      <c r="B317" s="102" t="s">
        <v>1314</v>
      </c>
      <c r="C317" s="102" t="s">
        <v>1600</v>
      </c>
      <c r="D317" s="206" t="s">
        <v>1201</v>
      </c>
      <c r="E317" s="320" t="s">
        <v>3609</v>
      </c>
      <c r="F317" s="320"/>
      <c r="G317" s="210"/>
      <c r="H317" s="71"/>
      <c r="I317" s="71"/>
      <c r="J317" s="71">
        <f>80*5</f>
        <v>400</v>
      </c>
      <c r="K317" s="71">
        <v>80</v>
      </c>
      <c r="L317" s="1">
        <v>40310</v>
      </c>
      <c r="M317" s="73">
        <f t="shared" si="33"/>
        <v>30760000</v>
      </c>
      <c r="N317" s="73">
        <f t="shared" si="34"/>
        <v>6800000</v>
      </c>
      <c r="O317" s="73">
        <f t="shared" si="35"/>
        <v>0</v>
      </c>
      <c r="P317" s="73">
        <f t="shared" si="36"/>
        <v>0</v>
      </c>
      <c r="Q317" s="73"/>
      <c r="R317" s="73">
        <v>0</v>
      </c>
      <c r="S317" s="75">
        <f t="shared" si="39"/>
        <v>37560000</v>
      </c>
      <c r="T317" s="77">
        <v>0</v>
      </c>
      <c r="U317" s="66">
        <v>40290</v>
      </c>
      <c r="V317" s="79">
        <v>96845</v>
      </c>
      <c r="W317" s="66" t="s">
        <v>1606</v>
      </c>
      <c r="X317" s="24" t="s">
        <v>1607</v>
      </c>
      <c r="Y317" s="62">
        <v>115</v>
      </c>
      <c r="Z317" s="177" t="s">
        <v>2580</v>
      </c>
      <c r="AA317" s="80" t="s">
        <v>926</v>
      </c>
      <c r="AB317" s="3"/>
      <c r="AC317" s="4"/>
      <c r="AD317" s="5"/>
      <c r="AE317" s="4"/>
      <c r="AF317" s="4"/>
      <c r="AG317" s="4"/>
      <c r="AH317" s="4"/>
      <c r="AI317" s="4"/>
      <c r="AJ317" s="4"/>
      <c r="AK317" s="4"/>
      <c r="AL317" s="4"/>
      <c r="AM317" s="4"/>
      <c r="AN317" s="4"/>
      <c r="AO317" s="4"/>
      <c r="AP317" s="4">
        <v>320</v>
      </c>
      <c r="AQ317" s="4">
        <f>320*56000</f>
        <v>17920000</v>
      </c>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v>320</v>
      </c>
      <c r="BY317" s="4">
        <f>320*21500</f>
        <v>6880000</v>
      </c>
      <c r="BZ317" s="4"/>
      <c r="CA317" s="4"/>
      <c r="CB317" s="4"/>
      <c r="CC317" s="4"/>
      <c r="CD317" s="6">
        <v>80</v>
      </c>
      <c r="CE317" s="7">
        <f>80*38500</f>
        <v>3080000</v>
      </c>
      <c r="CF317" s="6">
        <v>80</v>
      </c>
      <c r="CG317" s="7">
        <f>80*36000</f>
        <v>2880000</v>
      </c>
      <c r="CH317" s="6"/>
      <c r="CI317" s="7"/>
      <c r="CJ317" s="8">
        <f t="shared" si="37"/>
        <v>30760000</v>
      </c>
      <c r="CK317" s="9"/>
      <c r="CL317" s="10"/>
      <c r="CM317" s="11">
        <v>80</v>
      </c>
      <c r="CN317" s="12">
        <f>80*85000</f>
        <v>6800000</v>
      </c>
      <c r="CO317" s="28"/>
      <c r="CP317" s="12"/>
      <c r="CQ317" s="9"/>
      <c r="CR317" s="10"/>
      <c r="CS317" s="68"/>
      <c r="EC317" s="344" t="str">
        <f t="shared" si="38"/>
        <v>CAUCA_PAEZ</v>
      </c>
      <c r="ED317" s="341"/>
      <c r="EE317" s="341" t="s">
        <v>3120</v>
      </c>
      <c r="EF317" s="349" t="s">
        <v>4563</v>
      </c>
      <c r="EG317" s="341" t="s">
        <v>3507</v>
      </c>
      <c r="EH317" s="341" t="s">
        <v>4646</v>
      </c>
      <c r="EI317" s="341" t="str">
        <f t="shared" si="40"/>
        <v>Boyaca_San Pablo de Borbur</v>
      </c>
    </row>
    <row r="318" spans="1:139" ht="45">
      <c r="A318" s="228">
        <v>40272</v>
      </c>
      <c r="B318" s="102" t="s">
        <v>1996</v>
      </c>
      <c r="C318" s="102" t="s">
        <v>1645</v>
      </c>
      <c r="D318" s="206" t="s">
        <v>1244</v>
      </c>
      <c r="E318" s="320" t="s">
        <v>3795</v>
      </c>
      <c r="F318" s="320"/>
      <c r="G318" s="210"/>
      <c r="H318" s="71"/>
      <c r="I318" s="71"/>
      <c r="J318" s="71">
        <f>241*5</f>
        <v>1205</v>
      </c>
      <c r="K318" s="71">
        <v>241</v>
      </c>
      <c r="L318" s="1">
        <v>40374</v>
      </c>
      <c r="M318" s="73">
        <f t="shared" si="33"/>
        <v>0</v>
      </c>
      <c r="N318" s="73">
        <f t="shared" si="34"/>
        <v>0</v>
      </c>
      <c r="O318" s="73">
        <f t="shared" si="35"/>
        <v>17692800</v>
      </c>
      <c r="P318" s="73">
        <f t="shared" si="36"/>
        <v>0</v>
      </c>
      <c r="Q318" s="73"/>
      <c r="R318" s="73">
        <v>0</v>
      </c>
      <c r="S318" s="75">
        <f t="shared" si="39"/>
        <v>17692800</v>
      </c>
      <c r="T318" s="77">
        <v>0</v>
      </c>
      <c r="U318" s="66">
        <v>40304</v>
      </c>
      <c r="V318" s="79">
        <v>97285</v>
      </c>
      <c r="W318" s="66" t="s">
        <v>1606</v>
      </c>
      <c r="X318" s="24" t="s">
        <v>1607</v>
      </c>
      <c r="Y318" s="62">
        <v>204</v>
      </c>
      <c r="Z318" s="177" t="s">
        <v>2580</v>
      </c>
      <c r="AA318" s="80"/>
      <c r="AB318" s="3"/>
      <c r="AC318" s="4"/>
      <c r="AD318" s="5"/>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6"/>
      <c r="CE318" s="7"/>
      <c r="CF318" s="6"/>
      <c r="CG318" s="7"/>
      <c r="CH318" s="6"/>
      <c r="CI318" s="7"/>
      <c r="CJ318" s="8">
        <f t="shared" si="37"/>
        <v>0</v>
      </c>
      <c r="CK318" s="9"/>
      <c r="CL318" s="10"/>
      <c r="CM318" s="11"/>
      <c r="CN318" s="12"/>
      <c r="CO318" s="28"/>
      <c r="CP318" s="12"/>
      <c r="CQ318" s="9">
        <v>776</v>
      </c>
      <c r="CR318" s="10">
        <f>776*22800</f>
        <v>17692800</v>
      </c>
      <c r="CS318" s="68"/>
      <c r="EC318" s="344" t="str">
        <f t="shared" si="38"/>
        <v>CHOCO_ALTO BAUDO</v>
      </c>
      <c r="ED318" s="341"/>
      <c r="EE318" s="341" t="s">
        <v>3120</v>
      </c>
      <c r="EF318" s="349" t="s">
        <v>4563</v>
      </c>
      <c r="EG318" s="341" t="s">
        <v>3508</v>
      </c>
      <c r="EH318" s="341" t="s">
        <v>4647</v>
      </c>
      <c r="EI318" s="341" t="str">
        <f t="shared" si="40"/>
        <v>Boyaca_Santana</v>
      </c>
    </row>
    <row r="319" spans="1:139" ht="25.5">
      <c r="A319" s="228">
        <v>40272</v>
      </c>
      <c r="B319" s="102" t="s">
        <v>1996</v>
      </c>
      <c r="C319" s="102" t="s">
        <v>2409</v>
      </c>
      <c r="D319" s="206" t="s">
        <v>1878</v>
      </c>
      <c r="E319" s="320" t="s">
        <v>3797</v>
      </c>
      <c r="F319" s="320"/>
      <c r="G319" s="210"/>
      <c r="H319" s="71">
        <v>3</v>
      </c>
      <c r="I319" s="71"/>
      <c r="J319" s="71"/>
      <c r="K319" s="71"/>
      <c r="L319" s="1"/>
      <c r="M319" s="73">
        <f t="shared" si="33"/>
        <v>0</v>
      </c>
      <c r="N319" s="73">
        <f t="shared" si="34"/>
        <v>0</v>
      </c>
      <c r="O319" s="73">
        <f t="shared" si="35"/>
        <v>0</v>
      </c>
      <c r="P319" s="73">
        <f t="shared" si="36"/>
        <v>0</v>
      </c>
      <c r="Q319" s="73"/>
      <c r="R319" s="73">
        <v>0</v>
      </c>
      <c r="S319" s="75">
        <f t="shared" si="39"/>
        <v>0</v>
      </c>
      <c r="T319" s="77">
        <v>0</v>
      </c>
      <c r="U319" s="66">
        <v>40283</v>
      </c>
      <c r="V319" s="79"/>
      <c r="W319" s="66" t="s">
        <v>1585</v>
      </c>
      <c r="X319" s="24" t="s">
        <v>1586</v>
      </c>
      <c r="Y319" s="62"/>
      <c r="Z319" s="177" t="s">
        <v>894</v>
      </c>
      <c r="AA319" s="80" t="s">
        <v>2410</v>
      </c>
      <c r="AB319" s="3"/>
      <c r="AC319" s="4"/>
      <c r="AD319" s="5"/>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6"/>
      <c r="CE319" s="7"/>
      <c r="CF319" s="6"/>
      <c r="CG319" s="7"/>
      <c r="CH319" s="6"/>
      <c r="CI319" s="7"/>
      <c r="CJ319" s="8">
        <f t="shared" si="37"/>
        <v>0</v>
      </c>
      <c r="CK319" s="9"/>
      <c r="CL319" s="10"/>
      <c r="CM319" s="11"/>
      <c r="CN319" s="12"/>
      <c r="CO319" s="28"/>
      <c r="CP319" s="12"/>
      <c r="CQ319" s="9"/>
      <c r="CR319" s="10"/>
      <c r="CS319" s="68"/>
      <c r="EC319" s="350" t="str">
        <f t="shared" si="38"/>
        <v>CHOCO_BAGADO</v>
      </c>
      <c r="ED319" s="351"/>
      <c r="EE319" s="341" t="s">
        <v>3120</v>
      </c>
      <c r="EF319" s="349" t="s">
        <v>4563</v>
      </c>
      <c r="EG319" s="341" t="s">
        <v>3509</v>
      </c>
      <c r="EH319" s="341" t="s">
        <v>4648</v>
      </c>
      <c r="EI319" s="341" t="str">
        <f t="shared" si="40"/>
        <v>Boyaca_Santa Maria</v>
      </c>
    </row>
    <row r="320" spans="1:139" ht="38.25">
      <c r="A320" s="228">
        <v>40272</v>
      </c>
      <c r="B320" s="102" t="s">
        <v>1295</v>
      </c>
      <c r="C320" s="102" t="s">
        <v>3050</v>
      </c>
      <c r="D320" s="206" t="s">
        <v>1201</v>
      </c>
      <c r="E320" s="320" t="s">
        <v>3659</v>
      </c>
      <c r="F320" s="320"/>
      <c r="G320" s="210"/>
      <c r="H320" s="71"/>
      <c r="I320" s="71"/>
      <c r="J320" s="71">
        <v>40</v>
      </c>
      <c r="K320" s="71">
        <v>8</v>
      </c>
      <c r="L320" s="1"/>
      <c r="M320" s="73">
        <f t="shared" si="33"/>
        <v>0</v>
      </c>
      <c r="N320" s="73">
        <f t="shared" si="34"/>
        <v>0</v>
      </c>
      <c r="O320" s="73">
        <f t="shared" si="35"/>
        <v>0</v>
      </c>
      <c r="P320" s="73">
        <f t="shared" si="36"/>
        <v>0</v>
      </c>
      <c r="Q320" s="73"/>
      <c r="R320" s="73">
        <v>0</v>
      </c>
      <c r="S320" s="75">
        <f t="shared" si="39"/>
        <v>0</v>
      </c>
      <c r="T320" s="77">
        <v>0</v>
      </c>
      <c r="U320" s="66">
        <v>40350</v>
      </c>
      <c r="V320" s="79"/>
      <c r="W320" s="66" t="s">
        <v>1585</v>
      </c>
      <c r="X320" s="24" t="s">
        <v>1586</v>
      </c>
      <c r="Y320" s="62"/>
      <c r="Z320" s="177" t="s">
        <v>894</v>
      </c>
      <c r="AA320" s="80" t="s">
        <v>1341</v>
      </c>
      <c r="AB320" s="3"/>
      <c r="AC320" s="4"/>
      <c r="AD320" s="5"/>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6"/>
      <c r="CE320" s="7"/>
      <c r="CF320" s="6"/>
      <c r="CG320" s="7"/>
      <c r="CH320" s="6"/>
      <c r="CI320" s="7"/>
      <c r="CJ320" s="8">
        <f t="shared" si="37"/>
        <v>0</v>
      </c>
      <c r="CK320" s="9"/>
      <c r="CL320" s="10"/>
      <c r="CM320" s="11"/>
      <c r="CN320" s="12"/>
      <c r="CO320" s="28"/>
      <c r="CP320" s="12"/>
      <c r="CQ320" s="9"/>
      <c r="CR320" s="10"/>
      <c r="CS320" s="68"/>
      <c r="EC320" s="350" t="str">
        <f t="shared" si="38"/>
        <v>CORDOBA_CHINU</v>
      </c>
      <c r="ED320" s="351"/>
      <c r="EE320" s="341" t="s">
        <v>3120</v>
      </c>
      <c r="EF320" s="349" t="s">
        <v>4563</v>
      </c>
      <c r="EG320" s="341" t="s">
        <v>3510</v>
      </c>
      <c r="EH320" s="341" t="s">
        <v>4649</v>
      </c>
      <c r="EI320" s="341" t="str">
        <f t="shared" si="40"/>
        <v>Boyaca_Santa Rosa de Viterbo</v>
      </c>
    </row>
    <row r="321" spans="1:139" ht="48">
      <c r="A321" s="228">
        <v>40272</v>
      </c>
      <c r="B321" s="102" t="s">
        <v>1604</v>
      </c>
      <c r="C321" s="102" t="s">
        <v>1825</v>
      </c>
      <c r="D321" s="206" t="s">
        <v>1201</v>
      </c>
      <c r="E321" s="320" t="s">
        <v>3713</v>
      </c>
      <c r="F321" s="320"/>
      <c r="G321" s="210"/>
      <c r="H321" s="71">
        <v>1</v>
      </c>
      <c r="I321" s="71"/>
      <c r="J321" s="71">
        <v>140</v>
      </c>
      <c r="K321" s="71">
        <v>72</v>
      </c>
      <c r="L321" s="1"/>
      <c r="M321" s="73">
        <f t="shared" si="33"/>
        <v>0</v>
      </c>
      <c r="N321" s="73">
        <f t="shared" si="34"/>
        <v>0</v>
      </c>
      <c r="O321" s="73">
        <f t="shared" si="35"/>
        <v>0</v>
      </c>
      <c r="P321" s="73">
        <f t="shared" si="36"/>
        <v>0</v>
      </c>
      <c r="Q321" s="73"/>
      <c r="R321" s="73">
        <v>0</v>
      </c>
      <c r="S321" s="75">
        <f t="shared" si="39"/>
        <v>0</v>
      </c>
      <c r="T321" s="77">
        <v>0</v>
      </c>
      <c r="U321" s="66">
        <v>40277</v>
      </c>
      <c r="V321" s="79"/>
      <c r="W321" s="66" t="s">
        <v>1585</v>
      </c>
      <c r="X321" s="24" t="s">
        <v>1586</v>
      </c>
      <c r="Y321" s="62"/>
      <c r="Z321" s="177" t="s">
        <v>894</v>
      </c>
      <c r="AA321" s="80" t="s">
        <v>1826</v>
      </c>
      <c r="AB321" s="3"/>
      <c r="AC321" s="4"/>
      <c r="AD321" s="5"/>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6"/>
      <c r="CE321" s="7"/>
      <c r="CF321" s="6"/>
      <c r="CG321" s="7"/>
      <c r="CH321" s="6"/>
      <c r="CI321" s="7"/>
      <c r="CJ321" s="8">
        <f t="shared" si="37"/>
        <v>0</v>
      </c>
      <c r="CK321" s="9"/>
      <c r="CL321" s="10"/>
      <c r="CM321" s="11"/>
      <c r="CN321" s="12"/>
      <c r="CO321" s="28"/>
      <c r="CP321" s="12"/>
      <c r="CQ321" s="9"/>
      <c r="CR321" s="10"/>
      <c r="CS321" s="68"/>
      <c r="EC321" s="350" t="str">
        <f t="shared" si="38"/>
        <v>CUNDINAMARCA_GIRARDOT</v>
      </c>
      <c r="ED321" s="351"/>
      <c r="EE321" s="341" t="s">
        <v>3120</v>
      </c>
      <c r="EF321" s="349" t="s">
        <v>4563</v>
      </c>
      <c r="EG321" s="341" t="s">
        <v>3511</v>
      </c>
      <c r="EH321" s="341" t="s">
        <v>4650</v>
      </c>
      <c r="EI321" s="341" t="str">
        <f t="shared" si="40"/>
        <v>Boyaca_Santa Sofia</v>
      </c>
    </row>
    <row r="322" spans="1:139" ht="38.25">
      <c r="A322" s="228">
        <v>40272</v>
      </c>
      <c r="B322" s="102" t="s">
        <v>1604</v>
      </c>
      <c r="C322" s="102" t="s">
        <v>2416</v>
      </c>
      <c r="D322" s="206" t="s">
        <v>1201</v>
      </c>
      <c r="E322" s="320" t="s">
        <v>3774</v>
      </c>
      <c r="F322" s="320"/>
      <c r="G322" s="210"/>
      <c r="H322" s="71"/>
      <c r="I322" s="71"/>
      <c r="J322" s="71">
        <v>34</v>
      </c>
      <c r="K322" s="71">
        <v>8</v>
      </c>
      <c r="L322" s="1"/>
      <c r="M322" s="73">
        <f t="shared" si="33"/>
        <v>0</v>
      </c>
      <c r="N322" s="73">
        <f t="shared" si="34"/>
        <v>0</v>
      </c>
      <c r="O322" s="73">
        <f t="shared" si="35"/>
        <v>0</v>
      </c>
      <c r="P322" s="73">
        <f t="shared" si="36"/>
        <v>0</v>
      </c>
      <c r="Q322" s="73"/>
      <c r="R322" s="73">
        <v>0</v>
      </c>
      <c r="S322" s="75">
        <f t="shared" si="39"/>
        <v>0</v>
      </c>
      <c r="T322" s="77">
        <v>0</v>
      </c>
      <c r="U322" s="66">
        <v>40282</v>
      </c>
      <c r="V322" s="79"/>
      <c r="W322" s="66" t="s">
        <v>1585</v>
      </c>
      <c r="X322" s="24" t="s">
        <v>1586</v>
      </c>
      <c r="Y322" s="62"/>
      <c r="Z322" s="177" t="s">
        <v>894</v>
      </c>
      <c r="AA322" s="80" t="s">
        <v>2354</v>
      </c>
      <c r="AB322" s="3"/>
      <c r="AC322" s="4"/>
      <c r="AD322" s="5"/>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6"/>
      <c r="CE322" s="7"/>
      <c r="CF322" s="6"/>
      <c r="CG322" s="7"/>
      <c r="CH322" s="6"/>
      <c r="CI322" s="7"/>
      <c r="CJ322" s="8">
        <f t="shared" si="37"/>
        <v>0</v>
      </c>
      <c r="CK322" s="9"/>
      <c r="CL322" s="10"/>
      <c r="CM322" s="11"/>
      <c r="CN322" s="12"/>
      <c r="CO322" s="28"/>
      <c r="CP322" s="12"/>
      <c r="CQ322" s="9"/>
      <c r="CR322" s="10"/>
      <c r="CS322" s="68"/>
      <c r="EC322" s="350" t="str">
        <f t="shared" ref="EC322:EC383" si="41">B322&amp;"_"&amp;C322</f>
        <v>CUNDINAMARCA_TENJO</v>
      </c>
      <c r="ED322" s="351"/>
      <c r="EE322" s="341" t="s">
        <v>3120</v>
      </c>
      <c r="EF322" s="349" t="s">
        <v>4563</v>
      </c>
      <c r="EG322" s="341" t="s">
        <v>3512</v>
      </c>
      <c r="EH322" s="341" t="s">
        <v>4651</v>
      </c>
      <c r="EI322" s="341" t="str">
        <f t="shared" si="40"/>
        <v>Boyaca_Sativanorte</v>
      </c>
    </row>
    <row r="323" spans="1:139" ht="38.25">
      <c r="A323" s="228">
        <v>40272</v>
      </c>
      <c r="B323" s="102" t="s">
        <v>1604</v>
      </c>
      <c r="C323" s="102" t="s">
        <v>982</v>
      </c>
      <c r="D323" s="206" t="s">
        <v>1201</v>
      </c>
      <c r="E323" s="320" t="s">
        <v>3777</v>
      </c>
      <c r="F323" s="320"/>
      <c r="G323" s="210"/>
      <c r="H323" s="71"/>
      <c r="I323" s="71"/>
      <c r="J323" s="71">
        <v>6</v>
      </c>
      <c r="K323" s="71">
        <v>2</v>
      </c>
      <c r="L323" s="1"/>
      <c r="M323" s="73">
        <f t="shared" ref="M323:M386" si="42">CJ323</f>
        <v>0</v>
      </c>
      <c r="N323" s="73">
        <f t="shared" ref="N323:N386" si="43">CN323</f>
        <v>0</v>
      </c>
      <c r="O323" s="73">
        <f t="shared" ref="O323:O386" si="44">CP323+CR323</f>
        <v>0</v>
      </c>
      <c r="P323" s="73">
        <f t="shared" ref="P323:P386" si="45">CL323</f>
        <v>0</v>
      </c>
      <c r="Q323" s="73"/>
      <c r="R323" s="73">
        <v>0</v>
      </c>
      <c r="S323" s="75">
        <f t="shared" si="39"/>
        <v>0</v>
      </c>
      <c r="T323" s="77">
        <v>0</v>
      </c>
      <c r="U323" s="66">
        <v>40282</v>
      </c>
      <c r="V323" s="79"/>
      <c r="W323" s="66" t="s">
        <v>1585</v>
      </c>
      <c r="X323" s="24" t="s">
        <v>1586</v>
      </c>
      <c r="Y323" s="62"/>
      <c r="Z323" s="177" t="s">
        <v>894</v>
      </c>
      <c r="AA323" s="80" t="s">
        <v>983</v>
      </c>
      <c r="AB323" s="3"/>
      <c r="AC323" s="4"/>
      <c r="AD323" s="5"/>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6"/>
      <c r="CE323" s="7"/>
      <c r="CF323" s="6"/>
      <c r="CG323" s="7"/>
      <c r="CH323" s="6"/>
      <c r="CI323" s="7"/>
      <c r="CJ323" s="8">
        <f t="shared" ref="CJ323:CJ386" si="46">AC323+AE323+AG323+AI323+AK323+AM323+AO323+AQ323+AS323+AU323+AW323+AY323+BA323+BC323+BE323+BG323+BI323+BK323+BM323+BO323+BQ323+BS323+BU323+BW323+BY323+CA323+CC323+CE323+CG323+CI323</f>
        <v>0</v>
      </c>
      <c r="CK323" s="9"/>
      <c r="CL323" s="10"/>
      <c r="CM323" s="11"/>
      <c r="CN323" s="12"/>
      <c r="CO323" s="28"/>
      <c r="CP323" s="12"/>
      <c r="CQ323" s="9"/>
      <c r="CR323" s="10"/>
      <c r="CS323" s="68"/>
      <c r="EC323" s="350" t="str">
        <f t="shared" si="41"/>
        <v>CUNDINAMARCA_TOCAIMA</v>
      </c>
      <c r="ED323" s="351"/>
      <c r="EE323" s="351" t="s">
        <v>3120</v>
      </c>
      <c r="EF323" s="349" t="s">
        <v>4563</v>
      </c>
      <c r="EG323" s="351" t="s">
        <v>3513</v>
      </c>
      <c r="EH323" s="351" t="s">
        <v>4652</v>
      </c>
      <c r="EI323" s="351" t="str">
        <f t="shared" si="40"/>
        <v>Boyaca_Sativasur</v>
      </c>
    </row>
    <row r="324" spans="1:139" ht="72">
      <c r="A324" s="228">
        <v>40272</v>
      </c>
      <c r="B324" s="102" t="s">
        <v>962</v>
      </c>
      <c r="C324" s="102" t="s">
        <v>561</v>
      </c>
      <c r="D324" s="206" t="s">
        <v>1878</v>
      </c>
      <c r="E324" s="320" t="s">
        <v>3855</v>
      </c>
      <c r="F324" s="320"/>
      <c r="G324" s="210"/>
      <c r="H324" s="71"/>
      <c r="I324" s="71"/>
      <c r="J324" s="71"/>
      <c r="K324" s="71"/>
      <c r="L324" s="1">
        <v>40345</v>
      </c>
      <c r="M324" s="73">
        <f t="shared" si="42"/>
        <v>0</v>
      </c>
      <c r="N324" s="73">
        <f t="shared" si="43"/>
        <v>0</v>
      </c>
      <c r="O324" s="73">
        <f t="shared" si="44"/>
        <v>0</v>
      </c>
      <c r="P324" s="73">
        <f t="shared" si="45"/>
        <v>0</v>
      </c>
      <c r="Q324" s="73"/>
      <c r="R324" s="73">
        <v>66297971</v>
      </c>
      <c r="S324" s="75">
        <f t="shared" si="39"/>
        <v>66297971</v>
      </c>
      <c r="T324" s="77">
        <v>0</v>
      </c>
      <c r="U324" s="66">
        <v>40345</v>
      </c>
      <c r="V324" s="79"/>
      <c r="W324" s="66" t="s">
        <v>1606</v>
      </c>
      <c r="X324" s="24" t="s">
        <v>1607</v>
      </c>
      <c r="Y324" s="62"/>
      <c r="Z324" s="177" t="s">
        <v>562</v>
      </c>
      <c r="AA324" s="92" t="s">
        <v>563</v>
      </c>
      <c r="AB324" s="3"/>
      <c r="AC324" s="4"/>
      <c r="AD324" s="5"/>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6"/>
      <c r="CE324" s="7"/>
      <c r="CF324" s="6"/>
      <c r="CG324" s="7"/>
      <c r="CH324" s="6"/>
      <c r="CI324" s="7"/>
      <c r="CJ324" s="8">
        <f t="shared" si="46"/>
        <v>0</v>
      </c>
      <c r="CK324" s="9"/>
      <c r="CL324" s="10"/>
      <c r="CM324" s="11"/>
      <c r="CN324" s="12"/>
      <c r="CO324" s="28"/>
      <c r="CP324" s="12"/>
      <c r="CQ324" s="9"/>
      <c r="CR324" s="10"/>
      <c r="CS324" s="68">
        <v>4</v>
      </c>
      <c r="EC324" s="350" t="str">
        <f t="shared" si="41"/>
        <v>HUILA_TELLO</v>
      </c>
      <c r="ED324" s="351"/>
      <c r="EE324" s="351" t="s">
        <v>3120</v>
      </c>
      <c r="EF324" s="349" t="s">
        <v>4563</v>
      </c>
      <c r="EG324" s="351" t="s">
        <v>3514</v>
      </c>
      <c r="EH324" s="351" t="s">
        <v>4653</v>
      </c>
      <c r="EI324" s="351" t="str">
        <f t="shared" si="40"/>
        <v>Boyaca_Siachoque</v>
      </c>
    </row>
    <row r="325" spans="1:139" ht="25.5">
      <c r="A325" s="228">
        <v>40272</v>
      </c>
      <c r="B325" s="102" t="s">
        <v>1824</v>
      </c>
      <c r="C325" s="102" t="s">
        <v>511</v>
      </c>
      <c r="D325" s="206" t="s">
        <v>1878</v>
      </c>
      <c r="E325" s="320" t="s">
        <v>3964</v>
      </c>
      <c r="F325" s="320"/>
      <c r="G325" s="210"/>
      <c r="H325" s="71"/>
      <c r="I325" s="71"/>
      <c r="J325" s="71">
        <v>35</v>
      </c>
      <c r="K325" s="71">
        <v>7</v>
      </c>
      <c r="L325" s="1"/>
      <c r="M325" s="73">
        <f t="shared" si="42"/>
        <v>0</v>
      </c>
      <c r="N325" s="73">
        <f t="shared" si="43"/>
        <v>0</v>
      </c>
      <c r="O325" s="73">
        <f t="shared" si="44"/>
        <v>0</v>
      </c>
      <c r="P325" s="73">
        <f t="shared" si="45"/>
        <v>0</v>
      </c>
      <c r="Q325" s="73"/>
      <c r="R325" s="73">
        <v>0</v>
      </c>
      <c r="S325" s="75">
        <f t="shared" si="39"/>
        <v>0</v>
      </c>
      <c r="T325" s="77">
        <v>0</v>
      </c>
      <c r="U325" s="66">
        <v>40287</v>
      </c>
      <c r="V325" s="79"/>
      <c r="W325" s="66" t="s">
        <v>1585</v>
      </c>
      <c r="X325" s="24" t="s">
        <v>1586</v>
      </c>
      <c r="Y325" s="62"/>
      <c r="Z325" s="177" t="s">
        <v>894</v>
      </c>
      <c r="AA325" s="80"/>
      <c r="AB325" s="3"/>
      <c r="AC325" s="4"/>
      <c r="AD325" s="5"/>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6"/>
      <c r="CE325" s="7"/>
      <c r="CF325" s="6"/>
      <c r="CG325" s="7"/>
      <c r="CH325" s="6"/>
      <c r="CI325" s="7"/>
      <c r="CJ325" s="8">
        <f t="shared" si="46"/>
        <v>0</v>
      </c>
      <c r="CK325" s="9"/>
      <c r="CL325" s="10"/>
      <c r="CM325" s="11"/>
      <c r="CN325" s="12"/>
      <c r="CO325" s="28"/>
      <c r="CP325" s="12"/>
      <c r="CQ325" s="9"/>
      <c r="CR325" s="10"/>
      <c r="CS325" s="68"/>
      <c r="EC325" s="344" t="str">
        <f t="shared" si="41"/>
        <v>NARIÑO_LA LLANADA</v>
      </c>
      <c r="ED325" s="341"/>
      <c r="EE325" s="351" t="s">
        <v>3120</v>
      </c>
      <c r="EF325" s="349" t="s">
        <v>4563</v>
      </c>
      <c r="EG325" s="351" t="s">
        <v>3515</v>
      </c>
      <c r="EH325" s="351" t="s">
        <v>4654</v>
      </c>
      <c r="EI325" s="351" t="str">
        <f t="shared" si="40"/>
        <v>Boyaca_Soata</v>
      </c>
    </row>
    <row r="326" spans="1:139" ht="25.5">
      <c r="A326" s="228">
        <v>40272</v>
      </c>
      <c r="B326" s="102" t="s">
        <v>1824</v>
      </c>
      <c r="C326" s="102" t="s">
        <v>841</v>
      </c>
      <c r="D326" s="206" t="s">
        <v>1201</v>
      </c>
      <c r="E326" s="320" t="s">
        <v>3934</v>
      </c>
      <c r="F326" s="320"/>
      <c r="G326" s="210"/>
      <c r="H326" s="71"/>
      <c r="I326" s="71"/>
      <c r="J326" s="71">
        <f>23*5</f>
        <v>115</v>
      </c>
      <c r="K326" s="71">
        <v>23</v>
      </c>
      <c r="L326" s="1"/>
      <c r="M326" s="73">
        <f t="shared" si="42"/>
        <v>0</v>
      </c>
      <c r="N326" s="73">
        <f t="shared" si="43"/>
        <v>0</v>
      </c>
      <c r="O326" s="73">
        <f t="shared" si="44"/>
        <v>0</v>
      </c>
      <c r="P326" s="73">
        <f t="shared" si="45"/>
        <v>0</v>
      </c>
      <c r="Q326" s="73"/>
      <c r="R326" s="73">
        <v>0</v>
      </c>
      <c r="S326" s="75">
        <f t="shared" si="39"/>
        <v>0</v>
      </c>
      <c r="T326" s="77">
        <v>0</v>
      </c>
      <c r="U326" s="66">
        <v>40278</v>
      </c>
      <c r="V326" s="79"/>
      <c r="W326" s="66" t="s">
        <v>1585</v>
      </c>
      <c r="X326" s="24" t="s">
        <v>1586</v>
      </c>
      <c r="Y326" s="62"/>
      <c r="Z326" s="177" t="s">
        <v>894</v>
      </c>
      <c r="AA326" s="80" t="s">
        <v>2698</v>
      </c>
      <c r="AB326" s="3"/>
      <c r="AC326" s="4"/>
      <c r="AD326" s="5"/>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6"/>
      <c r="CE326" s="7"/>
      <c r="CF326" s="6"/>
      <c r="CG326" s="7"/>
      <c r="CH326" s="6"/>
      <c r="CI326" s="7"/>
      <c r="CJ326" s="8">
        <f t="shared" si="46"/>
        <v>0</v>
      </c>
      <c r="CK326" s="9"/>
      <c r="CL326" s="10"/>
      <c r="CM326" s="11"/>
      <c r="CN326" s="12"/>
      <c r="CO326" s="28"/>
      <c r="CP326" s="12"/>
      <c r="CQ326" s="9"/>
      <c r="CR326" s="10"/>
      <c r="CS326" s="68"/>
      <c r="EC326" s="344" t="str">
        <f t="shared" si="41"/>
        <v>NARIÑO_PASTO</v>
      </c>
      <c r="ED326" s="341"/>
      <c r="EE326" s="351" t="s">
        <v>3120</v>
      </c>
      <c r="EF326" s="349" t="s">
        <v>4563</v>
      </c>
      <c r="EG326" s="351" t="s">
        <v>3516</v>
      </c>
      <c r="EH326" s="351" t="s">
        <v>4655</v>
      </c>
      <c r="EI326" s="351" t="str">
        <f t="shared" si="40"/>
        <v>Boyaca_Socota</v>
      </c>
    </row>
    <row r="327" spans="1:139" ht="36">
      <c r="A327" s="228">
        <v>40272</v>
      </c>
      <c r="B327" s="102" t="s">
        <v>1824</v>
      </c>
      <c r="C327" s="102" t="s">
        <v>840</v>
      </c>
      <c r="D327" s="206" t="s">
        <v>1878</v>
      </c>
      <c r="E327" s="320" t="s">
        <v>3982</v>
      </c>
      <c r="F327" s="320"/>
      <c r="G327" s="210"/>
      <c r="H327" s="71"/>
      <c r="I327" s="71"/>
      <c r="J327" s="71">
        <f>44*5</f>
        <v>220</v>
      </c>
      <c r="K327" s="71">
        <v>44</v>
      </c>
      <c r="L327" s="1"/>
      <c r="M327" s="73">
        <f t="shared" si="42"/>
        <v>0</v>
      </c>
      <c r="N327" s="73">
        <f t="shared" si="43"/>
        <v>0</v>
      </c>
      <c r="O327" s="73">
        <f t="shared" si="44"/>
        <v>0</v>
      </c>
      <c r="P327" s="73">
        <f t="shared" si="45"/>
        <v>0</v>
      </c>
      <c r="Q327" s="73"/>
      <c r="R327" s="73">
        <v>0</v>
      </c>
      <c r="S327" s="75">
        <f t="shared" si="39"/>
        <v>0</v>
      </c>
      <c r="T327" s="77">
        <v>0</v>
      </c>
      <c r="U327" s="66">
        <v>40276</v>
      </c>
      <c r="V327" s="79"/>
      <c r="W327" s="66" t="s">
        <v>1585</v>
      </c>
      <c r="X327" s="24" t="s">
        <v>1586</v>
      </c>
      <c r="Y327" s="62"/>
      <c r="Z327" s="177" t="s">
        <v>894</v>
      </c>
      <c r="AA327" s="80" t="s">
        <v>1738</v>
      </c>
      <c r="AB327" s="3"/>
      <c r="AC327" s="4"/>
      <c r="AD327" s="5"/>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6"/>
      <c r="CE327" s="7"/>
      <c r="CF327" s="6"/>
      <c r="CG327" s="7"/>
      <c r="CH327" s="6"/>
      <c r="CI327" s="7"/>
      <c r="CJ327" s="8">
        <f t="shared" si="46"/>
        <v>0</v>
      </c>
      <c r="CK327" s="9"/>
      <c r="CL327" s="10"/>
      <c r="CM327" s="11"/>
      <c r="CN327" s="12"/>
      <c r="CO327" s="28"/>
      <c r="CP327" s="12"/>
      <c r="CQ327" s="9"/>
      <c r="CR327" s="10"/>
      <c r="CS327" s="68"/>
      <c r="EC327" s="344" t="str">
        <f t="shared" si="41"/>
        <v>NARIÑO_RICAURTE</v>
      </c>
      <c r="ED327" s="341"/>
      <c r="EE327" s="351" t="s">
        <v>3120</v>
      </c>
      <c r="EF327" s="349" t="s">
        <v>4563</v>
      </c>
      <c r="EG327" s="351" t="s">
        <v>3517</v>
      </c>
      <c r="EH327" s="351" t="s">
        <v>4656</v>
      </c>
      <c r="EI327" s="351" t="str">
        <f t="shared" si="40"/>
        <v>Boyaca_Socha</v>
      </c>
    </row>
    <row r="328" spans="1:139" ht="25.5">
      <c r="A328" s="228">
        <v>40272</v>
      </c>
      <c r="B328" s="102" t="s">
        <v>1943</v>
      </c>
      <c r="C328" s="102" t="s">
        <v>1942</v>
      </c>
      <c r="D328" s="206" t="s">
        <v>2606</v>
      </c>
      <c r="E328" s="320" t="s">
        <v>4152</v>
      </c>
      <c r="F328" s="320"/>
      <c r="G328" s="210"/>
      <c r="H328" s="71"/>
      <c r="I328" s="71"/>
      <c r="J328" s="71">
        <v>15</v>
      </c>
      <c r="K328" s="71">
        <v>3</v>
      </c>
      <c r="L328" s="1"/>
      <c r="M328" s="73">
        <f t="shared" si="42"/>
        <v>0</v>
      </c>
      <c r="N328" s="73">
        <f t="shared" si="43"/>
        <v>0</v>
      </c>
      <c r="O328" s="73">
        <f t="shared" si="44"/>
        <v>0</v>
      </c>
      <c r="P328" s="73">
        <f t="shared" si="45"/>
        <v>0</v>
      </c>
      <c r="Q328" s="73"/>
      <c r="R328" s="73">
        <v>0</v>
      </c>
      <c r="S328" s="75">
        <f t="shared" si="39"/>
        <v>0</v>
      </c>
      <c r="T328" s="77">
        <v>0</v>
      </c>
      <c r="U328" s="66">
        <v>40276</v>
      </c>
      <c r="V328" s="79"/>
      <c r="W328" s="66" t="s">
        <v>1585</v>
      </c>
      <c r="X328" s="24" t="s">
        <v>1586</v>
      </c>
      <c r="Y328" s="62"/>
      <c r="Z328" s="177" t="s">
        <v>894</v>
      </c>
      <c r="AA328" s="80" t="s">
        <v>843</v>
      </c>
      <c r="AB328" s="3"/>
      <c r="AC328" s="4"/>
      <c r="AD328" s="5"/>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6"/>
      <c r="CE328" s="7"/>
      <c r="CF328" s="6"/>
      <c r="CG328" s="7"/>
      <c r="CH328" s="6"/>
      <c r="CI328" s="7"/>
      <c r="CJ328" s="8">
        <f t="shared" si="46"/>
        <v>0</v>
      </c>
      <c r="CK328" s="9"/>
      <c r="CL328" s="10"/>
      <c r="CM328" s="11"/>
      <c r="CN328" s="12"/>
      <c r="CO328" s="28"/>
      <c r="CP328" s="12"/>
      <c r="CQ328" s="9"/>
      <c r="CR328" s="10"/>
      <c r="CS328" s="68"/>
      <c r="EC328" s="344" t="str">
        <f t="shared" si="41"/>
        <v>SUCRE_BUENAVISTA</v>
      </c>
      <c r="ED328" s="341"/>
      <c r="EE328" s="351" t="s">
        <v>3120</v>
      </c>
      <c r="EF328" s="349" t="s">
        <v>4563</v>
      </c>
      <c r="EG328" s="351" t="s">
        <v>3518</v>
      </c>
      <c r="EH328" s="351" t="s">
        <v>4657</v>
      </c>
      <c r="EI328" s="351" t="str">
        <f t="shared" si="40"/>
        <v>Boyaca_Sogamoso</v>
      </c>
    </row>
    <row r="329" spans="1:139" ht="56.25">
      <c r="A329" s="228">
        <v>40272</v>
      </c>
      <c r="B329" s="102" t="s">
        <v>2400</v>
      </c>
      <c r="C329" s="102" t="s">
        <v>1545</v>
      </c>
      <c r="D329" s="206" t="s">
        <v>2606</v>
      </c>
      <c r="E329" s="320" t="s">
        <v>4177</v>
      </c>
      <c r="F329" s="320"/>
      <c r="G329" s="210"/>
      <c r="H329" s="71"/>
      <c r="I329" s="71"/>
      <c r="J329" s="71">
        <v>315</v>
      </c>
      <c r="K329" s="71">
        <v>63</v>
      </c>
      <c r="L329" s="1"/>
      <c r="M329" s="73">
        <f t="shared" si="42"/>
        <v>0</v>
      </c>
      <c r="N329" s="73">
        <f t="shared" si="43"/>
        <v>0</v>
      </c>
      <c r="O329" s="73">
        <f t="shared" si="44"/>
        <v>5352240</v>
      </c>
      <c r="P329" s="73">
        <f t="shared" si="45"/>
        <v>0</v>
      </c>
      <c r="Q329" s="73"/>
      <c r="R329" s="73">
        <v>0</v>
      </c>
      <c r="S329" s="75">
        <f t="shared" ref="S329:S392" si="47">M329+N329+O329+P329+Q329+R329</f>
        <v>5352240</v>
      </c>
      <c r="T329" s="77">
        <v>0</v>
      </c>
      <c r="U329" s="66">
        <v>40284</v>
      </c>
      <c r="V329" s="79">
        <v>96689</v>
      </c>
      <c r="W329" s="66" t="s">
        <v>1606</v>
      </c>
      <c r="X329" s="24" t="s">
        <v>1607</v>
      </c>
      <c r="Y329" s="62">
        <v>99</v>
      </c>
      <c r="Z329" s="177" t="s">
        <v>2794</v>
      </c>
      <c r="AA329" s="80" t="s">
        <v>2282</v>
      </c>
      <c r="AB329" s="3"/>
      <c r="AC329" s="4"/>
      <c r="AD329" s="5"/>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6"/>
      <c r="CE329" s="7"/>
      <c r="CF329" s="6"/>
      <c r="CG329" s="7"/>
      <c r="CH329" s="6"/>
      <c r="CI329" s="7"/>
      <c r="CJ329" s="8">
        <f t="shared" si="46"/>
        <v>0</v>
      </c>
      <c r="CK329" s="9"/>
      <c r="CL329" s="10"/>
      <c r="CM329" s="11"/>
      <c r="CN329" s="12"/>
      <c r="CO329" s="28"/>
      <c r="CP329" s="12"/>
      <c r="CQ329" s="9">
        <v>150</v>
      </c>
      <c r="CR329" s="10">
        <f>150*34568+300*556.8</f>
        <v>5352240</v>
      </c>
      <c r="CS329" s="68"/>
      <c r="EC329" s="344" t="str">
        <f t="shared" si="41"/>
        <v>TOLIMA_IBAGUE</v>
      </c>
      <c r="ED329" s="341"/>
      <c r="EE329" s="341" t="s">
        <v>3120</v>
      </c>
      <c r="EF329" s="349" t="s">
        <v>4563</v>
      </c>
      <c r="EG329" s="341" t="s">
        <v>3519</v>
      </c>
      <c r="EH329" s="341" t="s">
        <v>4658</v>
      </c>
      <c r="EI329" s="341" t="str">
        <f t="shared" si="40"/>
        <v>Boyaca_Somondoco</v>
      </c>
    </row>
    <row r="330" spans="1:139" ht="45">
      <c r="A330" s="228">
        <v>40272</v>
      </c>
      <c r="B330" s="102" t="s">
        <v>2400</v>
      </c>
      <c r="C330" s="102" t="s">
        <v>2284</v>
      </c>
      <c r="D330" s="206" t="s">
        <v>2606</v>
      </c>
      <c r="E330" s="320" t="s">
        <v>4205</v>
      </c>
      <c r="F330" s="320"/>
      <c r="G330" s="210"/>
      <c r="H330" s="71"/>
      <c r="I330" s="71"/>
      <c r="J330" s="71">
        <v>645</v>
      </c>
      <c r="K330" s="71">
        <f>112+27</f>
        <v>139</v>
      </c>
      <c r="L330" s="1">
        <v>40295</v>
      </c>
      <c r="M330" s="73">
        <f t="shared" si="42"/>
        <v>9119917.1999999993</v>
      </c>
      <c r="N330" s="73">
        <f t="shared" si="43"/>
        <v>2550000</v>
      </c>
      <c r="O330" s="73">
        <f t="shared" si="44"/>
        <v>5992560</v>
      </c>
      <c r="P330" s="73">
        <f t="shared" si="45"/>
        <v>0</v>
      </c>
      <c r="Q330" s="73"/>
      <c r="R330" s="73">
        <v>0</v>
      </c>
      <c r="S330" s="75">
        <f t="shared" si="47"/>
        <v>17662477.199999999</v>
      </c>
      <c r="T330" s="77">
        <v>0</v>
      </c>
      <c r="U330" s="66">
        <v>40284</v>
      </c>
      <c r="V330" s="79">
        <v>96689</v>
      </c>
      <c r="W330" s="66" t="s">
        <v>1606</v>
      </c>
      <c r="X330" s="24" t="s">
        <v>1607</v>
      </c>
      <c r="Y330" s="83" t="s">
        <v>2706</v>
      </c>
      <c r="Z330" s="177" t="s">
        <v>910</v>
      </c>
      <c r="AA330" s="80" t="s">
        <v>2285</v>
      </c>
      <c r="AB330" s="3"/>
      <c r="AC330" s="4"/>
      <c r="AD330" s="5"/>
      <c r="AE330" s="4"/>
      <c r="AF330" s="4"/>
      <c r="AG330" s="4"/>
      <c r="AH330" s="4"/>
      <c r="AI330" s="4"/>
      <c r="AJ330" s="4"/>
      <c r="AK330" s="4"/>
      <c r="AL330" s="4"/>
      <c r="AM330" s="4"/>
      <c r="AN330" s="4"/>
      <c r="AO330" s="4"/>
      <c r="AP330" s="4">
        <v>90</v>
      </c>
      <c r="AQ330" s="4">
        <f>90*56000</f>
        <v>5040000</v>
      </c>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v>90</v>
      </c>
      <c r="BY330" s="4">
        <f>90*20999.48</f>
        <v>1889953.2</v>
      </c>
      <c r="BZ330" s="4"/>
      <c r="CA330" s="4"/>
      <c r="CB330" s="4"/>
      <c r="CC330" s="4"/>
      <c r="CD330" s="6">
        <v>30</v>
      </c>
      <c r="CE330" s="7">
        <f>30*36999.36</f>
        <v>1109980.8</v>
      </c>
      <c r="CF330" s="6">
        <v>30</v>
      </c>
      <c r="CG330" s="7">
        <f>30*35999.44</f>
        <v>1079983.2000000002</v>
      </c>
      <c r="CH330" s="6"/>
      <c r="CI330" s="7"/>
      <c r="CJ330" s="8">
        <f t="shared" si="46"/>
        <v>9119917.1999999993</v>
      </c>
      <c r="CK330" s="9"/>
      <c r="CL330" s="10"/>
      <c r="CM330" s="11">
        <v>30</v>
      </c>
      <c r="CN330" s="12">
        <f>30*85000</f>
        <v>2550000</v>
      </c>
      <c r="CO330" s="28"/>
      <c r="CP330" s="12"/>
      <c r="CQ330" s="9">
        <v>300</v>
      </c>
      <c r="CR330" s="10">
        <f>300*19140+1200*208.8</f>
        <v>5992560</v>
      </c>
      <c r="CS330" s="84"/>
      <c r="EC330" s="344" t="str">
        <f t="shared" si="41"/>
        <v>TOLIMA_NATAGAIMA</v>
      </c>
      <c r="ED330" s="341"/>
      <c r="EE330" s="341" t="s">
        <v>3120</v>
      </c>
      <c r="EF330" s="349" t="s">
        <v>4563</v>
      </c>
      <c r="EG330" s="341" t="s">
        <v>3520</v>
      </c>
      <c r="EH330" s="341" t="s">
        <v>4659</v>
      </c>
      <c r="EI330" s="341" t="str">
        <f t="shared" si="40"/>
        <v>Boyaca_Sora</v>
      </c>
    </row>
    <row r="331" spans="1:139" ht="38.25">
      <c r="A331" s="228">
        <v>40272</v>
      </c>
      <c r="B331" s="102" t="s">
        <v>1088</v>
      </c>
      <c r="C331" s="102" t="s">
        <v>2441</v>
      </c>
      <c r="D331" s="206" t="s">
        <v>2606</v>
      </c>
      <c r="E331" s="320" t="s">
        <v>4251</v>
      </c>
      <c r="F331" s="320"/>
      <c r="G331" s="210"/>
      <c r="H331" s="71"/>
      <c r="I331" s="71"/>
      <c r="J331" s="71">
        <v>7</v>
      </c>
      <c r="K331" s="71">
        <v>1</v>
      </c>
      <c r="L331" s="1"/>
      <c r="M331" s="73">
        <f t="shared" si="42"/>
        <v>0</v>
      </c>
      <c r="N331" s="73">
        <f t="shared" si="43"/>
        <v>0</v>
      </c>
      <c r="O331" s="73">
        <f t="shared" si="44"/>
        <v>0</v>
      </c>
      <c r="P331" s="73">
        <f t="shared" si="45"/>
        <v>0</v>
      </c>
      <c r="Q331" s="73"/>
      <c r="R331" s="73">
        <v>0</v>
      </c>
      <c r="S331" s="75">
        <f t="shared" si="47"/>
        <v>0</v>
      </c>
      <c r="T331" s="77">
        <v>0</v>
      </c>
      <c r="U331" s="66">
        <v>40283</v>
      </c>
      <c r="V331" s="79"/>
      <c r="W331" s="66" t="s">
        <v>1585</v>
      </c>
      <c r="X331" s="24" t="s">
        <v>1586</v>
      </c>
      <c r="Y331" s="62"/>
      <c r="Z331" s="177" t="s">
        <v>894</v>
      </c>
      <c r="AA331" s="80" t="s">
        <v>2442</v>
      </c>
      <c r="AB331" s="3"/>
      <c r="AC331" s="4"/>
      <c r="AD331" s="5"/>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6"/>
      <c r="CE331" s="7"/>
      <c r="CF331" s="6"/>
      <c r="CG331" s="7"/>
      <c r="CH331" s="6"/>
      <c r="CI331" s="7"/>
      <c r="CJ331" s="8">
        <f t="shared" si="46"/>
        <v>0</v>
      </c>
      <c r="CK331" s="9"/>
      <c r="CL331" s="10"/>
      <c r="CM331" s="11"/>
      <c r="CN331" s="12"/>
      <c r="CO331" s="28"/>
      <c r="CP331" s="12"/>
      <c r="CQ331" s="9"/>
      <c r="CR331" s="10"/>
      <c r="CS331" s="68"/>
      <c r="EC331" s="352" t="str">
        <f t="shared" si="41"/>
        <v>VALLE DEL CAUCA_PRADERA</v>
      </c>
      <c r="ED331" s="353"/>
      <c r="EE331" s="341" t="s">
        <v>3120</v>
      </c>
      <c r="EF331" s="349" t="s">
        <v>4563</v>
      </c>
      <c r="EG331" s="341" t="s">
        <v>3521</v>
      </c>
      <c r="EH331" s="341" t="s">
        <v>4660</v>
      </c>
      <c r="EI331" s="341" t="str">
        <f t="shared" si="40"/>
        <v>Boyaca_Sotaquira</v>
      </c>
    </row>
    <row r="332" spans="1:139" ht="38.25">
      <c r="A332" s="235">
        <v>40273</v>
      </c>
      <c r="B332" s="224" t="s">
        <v>1972</v>
      </c>
      <c r="C332" s="224" t="s">
        <v>2297</v>
      </c>
      <c r="D332" s="236" t="s">
        <v>1201</v>
      </c>
      <c r="E332" s="324" t="s">
        <v>3240</v>
      </c>
      <c r="F332" s="324"/>
      <c r="G332" s="210"/>
      <c r="H332" s="71"/>
      <c r="I332" s="71"/>
      <c r="J332" s="71">
        <v>120</v>
      </c>
      <c r="K332" s="71">
        <v>24</v>
      </c>
      <c r="L332" s="1"/>
      <c r="M332" s="73">
        <f t="shared" si="42"/>
        <v>0</v>
      </c>
      <c r="N332" s="73">
        <f t="shared" si="43"/>
        <v>0</v>
      </c>
      <c r="O332" s="73">
        <f t="shared" si="44"/>
        <v>0</v>
      </c>
      <c r="P332" s="73">
        <f t="shared" si="45"/>
        <v>0</v>
      </c>
      <c r="Q332" s="73"/>
      <c r="R332" s="73">
        <v>0</v>
      </c>
      <c r="S332" s="75">
        <f t="shared" si="47"/>
        <v>0</v>
      </c>
      <c r="T332" s="77">
        <v>0</v>
      </c>
      <c r="U332" s="66">
        <v>40281</v>
      </c>
      <c r="V332" s="79"/>
      <c r="W332" s="66" t="s">
        <v>1585</v>
      </c>
      <c r="X332" s="24" t="s">
        <v>1586</v>
      </c>
      <c r="Y332" s="62"/>
      <c r="Z332" s="177" t="s">
        <v>894</v>
      </c>
      <c r="AA332" s="80" t="s">
        <v>2248</v>
      </c>
      <c r="AB332" s="3"/>
      <c r="AC332" s="4"/>
      <c r="AD332" s="5"/>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6"/>
      <c r="CE332" s="7"/>
      <c r="CF332" s="6"/>
      <c r="CG332" s="7"/>
      <c r="CH332" s="6"/>
      <c r="CI332" s="7"/>
      <c r="CJ332" s="8">
        <f t="shared" si="46"/>
        <v>0</v>
      </c>
      <c r="CK332" s="9"/>
      <c r="CL332" s="10"/>
      <c r="CM332" s="11"/>
      <c r="CN332" s="12"/>
      <c r="CO332" s="28"/>
      <c r="CP332" s="12"/>
      <c r="CQ332" s="9"/>
      <c r="CR332" s="10"/>
      <c r="CS332" s="68"/>
      <c r="EC332" s="352" t="str">
        <f t="shared" si="41"/>
        <v>ANTIOQUIA_ARBOLETES</v>
      </c>
      <c r="ED332" s="353"/>
      <c r="EE332" s="341" t="s">
        <v>3120</v>
      </c>
      <c r="EF332" s="349" t="s">
        <v>4563</v>
      </c>
      <c r="EG332" s="341" t="s">
        <v>3522</v>
      </c>
      <c r="EH332" s="341" t="s">
        <v>4661</v>
      </c>
      <c r="EI332" s="341" t="str">
        <f t="shared" si="40"/>
        <v>Boyaca_Soraca</v>
      </c>
    </row>
    <row r="333" spans="1:139" ht="25.5">
      <c r="A333" s="228">
        <v>40273</v>
      </c>
      <c r="B333" s="205" t="s">
        <v>1192</v>
      </c>
      <c r="C333" s="205" t="s">
        <v>105</v>
      </c>
      <c r="D333" s="207" t="s">
        <v>1878</v>
      </c>
      <c r="E333" s="323" t="s">
        <v>3541</v>
      </c>
      <c r="F333" s="323"/>
      <c r="G333" s="204"/>
      <c r="H333" s="151"/>
      <c r="I333" s="151"/>
      <c r="J333" s="151">
        <v>5</v>
      </c>
      <c r="K333" s="151">
        <v>1</v>
      </c>
      <c r="L333" s="1"/>
      <c r="M333" s="73">
        <f t="shared" si="42"/>
        <v>0</v>
      </c>
      <c r="N333" s="73">
        <f t="shared" si="43"/>
        <v>0</v>
      </c>
      <c r="O333" s="73">
        <f t="shared" si="44"/>
        <v>0</v>
      </c>
      <c r="P333" s="73">
        <f t="shared" si="45"/>
        <v>0</v>
      </c>
      <c r="Q333" s="73"/>
      <c r="R333" s="73">
        <v>0</v>
      </c>
      <c r="S333" s="75">
        <f t="shared" si="47"/>
        <v>0</v>
      </c>
      <c r="T333" s="77">
        <v>0</v>
      </c>
      <c r="U333" s="66">
        <v>40589</v>
      </c>
      <c r="V333" s="79"/>
      <c r="W333" s="66" t="s">
        <v>1585</v>
      </c>
      <c r="X333" s="24" t="s">
        <v>1586</v>
      </c>
      <c r="Y333" s="62"/>
      <c r="Z333" s="169" t="s">
        <v>894</v>
      </c>
      <c r="AA333" s="166" t="s">
        <v>95</v>
      </c>
      <c r="AB333" s="152"/>
      <c r="AC333" s="153"/>
      <c r="AD333" s="154"/>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c r="BO333" s="153"/>
      <c r="BP333" s="153"/>
      <c r="BQ333" s="153"/>
      <c r="BR333" s="153"/>
      <c r="BS333" s="153"/>
      <c r="BT333" s="153"/>
      <c r="BU333" s="153"/>
      <c r="BV333" s="153"/>
      <c r="BW333" s="153"/>
      <c r="BX333" s="153"/>
      <c r="BY333" s="153"/>
      <c r="BZ333" s="153"/>
      <c r="CA333" s="153"/>
      <c r="CB333" s="153"/>
      <c r="CC333" s="153"/>
      <c r="CD333" s="155"/>
      <c r="CE333" s="156"/>
      <c r="CF333" s="155"/>
      <c r="CG333" s="156"/>
      <c r="CH333" s="155"/>
      <c r="CI333" s="156"/>
      <c r="CJ333" s="157">
        <f t="shared" si="46"/>
        <v>0</v>
      </c>
      <c r="CK333" s="158"/>
      <c r="CL333" s="159"/>
      <c r="CM333" s="160"/>
      <c r="CN333" s="161"/>
      <c r="CO333" s="162"/>
      <c r="CP333" s="161"/>
      <c r="CQ333" s="158"/>
      <c r="CR333" s="159"/>
      <c r="CS333" s="68"/>
      <c r="CT333" s="163"/>
      <c r="EC333" s="352" t="str">
        <f t="shared" si="41"/>
        <v>BOYACA_VIRACACHA</v>
      </c>
      <c r="ED333" s="353"/>
      <c r="EE333" s="341" t="s">
        <v>3120</v>
      </c>
      <c r="EF333" s="349" t="s">
        <v>4563</v>
      </c>
      <c r="EG333" s="341" t="s">
        <v>3523</v>
      </c>
      <c r="EH333" s="341" t="s">
        <v>4662</v>
      </c>
      <c r="EI333" s="341" t="str">
        <f t="shared" si="40"/>
        <v>Boyaca_Susacon</v>
      </c>
    </row>
    <row r="334" spans="1:139" ht="25.5">
      <c r="A334" s="228">
        <v>40273</v>
      </c>
      <c r="B334" s="102" t="s">
        <v>1314</v>
      </c>
      <c r="C334" s="102" t="s">
        <v>646</v>
      </c>
      <c r="D334" s="206" t="s">
        <v>1923</v>
      </c>
      <c r="E334" s="320" t="s">
        <v>3593</v>
      </c>
      <c r="F334" s="320"/>
      <c r="G334" s="210"/>
      <c r="H334" s="71">
        <v>3</v>
      </c>
      <c r="I334" s="71"/>
      <c r="J334" s="71"/>
      <c r="K334" s="71"/>
      <c r="L334" s="1"/>
      <c r="M334" s="73">
        <f t="shared" si="42"/>
        <v>0</v>
      </c>
      <c r="N334" s="73">
        <f t="shared" si="43"/>
        <v>0</v>
      </c>
      <c r="O334" s="73">
        <f t="shared" si="44"/>
        <v>0</v>
      </c>
      <c r="P334" s="73">
        <f t="shared" si="45"/>
        <v>0</v>
      </c>
      <c r="Q334" s="73"/>
      <c r="R334" s="73">
        <v>0</v>
      </c>
      <c r="S334" s="75">
        <f t="shared" si="47"/>
        <v>0</v>
      </c>
      <c r="T334" s="77">
        <v>0</v>
      </c>
      <c r="U334" s="66">
        <v>40275</v>
      </c>
      <c r="V334" s="79"/>
      <c r="W334" s="66" t="s">
        <v>1585</v>
      </c>
      <c r="X334" s="24" t="s">
        <v>1586</v>
      </c>
      <c r="Y334" s="62"/>
      <c r="Z334" s="177" t="s">
        <v>894</v>
      </c>
      <c r="AA334" s="80" t="s">
        <v>1924</v>
      </c>
      <c r="AB334" s="3"/>
      <c r="AC334" s="4"/>
      <c r="AD334" s="5"/>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6"/>
      <c r="CE334" s="7"/>
      <c r="CF334" s="6"/>
      <c r="CG334" s="7"/>
      <c r="CH334" s="6"/>
      <c r="CI334" s="7"/>
      <c r="CJ334" s="8">
        <f t="shared" si="46"/>
        <v>0</v>
      </c>
      <c r="CK334" s="9"/>
      <c r="CL334" s="10"/>
      <c r="CM334" s="11"/>
      <c r="CN334" s="12"/>
      <c r="CO334" s="28"/>
      <c r="CP334" s="12"/>
      <c r="CQ334" s="9"/>
      <c r="CR334" s="10"/>
      <c r="CS334" s="68"/>
      <c r="EC334" s="352" t="str">
        <f t="shared" si="41"/>
        <v>CAUCA_CALDONO</v>
      </c>
      <c r="ED334" s="353"/>
      <c r="EE334" s="341" t="s">
        <v>3120</v>
      </c>
      <c r="EF334" s="349" t="s">
        <v>4563</v>
      </c>
      <c r="EG334" s="341" t="s">
        <v>3524</v>
      </c>
      <c r="EH334" s="341" t="s">
        <v>4663</v>
      </c>
      <c r="EI334" s="341" t="str">
        <f t="shared" si="40"/>
        <v>Boyaca_Sutamarchan</v>
      </c>
    </row>
    <row r="335" spans="1:139" ht="48">
      <c r="A335" s="228">
        <v>40273</v>
      </c>
      <c r="B335" s="102" t="s">
        <v>1314</v>
      </c>
      <c r="C335" s="102" t="s">
        <v>1600</v>
      </c>
      <c r="D335" s="206" t="s">
        <v>1201</v>
      </c>
      <c r="E335" s="320" t="s">
        <v>3609</v>
      </c>
      <c r="F335" s="320"/>
      <c r="G335" s="210"/>
      <c r="H335" s="71"/>
      <c r="I335" s="71"/>
      <c r="J335" s="71">
        <f>40*5</f>
        <v>200</v>
      </c>
      <c r="K335" s="71">
        <v>40</v>
      </c>
      <c r="L335" s="1">
        <v>40310</v>
      </c>
      <c r="M335" s="73">
        <f t="shared" si="42"/>
        <v>12280000</v>
      </c>
      <c r="N335" s="73">
        <f t="shared" si="43"/>
        <v>3400000</v>
      </c>
      <c r="O335" s="73">
        <f t="shared" si="44"/>
        <v>0</v>
      </c>
      <c r="P335" s="73">
        <f t="shared" si="45"/>
        <v>0</v>
      </c>
      <c r="Q335" s="73"/>
      <c r="R335" s="73">
        <v>0</v>
      </c>
      <c r="S335" s="75">
        <f t="shared" si="47"/>
        <v>15680000</v>
      </c>
      <c r="T335" s="77">
        <v>0</v>
      </c>
      <c r="U335" s="66">
        <v>40290</v>
      </c>
      <c r="V335" s="79">
        <v>96845</v>
      </c>
      <c r="W335" s="66" t="s">
        <v>1606</v>
      </c>
      <c r="X335" s="24" t="s">
        <v>1607</v>
      </c>
      <c r="Y335" s="62">
        <v>115</v>
      </c>
      <c r="Z335" s="177" t="s">
        <v>2580</v>
      </c>
      <c r="AA335" s="80" t="s">
        <v>925</v>
      </c>
      <c r="AB335" s="3"/>
      <c r="AC335" s="4"/>
      <c r="AD335" s="5"/>
      <c r="AE335" s="4"/>
      <c r="AF335" s="4"/>
      <c r="AG335" s="4"/>
      <c r="AH335" s="4"/>
      <c r="AI335" s="4"/>
      <c r="AJ335" s="4"/>
      <c r="AK335" s="4"/>
      <c r="AL335" s="4"/>
      <c r="AM335" s="4"/>
      <c r="AN335" s="4"/>
      <c r="AO335" s="4"/>
      <c r="AP335" s="4">
        <v>120</v>
      </c>
      <c r="AQ335" s="4">
        <f>120*56000</f>
        <v>6720000</v>
      </c>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v>120</v>
      </c>
      <c r="BY335" s="4">
        <f>120*21500</f>
        <v>2580000</v>
      </c>
      <c r="BZ335" s="4"/>
      <c r="CA335" s="4"/>
      <c r="CB335" s="4"/>
      <c r="CC335" s="4"/>
      <c r="CD335" s="6">
        <v>40</v>
      </c>
      <c r="CE335" s="7">
        <f>40*38500</f>
        <v>1540000</v>
      </c>
      <c r="CF335" s="6">
        <v>40</v>
      </c>
      <c r="CG335" s="7">
        <f>40*36000</f>
        <v>1440000</v>
      </c>
      <c r="CH335" s="6"/>
      <c r="CI335" s="7"/>
      <c r="CJ335" s="8">
        <f t="shared" si="46"/>
        <v>12280000</v>
      </c>
      <c r="CK335" s="9"/>
      <c r="CL335" s="10"/>
      <c r="CM335" s="11">
        <v>40</v>
      </c>
      <c r="CN335" s="12">
        <f>40*85000</f>
        <v>3400000</v>
      </c>
      <c r="CO335" s="28"/>
      <c r="CP335" s="12"/>
      <c r="CQ335" s="9"/>
      <c r="CR335" s="10"/>
      <c r="CS335" s="68"/>
      <c r="EC335" s="352" t="str">
        <f t="shared" si="41"/>
        <v>CAUCA_PAEZ</v>
      </c>
      <c r="ED335" s="353"/>
      <c r="EE335" s="353" t="s">
        <v>3120</v>
      </c>
      <c r="EF335" s="349" t="s">
        <v>4563</v>
      </c>
      <c r="EG335" s="353" t="s">
        <v>3525</v>
      </c>
      <c r="EH335" s="353" t="s">
        <v>4664</v>
      </c>
      <c r="EI335" s="353" t="str">
        <f t="shared" si="40"/>
        <v>Boyaca_Sutatenza</v>
      </c>
    </row>
    <row r="336" spans="1:139" ht="60">
      <c r="A336" s="228">
        <v>40273</v>
      </c>
      <c r="B336" s="102" t="s">
        <v>1996</v>
      </c>
      <c r="C336" s="102" t="s">
        <v>3154</v>
      </c>
      <c r="D336" s="206" t="s">
        <v>1201</v>
      </c>
      <c r="E336" s="320" t="s">
        <v>3806</v>
      </c>
      <c r="F336" s="320"/>
      <c r="G336" s="210"/>
      <c r="H336" s="71"/>
      <c r="I336" s="71"/>
      <c r="J336" s="71"/>
      <c r="K336" s="71"/>
      <c r="L336" s="1">
        <v>40284</v>
      </c>
      <c r="M336" s="73">
        <f t="shared" si="42"/>
        <v>0</v>
      </c>
      <c r="N336" s="73">
        <f t="shared" si="43"/>
        <v>0</v>
      </c>
      <c r="O336" s="73">
        <f t="shared" si="44"/>
        <v>0</v>
      </c>
      <c r="P336" s="73">
        <f t="shared" si="45"/>
        <v>0</v>
      </c>
      <c r="Q336" s="73"/>
      <c r="R336" s="73">
        <v>72000000</v>
      </c>
      <c r="S336" s="75">
        <f t="shared" si="47"/>
        <v>72000000</v>
      </c>
      <c r="T336" s="77">
        <v>0</v>
      </c>
      <c r="U336" s="66">
        <v>40280</v>
      </c>
      <c r="V336" s="79">
        <v>96561</v>
      </c>
      <c r="W336" s="66" t="s">
        <v>1606</v>
      </c>
      <c r="X336" s="24" t="s">
        <v>1607</v>
      </c>
      <c r="Y336" s="62"/>
      <c r="Z336" s="177" t="s">
        <v>1324</v>
      </c>
      <c r="AA336" s="92" t="s">
        <v>2300</v>
      </c>
      <c r="AB336" s="3"/>
      <c r="AC336" s="4"/>
      <c r="AD336" s="5"/>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6"/>
      <c r="CE336" s="7"/>
      <c r="CF336" s="6"/>
      <c r="CG336" s="7"/>
      <c r="CH336" s="6"/>
      <c r="CI336" s="7"/>
      <c r="CJ336" s="8">
        <f t="shared" si="46"/>
        <v>0</v>
      </c>
      <c r="CK336" s="9"/>
      <c r="CL336" s="10"/>
      <c r="CM336" s="11"/>
      <c r="CN336" s="12"/>
      <c r="CO336" s="28"/>
      <c r="CP336" s="12"/>
      <c r="CQ336" s="9"/>
      <c r="CR336" s="10"/>
      <c r="CS336" s="68">
        <v>2</v>
      </c>
      <c r="EC336" s="344" t="str">
        <f t="shared" si="41"/>
        <v>CHOCO_EL LITORAL DEL SAN JUAN</v>
      </c>
      <c r="ED336" s="341"/>
      <c r="EE336" s="353" t="s">
        <v>3120</v>
      </c>
      <c r="EF336" s="349" t="s">
        <v>4563</v>
      </c>
      <c r="EG336" s="353" t="s">
        <v>3526</v>
      </c>
      <c r="EH336" s="353" t="s">
        <v>4665</v>
      </c>
      <c r="EI336" s="353" t="str">
        <f t="shared" si="40"/>
        <v>Boyaca_Tasco</v>
      </c>
    </row>
    <row r="337" spans="1:139" ht="38.25">
      <c r="A337" s="228">
        <v>40273</v>
      </c>
      <c r="B337" s="102" t="s">
        <v>4321</v>
      </c>
      <c r="C337" s="102" t="s">
        <v>961</v>
      </c>
      <c r="D337" s="206" t="s">
        <v>2606</v>
      </c>
      <c r="E337" s="320" t="s">
        <v>3872</v>
      </c>
      <c r="F337" s="320"/>
      <c r="G337" s="210"/>
      <c r="H337" s="71"/>
      <c r="I337" s="71"/>
      <c r="J337" s="71">
        <f>200*5</f>
        <v>1000</v>
      </c>
      <c r="K337" s="71">
        <v>200</v>
      </c>
      <c r="L337" s="1">
        <v>40358</v>
      </c>
      <c r="M337" s="73">
        <f t="shared" si="42"/>
        <v>0</v>
      </c>
      <c r="N337" s="73">
        <f t="shared" si="43"/>
        <v>0</v>
      </c>
      <c r="O337" s="73">
        <f t="shared" si="44"/>
        <v>41760000</v>
      </c>
      <c r="P337" s="73">
        <f t="shared" si="45"/>
        <v>0</v>
      </c>
      <c r="Q337" s="73"/>
      <c r="R337" s="73">
        <v>0</v>
      </c>
      <c r="S337" s="75">
        <f t="shared" si="47"/>
        <v>41760000</v>
      </c>
      <c r="T337" s="77">
        <v>0</v>
      </c>
      <c r="U337" s="66">
        <v>40303</v>
      </c>
      <c r="V337" s="79">
        <v>97252</v>
      </c>
      <c r="W337" s="66" t="s">
        <v>1606</v>
      </c>
      <c r="X337" s="24" t="s">
        <v>1607</v>
      </c>
      <c r="Y337" s="62">
        <v>183</v>
      </c>
      <c r="Z337" s="177" t="s">
        <v>1696</v>
      </c>
      <c r="AA337" s="80" t="s">
        <v>1992</v>
      </c>
      <c r="AB337" s="3"/>
      <c r="AC337" s="4"/>
      <c r="AD337" s="5"/>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6"/>
      <c r="CE337" s="7"/>
      <c r="CF337" s="6"/>
      <c r="CG337" s="7"/>
      <c r="CH337" s="6"/>
      <c r="CI337" s="7"/>
      <c r="CJ337" s="8">
        <f t="shared" si="46"/>
        <v>0</v>
      </c>
      <c r="CK337" s="9"/>
      <c r="CL337" s="10"/>
      <c r="CM337" s="11"/>
      <c r="CN337" s="12"/>
      <c r="CO337" s="28"/>
      <c r="CP337" s="12"/>
      <c r="CQ337" s="9">
        <v>2000</v>
      </c>
      <c r="CR337" s="10">
        <f>2000*18792+8000*522</f>
        <v>41760000</v>
      </c>
      <c r="CS337" s="68"/>
      <c r="EC337" s="344" t="str">
        <f t="shared" si="41"/>
        <v>LA GUAJIRA_URIBIA</v>
      </c>
      <c r="ED337" s="341"/>
      <c r="EE337" s="353" t="s">
        <v>3120</v>
      </c>
      <c r="EF337" s="349" t="s">
        <v>4563</v>
      </c>
      <c r="EG337" s="353" t="s">
        <v>3527</v>
      </c>
      <c r="EH337" s="353" t="s">
        <v>4666</v>
      </c>
      <c r="EI337" s="353" t="str">
        <f t="shared" si="40"/>
        <v>Boyaca_Tenza</v>
      </c>
    </row>
    <row r="338" spans="1:139" ht="48">
      <c r="A338" s="228">
        <v>40273</v>
      </c>
      <c r="B338" s="102" t="s">
        <v>1611</v>
      </c>
      <c r="C338" s="218" t="s">
        <v>1611</v>
      </c>
      <c r="D338" s="206" t="s">
        <v>2389</v>
      </c>
      <c r="E338" s="320" t="e">
        <v>#N/A</v>
      </c>
      <c r="F338" s="320"/>
      <c r="G338" s="210"/>
      <c r="H338" s="71"/>
      <c r="I338" s="71"/>
      <c r="J338" s="71"/>
      <c r="K338" s="71"/>
      <c r="L338" s="1">
        <v>40274</v>
      </c>
      <c r="M338" s="73">
        <f t="shared" si="42"/>
        <v>0</v>
      </c>
      <c r="N338" s="73">
        <f t="shared" si="43"/>
        <v>0</v>
      </c>
      <c r="O338" s="73">
        <f t="shared" si="44"/>
        <v>0</v>
      </c>
      <c r="P338" s="73">
        <f t="shared" si="45"/>
        <v>0</v>
      </c>
      <c r="Q338" s="73">
        <f>2493670+1896600+57180+137400+93360+27000+180000+74448</f>
        <v>4959658</v>
      </c>
      <c r="R338" s="73">
        <v>0</v>
      </c>
      <c r="S338" s="75">
        <f t="shared" si="47"/>
        <v>4959658</v>
      </c>
      <c r="T338" s="77">
        <v>0</v>
      </c>
      <c r="U338" s="66">
        <v>40274</v>
      </c>
      <c r="V338" s="79">
        <v>96367</v>
      </c>
      <c r="W338" s="66" t="s">
        <v>1606</v>
      </c>
      <c r="X338" s="24" t="s">
        <v>1607</v>
      </c>
      <c r="Y338" s="62">
        <v>61</v>
      </c>
      <c r="Z338" s="177" t="s">
        <v>1608</v>
      </c>
      <c r="AA338" s="80" t="s">
        <v>2689</v>
      </c>
      <c r="AB338" s="3"/>
      <c r="AC338" s="4"/>
      <c r="AD338" s="5"/>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6"/>
      <c r="CE338" s="7"/>
      <c r="CF338" s="6"/>
      <c r="CG338" s="7"/>
      <c r="CH338" s="6"/>
      <c r="CI338" s="7"/>
      <c r="CJ338" s="8">
        <f t="shared" si="46"/>
        <v>0</v>
      </c>
      <c r="CK338" s="9"/>
      <c r="CL338" s="10"/>
      <c r="CM338" s="11"/>
      <c r="CN338" s="12"/>
      <c r="CO338" s="28"/>
      <c r="CP338" s="12"/>
      <c r="CQ338" s="9"/>
      <c r="CR338" s="10"/>
      <c r="CS338" s="68"/>
      <c r="EC338" s="344" t="str">
        <f t="shared" si="41"/>
        <v>NACION_NACION</v>
      </c>
      <c r="ED338" s="341"/>
      <c r="EE338" s="353" t="s">
        <v>3120</v>
      </c>
      <c r="EF338" s="349" t="s">
        <v>4563</v>
      </c>
      <c r="EG338" s="353" t="s">
        <v>3528</v>
      </c>
      <c r="EH338" s="353" t="s">
        <v>4667</v>
      </c>
      <c r="EI338" s="353" t="str">
        <f t="shared" si="40"/>
        <v>Boyaca_Tibana</v>
      </c>
    </row>
    <row r="339" spans="1:139" ht="51">
      <c r="A339" s="228">
        <v>40273</v>
      </c>
      <c r="B339" s="102" t="s">
        <v>965</v>
      </c>
      <c r="C339" s="102" t="s">
        <v>2355</v>
      </c>
      <c r="D339" s="206" t="s">
        <v>1201</v>
      </c>
      <c r="E339" s="320" t="s">
        <v>4029</v>
      </c>
      <c r="F339" s="320"/>
      <c r="G339" s="210"/>
      <c r="H339" s="71"/>
      <c r="I339" s="71"/>
      <c r="J339" s="71">
        <v>30</v>
      </c>
      <c r="K339" s="71">
        <v>6</v>
      </c>
      <c r="L339" s="1"/>
      <c r="M339" s="73">
        <f t="shared" si="42"/>
        <v>0</v>
      </c>
      <c r="N339" s="73">
        <f t="shared" si="43"/>
        <v>0</v>
      </c>
      <c r="O339" s="73">
        <f t="shared" si="44"/>
        <v>0</v>
      </c>
      <c r="P339" s="73">
        <f t="shared" si="45"/>
        <v>0</v>
      </c>
      <c r="Q339" s="73"/>
      <c r="R339" s="73">
        <v>0</v>
      </c>
      <c r="S339" s="75">
        <f t="shared" si="47"/>
        <v>0</v>
      </c>
      <c r="T339" s="77">
        <v>0</v>
      </c>
      <c r="U339" s="66">
        <v>40283</v>
      </c>
      <c r="V339" s="79"/>
      <c r="W339" s="66" t="s">
        <v>1585</v>
      </c>
      <c r="X339" s="24" t="s">
        <v>1586</v>
      </c>
      <c r="Y339" s="62"/>
      <c r="Z339" s="177" t="s">
        <v>894</v>
      </c>
      <c r="AA339" s="80" t="s">
        <v>2411</v>
      </c>
      <c r="AB339" s="3"/>
      <c r="AC339" s="4"/>
      <c r="AD339" s="5"/>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6"/>
      <c r="CE339" s="7"/>
      <c r="CF339" s="6"/>
      <c r="CG339" s="7"/>
      <c r="CH339" s="6"/>
      <c r="CI339" s="7"/>
      <c r="CJ339" s="8">
        <f t="shared" si="46"/>
        <v>0</v>
      </c>
      <c r="CK339" s="9"/>
      <c r="CL339" s="10"/>
      <c r="CM339" s="11"/>
      <c r="CN339" s="12"/>
      <c r="CO339" s="28"/>
      <c r="CP339" s="12"/>
      <c r="CQ339" s="9"/>
      <c r="CR339" s="10"/>
      <c r="CS339" s="68"/>
      <c r="EC339" s="344" t="str">
        <f t="shared" si="41"/>
        <v>NORTE DE SANTANDER_SAN CAYETANO</v>
      </c>
      <c r="ED339" s="341"/>
      <c r="EE339" s="353" t="s">
        <v>3120</v>
      </c>
      <c r="EF339" s="349" t="s">
        <v>4563</v>
      </c>
      <c r="EG339" s="353" t="s">
        <v>3529</v>
      </c>
      <c r="EH339" s="353" t="s">
        <v>4668</v>
      </c>
      <c r="EI339" s="353" t="str">
        <f t="shared" si="40"/>
        <v>Boyaca_Tibasosa</v>
      </c>
    </row>
    <row r="340" spans="1:139" ht="48">
      <c r="A340" s="228">
        <v>40273</v>
      </c>
      <c r="B340" s="102" t="s">
        <v>1943</v>
      </c>
      <c r="C340" s="102" t="s">
        <v>1967</v>
      </c>
      <c r="D340" s="206" t="s">
        <v>1244</v>
      </c>
      <c r="E340" s="320" t="s">
        <v>4157</v>
      </c>
      <c r="F340" s="320"/>
      <c r="G340" s="210"/>
      <c r="H340" s="71"/>
      <c r="I340" s="71"/>
      <c r="J340" s="71"/>
      <c r="K340" s="71"/>
      <c r="L340" s="1">
        <v>40345</v>
      </c>
      <c r="M340" s="73">
        <f t="shared" si="42"/>
        <v>0</v>
      </c>
      <c r="N340" s="73">
        <f t="shared" si="43"/>
        <v>0</v>
      </c>
      <c r="O340" s="73">
        <f t="shared" si="44"/>
        <v>0</v>
      </c>
      <c r="P340" s="73">
        <f t="shared" si="45"/>
        <v>0</v>
      </c>
      <c r="Q340" s="73"/>
      <c r="R340" s="73">
        <v>268762597</v>
      </c>
      <c r="S340" s="75">
        <f t="shared" si="47"/>
        <v>268762597</v>
      </c>
      <c r="T340" s="77">
        <v>0</v>
      </c>
      <c r="U340" s="66">
        <v>40290</v>
      </c>
      <c r="V340" s="79">
        <v>98808</v>
      </c>
      <c r="W340" s="66" t="s">
        <v>1606</v>
      </c>
      <c r="X340" s="24" t="s">
        <v>1607</v>
      </c>
      <c r="Y340" s="62">
        <v>308</v>
      </c>
      <c r="Z340" s="177" t="s">
        <v>592</v>
      </c>
      <c r="AA340" s="92" t="s">
        <v>593</v>
      </c>
      <c r="AB340" s="3"/>
      <c r="AC340" s="4"/>
      <c r="AD340" s="5"/>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6"/>
      <c r="CE340" s="7"/>
      <c r="CF340" s="6"/>
      <c r="CG340" s="7"/>
      <c r="CH340" s="6"/>
      <c r="CI340" s="7"/>
      <c r="CJ340" s="8">
        <f t="shared" si="46"/>
        <v>0</v>
      </c>
      <c r="CK340" s="9"/>
      <c r="CL340" s="10"/>
      <c r="CM340" s="11"/>
      <c r="CN340" s="12"/>
      <c r="CO340" s="28"/>
      <c r="CP340" s="12"/>
      <c r="CQ340" s="9"/>
      <c r="CR340" s="10"/>
      <c r="CS340" s="68">
        <v>4</v>
      </c>
      <c r="EC340" s="344" t="str">
        <f t="shared" si="41"/>
        <v>SUCRE_CHALAN</v>
      </c>
      <c r="ED340" s="341"/>
      <c r="EE340" s="341" t="s">
        <v>3120</v>
      </c>
      <c r="EF340" s="349" t="s">
        <v>4563</v>
      </c>
      <c r="EG340" s="341" t="s">
        <v>3530</v>
      </c>
      <c r="EH340" s="341" t="s">
        <v>4669</v>
      </c>
      <c r="EI340" s="341" t="str">
        <f t="shared" si="40"/>
        <v>Boyaca_Tinjaca</v>
      </c>
    </row>
    <row r="341" spans="1:139" ht="45">
      <c r="A341" s="228">
        <v>40273</v>
      </c>
      <c r="B341" s="102" t="s">
        <v>1943</v>
      </c>
      <c r="C341" s="102" t="s">
        <v>1966</v>
      </c>
      <c r="D341" s="206" t="s">
        <v>2606</v>
      </c>
      <c r="E341" s="320" t="s">
        <v>4159</v>
      </c>
      <c r="F341" s="320"/>
      <c r="G341" s="210"/>
      <c r="H341" s="71"/>
      <c r="I341" s="71"/>
      <c r="J341" s="71">
        <f>17*5</f>
        <v>85</v>
      </c>
      <c r="K341" s="71">
        <v>17</v>
      </c>
      <c r="L341" s="1">
        <v>40368</v>
      </c>
      <c r="M341" s="73">
        <f t="shared" si="42"/>
        <v>0</v>
      </c>
      <c r="N341" s="73">
        <f t="shared" si="43"/>
        <v>0</v>
      </c>
      <c r="O341" s="73">
        <f t="shared" si="44"/>
        <v>6022000</v>
      </c>
      <c r="P341" s="73">
        <f t="shared" si="45"/>
        <v>0</v>
      </c>
      <c r="Q341" s="73"/>
      <c r="R341" s="73">
        <v>0</v>
      </c>
      <c r="S341" s="75">
        <f t="shared" si="47"/>
        <v>6022000</v>
      </c>
      <c r="T341" s="77">
        <v>0</v>
      </c>
      <c r="U341" s="66">
        <v>40330</v>
      </c>
      <c r="V341" s="79">
        <v>97922</v>
      </c>
      <c r="W341" s="66" t="s">
        <v>1606</v>
      </c>
      <c r="X341" s="24" t="s">
        <v>1607</v>
      </c>
      <c r="Y341" s="62">
        <v>194</v>
      </c>
      <c r="Z341" s="177" t="s">
        <v>2580</v>
      </c>
      <c r="AA341" s="80" t="s">
        <v>647</v>
      </c>
      <c r="AB341" s="3"/>
      <c r="AC341" s="4"/>
      <c r="AD341" s="5"/>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6"/>
      <c r="CE341" s="7"/>
      <c r="CF341" s="6"/>
      <c r="CG341" s="7"/>
      <c r="CH341" s="6"/>
      <c r="CI341" s="7"/>
      <c r="CJ341" s="8">
        <f t="shared" si="46"/>
        <v>0</v>
      </c>
      <c r="CK341" s="9"/>
      <c r="CL341" s="10"/>
      <c r="CM341" s="11"/>
      <c r="CN341" s="12"/>
      <c r="CO341" s="28"/>
      <c r="CP341" s="12"/>
      <c r="CQ341" s="9">
        <v>250</v>
      </c>
      <c r="CR341" s="10">
        <f>250*22000+1500*348</f>
        <v>6022000</v>
      </c>
      <c r="CS341" s="68"/>
      <c r="EC341" s="344" t="str">
        <f t="shared" si="41"/>
        <v>SUCRE_GALERAS</v>
      </c>
      <c r="ED341" s="341"/>
      <c r="EE341" s="341" t="s">
        <v>3120</v>
      </c>
      <c r="EF341" s="349" t="s">
        <v>4563</v>
      </c>
      <c r="EG341" s="341" t="s">
        <v>3531</v>
      </c>
      <c r="EH341" s="341" t="s">
        <v>4670</v>
      </c>
      <c r="EI341" s="341" t="str">
        <f t="shared" si="40"/>
        <v>Boyaca_Tipacoque</v>
      </c>
    </row>
    <row r="342" spans="1:139" ht="38.25">
      <c r="A342" s="228">
        <v>40274</v>
      </c>
      <c r="B342" s="102" t="s">
        <v>1972</v>
      </c>
      <c r="C342" s="102" t="s">
        <v>733</v>
      </c>
      <c r="D342" s="206" t="s">
        <v>1201</v>
      </c>
      <c r="E342" s="320" t="s">
        <v>3306</v>
      </c>
      <c r="F342" s="320"/>
      <c r="G342" s="210"/>
      <c r="H342" s="71"/>
      <c r="I342" s="71"/>
      <c r="J342" s="71">
        <v>829</v>
      </c>
      <c r="K342" s="71">
        <v>271</v>
      </c>
      <c r="L342" s="1"/>
      <c r="M342" s="73">
        <f t="shared" si="42"/>
        <v>0</v>
      </c>
      <c r="N342" s="73">
        <f t="shared" si="43"/>
        <v>0</v>
      </c>
      <c r="O342" s="73">
        <f t="shared" si="44"/>
        <v>0</v>
      </c>
      <c r="P342" s="73">
        <f t="shared" si="45"/>
        <v>0</v>
      </c>
      <c r="Q342" s="73"/>
      <c r="R342" s="73">
        <v>0</v>
      </c>
      <c r="S342" s="75">
        <f t="shared" si="47"/>
        <v>0</v>
      </c>
      <c r="T342" s="77">
        <v>0</v>
      </c>
      <c r="U342" s="66">
        <v>40240</v>
      </c>
      <c r="V342" s="79"/>
      <c r="W342" s="66" t="s">
        <v>1585</v>
      </c>
      <c r="X342" s="24" t="s">
        <v>1586</v>
      </c>
      <c r="Y342" s="62"/>
      <c r="Z342" s="177" t="s">
        <v>894</v>
      </c>
      <c r="AA342" s="80" t="s">
        <v>631</v>
      </c>
      <c r="AB342" s="3"/>
      <c r="AC342" s="4"/>
      <c r="AD342" s="5"/>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6"/>
      <c r="CE342" s="7"/>
      <c r="CF342" s="6"/>
      <c r="CG342" s="7"/>
      <c r="CH342" s="6"/>
      <c r="CI342" s="7"/>
      <c r="CJ342" s="8">
        <f t="shared" si="46"/>
        <v>0</v>
      </c>
      <c r="CK342" s="9"/>
      <c r="CL342" s="10"/>
      <c r="CM342" s="11"/>
      <c r="CN342" s="12"/>
      <c r="CO342" s="28"/>
      <c r="CP342" s="12"/>
      <c r="CQ342" s="9"/>
      <c r="CR342" s="10"/>
      <c r="CS342" s="68"/>
      <c r="EC342" s="344" t="str">
        <f t="shared" si="41"/>
        <v>ANTIOQUIA_PUERTO BERRIO</v>
      </c>
      <c r="ED342" s="341"/>
      <c r="EE342" s="341" t="s">
        <v>3120</v>
      </c>
      <c r="EF342" s="349" t="s">
        <v>4563</v>
      </c>
      <c r="EG342" s="341" t="s">
        <v>3532</v>
      </c>
      <c r="EH342" s="341" t="s">
        <v>4671</v>
      </c>
      <c r="EI342" s="341" t="str">
        <f t="shared" si="40"/>
        <v>Boyaca_Toca</v>
      </c>
    </row>
    <row r="343" spans="1:139" ht="38.25">
      <c r="A343" s="228">
        <v>40274</v>
      </c>
      <c r="B343" s="102" t="s">
        <v>1604</v>
      </c>
      <c r="C343" s="102" t="s">
        <v>2355</v>
      </c>
      <c r="D343" s="206" t="s">
        <v>1201</v>
      </c>
      <c r="E343" s="320" t="s">
        <v>3756</v>
      </c>
      <c r="F343" s="320"/>
      <c r="G343" s="210"/>
      <c r="H343" s="71"/>
      <c r="I343" s="71"/>
      <c r="J343" s="71"/>
      <c r="K343" s="71"/>
      <c r="L343" s="1"/>
      <c r="M343" s="73">
        <f t="shared" si="42"/>
        <v>0</v>
      </c>
      <c r="N343" s="73">
        <f t="shared" si="43"/>
        <v>0</v>
      </c>
      <c r="O343" s="73">
        <f t="shared" si="44"/>
        <v>0</v>
      </c>
      <c r="P343" s="73">
        <f t="shared" si="45"/>
        <v>0</v>
      </c>
      <c r="Q343" s="73"/>
      <c r="R343" s="73">
        <v>0</v>
      </c>
      <c r="S343" s="75">
        <f t="shared" si="47"/>
        <v>0</v>
      </c>
      <c r="T343" s="77">
        <v>0</v>
      </c>
      <c r="U343" s="66">
        <v>40282</v>
      </c>
      <c r="V343" s="79"/>
      <c r="W343" s="66" t="s">
        <v>1585</v>
      </c>
      <c r="X343" s="24" t="s">
        <v>1586</v>
      </c>
      <c r="Y343" s="62"/>
      <c r="Z343" s="177" t="s">
        <v>894</v>
      </c>
      <c r="AA343" s="80" t="s">
        <v>2356</v>
      </c>
      <c r="AB343" s="3"/>
      <c r="AC343" s="4"/>
      <c r="AD343" s="5"/>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6"/>
      <c r="CE343" s="7"/>
      <c r="CF343" s="6"/>
      <c r="CG343" s="7"/>
      <c r="CH343" s="6"/>
      <c r="CI343" s="7"/>
      <c r="CJ343" s="8">
        <f t="shared" si="46"/>
        <v>0</v>
      </c>
      <c r="CK343" s="9"/>
      <c r="CL343" s="10"/>
      <c r="CM343" s="11"/>
      <c r="CN343" s="12"/>
      <c r="CO343" s="28"/>
      <c r="CP343" s="12"/>
      <c r="CQ343" s="9"/>
      <c r="CR343" s="10"/>
      <c r="CS343" s="68"/>
      <c r="EC343" s="344" t="str">
        <f t="shared" si="41"/>
        <v>CUNDINAMARCA_SAN CAYETANO</v>
      </c>
      <c r="ED343" s="341"/>
      <c r="EE343" s="341" t="s">
        <v>3120</v>
      </c>
      <c r="EF343" s="349" t="s">
        <v>4563</v>
      </c>
      <c r="EG343" s="341" t="s">
        <v>3533</v>
      </c>
      <c r="EH343" s="341" t="s">
        <v>4672</v>
      </c>
      <c r="EI343" s="341" t="str">
        <f t="shared" si="40"/>
        <v>Boyaca_Togui</v>
      </c>
    </row>
    <row r="344" spans="1:139" ht="38.25">
      <c r="A344" s="228">
        <v>40274</v>
      </c>
      <c r="B344" s="102" t="s">
        <v>1196</v>
      </c>
      <c r="C344" s="102" t="s">
        <v>3217</v>
      </c>
      <c r="D344" s="206" t="s">
        <v>1201</v>
      </c>
      <c r="E344" s="320" t="s">
        <v>4304</v>
      </c>
      <c r="F344" s="320"/>
      <c r="G344" s="210"/>
      <c r="H344" s="71"/>
      <c r="I344" s="71"/>
      <c r="J344" s="71">
        <v>120</v>
      </c>
      <c r="K344" s="71">
        <v>18</v>
      </c>
      <c r="L344" s="1"/>
      <c r="M344" s="73">
        <f t="shared" si="42"/>
        <v>0</v>
      </c>
      <c r="N344" s="73">
        <f t="shared" si="43"/>
        <v>0</v>
      </c>
      <c r="O344" s="73">
        <f t="shared" si="44"/>
        <v>0</v>
      </c>
      <c r="P344" s="73">
        <f t="shared" si="45"/>
        <v>0</v>
      </c>
      <c r="Q344" s="73"/>
      <c r="R344" s="73">
        <v>0</v>
      </c>
      <c r="S344" s="75">
        <f t="shared" si="47"/>
        <v>0</v>
      </c>
      <c r="T344" s="77">
        <v>0</v>
      </c>
      <c r="U344" s="66">
        <v>40276</v>
      </c>
      <c r="V344" s="79"/>
      <c r="W344" s="66" t="s">
        <v>1585</v>
      </c>
      <c r="X344" s="24" t="s">
        <v>1586</v>
      </c>
      <c r="Y344" s="62"/>
      <c r="Z344" s="177" t="s">
        <v>894</v>
      </c>
      <c r="AA344" s="80" t="s">
        <v>839</v>
      </c>
      <c r="AB344" s="3"/>
      <c r="AC344" s="4"/>
      <c r="AD344" s="5"/>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6"/>
      <c r="CE344" s="7"/>
      <c r="CF344" s="6"/>
      <c r="CG344" s="7"/>
      <c r="CH344" s="6"/>
      <c r="CI344" s="7"/>
      <c r="CJ344" s="8">
        <f t="shared" si="46"/>
        <v>0</v>
      </c>
      <c r="CK344" s="9"/>
      <c r="CL344" s="10"/>
      <c r="CM344" s="11"/>
      <c r="CN344" s="12"/>
      <c r="CO344" s="28"/>
      <c r="CP344" s="12"/>
      <c r="CQ344" s="9"/>
      <c r="CR344" s="10"/>
      <c r="CS344" s="68"/>
      <c r="EC344" s="344" t="str">
        <f t="shared" si="41"/>
        <v>PUTUMAYO_VILLAGARZON</v>
      </c>
      <c r="ED344" s="341"/>
      <c r="EE344" s="341" t="s">
        <v>3120</v>
      </c>
      <c r="EF344" s="349" t="s">
        <v>4563</v>
      </c>
      <c r="EG344" s="341" t="s">
        <v>3534</v>
      </c>
      <c r="EH344" s="341" t="s">
        <v>4673</v>
      </c>
      <c r="EI344" s="341" t="str">
        <f t="shared" si="40"/>
        <v>Boyaca_Topaga</v>
      </c>
    </row>
    <row r="345" spans="1:139" ht="84">
      <c r="A345" s="228">
        <v>40274</v>
      </c>
      <c r="B345" s="102" t="s">
        <v>2400</v>
      </c>
      <c r="C345" s="102" t="s">
        <v>3054</v>
      </c>
      <c r="D345" s="206" t="s">
        <v>2606</v>
      </c>
      <c r="E345" s="320" t="s">
        <v>4197</v>
      </c>
      <c r="F345" s="320"/>
      <c r="G345" s="210"/>
      <c r="H345" s="71"/>
      <c r="I345" s="71"/>
      <c r="J345" s="71">
        <v>125</v>
      </c>
      <c r="K345" s="71">
        <v>25</v>
      </c>
      <c r="L345" s="1"/>
      <c r="M345" s="73">
        <f t="shared" si="42"/>
        <v>0</v>
      </c>
      <c r="N345" s="73">
        <f t="shared" si="43"/>
        <v>0</v>
      </c>
      <c r="O345" s="73">
        <f t="shared" si="44"/>
        <v>0</v>
      </c>
      <c r="P345" s="73">
        <f t="shared" si="45"/>
        <v>0</v>
      </c>
      <c r="Q345" s="73"/>
      <c r="R345" s="73">
        <v>0</v>
      </c>
      <c r="S345" s="75">
        <f t="shared" si="47"/>
        <v>0</v>
      </c>
      <c r="T345" s="77">
        <v>0</v>
      </c>
      <c r="U345" s="66">
        <v>40275</v>
      </c>
      <c r="V345" s="79"/>
      <c r="W345" s="66" t="s">
        <v>1585</v>
      </c>
      <c r="X345" s="24" t="s">
        <v>1586</v>
      </c>
      <c r="Y345" s="62"/>
      <c r="Z345" s="177" t="s">
        <v>894</v>
      </c>
      <c r="AA345" s="80" t="s">
        <v>652</v>
      </c>
      <c r="AB345" s="3"/>
      <c r="AC345" s="4"/>
      <c r="AD345" s="5"/>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6"/>
      <c r="CE345" s="7"/>
      <c r="CF345" s="6"/>
      <c r="CG345" s="7"/>
      <c r="CH345" s="6"/>
      <c r="CI345" s="7"/>
      <c r="CJ345" s="8">
        <f t="shared" si="46"/>
        <v>0</v>
      </c>
      <c r="CK345" s="9"/>
      <c r="CL345" s="10"/>
      <c r="CM345" s="11"/>
      <c r="CN345" s="12"/>
      <c r="CO345" s="28"/>
      <c r="CP345" s="12"/>
      <c r="CQ345" s="9"/>
      <c r="CR345" s="10"/>
      <c r="CS345" s="68"/>
      <c r="EC345" s="344" t="str">
        <f t="shared" si="41"/>
        <v>TOLIMA_HERVEO</v>
      </c>
      <c r="ED345" s="341"/>
      <c r="EE345" s="341" t="s">
        <v>3120</v>
      </c>
      <c r="EF345" s="349" t="s">
        <v>4563</v>
      </c>
      <c r="EG345" s="341" t="s">
        <v>3535</v>
      </c>
      <c r="EH345" s="341" t="s">
        <v>4674</v>
      </c>
      <c r="EI345" s="341" t="str">
        <f t="shared" si="40"/>
        <v>Boyaca_Tota</v>
      </c>
    </row>
    <row r="346" spans="1:139" ht="38.25">
      <c r="A346" s="228">
        <v>40275</v>
      </c>
      <c r="B346" s="102" t="s">
        <v>1617</v>
      </c>
      <c r="C346" s="102" t="s">
        <v>1576</v>
      </c>
      <c r="D346" s="206" t="s">
        <v>1201</v>
      </c>
      <c r="E346" s="320" t="s">
        <v>4289</v>
      </c>
      <c r="F346" s="320"/>
      <c r="G346" s="210"/>
      <c r="H346" s="71"/>
      <c r="I346" s="71"/>
      <c r="J346" s="71">
        <v>100</v>
      </c>
      <c r="K346" s="71">
        <v>20</v>
      </c>
      <c r="L346" s="1"/>
      <c r="M346" s="73">
        <f t="shared" si="42"/>
        <v>0</v>
      </c>
      <c r="N346" s="73">
        <f t="shared" si="43"/>
        <v>0</v>
      </c>
      <c r="O346" s="73">
        <f t="shared" si="44"/>
        <v>0</v>
      </c>
      <c r="P346" s="73">
        <f t="shared" si="45"/>
        <v>0</v>
      </c>
      <c r="Q346" s="73"/>
      <c r="R346" s="73">
        <v>0</v>
      </c>
      <c r="S346" s="75">
        <f t="shared" si="47"/>
        <v>0</v>
      </c>
      <c r="T346" s="77">
        <v>0</v>
      </c>
      <c r="U346" s="66">
        <v>40277</v>
      </c>
      <c r="V346" s="79"/>
      <c r="W346" s="66" t="s">
        <v>1585</v>
      </c>
      <c r="X346" s="24" t="s">
        <v>1586</v>
      </c>
      <c r="Y346" s="62"/>
      <c r="Z346" s="177" t="s">
        <v>894</v>
      </c>
      <c r="AA346" s="80" t="s">
        <v>1577</v>
      </c>
      <c r="AB346" s="3"/>
      <c r="AC346" s="4"/>
      <c r="AD346" s="5"/>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6"/>
      <c r="CE346" s="7"/>
      <c r="CF346" s="6"/>
      <c r="CG346" s="7"/>
      <c r="CH346" s="6"/>
      <c r="CI346" s="7"/>
      <c r="CJ346" s="8">
        <f t="shared" si="46"/>
        <v>0</v>
      </c>
      <c r="CK346" s="9"/>
      <c r="CL346" s="10"/>
      <c r="CM346" s="11"/>
      <c r="CN346" s="12"/>
      <c r="CO346" s="28"/>
      <c r="CP346" s="12"/>
      <c r="CQ346" s="9"/>
      <c r="CR346" s="10"/>
      <c r="CS346" s="68"/>
      <c r="EC346" s="344" t="str">
        <f t="shared" si="41"/>
        <v>CASANARE_TAURAMENA</v>
      </c>
      <c r="ED346" s="341"/>
      <c r="EE346" s="341" t="s">
        <v>3120</v>
      </c>
      <c r="EF346" s="349" t="s">
        <v>4563</v>
      </c>
      <c r="EG346" s="341" t="s">
        <v>3536</v>
      </c>
      <c r="EH346" s="341" t="s">
        <v>4675</v>
      </c>
      <c r="EI346" s="341" t="str">
        <f t="shared" si="40"/>
        <v>Boyaca_Tunungua</v>
      </c>
    </row>
    <row r="347" spans="1:139" ht="36">
      <c r="A347" s="228">
        <v>40276</v>
      </c>
      <c r="B347" s="102" t="s">
        <v>1192</v>
      </c>
      <c r="C347" s="102" t="s">
        <v>1828</v>
      </c>
      <c r="D347" s="206" t="s">
        <v>1201</v>
      </c>
      <c r="E347" s="320" t="s">
        <v>3497</v>
      </c>
      <c r="F347" s="320"/>
      <c r="G347" s="210"/>
      <c r="H347" s="71"/>
      <c r="I347" s="71"/>
      <c r="J347" s="71">
        <v>25</v>
      </c>
      <c r="K347" s="71">
        <v>5</v>
      </c>
      <c r="L347" s="1"/>
      <c r="M347" s="73">
        <f t="shared" si="42"/>
        <v>0</v>
      </c>
      <c r="N347" s="73">
        <f t="shared" si="43"/>
        <v>0</v>
      </c>
      <c r="O347" s="73">
        <f t="shared" si="44"/>
        <v>0</v>
      </c>
      <c r="P347" s="73">
        <f t="shared" si="45"/>
        <v>0</v>
      </c>
      <c r="Q347" s="73"/>
      <c r="R347" s="73">
        <v>0</v>
      </c>
      <c r="S347" s="75">
        <f t="shared" si="47"/>
        <v>0</v>
      </c>
      <c r="T347" s="77">
        <v>0</v>
      </c>
      <c r="U347" s="66">
        <v>40277</v>
      </c>
      <c r="V347" s="79"/>
      <c r="W347" s="66" t="s">
        <v>1585</v>
      </c>
      <c r="X347" s="24" t="s">
        <v>1586</v>
      </c>
      <c r="Y347" s="62"/>
      <c r="Z347" s="177" t="s">
        <v>894</v>
      </c>
      <c r="AA347" s="80" t="s">
        <v>1210</v>
      </c>
      <c r="AB347" s="3"/>
      <c r="AC347" s="4"/>
      <c r="AD347" s="5"/>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6"/>
      <c r="CE347" s="7"/>
      <c r="CF347" s="6"/>
      <c r="CG347" s="7"/>
      <c r="CH347" s="6"/>
      <c r="CI347" s="7"/>
      <c r="CJ347" s="8">
        <f t="shared" si="46"/>
        <v>0</v>
      </c>
      <c r="CK347" s="9"/>
      <c r="CL347" s="10"/>
      <c r="CM347" s="11"/>
      <c r="CN347" s="12"/>
      <c r="CO347" s="28"/>
      <c r="CP347" s="12"/>
      <c r="CQ347" s="9"/>
      <c r="CR347" s="10"/>
      <c r="CS347" s="68"/>
      <c r="EC347" s="344" t="str">
        <f t="shared" si="41"/>
        <v>BOYACA_RAQUIRA</v>
      </c>
      <c r="ED347" s="341"/>
      <c r="EE347" s="341" t="s">
        <v>3120</v>
      </c>
      <c r="EF347" s="349" t="s">
        <v>4563</v>
      </c>
      <c r="EG347" s="341" t="s">
        <v>3537</v>
      </c>
      <c r="EH347" s="341" t="s">
        <v>4676</v>
      </c>
      <c r="EI347" s="341" t="str">
        <f t="shared" si="40"/>
        <v>Boyaca_Tuta</v>
      </c>
    </row>
    <row r="348" spans="1:139" ht="72">
      <c r="A348" s="228">
        <v>40276</v>
      </c>
      <c r="B348" s="102" t="s">
        <v>1192</v>
      </c>
      <c r="C348" s="102" t="s">
        <v>1827</v>
      </c>
      <c r="D348" s="206" t="s">
        <v>1201</v>
      </c>
      <c r="E348" s="320" t="s">
        <v>3530</v>
      </c>
      <c r="F348" s="320"/>
      <c r="G348" s="210"/>
      <c r="H348" s="71"/>
      <c r="I348" s="71"/>
      <c r="J348" s="71">
        <f>116*5</f>
        <v>580</v>
      </c>
      <c r="K348" s="71">
        <v>116</v>
      </c>
      <c r="L348" s="1">
        <v>40290</v>
      </c>
      <c r="M348" s="73">
        <f t="shared" si="42"/>
        <v>0</v>
      </c>
      <c r="N348" s="73">
        <f t="shared" si="43"/>
        <v>0</v>
      </c>
      <c r="O348" s="73">
        <f t="shared" si="44"/>
        <v>0</v>
      </c>
      <c r="P348" s="73">
        <f t="shared" si="45"/>
        <v>0</v>
      </c>
      <c r="Q348" s="73"/>
      <c r="R348" s="73">
        <v>15000000</v>
      </c>
      <c r="S348" s="75">
        <f t="shared" si="47"/>
        <v>15000000</v>
      </c>
      <c r="T348" s="77">
        <v>0</v>
      </c>
      <c r="U348" s="66">
        <v>40277</v>
      </c>
      <c r="V348" s="79">
        <v>96530</v>
      </c>
      <c r="W348" s="66" t="s">
        <v>1606</v>
      </c>
      <c r="X348" s="24" t="s">
        <v>1607</v>
      </c>
      <c r="Y348" s="62">
        <v>208</v>
      </c>
      <c r="Z348" s="177" t="s">
        <v>2580</v>
      </c>
      <c r="AA348" s="80" t="s">
        <v>985</v>
      </c>
      <c r="AB348" s="3"/>
      <c r="AC348" s="4"/>
      <c r="AD348" s="5"/>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6"/>
      <c r="CE348" s="7"/>
      <c r="CF348" s="6"/>
      <c r="CG348" s="7"/>
      <c r="CH348" s="6"/>
      <c r="CI348" s="7"/>
      <c r="CJ348" s="8">
        <f t="shared" si="46"/>
        <v>0</v>
      </c>
      <c r="CK348" s="9"/>
      <c r="CL348" s="10"/>
      <c r="CM348" s="11"/>
      <c r="CN348" s="12"/>
      <c r="CO348" s="28"/>
      <c r="CP348" s="12"/>
      <c r="CQ348" s="9"/>
      <c r="CR348" s="10"/>
      <c r="CS348" s="68">
        <v>2</v>
      </c>
      <c r="EC348" s="344" t="str">
        <f t="shared" si="41"/>
        <v>BOYACA_TINJACA</v>
      </c>
      <c r="ED348" s="341"/>
      <c r="EE348" s="341" t="s">
        <v>3120</v>
      </c>
      <c r="EF348" s="349" t="s">
        <v>4563</v>
      </c>
      <c r="EG348" s="341" t="s">
        <v>3538</v>
      </c>
      <c r="EH348" s="341" t="s">
        <v>4677</v>
      </c>
      <c r="EI348" s="341" t="str">
        <f t="shared" si="40"/>
        <v>Boyaca_Tutaza</v>
      </c>
    </row>
    <row r="349" spans="1:139" ht="38.25">
      <c r="A349" s="228">
        <v>40276</v>
      </c>
      <c r="B349" s="102" t="s">
        <v>1192</v>
      </c>
      <c r="C349" s="102" t="s">
        <v>1168</v>
      </c>
      <c r="D349" s="206" t="s">
        <v>1201</v>
      </c>
      <c r="E349" s="320" t="s">
        <v>3471</v>
      </c>
      <c r="F349" s="320"/>
      <c r="G349" s="210"/>
      <c r="H349" s="71"/>
      <c r="I349" s="71"/>
      <c r="J349" s="71"/>
      <c r="K349" s="71"/>
      <c r="L349" s="1"/>
      <c r="M349" s="73">
        <f t="shared" si="42"/>
        <v>0</v>
      </c>
      <c r="N349" s="73">
        <f t="shared" si="43"/>
        <v>0</v>
      </c>
      <c r="O349" s="73">
        <f t="shared" si="44"/>
        <v>0</v>
      </c>
      <c r="P349" s="73">
        <f t="shared" si="45"/>
        <v>0</v>
      </c>
      <c r="Q349" s="73"/>
      <c r="R349" s="73">
        <v>0</v>
      </c>
      <c r="S349" s="75">
        <f t="shared" si="47"/>
        <v>0</v>
      </c>
      <c r="T349" s="77">
        <v>0</v>
      </c>
      <c r="U349" s="66">
        <v>40277</v>
      </c>
      <c r="V349" s="79"/>
      <c r="W349" s="66" t="s">
        <v>1585</v>
      </c>
      <c r="X349" s="24" t="s">
        <v>1586</v>
      </c>
      <c r="Y349" s="62"/>
      <c r="Z349" s="177" t="s">
        <v>894</v>
      </c>
      <c r="AA349" s="80" t="s">
        <v>752</v>
      </c>
      <c r="AB349" s="3"/>
      <c r="AC349" s="4"/>
      <c r="AD349" s="5"/>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6"/>
      <c r="CE349" s="7"/>
      <c r="CF349" s="6"/>
      <c r="CG349" s="7"/>
      <c r="CH349" s="6"/>
      <c r="CI349" s="7"/>
      <c r="CJ349" s="8">
        <f t="shared" si="46"/>
        <v>0</v>
      </c>
      <c r="CK349" s="9"/>
      <c r="CL349" s="10"/>
      <c r="CM349" s="11"/>
      <c r="CN349" s="12"/>
      <c r="CO349" s="28"/>
      <c r="CP349" s="12"/>
      <c r="CQ349" s="9"/>
      <c r="CR349" s="10"/>
      <c r="CS349" s="68"/>
      <c r="EC349" s="344" t="str">
        <f t="shared" si="41"/>
        <v>BOYACA_VILLA DE LEYVA</v>
      </c>
      <c r="ED349" s="341"/>
      <c r="EE349" s="341" t="s">
        <v>3120</v>
      </c>
      <c r="EF349" s="349" t="s">
        <v>4563</v>
      </c>
      <c r="EG349" s="341" t="s">
        <v>3539</v>
      </c>
      <c r="EH349" s="341" t="s">
        <v>4678</v>
      </c>
      <c r="EI349" s="341" t="str">
        <f t="shared" si="40"/>
        <v>Boyaca_Umbita</v>
      </c>
    </row>
    <row r="350" spans="1:139" ht="60">
      <c r="A350" s="228">
        <v>40276</v>
      </c>
      <c r="B350" s="102" t="s">
        <v>962</v>
      </c>
      <c r="C350" s="102" t="s">
        <v>997</v>
      </c>
      <c r="D350" s="206" t="s">
        <v>2606</v>
      </c>
      <c r="E350" s="320" t="s">
        <v>3859</v>
      </c>
      <c r="F350" s="320"/>
      <c r="G350" s="210"/>
      <c r="H350" s="71"/>
      <c r="I350" s="71"/>
      <c r="J350" s="71"/>
      <c r="K350" s="71"/>
      <c r="L350" s="1"/>
      <c r="M350" s="73">
        <f t="shared" si="42"/>
        <v>0</v>
      </c>
      <c r="N350" s="73">
        <f t="shared" si="43"/>
        <v>0</v>
      </c>
      <c r="O350" s="73">
        <f t="shared" si="44"/>
        <v>0</v>
      </c>
      <c r="P350" s="73">
        <f t="shared" si="45"/>
        <v>0</v>
      </c>
      <c r="Q350" s="73"/>
      <c r="R350" s="73">
        <v>0</v>
      </c>
      <c r="S350" s="75">
        <f t="shared" si="47"/>
        <v>0</v>
      </c>
      <c r="T350" s="77">
        <v>0</v>
      </c>
      <c r="U350" s="66">
        <v>40277</v>
      </c>
      <c r="V350" s="79"/>
      <c r="W350" s="66" t="s">
        <v>1585</v>
      </c>
      <c r="X350" s="24" t="s">
        <v>1586</v>
      </c>
      <c r="Y350" s="62"/>
      <c r="Z350" s="177" t="s">
        <v>894</v>
      </c>
      <c r="AA350" s="80" t="s">
        <v>551</v>
      </c>
      <c r="AB350" s="3"/>
      <c r="AC350" s="4"/>
      <c r="AD350" s="5"/>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6"/>
      <c r="CE350" s="7"/>
      <c r="CF350" s="6"/>
      <c r="CG350" s="7"/>
      <c r="CH350" s="6"/>
      <c r="CI350" s="7"/>
      <c r="CJ350" s="8">
        <f t="shared" si="46"/>
        <v>0</v>
      </c>
      <c r="CK350" s="9"/>
      <c r="CL350" s="10"/>
      <c r="CM350" s="11"/>
      <c r="CN350" s="12"/>
      <c r="CO350" s="28"/>
      <c r="CP350" s="12"/>
      <c r="CQ350" s="9"/>
      <c r="CR350" s="10"/>
      <c r="CS350" s="68"/>
      <c r="EC350" s="344" t="str">
        <f t="shared" si="41"/>
        <v>HUILA_YAGUARA</v>
      </c>
      <c r="ED350" s="341"/>
      <c r="EE350" s="341" t="s">
        <v>3120</v>
      </c>
      <c r="EF350" s="349" t="s">
        <v>4563</v>
      </c>
      <c r="EG350" s="341" t="s">
        <v>3540</v>
      </c>
      <c r="EH350" s="341" t="s">
        <v>4679</v>
      </c>
      <c r="EI350" s="341" t="str">
        <f t="shared" si="40"/>
        <v>Boyaca_Ventaquemada</v>
      </c>
    </row>
    <row r="351" spans="1:139" ht="38.25">
      <c r="A351" s="228">
        <v>40276</v>
      </c>
      <c r="B351" s="102" t="s">
        <v>1609</v>
      </c>
      <c r="C351" s="102" t="s">
        <v>1838</v>
      </c>
      <c r="D351" s="206" t="s">
        <v>1201</v>
      </c>
      <c r="E351" s="320" t="s">
        <v>4054</v>
      </c>
      <c r="F351" s="320"/>
      <c r="G351" s="210"/>
      <c r="H351" s="71"/>
      <c r="I351" s="71"/>
      <c r="J351" s="71">
        <v>10</v>
      </c>
      <c r="K351" s="71">
        <v>2</v>
      </c>
      <c r="L351" s="1"/>
      <c r="M351" s="73">
        <f t="shared" si="42"/>
        <v>0</v>
      </c>
      <c r="N351" s="73">
        <f t="shared" si="43"/>
        <v>0</v>
      </c>
      <c r="O351" s="73">
        <f t="shared" si="44"/>
        <v>0</v>
      </c>
      <c r="P351" s="73">
        <f t="shared" si="45"/>
        <v>0</v>
      </c>
      <c r="Q351" s="73"/>
      <c r="R351" s="73">
        <v>0</v>
      </c>
      <c r="S351" s="75">
        <f t="shared" si="47"/>
        <v>0</v>
      </c>
      <c r="T351" s="77">
        <v>0</v>
      </c>
      <c r="U351" s="66">
        <v>40277</v>
      </c>
      <c r="V351" s="79"/>
      <c r="W351" s="66" t="s">
        <v>1585</v>
      </c>
      <c r="X351" s="24" t="s">
        <v>1586</v>
      </c>
      <c r="Y351" s="62"/>
      <c r="Z351" s="177" t="s">
        <v>894</v>
      </c>
      <c r="AA351" s="80" t="s">
        <v>647</v>
      </c>
      <c r="AB351" s="3"/>
      <c r="AC351" s="4"/>
      <c r="AD351" s="5"/>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6"/>
      <c r="CE351" s="7"/>
      <c r="CF351" s="6"/>
      <c r="CG351" s="7"/>
      <c r="CH351" s="6"/>
      <c r="CI351" s="7"/>
      <c r="CJ351" s="8">
        <f t="shared" si="46"/>
        <v>0</v>
      </c>
      <c r="CK351" s="9"/>
      <c r="CL351" s="10"/>
      <c r="CM351" s="11"/>
      <c r="CN351" s="12"/>
      <c r="CO351" s="28"/>
      <c r="CP351" s="12"/>
      <c r="CQ351" s="9"/>
      <c r="CR351" s="10"/>
      <c r="CS351" s="68"/>
      <c r="EC351" s="355" t="str">
        <f t="shared" si="41"/>
        <v>RISARALDA_DOSQUEBRADAS</v>
      </c>
      <c r="ED351" s="356"/>
      <c r="EE351" s="341" t="s">
        <v>3120</v>
      </c>
      <c r="EF351" s="349" t="s">
        <v>4563</v>
      </c>
      <c r="EG351" s="341" t="s">
        <v>3541</v>
      </c>
      <c r="EH351" s="341" t="s">
        <v>4680</v>
      </c>
      <c r="EI351" s="341" t="str">
        <f t="shared" si="40"/>
        <v>Boyaca_Viracacha</v>
      </c>
    </row>
    <row r="352" spans="1:139" ht="25.5">
      <c r="A352" s="228">
        <v>40276</v>
      </c>
      <c r="B352" s="102" t="s">
        <v>1609</v>
      </c>
      <c r="C352" s="102" t="s">
        <v>2004</v>
      </c>
      <c r="D352" s="206" t="s">
        <v>1878</v>
      </c>
      <c r="E352" s="320" t="s">
        <v>4050</v>
      </c>
      <c r="F352" s="320"/>
      <c r="G352" s="210"/>
      <c r="H352" s="71"/>
      <c r="I352" s="71"/>
      <c r="J352" s="71"/>
      <c r="K352" s="71"/>
      <c r="L352" s="1"/>
      <c r="M352" s="73">
        <f t="shared" si="42"/>
        <v>0</v>
      </c>
      <c r="N352" s="73">
        <f t="shared" si="43"/>
        <v>0</v>
      </c>
      <c r="O352" s="73">
        <f t="shared" si="44"/>
        <v>0</v>
      </c>
      <c r="P352" s="73">
        <f t="shared" si="45"/>
        <v>0</v>
      </c>
      <c r="Q352" s="73"/>
      <c r="R352" s="73">
        <v>0</v>
      </c>
      <c r="S352" s="75">
        <f t="shared" si="47"/>
        <v>0</v>
      </c>
      <c r="T352" s="77">
        <v>0</v>
      </c>
      <c r="U352" s="66">
        <v>40277</v>
      </c>
      <c r="V352" s="79"/>
      <c r="W352" s="66" t="s">
        <v>1585</v>
      </c>
      <c r="X352" s="24" t="s">
        <v>1586</v>
      </c>
      <c r="Y352" s="62"/>
      <c r="Z352" s="177" t="s">
        <v>894</v>
      </c>
      <c r="AA352" s="80" t="s">
        <v>999</v>
      </c>
      <c r="AB352" s="3"/>
      <c r="AC352" s="4"/>
      <c r="AD352" s="5"/>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6"/>
      <c r="CE352" s="7"/>
      <c r="CF352" s="6"/>
      <c r="CG352" s="7"/>
      <c r="CH352" s="6"/>
      <c r="CI352" s="7"/>
      <c r="CJ352" s="8">
        <f t="shared" si="46"/>
        <v>0</v>
      </c>
      <c r="CK352" s="9"/>
      <c r="CL352" s="10"/>
      <c r="CM352" s="11"/>
      <c r="CN352" s="12"/>
      <c r="CO352" s="28"/>
      <c r="CP352" s="12"/>
      <c r="CQ352" s="9"/>
      <c r="CR352" s="10"/>
      <c r="CS352" s="68"/>
      <c r="EC352" s="355" t="str">
        <f t="shared" si="41"/>
        <v>RISARALDA_PEREIRA</v>
      </c>
      <c r="ED352" s="356"/>
      <c r="EE352" s="341" t="s">
        <v>3120</v>
      </c>
      <c r="EF352" s="349" t="s">
        <v>4563</v>
      </c>
      <c r="EG352" s="341" t="s">
        <v>3542</v>
      </c>
      <c r="EH352" s="341" t="s">
        <v>4681</v>
      </c>
      <c r="EI352" s="341" t="str">
        <f t="shared" si="40"/>
        <v>Boyaca_Zetaquira</v>
      </c>
    </row>
    <row r="353" spans="1:139" ht="51">
      <c r="A353" s="228">
        <v>40276</v>
      </c>
      <c r="B353" s="102" t="s">
        <v>1609</v>
      </c>
      <c r="C353" s="102" t="s">
        <v>1708</v>
      </c>
      <c r="D353" s="206" t="s">
        <v>2606</v>
      </c>
      <c r="E353" s="320" t="s">
        <v>4062</v>
      </c>
      <c r="F353" s="320"/>
      <c r="G353" s="210"/>
      <c r="H353" s="71"/>
      <c r="I353" s="71"/>
      <c r="J353" s="71"/>
      <c r="K353" s="71"/>
      <c r="L353" s="1"/>
      <c r="M353" s="73">
        <f t="shared" si="42"/>
        <v>0</v>
      </c>
      <c r="N353" s="73">
        <f t="shared" si="43"/>
        <v>0</v>
      </c>
      <c r="O353" s="73">
        <f t="shared" si="44"/>
        <v>0</v>
      </c>
      <c r="P353" s="73">
        <f t="shared" si="45"/>
        <v>0</v>
      </c>
      <c r="Q353" s="73"/>
      <c r="R353" s="73">
        <v>0</v>
      </c>
      <c r="S353" s="75">
        <f t="shared" si="47"/>
        <v>0</v>
      </c>
      <c r="T353" s="77">
        <v>0</v>
      </c>
      <c r="U353" s="66">
        <v>40277</v>
      </c>
      <c r="V353" s="79"/>
      <c r="W353" s="66" t="s">
        <v>1585</v>
      </c>
      <c r="X353" s="24" t="s">
        <v>1586</v>
      </c>
      <c r="Y353" s="62"/>
      <c r="Z353" s="177" t="s">
        <v>894</v>
      </c>
      <c r="AA353" s="80" t="s">
        <v>1709</v>
      </c>
      <c r="AB353" s="3"/>
      <c r="AC353" s="4"/>
      <c r="AD353" s="5"/>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6"/>
      <c r="CE353" s="7"/>
      <c r="CF353" s="6"/>
      <c r="CG353" s="7"/>
      <c r="CH353" s="6"/>
      <c r="CI353" s="7"/>
      <c r="CJ353" s="8">
        <f t="shared" si="46"/>
        <v>0</v>
      </c>
      <c r="CK353" s="9"/>
      <c r="CL353" s="10"/>
      <c r="CM353" s="11"/>
      <c r="CN353" s="12"/>
      <c r="CO353" s="28"/>
      <c r="CP353" s="12"/>
      <c r="CQ353" s="9"/>
      <c r="CR353" s="10"/>
      <c r="CS353" s="68"/>
      <c r="EC353" s="344" t="str">
        <f t="shared" si="41"/>
        <v>RISARALDA_SANTA ROSA DE CABAL</v>
      </c>
      <c r="ED353" s="341"/>
      <c r="EE353" s="341" t="s">
        <v>3125</v>
      </c>
      <c r="EF353" s="349" t="s">
        <v>3126</v>
      </c>
      <c r="EG353" s="341" t="s">
        <v>3543</v>
      </c>
      <c r="EH353" s="341" t="s">
        <v>4682</v>
      </c>
      <c r="EI353" s="341" t="str">
        <f t="shared" si="40"/>
        <v>Caldas_Manizales</v>
      </c>
    </row>
    <row r="354" spans="1:139" ht="45">
      <c r="A354" s="228">
        <v>40276</v>
      </c>
      <c r="B354" s="102" t="s">
        <v>2400</v>
      </c>
      <c r="C354" s="102" t="s">
        <v>1579</v>
      </c>
      <c r="D354" s="206" t="s">
        <v>1201</v>
      </c>
      <c r="E354" s="320" t="s">
        <v>4192</v>
      </c>
      <c r="F354" s="320"/>
      <c r="G354" s="210"/>
      <c r="H354" s="71"/>
      <c r="I354" s="71"/>
      <c r="J354" s="71">
        <v>253</v>
      </c>
      <c r="K354" s="71">
        <v>113</v>
      </c>
      <c r="L354" s="1">
        <v>40330</v>
      </c>
      <c r="M354" s="73">
        <f t="shared" si="42"/>
        <v>75125000</v>
      </c>
      <c r="N354" s="73">
        <f t="shared" si="43"/>
        <v>12750000</v>
      </c>
      <c r="O354" s="73">
        <f t="shared" si="44"/>
        <v>0</v>
      </c>
      <c r="P354" s="73">
        <f t="shared" si="45"/>
        <v>0</v>
      </c>
      <c r="Q354" s="73"/>
      <c r="R354" s="73">
        <v>0</v>
      </c>
      <c r="S354" s="75">
        <f t="shared" si="47"/>
        <v>87875000</v>
      </c>
      <c r="T354" s="77">
        <v>0</v>
      </c>
      <c r="U354" s="66">
        <v>40284</v>
      </c>
      <c r="V354" s="89" t="s">
        <v>1003</v>
      </c>
      <c r="W354" s="66" t="s">
        <v>1606</v>
      </c>
      <c r="X354" s="24" t="s">
        <v>1607</v>
      </c>
      <c r="Y354" s="83" t="s">
        <v>1835</v>
      </c>
      <c r="Z354" s="177" t="s">
        <v>2580</v>
      </c>
      <c r="AA354" s="80" t="s">
        <v>996</v>
      </c>
      <c r="AB354" s="3"/>
      <c r="AC354" s="4"/>
      <c r="AD354" s="5"/>
      <c r="AE354" s="4"/>
      <c r="AF354" s="4"/>
      <c r="AG354" s="4"/>
      <c r="AH354" s="4"/>
      <c r="AI354" s="4"/>
      <c r="AJ354" s="4"/>
      <c r="AK354" s="4"/>
      <c r="AL354" s="4"/>
      <c r="AM354" s="4"/>
      <c r="AN354" s="4">
        <v>450</v>
      </c>
      <c r="AO354" s="4">
        <f>450*56000</f>
        <v>25200000</v>
      </c>
      <c r="AP354" s="4">
        <v>500</v>
      </c>
      <c r="AQ354" s="4">
        <f>500*56000</f>
        <v>28000000</v>
      </c>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v>500</v>
      </c>
      <c r="BY354" s="4">
        <f>500*21500</f>
        <v>10750000</v>
      </c>
      <c r="BZ354" s="4"/>
      <c r="CA354" s="4"/>
      <c r="CB354" s="4"/>
      <c r="CC354" s="4"/>
      <c r="CD354" s="6">
        <v>150</v>
      </c>
      <c r="CE354" s="7">
        <f>150*38500</f>
        <v>5775000</v>
      </c>
      <c r="CF354" s="6">
        <v>150</v>
      </c>
      <c r="CG354" s="7">
        <f>150*36000</f>
        <v>5400000</v>
      </c>
      <c r="CH354" s="6"/>
      <c r="CI354" s="7"/>
      <c r="CJ354" s="8">
        <f t="shared" si="46"/>
        <v>75125000</v>
      </c>
      <c r="CK354" s="9"/>
      <c r="CL354" s="10"/>
      <c r="CM354" s="11">
        <v>150</v>
      </c>
      <c r="CN354" s="12">
        <f>150*85000</f>
        <v>12750000</v>
      </c>
      <c r="CO354" s="28"/>
      <c r="CP354" s="12"/>
      <c r="CQ354" s="9"/>
      <c r="CR354" s="10"/>
      <c r="CS354" s="68"/>
      <c r="EC354" s="344" t="str">
        <f t="shared" si="41"/>
        <v>TOLIMA_ESPINAL</v>
      </c>
      <c r="ED354" s="341"/>
      <c r="EE354" s="341" t="s">
        <v>3125</v>
      </c>
      <c r="EF354" s="349" t="s">
        <v>3126</v>
      </c>
      <c r="EG354" s="341" t="s">
        <v>3544</v>
      </c>
      <c r="EH354" s="341" t="s">
        <v>4683</v>
      </c>
      <c r="EI354" s="341" t="str">
        <f t="shared" si="40"/>
        <v>Caldas_Aguadas</v>
      </c>
    </row>
    <row r="355" spans="1:139" ht="25.5">
      <c r="A355" s="228">
        <v>40276</v>
      </c>
      <c r="B355" s="102" t="s">
        <v>2400</v>
      </c>
      <c r="C355" s="102" t="s">
        <v>1000</v>
      </c>
      <c r="D355" s="206" t="s">
        <v>1878</v>
      </c>
      <c r="E355" s="320" t="s">
        <v>4204</v>
      </c>
      <c r="F355" s="320"/>
      <c r="G355" s="210"/>
      <c r="H355" s="71"/>
      <c r="I355" s="71"/>
      <c r="J355" s="71"/>
      <c r="K355" s="71"/>
      <c r="L355" s="1"/>
      <c r="M355" s="73">
        <f t="shared" si="42"/>
        <v>0</v>
      </c>
      <c r="N355" s="73">
        <f t="shared" si="43"/>
        <v>0</v>
      </c>
      <c r="O355" s="73">
        <f t="shared" si="44"/>
        <v>0</v>
      </c>
      <c r="P355" s="73">
        <f t="shared" si="45"/>
        <v>0</v>
      </c>
      <c r="Q355" s="73"/>
      <c r="R355" s="73">
        <v>0</v>
      </c>
      <c r="S355" s="75">
        <f t="shared" si="47"/>
        <v>0</v>
      </c>
      <c r="T355" s="77">
        <v>0</v>
      </c>
      <c r="U355" s="66">
        <v>40277</v>
      </c>
      <c r="V355" s="79"/>
      <c r="W355" s="66" t="s">
        <v>1585</v>
      </c>
      <c r="X355" s="24" t="s">
        <v>1586</v>
      </c>
      <c r="Y355" s="62"/>
      <c r="Z355" s="177" t="s">
        <v>894</v>
      </c>
      <c r="AA355" s="80" t="s">
        <v>1001</v>
      </c>
      <c r="AB355" s="3"/>
      <c r="AC355" s="4"/>
      <c r="AD355" s="5"/>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6"/>
      <c r="CE355" s="7"/>
      <c r="CF355" s="6"/>
      <c r="CG355" s="7"/>
      <c r="CH355" s="6"/>
      <c r="CI355" s="7"/>
      <c r="CJ355" s="8">
        <f t="shared" si="46"/>
        <v>0</v>
      </c>
      <c r="CK355" s="9"/>
      <c r="CL355" s="10"/>
      <c r="CM355" s="11"/>
      <c r="CN355" s="12"/>
      <c r="CO355" s="28"/>
      <c r="CP355" s="12"/>
      <c r="CQ355" s="9"/>
      <c r="CR355" s="10"/>
      <c r="CS355" s="68"/>
      <c r="EC355" s="344" t="str">
        <f t="shared" si="41"/>
        <v>TOLIMA_MURILLO</v>
      </c>
      <c r="ED355" s="341"/>
      <c r="EE355" s="356" t="s">
        <v>3125</v>
      </c>
      <c r="EF355" s="349" t="s">
        <v>3126</v>
      </c>
      <c r="EG355" s="356" t="s">
        <v>3545</v>
      </c>
      <c r="EH355" s="356" t="s">
        <v>4684</v>
      </c>
      <c r="EI355" s="356" t="str">
        <f t="shared" ref="EI355:EI414" si="48">EF355&amp;"_"&amp;EH355</f>
        <v>Caldas_Anserma</v>
      </c>
    </row>
    <row r="356" spans="1:139" ht="25.5">
      <c r="A356" s="228">
        <v>40276</v>
      </c>
      <c r="B356" s="102" t="s">
        <v>2400</v>
      </c>
      <c r="C356" s="102" t="s">
        <v>1710</v>
      </c>
      <c r="D356" s="206" t="s">
        <v>1201</v>
      </c>
      <c r="E356" s="320" t="s">
        <v>4211</v>
      </c>
      <c r="F356" s="320"/>
      <c r="G356" s="210"/>
      <c r="H356" s="71"/>
      <c r="I356" s="71"/>
      <c r="J356" s="71">
        <v>10</v>
      </c>
      <c r="K356" s="71">
        <v>2</v>
      </c>
      <c r="L356" s="1"/>
      <c r="M356" s="73">
        <f t="shared" si="42"/>
        <v>0</v>
      </c>
      <c r="N356" s="73">
        <f t="shared" si="43"/>
        <v>0</v>
      </c>
      <c r="O356" s="73">
        <f t="shared" si="44"/>
        <v>0</v>
      </c>
      <c r="P356" s="73">
        <f t="shared" si="45"/>
        <v>0</v>
      </c>
      <c r="Q356" s="73"/>
      <c r="R356" s="73">
        <v>0</v>
      </c>
      <c r="S356" s="75">
        <f t="shared" si="47"/>
        <v>0</v>
      </c>
      <c r="T356" s="77">
        <v>0</v>
      </c>
      <c r="U356" s="66">
        <v>40277</v>
      </c>
      <c r="V356" s="79"/>
      <c r="W356" s="66" t="s">
        <v>1585</v>
      </c>
      <c r="X356" s="24" t="s">
        <v>1586</v>
      </c>
      <c r="Y356" s="62"/>
      <c r="Z356" s="177" t="s">
        <v>894</v>
      </c>
      <c r="AA356" s="80" t="s">
        <v>2733</v>
      </c>
      <c r="AB356" s="3"/>
      <c r="AC356" s="4"/>
      <c r="AD356" s="5"/>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6"/>
      <c r="CE356" s="7"/>
      <c r="CF356" s="6"/>
      <c r="CG356" s="7"/>
      <c r="CH356" s="6"/>
      <c r="CI356" s="7"/>
      <c r="CJ356" s="8">
        <f t="shared" si="46"/>
        <v>0</v>
      </c>
      <c r="CK356" s="9"/>
      <c r="CL356" s="10"/>
      <c r="CM356" s="11"/>
      <c r="CN356" s="12"/>
      <c r="CO356" s="28"/>
      <c r="CP356" s="12"/>
      <c r="CQ356" s="9"/>
      <c r="CR356" s="10"/>
      <c r="CS356" s="68"/>
      <c r="EC356" s="344" t="str">
        <f t="shared" si="41"/>
        <v>TOLIMA_PURIFICACION</v>
      </c>
      <c r="ED356" s="341"/>
      <c r="EE356" s="356" t="s">
        <v>3125</v>
      </c>
      <c r="EF356" s="349" t="s">
        <v>3126</v>
      </c>
      <c r="EG356" s="356" t="s">
        <v>3546</v>
      </c>
      <c r="EH356" s="356" t="s">
        <v>4685</v>
      </c>
      <c r="EI356" s="356" t="str">
        <f t="shared" si="48"/>
        <v>Caldas_Aranzazu</v>
      </c>
    </row>
    <row r="357" spans="1:139" ht="38.25">
      <c r="A357" s="288">
        <v>40277</v>
      </c>
      <c r="B357" s="289" t="s">
        <v>2298</v>
      </c>
      <c r="C357" s="289" t="s">
        <v>1610</v>
      </c>
      <c r="D357" s="290" t="s">
        <v>1878</v>
      </c>
      <c r="E357" s="407"/>
      <c r="F357" s="407"/>
      <c r="G357" s="316"/>
      <c r="H357" s="291"/>
      <c r="I357" s="291"/>
      <c r="J357" s="291"/>
      <c r="K357" s="410"/>
      <c r="L357" s="292"/>
      <c r="M357" s="293">
        <f t="shared" si="42"/>
        <v>0</v>
      </c>
      <c r="N357" s="293">
        <f t="shared" si="43"/>
        <v>0</v>
      </c>
      <c r="O357" s="293">
        <f t="shared" si="44"/>
        <v>0</v>
      </c>
      <c r="P357" s="293">
        <f t="shared" si="45"/>
        <v>0</v>
      </c>
      <c r="Q357" s="293"/>
      <c r="R357" s="293">
        <v>0</v>
      </c>
      <c r="S357" s="294">
        <f t="shared" si="47"/>
        <v>0</v>
      </c>
      <c r="T357" s="295">
        <v>0</v>
      </c>
      <c r="U357" s="296">
        <v>40624</v>
      </c>
      <c r="V357" s="297"/>
      <c r="W357" s="296" t="s">
        <v>1585</v>
      </c>
      <c r="X357" s="298" t="s">
        <v>1586</v>
      </c>
      <c r="Y357" s="299"/>
      <c r="Z357" s="300" t="s">
        <v>894</v>
      </c>
      <c r="AA357" s="415" t="s">
        <v>5402</v>
      </c>
      <c r="AB357" s="302"/>
      <c r="AC357" s="303"/>
      <c r="AD357" s="304"/>
      <c r="AE357" s="303"/>
      <c r="AF357" s="303"/>
      <c r="AG357" s="303"/>
      <c r="AH357" s="303"/>
      <c r="AI357" s="303"/>
      <c r="AJ357" s="303"/>
      <c r="AK357" s="303"/>
      <c r="AL357" s="303"/>
      <c r="AM357" s="303"/>
      <c r="AN357" s="303"/>
      <c r="AO357" s="303"/>
      <c r="AP357" s="303"/>
      <c r="AQ357" s="303"/>
      <c r="AR357" s="303"/>
      <c r="AS357" s="303"/>
      <c r="AT357" s="303"/>
      <c r="AU357" s="303"/>
      <c r="AV357" s="303"/>
      <c r="AW357" s="303"/>
      <c r="AX357" s="303"/>
      <c r="AY357" s="303"/>
      <c r="AZ357" s="303"/>
      <c r="BA357" s="303"/>
      <c r="BB357" s="303"/>
      <c r="BC357" s="303"/>
      <c r="BD357" s="303"/>
      <c r="BE357" s="303"/>
      <c r="BF357" s="303"/>
      <c r="BG357" s="303"/>
      <c r="BH357" s="303"/>
      <c r="BI357" s="303"/>
      <c r="BJ357" s="303"/>
      <c r="BK357" s="303"/>
      <c r="BL357" s="303"/>
      <c r="BM357" s="303"/>
      <c r="BN357" s="303"/>
      <c r="BO357" s="303"/>
      <c r="BP357" s="303"/>
      <c r="BQ357" s="303"/>
      <c r="BR357" s="303"/>
      <c r="BS357" s="303"/>
      <c r="BT357" s="303"/>
      <c r="BU357" s="303"/>
      <c r="BV357" s="303"/>
      <c r="BW357" s="303"/>
      <c r="BX357" s="303"/>
      <c r="BY357" s="303"/>
      <c r="BZ357" s="303"/>
      <c r="CA357" s="303"/>
      <c r="CB357" s="303"/>
      <c r="CC357" s="303"/>
      <c r="CD357" s="305"/>
      <c r="CE357" s="306"/>
      <c r="CF357" s="305"/>
      <c r="CG357" s="306"/>
      <c r="CH357" s="305"/>
      <c r="CI357" s="306"/>
      <c r="CJ357" s="307">
        <f t="shared" si="46"/>
        <v>0</v>
      </c>
      <c r="CK357" s="308"/>
      <c r="CL357" s="309"/>
      <c r="CM357" s="310"/>
      <c r="CN357" s="311"/>
      <c r="CO357" s="312"/>
      <c r="CP357" s="311"/>
      <c r="CQ357" s="308"/>
      <c r="CR357" s="309"/>
      <c r="CS357" s="313"/>
      <c r="CT357" s="314"/>
      <c r="EC357" s="344" t="str">
        <f t="shared" si="41"/>
        <v>BOGOTA D.C._BOGOTA</v>
      </c>
      <c r="ED357" s="341"/>
      <c r="EE357" s="341" t="s">
        <v>3125</v>
      </c>
      <c r="EF357" s="349" t="s">
        <v>3126</v>
      </c>
      <c r="EG357" s="341" t="s">
        <v>3547</v>
      </c>
      <c r="EH357" s="341" t="s">
        <v>4686</v>
      </c>
      <c r="EI357" s="341" t="str">
        <f t="shared" si="48"/>
        <v>Caldas_Belalcazar</v>
      </c>
    </row>
    <row r="358" spans="1:139" ht="38.25">
      <c r="A358" s="228">
        <v>40277</v>
      </c>
      <c r="B358" s="102" t="s">
        <v>1192</v>
      </c>
      <c r="C358" s="102" t="s">
        <v>1168</v>
      </c>
      <c r="D358" s="206" t="s">
        <v>1878</v>
      </c>
      <c r="E358" s="320" t="s">
        <v>3471</v>
      </c>
      <c r="F358" s="320"/>
      <c r="G358" s="210"/>
      <c r="H358" s="71"/>
      <c r="I358" s="71"/>
      <c r="J358" s="71">
        <v>15</v>
      </c>
      <c r="K358" s="71">
        <v>3</v>
      </c>
      <c r="L358" s="1"/>
      <c r="M358" s="73">
        <f t="shared" si="42"/>
        <v>0</v>
      </c>
      <c r="N358" s="73">
        <f t="shared" si="43"/>
        <v>0</v>
      </c>
      <c r="O358" s="73">
        <f t="shared" si="44"/>
        <v>0</v>
      </c>
      <c r="P358" s="73">
        <f t="shared" si="45"/>
        <v>0</v>
      </c>
      <c r="Q358" s="73"/>
      <c r="R358" s="73">
        <v>0</v>
      </c>
      <c r="S358" s="75">
        <f t="shared" si="47"/>
        <v>0</v>
      </c>
      <c r="T358" s="77">
        <v>0</v>
      </c>
      <c r="U358" s="66">
        <v>40277</v>
      </c>
      <c r="V358" s="79"/>
      <c r="W358" s="66" t="s">
        <v>1585</v>
      </c>
      <c r="X358" s="24" t="s">
        <v>1586</v>
      </c>
      <c r="Y358" s="62"/>
      <c r="Z358" s="177" t="s">
        <v>894</v>
      </c>
      <c r="AA358" s="80" t="s">
        <v>1707</v>
      </c>
      <c r="AB358" s="3"/>
      <c r="AC358" s="4"/>
      <c r="AD358" s="5"/>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6"/>
      <c r="CE358" s="7"/>
      <c r="CF358" s="6"/>
      <c r="CG358" s="7"/>
      <c r="CH358" s="6"/>
      <c r="CI358" s="7"/>
      <c r="CJ358" s="8">
        <f t="shared" si="46"/>
        <v>0</v>
      </c>
      <c r="CK358" s="9"/>
      <c r="CL358" s="10"/>
      <c r="CM358" s="11"/>
      <c r="CN358" s="12"/>
      <c r="CO358" s="28"/>
      <c r="CP358" s="12"/>
      <c r="CQ358" s="9"/>
      <c r="CR358" s="10"/>
      <c r="CS358" s="68"/>
      <c r="EC358" s="357" t="str">
        <f t="shared" si="41"/>
        <v>BOYACA_VILLA DE LEYVA</v>
      </c>
      <c r="ED358" s="348"/>
      <c r="EE358" s="341" t="s">
        <v>3125</v>
      </c>
      <c r="EF358" s="349" t="s">
        <v>3126</v>
      </c>
      <c r="EG358" s="341" t="s">
        <v>3548</v>
      </c>
      <c r="EH358" s="341" t="s">
        <v>4687</v>
      </c>
      <c r="EI358" s="341" t="str">
        <f t="shared" si="48"/>
        <v>Caldas_Chinchina</v>
      </c>
    </row>
    <row r="359" spans="1:139" ht="36">
      <c r="A359" s="228">
        <v>40277</v>
      </c>
      <c r="B359" s="102" t="s">
        <v>396</v>
      </c>
      <c r="C359" s="102" t="s">
        <v>2690</v>
      </c>
      <c r="D359" s="206" t="s">
        <v>1201</v>
      </c>
      <c r="E359" s="320" t="s">
        <v>3919</v>
      </c>
      <c r="F359" s="320"/>
      <c r="G359" s="210"/>
      <c r="H359" s="71"/>
      <c r="I359" s="71"/>
      <c r="J359" s="71">
        <v>5</v>
      </c>
      <c r="K359" s="71">
        <v>1</v>
      </c>
      <c r="L359" s="1"/>
      <c r="M359" s="73">
        <f t="shared" si="42"/>
        <v>0</v>
      </c>
      <c r="N359" s="73">
        <f t="shared" si="43"/>
        <v>0</v>
      </c>
      <c r="O359" s="73">
        <f t="shared" si="44"/>
        <v>0</v>
      </c>
      <c r="P359" s="73">
        <f t="shared" si="45"/>
        <v>0</v>
      </c>
      <c r="Q359" s="73"/>
      <c r="R359" s="73">
        <v>0</v>
      </c>
      <c r="S359" s="75">
        <f t="shared" si="47"/>
        <v>0</v>
      </c>
      <c r="T359" s="77">
        <v>0</v>
      </c>
      <c r="U359" s="66">
        <v>40280</v>
      </c>
      <c r="V359" s="79"/>
      <c r="W359" s="66" t="s">
        <v>1585</v>
      </c>
      <c r="X359" s="24" t="s">
        <v>1586</v>
      </c>
      <c r="Y359" s="62"/>
      <c r="Z359" s="177" t="s">
        <v>894</v>
      </c>
      <c r="AA359" s="80" t="s">
        <v>2691</v>
      </c>
      <c r="AB359" s="3"/>
      <c r="AC359" s="4"/>
      <c r="AD359" s="5"/>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6"/>
      <c r="CE359" s="7"/>
      <c r="CF359" s="6"/>
      <c r="CG359" s="7"/>
      <c r="CH359" s="6"/>
      <c r="CI359" s="7"/>
      <c r="CJ359" s="8">
        <f t="shared" si="46"/>
        <v>0</v>
      </c>
      <c r="CK359" s="9"/>
      <c r="CL359" s="10"/>
      <c r="CM359" s="11"/>
      <c r="CN359" s="12"/>
      <c r="CO359" s="28"/>
      <c r="CP359" s="12"/>
      <c r="CQ359" s="9"/>
      <c r="CR359" s="10"/>
      <c r="CS359" s="68"/>
      <c r="EC359" s="344" t="str">
        <f t="shared" si="41"/>
        <v>META_MESETAS</v>
      </c>
      <c r="ED359" s="341"/>
      <c r="EE359" s="341" t="s">
        <v>3125</v>
      </c>
      <c r="EF359" s="349" t="s">
        <v>3126</v>
      </c>
      <c r="EG359" s="341" t="s">
        <v>3549</v>
      </c>
      <c r="EH359" s="341" t="s">
        <v>4688</v>
      </c>
      <c r="EI359" s="341" t="str">
        <f t="shared" si="48"/>
        <v>Caldas_Filadelfia</v>
      </c>
    </row>
    <row r="360" spans="1:139" ht="60">
      <c r="A360" s="228">
        <v>40277</v>
      </c>
      <c r="B360" s="102" t="s">
        <v>396</v>
      </c>
      <c r="C360" s="102" t="s">
        <v>1706</v>
      </c>
      <c r="D360" s="206" t="s">
        <v>1201</v>
      </c>
      <c r="E360" s="320" t="s">
        <v>3930</v>
      </c>
      <c r="F360" s="320"/>
      <c r="G360" s="210"/>
      <c r="H360" s="71"/>
      <c r="I360" s="71"/>
      <c r="J360" s="71">
        <f>223-100</f>
        <v>123</v>
      </c>
      <c r="K360" s="71">
        <v>30</v>
      </c>
      <c r="L360" s="1">
        <v>40312</v>
      </c>
      <c r="M360" s="73">
        <f t="shared" si="42"/>
        <v>9165000</v>
      </c>
      <c r="N360" s="73">
        <f t="shared" si="43"/>
        <v>2550000</v>
      </c>
      <c r="O360" s="73">
        <f t="shared" si="44"/>
        <v>0</v>
      </c>
      <c r="P360" s="73">
        <f t="shared" si="45"/>
        <v>0</v>
      </c>
      <c r="Q360" s="73"/>
      <c r="R360" s="73">
        <v>0</v>
      </c>
      <c r="S360" s="75">
        <f t="shared" si="47"/>
        <v>11715000</v>
      </c>
      <c r="T360" s="77">
        <v>0</v>
      </c>
      <c r="U360" s="66">
        <v>40280</v>
      </c>
      <c r="V360" s="79">
        <v>96554</v>
      </c>
      <c r="W360" s="66" t="s">
        <v>1606</v>
      </c>
      <c r="X360" s="24" t="s">
        <v>1607</v>
      </c>
      <c r="Y360" s="62">
        <v>112</v>
      </c>
      <c r="Z360" s="177" t="s">
        <v>2580</v>
      </c>
      <c r="AA360" s="80" t="s">
        <v>1203</v>
      </c>
      <c r="AB360" s="3"/>
      <c r="AC360" s="4"/>
      <c r="AD360" s="5"/>
      <c r="AE360" s="4"/>
      <c r="AF360" s="4"/>
      <c r="AG360" s="4"/>
      <c r="AH360" s="4"/>
      <c r="AI360" s="4"/>
      <c r="AJ360" s="4"/>
      <c r="AK360" s="4"/>
      <c r="AL360" s="4"/>
      <c r="AM360" s="4"/>
      <c r="AN360" s="4">
        <v>90</v>
      </c>
      <c r="AO360" s="4">
        <f>90*56000</f>
        <v>5040000</v>
      </c>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v>90</v>
      </c>
      <c r="BY360" s="4">
        <f>90*21000</f>
        <v>1890000</v>
      </c>
      <c r="BZ360" s="4"/>
      <c r="CA360" s="4"/>
      <c r="CB360" s="4"/>
      <c r="CC360" s="4"/>
      <c r="CD360" s="6">
        <v>30</v>
      </c>
      <c r="CE360" s="7">
        <f>30*38500</f>
        <v>1155000</v>
      </c>
      <c r="CF360" s="6">
        <v>30</v>
      </c>
      <c r="CG360" s="7">
        <f>30*36000</f>
        <v>1080000</v>
      </c>
      <c r="CH360" s="6"/>
      <c r="CI360" s="7"/>
      <c r="CJ360" s="8">
        <f t="shared" si="46"/>
        <v>9165000</v>
      </c>
      <c r="CK360" s="9">
        <v>3</v>
      </c>
      <c r="CL360" s="10"/>
      <c r="CM360" s="11">
        <v>30</v>
      </c>
      <c r="CN360" s="12">
        <f>30*85000</f>
        <v>2550000</v>
      </c>
      <c r="CO360" s="28"/>
      <c r="CP360" s="12"/>
      <c r="CQ360" s="9"/>
      <c r="CR360" s="10"/>
      <c r="CS360" s="68"/>
      <c r="EC360" s="344" t="str">
        <f t="shared" si="41"/>
        <v>META_SAN JUAN DE ARAMA</v>
      </c>
      <c r="ED360" s="341"/>
      <c r="EE360" s="341" t="s">
        <v>3125</v>
      </c>
      <c r="EF360" s="349" t="s">
        <v>3126</v>
      </c>
      <c r="EG360" s="341" t="s">
        <v>3550</v>
      </c>
      <c r="EH360" s="341" t="s">
        <v>4689</v>
      </c>
      <c r="EI360" s="341" t="str">
        <f t="shared" si="48"/>
        <v>Caldas_La Dorada</v>
      </c>
    </row>
    <row r="361" spans="1:139" ht="45">
      <c r="A361" s="228">
        <v>40277</v>
      </c>
      <c r="B361" s="102" t="s">
        <v>396</v>
      </c>
      <c r="C361" s="102" t="s">
        <v>2860</v>
      </c>
      <c r="D361" s="206" t="s">
        <v>1201</v>
      </c>
      <c r="E361" s="320" t="s">
        <v>3933</v>
      </c>
      <c r="F361" s="320"/>
      <c r="G361" s="210"/>
      <c r="H361" s="71"/>
      <c r="I361" s="71"/>
      <c r="J361" s="71">
        <v>1225</v>
      </c>
      <c r="K361" s="71">
        <v>240</v>
      </c>
      <c r="L361" s="1"/>
      <c r="M361" s="73">
        <f t="shared" si="42"/>
        <v>56380000</v>
      </c>
      <c r="N361" s="73">
        <f t="shared" si="43"/>
        <v>20400000</v>
      </c>
      <c r="O361" s="73">
        <f t="shared" si="44"/>
        <v>0</v>
      </c>
      <c r="P361" s="73">
        <f t="shared" si="45"/>
        <v>0</v>
      </c>
      <c r="Q361" s="73"/>
      <c r="R361" s="73">
        <v>0</v>
      </c>
      <c r="S361" s="75">
        <f t="shared" si="47"/>
        <v>76780000</v>
      </c>
      <c r="T361" s="77">
        <v>0</v>
      </c>
      <c r="U361" s="66">
        <v>40280</v>
      </c>
      <c r="V361" s="79">
        <v>96554</v>
      </c>
      <c r="W361" s="66" t="s">
        <v>1606</v>
      </c>
      <c r="X361" s="24" t="s">
        <v>1607</v>
      </c>
      <c r="Y361" s="62">
        <v>112</v>
      </c>
      <c r="Z361" s="177" t="s">
        <v>2580</v>
      </c>
      <c r="AA361" s="80" t="s">
        <v>1204</v>
      </c>
      <c r="AB361" s="3"/>
      <c r="AC361" s="4"/>
      <c r="AD361" s="5"/>
      <c r="AE361" s="4"/>
      <c r="AF361" s="4"/>
      <c r="AG361" s="4"/>
      <c r="AH361" s="4"/>
      <c r="AI361" s="4"/>
      <c r="AJ361" s="4"/>
      <c r="AK361" s="4"/>
      <c r="AL361" s="4"/>
      <c r="AM361" s="4"/>
      <c r="AN361" s="4">
        <v>500</v>
      </c>
      <c r="AO361" s="4">
        <f>500*56000</f>
        <v>28000000</v>
      </c>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v>500</v>
      </c>
      <c r="BY361" s="4">
        <f>500*21000</f>
        <v>10500000</v>
      </c>
      <c r="BZ361" s="4"/>
      <c r="CA361" s="4"/>
      <c r="CB361" s="4"/>
      <c r="CC361" s="4"/>
      <c r="CD361" s="6">
        <v>240</v>
      </c>
      <c r="CE361" s="7">
        <f>240*38500</f>
        <v>9240000</v>
      </c>
      <c r="CF361" s="6">
        <v>240</v>
      </c>
      <c r="CG361" s="7">
        <f>240*36000</f>
        <v>8640000</v>
      </c>
      <c r="CH361" s="6"/>
      <c r="CI361" s="7"/>
      <c r="CJ361" s="8">
        <f t="shared" si="46"/>
        <v>56380000</v>
      </c>
      <c r="CK361" s="9">
        <v>2</v>
      </c>
      <c r="CL361" s="10"/>
      <c r="CM361" s="11">
        <v>240</v>
      </c>
      <c r="CN361" s="12">
        <f>240*85000</f>
        <v>20400000</v>
      </c>
      <c r="CO361" s="28"/>
      <c r="CP361" s="12"/>
      <c r="CQ361" s="9"/>
      <c r="CR361" s="10"/>
      <c r="CS361" s="68"/>
      <c r="EC361" s="344" t="str">
        <f t="shared" si="41"/>
        <v>META_VISTAHERMOSA</v>
      </c>
      <c r="ED361" s="341"/>
      <c r="EE361" s="341" t="s">
        <v>3125</v>
      </c>
      <c r="EF361" s="349" t="s">
        <v>3126</v>
      </c>
      <c r="EG361" s="341" t="s">
        <v>3551</v>
      </c>
      <c r="EH361" s="341" t="s">
        <v>4690</v>
      </c>
      <c r="EI361" s="341" t="str">
        <f t="shared" si="48"/>
        <v>Caldas_La Merced</v>
      </c>
    </row>
    <row r="362" spans="1:139" ht="25.5">
      <c r="A362" s="228">
        <v>40277</v>
      </c>
      <c r="B362" s="102" t="s">
        <v>1612</v>
      </c>
      <c r="C362" s="102" t="s">
        <v>1593</v>
      </c>
      <c r="D362" s="206" t="s">
        <v>1594</v>
      </c>
      <c r="E362" s="320" t="s">
        <v>4045</v>
      </c>
      <c r="F362" s="320"/>
      <c r="G362" s="210">
        <v>1</v>
      </c>
      <c r="H362" s="71"/>
      <c r="I362" s="71"/>
      <c r="J362" s="71"/>
      <c r="K362" s="71"/>
      <c r="L362" s="1"/>
      <c r="M362" s="73">
        <f t="shared" si="42"/>
        <v>0</v>
      </c>
      <c r="N362" s="73">
        <f t="shared" si="43"/>
        <v>0</v>
      </c>
      <c r="O362" s="73">
        <f t="shared" si="44"/>
        <v>0</v>
      </c>
      <c r="P362" s="73">
        <f t="shared" si="45"/>
        <v>0</v>
      </c>
      <c r="Q362" s="73"/>
      <c r="R362" s="73">
        <v>0</v>
      </c>
      <c r="S362" s="75">
        <f t="shared" si="47"/>
        <v>0</v>
      </c>
      <c r="T362" s="77">
        <v>0</v>
      </c>
      <c r="U362" s="66">
        <v>40278</v>
      </c>
      <c r="V362" s="79"/>
      <c r="W362" s="66" t="s">
        <v>1585</v>
      </c>
      <c r="X362" s="24" t="s">
        <v>1586</v>
      </c>
      <c r="Y362" s="62"/>
      <c r="Z362" s="177" t="s">
        <v>894</v>
      </c>
      <c r="AA362" s="80" t="s">
        <v>1595</v>
      </c>
      <c r="AB362" s="3"/>
      <c r="AC362" s="4"/>
      <c r="AD362" s="5"/>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6"/>
      <c r="CE362" s="7"/>
      <c r="CF362" s="6"/>
      <c r="CG362" s="7"/>
      <c r="CH362" s="6"/>
      <c r="CI362" s="7"/>
      <c r="CJ362" s="8">
        <f t="shared" si="46"/>
        <v>0</v>
      </c>
      <c r="CK362" s="9"/>
      <c r="CL362" s="10"/>
      <c r="CM362" s="11"/>
      <c r="CN362" s="12"/>
      <c r="CO362" s="28"/>
      <c r="CP362" s="12"/>
      <c r="CQ362" s="9"/>
      <c r="CR362" s="10"/>
      <c r="CS362" s="68"/>
      <c r="EC362" s="344" t="str">
        <f t="shared" si="41"/>
        <v>QUINDIO_LA TEBAIDA</v>
      </c>
      <c r="ED362" s="341"/>
      <c r="EE362" s="348" t="s">
        <v>3125</v>
      </c>
      <c r="EF362" s="349" t="s">
        <v>3126</v>
      </c>
      <c r="EG362" s="348" t="s">
        <v>3552</v>
      </c>
      <c r="EH362" s="348" t="s">
        <v>4691</v>
      </c>
      <c r="EI362" s="348" t="str">
        <f t="shared" si="48"/>
        <v>Caldas_Manzanares</v>
      </c>
    </row>
    <row r="363" spans="1:139" ht="56.25">
      <c r="A363" s="228">
        <v>40277</v>
      </c>
      <c r="B363" s="102" t="s">
        <v>2400</v>
      </c>
      <c r="C363" s="102" t="s">
        <v>2613</v>
      </c>
      <c r="D363" s="206" t="s">
        <v>1878</v>
      </c>
      <c r="E363" s="320" t="s">
        <v>4201</v>
      </c>
      <c r="F363" s="320"/>
      <c r="G363" s="210"/>
      <c r="H363" s="71"/>
      <c r="I363" s="71"/>
      <c r="J363" s="71"/>
      <c r="K363" s="71"/>
      <c r="L363" s="1">
        <v>40295</v>
      </c>
      <c r="M363" s="73">
        <f t="shared" si="42"/>
        <v>97180140.800000012</v>
      </c>
      <c r="N363" s="73">
        <f t="shared" si="43"/>
        <v>24395000</v>
      </c>
      <c r="O363" s="73">
        <f t="shared" si="44"/>
        <v>21332400</v>
      </c>
      <c r="P363" s="73">
        <f t="shared" si="45"/>
        <v>0</v>
      </c>
      <c r="Q363" s="73"/>
      <c r="R363" s="73">
        <v>0</v>
      </c>
      <c r="S363" s="75">
        <f t="shared" si="47"/>
        <v>142907540.80000001</v>
      </c>
      <c r="T363" s="77">
        <v>0</v>
      </c>
      <c r="U363" s="66">
        <v>40284</v>
      </c>
      <c r="V363" s="79">
        <v>96689</v>
      </c>
      <c r="W363" s="66" t="s">
        <v>1606</v>
      </c>
      <c r="X363" s="24" t="s">
        <v>1607</v>
      </c>
      <c r="Y363" s="83" t="s">
        <v>2706</v>
      </c>
      <c r="Z363" s="177" t="s">
        <v>909</v>
      </c>
      <c r="AA363" s="80" t="s">
        <v>990</v>
      </c>
      <c r="AB363" s="3"/>
      <c r="AC363" s="4"/>
      <c r="AD363" s="5"/>
      <c r="AE363" s="4"/>
      <c r="AF363" s="4"/>
      <c r="AG363" s="4"/>
      <c r="AH363" s="4"/>
      <c r="AI363" s="4"/>
      <c r="AJ363" s="4"/>
      <c r="AK363" s="4"/>
      <c r="AL363" s="4"/>
      <c r="AM363" s="4"/>
      <c r="AN363" s="4"/>
      <c r="AO363" s="4"/>
      <c r="AP363" s="4">
        <v>990</v>
      </c>
      <c r="AQ363" s="4">
        <f>990*56000</f>
        <v>55440000</v>
      </c>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v>990</v>
      </c>
      <c r="BY363" s="4">
        <f>990*20999.48</f>
        <v>20789485.199999999</v>
      </c>
      <c r="BZ363" s="4"/>
      <c r="CA363" s="4"/>
      <c r="CB363" s="4"/>
      <c r="CC363" s="4"/>
      <c r="CD363" s="6">
        <v>287</v>
      </c>
      <c r="CE363" s="7">
        <f>287*36999.36</f>
        <v>10618816.32</v>
      </c>
      <c r="CF363" s="6">
        <v>287</v>
      </c>
      <c r="CG363" s="7">
        <f>287*35999.44</f>
        <v>10331839.280000001</v>
      </c>
      <c r="CH363" s="6"/>
      <c r="CI363" s="7"/>
      <c r="CJ363" s="8">
        <f t="shared" si="46"/>
        <v>97180140.800000012</v>
      </c>
      <c r="CK363" s="9"/>
      <c r="CL363" s="10"/>
      <c r="CM363" s="11">
        <v>287</v>
      </c>
      <c r="CN363" s="12">
        <f>287*85000</f>
        <v>24395000</v>
      </c>
      <c r="CO363" s="28"/>
      <c r="CP363" s="12"/>
      <c r="CQ363" s="9">
        <f>150+800</f>
        <v>950</v>
      </c>
      <c r="CR363" s="10">
        <f>150*34568+800*19140+300*556.8+3200*208.8</f>
        <v>21332400</v>
      </c>
      <c r="CS363" s="84"/>
      <c r="EC363" s="344" t="str">
        <f t="shared" si="41"/>
        <v>TOLIMA_LIBANO</v>
      </c>
      <c r="ED363" s="341"/>
      <c r="EE363" s="341" t="s">
        <v>3125</v>
      </c>
      <c r="EF363" s="349" t="s">
        <v>3126</v>
      </c>
      <c r="EG363" s="341" t="s">
        <v>3553</v>
      </c>
      <c r="EH363" s="341" t="s">
        <v>4692</v>
      </c>
      <c r="EI363" s="341" t="str">
        <f t="shared" si="48"/>
        <v>Caldas_Marmato</v>
      </c>
    </row>
    <row r="364" spans="1:139" ht="38.25">
      <c r="A364" s="228">
        <v>40277</v>
      </c>
      <c r="B364" s="102" t="s">
        <v>2400</v>
      </c>
      <c r="C364" s="102" t="s">
        <v>991</v>
      </c>
      <c r="D364" s="206" t="s">
        <v>1878</v>
      </c>
      <c r="E364" s="320" t="s">
        <v>4218</v>
      </c>
      <c r="F364" s="320"/>
      <c r="G364" s="210"/>
      <c r="H364" s="71"/>
      <c r="I364" s="71"/>
      <c r="J364" s="71"/>
      <c r="K364" s="71"/>
      <c r="L364" s="1"/>
      <c r="M364" s="73">
        <f t="shared" si="42"/>
        <v>0</v>
      </c>
      <c r="N364" s="73">
        <f t="shared" si="43"/>
        <v>0</v>
      </c>
      <c r="O364" s="73">
        <f t="shared" si="44"/>
        <v>0</v>
      </c>
      <c r="P364" s="73">
        <f t="shared" si="45"/>
        <v>0</v>
      </c>
      <c r="Q364" s="73"/>
      <c r="R364" s="73">
        <v>0</v>
      </c>
      <c r="S364" s="75">
        <f t="shared" si="47"/>
        <v>0</v>
      </c>
      <c r="T364" s="77">
        <v>0</v>
      </c>
      <c r="U364" s="66">
        <v>40278</v>
      </c>
      <c r="V364" s="79"/>
      <c r="W364" s="66" t="s">
        <v>1585</v>
      </c>
      <c r="X364" s="24" t="s">
        <v>1586</v>
      </c>
      <c r="Y364" s="62"/>
      <c r="Z364" s="177" t="s">
        <v>894</v>
      </c>
      <c r="AA364" s="80" t="s">
        <v>992</v>
      </c>
      <c r="AB364" s="3"/>
      <c r="AC364" s="4"/>
      <c r="AD364" s="5"/>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6"/>
      <c r="CE364" s="7"/>
      <c r="CF364" s="6"/>
      <c r="CG364" s="7"/>
      <c r="CH364" s="6"/>
      <c r="CI364" s="7"/>
      <c r="CJ364" s="8">
        <f t="shared" si="46"/>
        <v>0</v>
      </c>
      <c r="CK364" s="9"/>
      <c r="CL364" s="10"/>
      <c r="CM364" s="11"/>
      <c r="CN364" s="12"/>
      <c r="CO364" s="28"/>
      <c r="CP364" s="12"/>
      <c r="CQ364" s="9"/>
      <c r="CR364" s="10"/>
      <c r="CS364" s="68"/>
      <c r="EC364" s="344" t="str">
        <f t="shared" si="41"/>
        <v>TOLIMA_SANTA ISABEL</v>
      </c>
      <c r="ED364" s="341"/>
      <c r="EE364" s="341" t="s">
        <v>3125</v>
      </c>
      <c r="EF364" s="349" t="s">
        <v>3126</v>
      </c>
      <c r="EG364" s="341" t="s">
        <v>3554</v>
      </c>
      <c r="EH364" s="341" t="s">
        <v>4693</v>
      </c>
      <c r="EI364" s="341" t="str">
        <f t="shared" si="48"/>
        <v>Caldas_Marquetalia</v>
      </c>
    </row>
    <row r="365" spans="1:139" ht="38.25">
      <c r="A365" s="228">
        <v>40277</v>
      </c>
      <c r="B365" s="102" t="s">
        <v>1088</v>
      </c>
      <c r="C365" s="102" t="s">
        <v>3204</v>
      </c>
      <c r="D365" s="206" t="s">
        <v>1594</v>
      </c>
      <c r="E365" s="320" t="s">
        <v>4224</v>
      </c>
      <c r="F365" s="320"/>
      <c r="G365" s="210">
        <v>1</v>
      </c>
      <c r="H365" s="71"/>
      <c r="I365" s="71"/>
      <c r="J365" s="71"/>
      <c r="K365" s="71"/>
      <c r="L365" s="1"/>
      <c r="M365" s="73">
        <f t="shared" si="42"/>
        <v>0</v>
      </c>
      <c r="N365" s="73">
        <f t="shared" si="43"/>
        <v>0</v>
      </c>
      <c r="O365" s="73">
        <f t="shared" si="44"/>
        <v>0</v>
      </c>
      <c r="P365" s="73">
        <f t="shared" si="45"/>
        <v>0</v>
      </c>
      <c r="Q365" s="73"/>
      <c r="R365" s="73">
        <v>0</v>
      </c>
      <c r="S365" s="75">
        <f t="shared" si="47"/>
        <v>0</v>
      </c>
      <c r="T365" s="77">
        <v>0</v>
      </c>
      <c r="U365" s="66">
        <v>40278</v>
      </c>
      <c r="V365" s="79"/>
      <c r="W365" s="66" t="s">
        <v>1585</v>
      </c>
      <c r="X365" s="24" t="s">
        <v>1586</v>
      </c>
      <c r="Y365" s="62"/>
      <c r="Z365" s="177" t="s">
        <v>894</v>
      </c>
      <c r="AA365" s="80" t="s">
        <v>998</v>
      </c>
      <c r="AB365" s="3"/>
      <c r="AC365" s="4"/>
      <c r="AD365" s="5"/>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6"/>
      <c r="CE365" s="7"/>
      <c r="CF365" s="6"/>
      <c r="CG365" s="7"/>
      <c r="CH365" s="6"/>
      <c r="CI365" s="7"/>
      <c r="CJ365" s="8">
        <f t="shared" si="46"/>
        <v>0</v>
      </c>
      <c r="CK365" s="9"/>
      <c r="CL365" s="10"/>
      <c r="CM365" s="11"/>
      <c r="CN365" s="12"/>
      <c r="CO365" s="28"/>
      <c r="CP365" s="12"/>
      <c r="CQ365" s="9"/>
      <c r="CR365" s="10"/>
      <c r="CS365" s="68"/>
      <c r="EC365" s="344" t="str">
        <f t="shared" si="41"/>
        <v>VALLE DEL CAUCA_CALI</v>
      </c>
      <c r="ED365" s="341"/>
      <c r="EE365" s="341" t="s">
        <v>3125</v>
      </c>
      <c r="EF365" s="349" t="s">
        <v>3126</v>
      </c>
      <c r="EG365" s="341" t="s">
        <v>3555</v>
      </c>
      <c r="EH365" s="341" t="s">
        <v>4694</v>
      </c>
      <c r="EI365" s="341" t="str">
        <f t="shared" si="48"/>
        <v>Caldas_Marulanda</v>
      </c>
    </row>
    <row r="366" spans="1:139" ht="38.25">
      <c r="A366" s="228">
        <v>40277</v>
      </c>
      <c r="B366" s="102" t="s">
        <v>1088</v>
      </c>
      <c r="C366" s="102" t="s">
        <v>993</v>
      </c>
      <c r="D366" s="206" t="s">
        <v>1201</v>
      </c>
      <c r="E366" s="320" t="s">
        <v>4245</v>
      </c>
      <c r="F366" s="320"/>
      <c r="G366" s="210"/>
      <c r="H366" s="71">
        <v>1</v>
      </c>
      <c r="I366" s="71"/>
      <c r="J366" s="71">
        <v>60</v>
      </c>
      <c r="K366" s="71">
        <v>12</v>
      </c>
      <c r="L366" s="1"/>
      <c r="M366" s="73">
        <f t="shared" si="42"/>
        <v>0</v>
      </c>
      <c r="N366" s="73">
        <f t="shared" si="43"/>
        <v>0</v>
      </c>
      <c r="O366" s="73">
        <f t="shared" si="44"/>
        <v>0</v>
      </c>
      <c r="P366" s="73">
        <f t="shared" si="45"/>
        <v>0</v>
      </c>
      <c r="Q366" s="73"/>
      <c r="R366" s="73">
        <v>0</v>
      </c>
      <c r="S366" s="75">
        <f t="shared" si="47"/>
        <v>0</v>
      </c>
      <c r="T366" s="77">
        <v>0</v>
      </c>
      <c r="U366" s="66">
        <v>40278</v>
      </c>
      <c r="V366" s="79"/>
      <c r="W366" s="66" t="s">
        <v>1585</v>
      </c>
      <c r="X366" s="24" t="s">
        <v>1586</v>
      </c>
      <c r="Y366" s="62"/>
      <c r="Z366" s="177" t="s">
        <v>894</v>
      </c>
      <c r="AA366" s="80" t="s">
        <v>647</v>
      </c>
      <c r="AB366" s="3"/>
      <c r="AC366" s="4"/>
      <c r="AD366" s="5"/>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6"/>
      <c r="CE366" s="7"/>
      <c r="CF366" s="6"/>
      <c r="CG366" s="7"/>
      <c r="CH366" s="6"/>
      <c r="CI366" s="7"/>
      <c r="CJ366" s="8">
        <f t="shared" si="46"/>
        <v>0</v>
      </c>
      <c r="CK366" s="9"/>
      <c r="CL366" s="10"/>
      <c r="CM366" s="11"/>
      <c r="CN366" s="12"/>
      <c r="CO366" s="28"/>
      <c r="CP366" s="12"/>
      <c r="CQ366" s="9"/>
      <c r="CR366" s="10"/>
      <c r="CS366" s="68"/>
      <c r="EC366" s="344" t="str">
        <f t="shared" si="41"/>
        <v>VALLE DEL CAUCA_JAMUNDI</v>
      </c>
      <c r="ED366" s="341"/>
      <c r="EE366" s="341" t="s">
        <v>3125</v>
      </c>
      <c r="EF366" s="349" t="s">
        <v>3126</v>
      </c>
      <c r="EG366" s="341" t="s">
        <v>3556</v>
      </c>
      <c r="EH366" s="341" t="s">
        <v>4695</v>
      </c>
      <c r="EI366" s="341" t="str">
        <f t="shared" si="48"/>
        <v>Caldas_Neira</v>
      </c>
    </row>
    <row r="367" spans="1:139" ht="38.25">
      <c r="A367" s="228">
        <v>40277</v>
      </c>
      <c r="B367" s="102" t="s">
        <v>1088</v>
      </c>
      <c r="C367" s="102" t="s">
        <v>994</v>
      </c>
      <c r="D367" s="206" t="s">
        <v>1201</v>
      </c>
      <c r="E367" s="320" t="s">
        <v>4250</v>
      </c>
      <c r="F367" s="320"/>
      <c r="G367" s="210"/>
      <c r="H367" s="71"/>
      <c r="I367" s="71"/>
      <c r="J367" s="71">
        <v>7</v>
      </c>
      <c r="K367" s="71">
        <v>1</v>
      </c>
      <c r="L367" s="1"/>
      <c r="M367" s="73">
        <f t="shared" si="42"/>
        <v>0</v>
      </c>
      <c r="N367" s="73">
        <f t="shared" si="43"/>
        <v>0</v>
      </c>
      <c r="O367" s="73">
        <f t="shared" si="44"/>
        <v>0</v>
      </c>
      <c r="P367" s="73">
        <f t="shared" si="45"/>
        <v>0</v>
      </c>
      <c r="Q367" s="73"/>
      <c r="R367" s="73">
        <v>0</v>
      </c>
      <c r="S367" s="75">
        <f t="shared" si="47"/>
        <v>0</v>
      </c>
      <c r="T367" s="77">
        <v>0</v>
      </c>
      <c r="U367" s="66">
        <v>40278</v>
      </c>
      <c r="V367" s="79"/>
      <c r="W367" s="66" t="s">
        <v>1585</v>
      </c>
      <c r="X367" s="24" t="s">
        <v>1586</v>
      </c>
      <c r="Y367" s="62"/>
      <c r="Z367" s="177" t="s">
        <v>894</v>
      </c>
      <c r="AA367" s="80" t="s">
        <v>995</v>
      </c>
      <c r="AB367" s="3"/>
      <c r="AC367" s="4"/>
      <c r="AD367" s="5"/>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6"/>
      <c r="CE367" s="7"/>
      <c r="CF367" s="6"/>
      <c r="CG367" s="7"/>
      <c r="CH367" s="6"/>
      <c r="CI367" s="7"/>
      <c r="CJ367" s="8">
        <f t="shared" si="46"/>
        <v>0</v>
      </c>
      <c r="CK367" s="9"/>
      <c r="CL367" s="10"/>
      <c r="CM367" s="11"/>
      <c r="CN367" s="12"/>
      <c r="CO367" s="28"/>
      <c r="CP367" s="12"/>
      <c r="CQ367" s="9"/>
      <c r="CR367" s="10"/>
      <c r="CS367" s="68"/>
      <c r="EC367" s="344" t="str">
        <f t="shared" si="41"/>
        <v>VALLE DEL CAUCA_PALMIRA</v>
      </c>
      <c r="ED367" s="341"/>
      <c r="EE367" s="341" t="s">
        <v>3125</v>
      </c>
      <c r="EF367" s="349" t="s">
        <v>3126</v>
      </c>
      <c r="EG367" s="341" t="s">
        <v>3557</v>
      </c>
      <c r="EH367" s="341" t="s">
        <v>4696</v>
      </c>
      <c r="EI367" s="341" t="str">
        <f t="shared" si="48"/>
        <v>Caldas_Norcasia</v>
      </c>
    </row>
    <row r="368" spans="1:139" ht="25.5">
      <c r="A368" s="228">
        <v>40278</v>
      </c>
      <c r="B368" s="102" t="s">
        <v>1192</v>
      </c>
      <c r="C368" s="102" t="s">
        <v>750</v>
      </c>
      <c r="D368" s="206" t="s">
        <v>1201</v>
      </c>
      <c r="E368" s="320" t="s">
        <v>3477</v>
      </c>
      <c r="F368" s="320"/>
      <c r="G368" s="210"/>
      <c r="H368" s="71"/>
      <c r="I368" s="71"/>
      <c r="J368" s="71">
        <v>35</v>
      </c>
      <c r="K368" s="71">
        <v>7</v>
      </c>
      <c r="L368" s="1"/>
      <c r="M368" s="73">
        <f t="shared" si="42"/>
        <v>0</v>
      </c>
      <c r="N368" s="73">
        <f t="shared" si="43"/>
        <v>0</v>
      </c>
      <c r="O368" s="73">
        <f t="shared" si="44"/>
        <v>0</v>
      </c>
      <c r="P368" s="73">
        <f t="shared" si="45"/>
        <v>0</v>
      </c>
      <c r="Q368" s="73"/>
      <c r="R368" s="73">
        <v>0</v>
      </c>
      <c r="S368" s="75">
        <f t="shared" si="47"/>
        <v>0</v>
      </c>
      <c r="T368" s="77">
        <v>0</v>
      </c>
      <c r="U368" s="66">
        <v>40280</v>
      </c>
      <c r="V368" s="79"/>
      <c r="W368" s="66" t="s">
        <v>1585</v>
      </c>
      <c r="X368" s="24" t="s">
        <v>1586</v>
      </c>
      <c r="Y368" s="62"/>
      <c r="Z368" s="177" t="s">
        <v>894</v>
      </c>
      <c r="AA368" s="80" t="s">
        <v>751</v>
      </c>
      <c r="AB368" s="3"/>
      <c r="AC368" s="4"/>
      <c r="AD368" s="5"/>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6"/>
      <c r="CE368" s="7"/>
      <c r="CF368" s="6"/>
      <c r="CG368" s="7"/>
      <c r="CH368" s="6"/>
      <c r="CI368" s="7"/>
      <c r="CJ368" s="8">
        <f t="shared" si="46"/>
        <v>0</v>
      </c>
      <c r="CK368" s="9"/>
      <c r="CL368" s="10"/>
      <c r="CM368" s="11"/>
      <c r="CN368" s="12"/>
      <c r="CO368" s="28"/>
      <c r="CP368" s="12"/>
      <c r="CQ368" s="9"/>
      <c r="CR368" s="10"/>
      <c r="CS368" s="68"/>
      <c r="EC368" s="344" t="str">
        <f t="shared" si="41"/>
        <v>BOYACA_MONIQUIRA</v>
      </c>
      <c r="ED368" s="341"/>
      <c r="EE368" s="341" t="s">
        <v>3125</v>
      </c>
      <c r="EF368" s="349" t="s">
        <v>3126</v>
      </c>
      <c r="EG368" s="341" t="s">
        <v>3558</v>
      </c>
      <c r="EH368" s="341" t="s">
        <v>4697</v>
      </c>
      <c r="EI368" s="341" t="str">
        <f t="shared" si="48"/>
        <v>Caldas_Pacora</v>
      </c>
    </row>
    <row r="369" spans="1:139" ht="60">
      <c r="A369" s="228">
        <v>40278</v>
      </c>
      <c r="B369" s="102" t="s">
        <v>1996</v>
      </c>
      <c r="C369" s="102" t="s">
        <v>2721</v>
      </c>
      <c r="D369" s="206" t="s">
        <v>1201</v>
      </c>
      <c r="E369" s="320" t="s">
        <v>3809</v>
      </c>
      <c r="F369" s="320"/>
      <c r="G369" s="210"/>
      <c r="H369" s="71"/>
      <c r="I369" s="71"/>
      <c r="J369" s="71">
        <v>5676</v>
      </c>
      <c r="K369" s="71">
        <v>1322</v>
      </c>
      <c r="L369" s="1">
        <v>40417</v>
      </c>
      <c r="M369" s="73">
        <f t="shared" si="42"/>
        <v>19246000</v>
      </c>
      <c r="N369" s="73">
        <f t="shared" si="43"/>
        <v>37995000</v>
      </c>
      <c r="O369" s="73">
        <f t="shared" si="44"/>
        <v>0</v>
      </c>
      <c r="P369" s="73">
        <f t="shared" si="45"/>
        <v>0</v>
      </c>
      <c r="Q369" s="73"/>
      <c r="R369" s="73">
        <v>57400000</v>
      </c>
      <c r="S369" s="75">
        <f t="shared" si="47"/>
        <v>114641000</v>
      </c>
      <c r="T369" s="77">
        <v>0</v>
      </c>
      <c r="U369" s="66">
        <v>40338</v>
      </c>
      <c r="V369" s="79">
        <v>98120</v>
      </c>
      <c r="W369" s="66" t="s">
        <v>1606</v>
      </c>
      <c r="X369" s="24" t="s">
        <v>1607</v>
      </c>
      <c r="Y369" s="62"/>
      <c r="Z369" s="169" t="s">
        <v>2580</v>
      </c>
      <c r="AA369" s="170" t="s">
        <v>361</v>
      </c>
      <c r="AB369" s="3"/>
      <c r="AC369" s="4"/>
      <c r="AD369" s="5"/>
      <c r="AE369" s="4"/>
      <c r="AF369" s="4"/>
      <c r="AG369" s="4"/>
      <c r="AH369" s="4"/>
      <c r="AI369" s="4"/>
      <c r="AJ369" s="4"/>
      <c r="AK369" s="4"/>
      <c r="AL369" s="4"/>
      <c r="AM369" s="4"/>
      <c r="AN369" s="4"/>
      <c r="AO369" s="4"/>
      <c r="AP369" s="4">
        <v>200</v>
      </c>
      <c r="AQ369" s="4">
        <f>200*56000</f>
        <v>11200000</v>
      </c>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v>447</v>
      </c>
      <c r="CC369" s="4">
        <f>447*18000</f>
        <v>8046000</v>
      </c>
      <c r="CD369" s="6"/>
      <c r="CE369" s="7"/>
      <c r="CF369" s="6"/>
      <c r="CG369" s="7"/>
      <c r="CH369" s="6"/>
      <c r="CI369" s="7"/>
      <c r="CJ369" s="8">
        <f t="shared" si="46"/>
        <v>19246000</v>
      </c>
      <c r="CK369" s="9"/>
      <c r="CL369" s="10"/>
      <c r="CM369" s="11">
        <v>447</v>
      </c>
      <c r="CN369" s="12">
        <f>447*85000</f>
        <v>37995000</v>
      </c>
      <c r="CO369" s="28"/>
      <c r="CP369" s="12"/>
      <c r="CQ369" s="9"/>
      <c r="CR369" s="10"/>
      <c r="CS369" s="68">
        <v>2</v>
      </c>
      <c r="EC369" s="344" t="str">
        <f t="shared" si="41"/>
        <v>CHOCO_LLORO</v>
      </c>
      <c r="ED369" s="341"/>
      <c r="EE369" s="341" t="s">
        <v>3125</v>
      </c>
      <c r="EF369" s="349" t="s">
        <v>3126</v>
      </c>
      <c r="EG369" s="341" t="s">
        <v>3559</v>
      </c>
      <c r="EH369" s="341" t="s">
        <v>4698</v>
      </c>
      <c r="EI369" s="341" t="str">
        <f t="shared" si="48"/>
        <v>Caldas_Palestina</v>
      </c>
    </row>
    <row r="370" spans="1:139" ht="38.25">
      <c r="A370" s="228">
        <v>40278</v>
      </c>
      <c r="B370" s="102" t="s">
        <v>1604</v>
      </c>
      <c r="C370" s="102" t="s">
        <v>960</v>
      </c>
      <c r="D370" s="206" t="s">
        <v>1201</v>
      </c>
      <c r="E370" s="320" t="s">
        <v>3792</v>
      </c>
      <c r="F370" s="320"/>
      <c r="G370" s="210"/>
      <c r="H370" s="71"/>
      <c r="I370" s="71"/>
      <c r="J370" s="71">
        <v>5</v>
      </c>
      <c r="K370" s="71">
        <v>1</v>
      </c>
      <c r="L370" s="1"/>
      <c r="M370" s="73">
        <f t="shared" si="42"/>
        <v>0</v>
      </c>
      <c r="N370" s="73">
        <f t="shared" si="43"/>
        <v>0</v>
      </c>
      <c r="O370" s="73">
        <f t="shared" si="44"/>
        <v>0</v>
      </c>
      <c r="P370" s="73">
        <f t="shared" si="45"/>
        <v>0</v>
      </c>
      <c r="Q370" s="73"/>
      <c r="R370" s="73">
        <v>0</v>
      </c>
      <c r="S370" s="75">
        <f t="shared" si="47"/>
        <v>0</v>
      </c>
      <c r="T370" s="77">
        <v>0</v>
      </c>
      <c r="U370" s="66">
        <v>40280</v>
      </c>
      <c r="V370" s="79"/>
      <c r="W370" s="66" t="s">
        <v>1585</v>
      </c>
      <c r="X370" s="24" t="s">
        <v>1586</v>
      </c>
      <c r="Y370" s="62"/>
      <c r="Z370" s="177" t="s">
        <v>894</v>
      </c>
      <c r="AA370" s="80" t="s">
        <v>2696</v>
      </c>
      <c r="AB370" s="3"/>
      <c r="AC370" s="4"/>
      <c r="AD370" s="5"/>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6"/>
      <c r="CE370" s="7"/>
      <c r="CF370" s="6"/>
      <c r="CG370" s="7"/>
      <c r="CH370" s="6"/>
      <c r="CI370" s="7"/>
      <c r="CJ370" s="8">
        <f t="shared" si="46"/>
        <v>0</v>
      </c>
      <c r="CK370" s="9"/>
      <c r="CL370" s="10"/>
      <c r="CM370" s="11"/>
      <c r="CN370" s="12"/>
      <c r="CO370" s="28"/>
      <c r="CP370" s="12"/>
      <c r="CQ370" s="9"/>
      <c r="CR370" s="10"/>
      <c r="CS370" s="68"/>
      <c r="EC370" s="344" t="str">
        <f t="shared" si="41"/>
        <v>CUNDINAMARCA_ZIPAQUIRA</v>
      </c>
      <c r="ED370" s="341"/>
      <c r="EE370" s="341" t="s">
        <v>3125</v>
      </c>
      <c r="EF370" s="349" t="s">
        <v>3126</v>
      </c>
      <c r="EG370" s="341" t="s">
        <v>3560</v>
      </c>
      <c r="EH370" s="341" t="s">
        <v>4699</v>
      </c>
      <c r="EI370" s="341" t="str">
        <f t="shared" si="48"/>
        <v>Caldas_Pensilvania</v>
      </c>
    </row>
    <row r="371" spans="1:139" ht="25.5">
      <c r="A371" s="228">
        <v>40278</v>
      </c>
      <c r="B371" s="102" t="s">
        <v>1612</v>
      </c>
      <c r="C371" s="102" t="s">
        <v>1613</v>
      </c>
      <c r="D371" s="206" t="s">
        <v>1201</v>
      </c>
      <c r="E371" s="320" t="s">
        <v>4038</v>
      </c>
      <c r="F371" s="320"/>
      <c r="G371" s="210"/>
      <c r="H371" s="71"/>
      <c r="I371" s="71"/>
      <c r="J371" s="71">
        <v>10</v>
      </c>
      <c r="K371" s="71">
        <v>2</v>
      </c>
      <c r="L371" s="1"/>
      <c r="M371" s="73">
        <f t="shared" si="42"/>
        <v>0</v>
      </c>
      <c r="N371" s="73">
        <f t="shared" si="43"/>
        <v>0</v>
      </c>
      <c r="O371" s="73">
        <f t="shared" si="44"/>
        <v>0</v>
      </c>
      <c r="P371" s="73">
        <f t="shared" si="45"/>
        <v>0</v>
      </c>
      <c r="Q371" s="73"/>
      <c r="R371" s="73">
        <v>0</v>
      </c>
      <c r="S371" s="75">
        <f t="shared" si="47"/>
        <v>0</v>
      </c>
      <c r="T371" s="77">
        <v>0</v>
      </c>
      <c r="U371" s="66">
        <v>40278</v>
      </c>
      <c r="V371" s="79"/>
      <c r="W371" s="66" t="s">
        <v>1585</v>
      </c>
      <c r="X371" s="24" t="s">
        <v>1586</v>
      </c>
      <c r="Y371" s="62"/>
      <c r="Z371" s="177" t="s">
        <v>894</v>
      </c>
      <c r="AA371" s="80" t="s">
        <v>1596</v>
      </c>
      <c r="AB371" s="3"/>
      <c r="AC371" s="4"/>
      <c r="AD371" s="5"/>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6"/>
      <c r="CE371" s="7"/>
      <c r="CF371" s="6"/>
      <c r="CG371" s="7"/>
      <c r="CH371" s="6"/>
      <c r="CI371" s="7"/>
      <c r="CJ371" s="8">
        <f t="shared" si="46"/>
        <v>0</v>
      </c>
      <c r="CK371" s="9"/>
      <c r="CL371" s="10"/>
      <c r="CM371" s="11"/>
      <c r="CN371" s="12"/>
      <c r="CO371" s="28"/>
      <c r="CP371" s="12"/>
      <c r="CQ371" s="9"/>
      <c r="CR371" s="10"/>
      <c r="CS371" s="68"/>
      <c r="EC371" s="344" t="str">
        <f t="shared" si="41"/>
        <v>QUINDIO_ARMENIA</v>
      </c>
      <c r="ED371" s="341"/>
      <c r="EE371" s="341" t="s">
        <v>3125</v>
      </c>
      <c r="EF371" s="349" t="s">
        <v>3126</v>
      </c>
      <c r="EG371" s="341" t="s">
        <v>3561</v>
      </c>
      <c r="EH371" s="341" t="s">
        <v>4700</v>
      </c>
      <c r="EI371" s="341" t="str">
        <f t="shared" si="48"/>
        <v>Caldas_Riosucio</v>
      </c>
    </row>
    <row r="372" spans="1:139" ht="45">
      <c r="A372" s="228">
        <v>40278</v>
      </c>
      <c r="B372" s="102" t="s">
        <v>2400</v>
      </c>
      <c r="C372" s="102" t="s">
        <v>3054</v>
      </c>
      <c r="D372" s="206" t="s">
        <v>2606</v>
      </c>
      <c r="E372" s="320" t="s">
        <v>4197</v>
      </c>
      <c r="F372" s="320"/>
      <c r="G372" s="210"/>
      <c r="H372" s="71"/>
      <c r="I372" s="71"/>
      <c r="J372" s="71">
        <v>400</v>
      </c>
      <c r="K372" s="71">
        <v>80</v>
      </c>
      <c r="L372" s="1">
        <v>40295</v>
      </c>
      <c r="M372" s="73">
        <f t="shared" si="42"/>
        <v>16479862.399999999</v>
      </c>
      <c r="N372" s="73">
        <f t="shared" si="43"/>
        <v>6800000</v>
      </c>
      <c r="O372" s="73">
        <f t="shared" si="44"/>
        <v>9987600</v>
      </c>
      <c r="P372" s="73">
        <f t="shared" si="45"/>
        <v>0</v>
      </c>
      <c r="Q372" s="73"/>
      <c r="R372" s="73">
        <v>0</v>
      </c>
      <c r="S372" s="75">
        <f t="shared" si="47"/>
        <v>33267462.399999999</v>
      </c>
      <c r="T372" s="77">
        <v>0</v>
      </c>
      <c r="U372" s="66">
        <v>40284</v>
      </c>
      <c r="V372" s="79">
        <v>96689</v>
      </c>
      <c r="W372" s="66" t="s">
        <v>1606</v>
      </c>
      <c r="X372" s="24" t="s">
        <v>1607</v>
      </c>
      <c r="Y372" s="83" t="s">
        <v>2706</v>
      </c>
      <c r="Z372" s="177" t="s">
        <v>910</v>
      </c>
      <c r="AA372" s="80" t="s">
        <v>550</v>
      </c>
      <c r="AB372" s="3"/>
      <c r="AC372" s="4"/>
      <c r="AD372" s="5"/>
      <c r="AE372" s="4"/>
      <c r="AF372" s="4"/>
      <c r="AG372" s="4"/>
      <c r="AH372" s="4"/>
      <c r="AI372" s="4"/>
      <c r="AJ372" s="4"/>
      <c r="AK372" s="4"/>
      <c r="AL372" s="4"/>
      <c r="AM372" s="4"/>
      <c r="AN372" s="4"/>
      <c r="AO372" s="4"/>
      <c r="AP372" s="4">
        <v>160</v>
      </c>
      <c r="AQ372" s="4">
        <f>160*56000</f>
        <v>8960000</v>
      </c>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v>80</v>
      </c>
      <c r="BY372" s="4">
        <f>80*20999.48</f>
        <v>1679958.4</v>
      </c>
      <c r="BZ372" s="4"/>
      <c r="CA372" s="4"/>
      <c r="CB372" s="4"/>
      <c r="CC372" s="4"/>
      <c r="CD372" s="6">
        <v>80</v>
      </c>
      <c r="CE372" s="7">
        <f>80*36999.36</f>
        <v>2959948.8</v>
      </c>
      <c r="CF372" s="6">
        <v>80</v>
      </c>
      <c r="CG372" s="7">
        <f>80*35999.44</f>
        <v>2879955.2</v>
      </c>
      <c r="CH372" s="6"/>
      <c r="CI372" s="7"/>
      <c r="CJ372" s="8">
        <f t="shared" si="46"/>
        <v>16479862.399999999</v>
      </c>
      <c r="CK372" s="9"/>
      <c r="CL372" s="10"/>
      <c r="CM372" s="11">
        <v>80</v>
      </c>
      <c r="CN372" s="12">
        <f>80*85000</f>
        <v>6800000</v>
      </c>
      <c r="CO372" s="28"/>
      <c r="CP372" s="12"/>
      <c r="CQ372" s="9">
        <v>500</v>
      </c>
      <c r="CR372" s="10">
        <f>500*19140+2000*208.8</f>
        <v>9987600</v>
      </c>
      <c r="CS372" s="84"/>
      <c r="EC372" s="344" t="str">
        <f t="shared" si="41"/>
        <v>TOLIMA_HERVEO</v>
      </c>
      <c r="ED372" s="341"/>
      <c r="EE372" s="341" t="s">
        <v>3125</v>
      </c>
      <c r="EF372" s="349" t="s">
        <v>3126</v>
      </c>
      <c r="EG372" s="341" t="s">
        <v>3562</v>
      </c>
      <c r="EH372" s="341" t="s">
        <v>3183</v>
      </c>
      <c r="EI372" s="341" t="str">
        <f t="shared" si="48"/>
        <v>Caldas_Risaralda</v>
      </c>
    </row>
    <row r="373" spans="1:139" ht="36">
      <c r="A373" s="228">
        <v>40278</v>
      </c>
      <c r="B373" s="102" t="s">
        <v>2400</v>
      </c>
      <c r="C373" s="102" t="s">
        <v>3054</v>
      </c>
      <c r="D373" s="206" t="s">
        <v>1878</v>
      </c>
      <c r="E373" s="320" t="s">
        <v>4197</v>
      </c>
      <c r="F373" s="320"/>
      <c r="G373" s="210">
        <v>1</v>
      </c>
      <c r="H373" s="71"/>
      <c r="I373" s="71"/>
      <c r="J373" s="71"/>
      <c r="K373" s="71"/>
      <c r="L373" s="1"/>
      <c r="M373" s="73">
        <f t="shared" si="42"/>
        <v>0</v>
      </c>
      <c r="N373" s="73">
        <f t="shared" si="43"/>
        <v>0</v>
      </c>
      <c r="O373" s="73">
        <f t="shared" si="44"/>
        <v>0</v>
      </c>
      <c r="P373" s="73">
        <f t="shared" si="45"/>
        <v>0</v>
      </c>
      <c r="Q373" s="73"/>
      <c r="R373" s="73">
        <v>0</v>
      </c>
      <c r="S373" s="75">
        <f t="shared" si="47"/>
        <v>0</v>
      </c>
      <c r="T373" s="77">
        <v>0</v>
      </c>
      <c r="U373" s="66">
        <v>40280</v>
      </c>
      <c r="V373" s="79"/>
      <c r="W373" s="66" t="s">
        <v>1585</v>
      </c>
      <c r="X373" s="24" t="s">
        <v>1586</v>
      </c>
      <c r="Y373" s="62"/>
      <c r="Z373" s="177" t="s">
        <v>894</v>
      </c>
      <c r="AA373" s="80" t="s">
        <v>2692</v>
      </c>
      <c r="AB373" s="3"/>
      <c r="AC373" s="4"/>
      <c r="AD373" s="5"/>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6"/>
      <c r="CE373" s="7"/>
      <c r="CF373" s="6"/>
      <c r="CG373" s="7"/>
      <c r="CH373" s="6"/>
      <c r="CI373" s="7"/>
      <c r="CJ373" s="8">
        <f t="shared" si="46"/>
        <v>0</v>
      </c>
      <c r="CK373" s="9"/>
      <c r="CL373" s="10"/>
      <c r="CM373" s="11"/>
      <c r="CN373" s="12"/>
      <c r="CO373" s="28"/>
      <c r="CP373" s="12"/>
      <c r="CQ373" s="9"/>
      <c r="CR373" s="10"/>
      <c r="CS373" s="68"/>
      <c r="EC373" s="344" t="str">
        <f t="shared" si="41"/>
        <v>TOLIMA_HERVEO</v>
      </c>
      <c r="ED373" s="341"/>
      <c r="EE373" s="341" t="s">
        <v>3125</v>
      </c>
      <c r="EF373" s="349" t="s">
        <v>3126</v>
      </c>
      <c r="EG373" s="341" t="s">
        <v>3563</v>
      </c>
      <c r="EH373" s="341" t="s">
        <v>4701</v>
      </c>
      <c r="EI373" s="341" t="str">
        <f t="shared" si="48"/>
        <v>Caldas_Salamina</v>
      </c>
    </row>
    <row r="374" spans="1:139" ht="38.25">
      <c r="A374" s="228">
        <v>40278</v>
      </c>
      <c r="B374" s="102" t="s">
        <v>1088</v>
      </c>
      <c r="C374" s="102" t="s">
        <v>3204</v>
      </c>
      <c r="D374" s="206" t="s">
        <v>1878</v>
      </c>
      <c r="E374" s="320" t="s">
        <v>4224</v>
      </c>
      <c r="F374" s="320"/>
      <c r="G374" s="210">
        <v>1</v>
      </c>
      <c r="H374" s="71"/>
      <c r="I374" s="71"/>
      <c r="J374" s="71"/>
      <c r="K374" s="71"/>
      <c r="L374" s="1"/>
      <c r="M374" s="73">
        <f t="shared" si="42"/>
        <v>0</v>
      </c>
      <c r="N374" s="73">
        <f t="shared" si="43"/>
        <v>0</v>
      </c>
      <c r="O374" s="73">
        <f t="shared" si="44"/>
        <v>0</v>
      </c>
      <c r="P374" s="73">
        <f t="shared" si="45"/>
        <v>0</v>
      </c>
      <c r="Q374" s="73"/>
      <c r="R374" s="73">
        <v>0</v>
      </c>
      <c r="S374" s="75">
        <f t="shared" si="47"/>
        <v>0</v>
      </c>
      <c r="T374" s="77">
        <v>0</v>
      </c>
      <c r="U374" s="66">
        <v>40278</v>
      </c>
      <c r="V374" s="79"/>
      <c r="W374" s="66" t="s">
        <v>1585</v>
      </c>
      <c r="X374" s="24" t="s">
        <v>1586</v>
      </c>
      <c r="Y374" s="62"/>
      <c r="Z374" s="177" t="s">
        <v>894</v>
      </c>
      <c r="AA374" s="80" t="s">
        <v>989</v>
      </c>
      <c r="AB374" s="3"/>
      <c r="AC374" s="4"/>
      <c r="AD374" s="5"/>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6"/>
      <c r="CE374" s="7"/>
      <c r="CF374" s="6"/>
      <c r="CG374" s="7"/>
      <c r="CH374" s="6"/>
      <c r="CI374" s="7"/>
      <c r="CJ374" s="8">
        <f t="shared" si="46"/>
        <v>0</v>
      </c>
      <c r="CK374" s="9"/>
      <c r="CL374" s="10"/>
      <c r="CM374" s="11"/>
      <c r="CN374" s="12"/>
      <c r="CO374" s="28"/>
      <c r="CP374" s="12"/>
      <c r="CQ374" s="9"/>
      <c r="CR374" s="10"/>
      <c r="CS374" s="68"/>
      <c r="EC374" s="344" t="str">
        <f t="shared" si="41"/>
        <v>VALLE DEL CAUCA_CALI</v>
      </c>
      <c r="ED374" s="341"/>
      <c r="EE374" s="341" t="s">
        <v>3125</v>
      </c>
      <c r="EF374" s="349" t="s">
        <v>3126</v>
      </c>
      <c r="EG374" s="341" t="s">
        <v>3565</v>
      </c>
      <c r="EH374" s="341" t="s">
        <v>4702</v>
      </c>
      <c r="EI374" s="341" t="str">
        <f t="shared" si="48"/>
        <v>Caldas_San Jose</v>
      </c>
    </row>
    <row r="375" spans="1:139" ht="51">
      <c r="A375" s="228">
        <v>40279</v>
      </c>
      <c r="B375" s="102" t="s">
        <v>2704</v>
      </c>
      <c r="C375" s="102" t="s">
        <v>2375</v>
      </c>
      <c r="D375" s="206" t="s">
        <v>1201</v>
      </c>
      <c r="E375" s="320" t="s">
        <v>3577</v>
      </c>
      <c r="F375" s="320"/>
      <c r="G375" s="210"/>
      <c r="H375" s="71"/>
      <c r="I375" s="71"/>
      <c r="J375" s="71">
        <f>118*5</f>
        <v>590</v>
      </c>
      <c r="K375" s="71">
        <v>118</v>
      </c>
      <c r="L375" s="1"/>
      <c r="M375" s="73">
        <f t="shared" si="42"/>
        <v>0</v>
      </c>
      <c r="N375" s="73">
        <f t="shared" si="43"/>
        <v>0</v>
      </c>
      <c r="O375" s="73">
        <f t="shared" si="44"/>
        <v>0</v>
      </c>
      <c r="P375" s="73">
        <f t="shared" si="45"/>
        <v>0</v>
      </c>
      <c r="Q375" s="73"/>
      <c r="R375" s="73">
        <v>0</v>
      </c>
      <c r="S375" s="75">
        <f t="shared" si="47"/>
        <v>0</v>
      </c>
      <c r="T375" s="77">
        <v>0</v>
      </c>
      <c r="U375" s="66">
        <v>40280</v>
      </c>
      <c r="V375" s="79"/>
      <c r="W375" s="66" t="s">
        <v>1585</v>
      </c>
      <c r="X375" s="24" t="s">
        <v>1586</v>
      </c>
      <c r="Y375" s="62"/>
      <c r="Z375" s="177" t="s">
        <v>894</v>
      </c>
      <c r="AA375" s="80" t="s">
        <v>2693</v>
      </c>
      <c r="AB375" s="3"/>
      <c r="AC375" s="4"/>
      <c r="AD375" s="5"/>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6"/>
      <c r="CE375" s="7"/>
      <c r="CF375" s="6"/>
      <c r="CG375" s="7"/>
      <c r="CH375" s="6"/>
      <c r="CI375" s="7"/>
      <c r="CJ375" s="8">
        <f t="shared" si="46"/>
        <v>0</v>
      </c>
      <c r="CK375" s="9"/>
      <c r="CL375" s="10"/>
      <c r="CM375" s="11"/>
      <c r="CN375" s="12"/>
      <c r="CO375" s="28"/>
      <c r="CP375" s="12"/>
      <c r="CQ375" s="9"/>
      <c r="CR375" s="10"/>
      <c r="CS375" s="68"/>
      <c r="EC375" s="344" t="str">
        <f t="shared" si="41"/>
        <v>CAQUETA_LA MONTAÑITA</v>
      </c>
      <c r="ED375" s="341"/>
      <c r="EE375" s="341" t="s">
        <v>3125</v>
      </c>
      <c r="EF375" s="349" t="s">
        <v>3126</v>
      </c>
      <c r="EG375" s="341" t="s">
        <v>3566</v>
      </c>
      <c r="EH375" s="341" t="s">
        <v>4703</v>
      </c>
      <c r="EI375" s="341" t="str">
        <f t="shared" si="48"/>
        <v>Caldas_Supia</v>
      </c>
    </row>
    <row r="376" spans="1:139" ht="38.25">
      <c r="A376" s="228">
        <v>40279</v>
      </c>
      <c r="B376" s="102" t="s">
        <v>1604</v>
      </c>
      <c r="C376" s="102" t="s">
        <v>1949</v>
      </c>
      <c r="D376" s="206" t="s">
        <v>1201</v>
      </c>
      <c r="E376" s="320" t="s">
        <v>3699</v>
      </c>
      <c r="F376" s="320"/>
      <c r="G376" s="210"/>
      <c r="H376" s="71"/>
      <c r="I376" s="71"/>
      <c r="J376" s="71">
        <v>10</v>
      </c>
      <c r="K376" s="71">
        <v>2</v>
      </c>
      <c r="L376" s="1"/>
      <c r="M376" s="73">
        <f t="shared" si="42"/>
        <v>0</v>
      </c>
      <c r="N376" s="73">
        <f t="shared" si="43"/>
        <v>0</v>
      </c>
      <c r="O376" s="73">
        <f t="shared" si="44"/>
        <v>0</v>
      </c>
      <c r="P376" s="73">
        <f t="shared" si="45"/>
        <v>0</v>
      </c>
      <c r="Q376" s="73"/>
      <c r="R376" s="73">
        <v>0</v>
      </c>
      <c r="S376" s="75">
        <f t="shared" si="47"/>
        <v>0</v>
      </c>
      <c r="T376" s="77">
        <v>0</v>
      </c>
      <c r="U376" s="66">
        <v>40282</v>
      </c>
      <c r="V376" s="79"/>
      <c r="W376" s="66" t="s">
        <v>1585</v>
      </c>
      <c r="X376" s="24" t="s">
        <v>1586</v>
      </c>
      <c r="Y376" s="62"/>
      <c r="Z376" s="177" t="s">
        <v>894</v>
      </c>
      <c r="AA376" s="80" t="s">
        <v>2357</v>
      </c>
      <c r="AB376" s="3"/>
      <c r="AC376" s="4"/>
      <c r="AD376" s="5"/>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6"/>
      <c r="CE376" s="7"/>
      <c r="CF376" s="6"/>
      <c r="CG376" s="7"/>
      <c r="CH376" s="6"/>
      <c r="CI376" s="7"/>
      <c r="CJ376" s="8">
        <f t="shared" si="46"/>
        <v>0</v>
      </c>
      <c r="CK376" s="9"/>
      <c r="CL376" s="10"/>
      <c r="CM376" s="11"/>
      <c r="CN376" s="12"/>
      <c r="CO376" s="28"/>
      <c r="CP376" s="12"/>
      <c r="CQ376" s="9"/>
      <c r="CR376" s="10"/>
      <c r="CS376" s="68"/>
      <c r="EC376" s="344" t="str">
        <f t="shared" si="41"/>
        <v>CUNDINAMARCA_COTA</v>
      </c>
      <c r="ED376" s="341"/>
      <c r="EE376" s="341" t="s">
        <v>3125</v>
      </c>
      <c r="EF376" s="349" t="s">
        <v>3126</v>
      </c>
      <c r="EG376" s="341" t="s">
        <v>3567</v>
      </c>
      <c r="EH376" s="341" t="s">
        <v>4704</v>
      </c>
      <c r="EI376" s="341" t="str">
        <f t="shared" si="48"/>
        <v>Caldas_Victoria</v>
      </c>
    </row>
    <row r="377" spans="1:139" ht="36">
      <c r="A377" s="228">
        <v>40279</v>
      </c>
      <c r="B377" s="102" t="s">
        <v>396</v>
      </c>
      <c r="C377" s="102" t="s">
        <v>2697</v>
      </c>
      <c r="D377" s="206" t="s">
        <v>1201</v>
      </c>
      <c r="E377" s="320" t="s">
        <v>3925</v>
      </c>
      <c r="F377" s="320"/>
      <c r="G377" s="210"/>
      <c r="H377" s="71"/>
      <c r="I377" s="71"/>
      <c r="J377" s="71">
        <f>60*5</f>
        <v>300</v>
      </c>
      <c r="K377" s="71">
        <v>60</v>
      </c>
      <c r="L377" s="1"/>
      <c r="M377" s="73">
        <f t="shared" si="42"/>
        <v>0</v>
      </c>
      <c r="N377" s="73">
        <f t="shared" si="43"/>
        <v>0</v>
      </c>
      <c r="O377" s="73">
        <f t="shared" si="44"/>
        <v>0</v>
      </c>
      <c r="P377" s="73">
        <f t="shared" si="45"/>
        <v>0</v>
      </c>
      <c r="Q377" s="73"/>
      <c r="R377" s="73">
        <v>0</v>
      </c>
      <c r="S377" s="75">
        <f t="shared" si="47"/>
        <v>0</v>
      </c>
      <c r="T377" s="77">
        <v>0</v>
      </c>
      <c r="U377" s="66">
        <v>40280</v>
      </c>
      <c r="V377" s="79"/>
      <c r="W377" s="66" t="s">
        <v>1585</v>
      </c>
      <c r="X377" s="24" t="s">
        <v>1586</v>
      </c>
      <c r="Y377" s="62"/>
      <c r="Z377" s="177" t="s">
        <v>894</v>
      </c>
      <c r="AA377" s="80" t="s">
        <v>1740</v>
      </c>
      <c r="AB377" s="3"/>
      <c r="AC377" s="4"/>
      <c r="AD377" s="5"/>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6"/>
      <c r="CE377" s="7"/>
      <c r="CF377" s="6"/>
      <c r="CG377" s="7"/>
      <c r="CH377" s="6"/>
      <c r="CI377" s="7"/>
      <c r="CJ377" s="8">
        <f t="shared" si="46"/>
        <v>0</v>
      </c>
      <c r="CK377" s="9"/>
      <c r="CL377" s="10"/>
      <c r="CM377" s="11"/>
      <c r="CN377" s="12"/>
      <c r="CO377" s="28"/>
      <c r="CP377" s="12"/>
      <c r="CQ377" s="9"/>
      <c r="CR377" s="10"/>
      <c r="CS377" s="68"/>
      <c r="EC377" s="344" t="str">
        <f t="shared" si="41"/>
        <v>META_PUERTO LOPEZ</v>
      </c>
      <c r="ED377" s="341"/>
      <c r="EE377" s="341" t="s">
        <v>3125</v>
      </c>
      <c r="EF377" s="349" t="s">
        <v>3126</v>
      </c>
      <c r="EG377" s="341" t="s">
        <v>3568</v>
      </c>
      <c r="EH377" s="341" t="s">
        <v>4705</v>
      </c>
      <c r="EI377" s="341" t="str">
        <f t="shared" si="48"/>
        <v>Caldas_Villamaria</v>
      </c>
    </row>
    <row r="378" spans="1:139" ht="51">
      <c r="A378" s="228">
        <v>40279</v>
      </c>
      <c r="B378" s="102" t="s">
        <v>965</v>
      </c>
      <c r="C378" s="102" t="s">
        <v>2699</v>
      </c>
      <c r="D378" s="206" t="s">
        <v>1201</v>
      </c>
      <c r="E378" s="320" t="s">
        <v>4023</v>
      </c>
      <c r="F378" s="320"/>
      <c r="G378" s="210"/>
      <c r="H378" s="71"/>
      <c r="I378" s="71"/>
      <c r="J378" s="71">
        <v>50</v>
      </c>
      <c r="K378" s="71">
        <v>10</v>
      </c>
      <c r="L378" s="1"/>
      <c r="M378" s="73">
        <f t="shared" si="42"/>
        <v>0</v>
      </c>
      <c r="N378" s="73">
        <f t="shared" si="43"/>
        <v>0</v>
      </c>
      <c r="O378" s="73">
        <f t="shared" si="44"/>
        <v>0</v>
      </c>
      <c r="P378" s="73">
        <f t="shared" si="45"/>
        <v>0</v>
      </c>
      <c r="Q378" s="73"/>
      <c r="R378" s="73">
        <v>0</v>
      </c>
      <c r="S378" s="75">
        <f t="shared" si="47"/>
        <v>0</v>
      </c>
      <c r="T378" s="77">
        <v>0</v>
      </c>
      <c r="U378" s="66">
        <v>40280</v>
      </c>
      <c r="V378" s="79"/>
      <c r="W378" s="66" t="s">
        <v>1585</v>
      </c>
      <c r="X378" s="24" t="s">
        <v>1586</v>
      </c>
      <c r="Y378" s="62"/>
      <c r="Z378" s="177" t="s">
        <v>894</v>
      </c>
      <c r="AA378" s="80" t="s">
        <v>2700</v>
      </c>
      <c r="AB378" s="3"/>
      <c r="AC378" s="4"/>
      <c r="AD378" s="5"/>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6"/>
      <c r="CE378" s="7"/>
      <c r="CF378" s="6"/>
      <c r="CG378" s="7"/>
      <c r="CH378" s="6"/>
      <c r="CI378" s="7"/>
      <c r="CJ378" s="8">
        <f t="shared" si="46"/>
        <v>0</v>
      </c>
      <c r="CK378" s="9"/>
      <c r="CL378" s="10"/>
      <c r="CM378" s="11"/>
      <c r="CN378" s="12"/>
      <c r="CO378" s="28"/>
      <c r="CP378" s="12"/>
      <c r="CQ378" s="9"/>
      <c r="CR378" s="10"/>
      <c r="CS378" s="68"/>
      <c r="EC378" s="344" t="str">
        <f t="shared" si="41"/>
        <v>NORTE DE SANTANDER_PAMPLONA</v>
      </c>
      <c r="ED378" s="341"/>
      <c r="EE378" s="341" t="s">
        <v>3125</v>
      </c>
      <c r="EF378" s="349" t="s">
        <v>3126</v>
      </c>
      <c r="EG378" s="341" t="s">
        <v>3569</v>
      </c>
      <c r="EH378" s="341" t="s">
        <v>4706</v>
      </c>
      <c r="EI378" s="341" t="str">
        <f t="shared" si="48"/>
        <v>Caldas_Viterbo</v>
      </c>
    </row>
    <row r="379" spans="1:139" ht="38.25">
      <c r="A379" s="228">
        <v>40279</v>
      </c>
      <c r="B379" s="102" t="s">
        <v>1609</v>
      </c>
      <c r="C379" s="102" t="s">
        <v>1838</v>
      </c>
      <c r="D379" s="206" t="s">
        <v>1201</v>
      </c>
      <c r="E379" s="320" t="s">
        <v>4054</v>
      </c>
      <c r="F379" s="320"/>
      <c r="G379" s="210"/>
      <c r="H379" s="71"/>
      <c r="I379" s="71"/>
      <c r="J379" s="71">
        <v>5</v>
      </c>
      <c r="K379" s="71">
        <v>1</v>
      </c>
      <c r="L379" s="1"/>
      <c r="M379" s="73">
        <f t="shared" si="42"/>
        <v>0</v>
      </c>
      <c r="N379" s="73">
        <f t="shared" si="43"/>
        <v>0</v>
      </c>
      <c r="O379" s="73">
        <f t="shared" si="44"/>
        <v>0</v>
      </c>
      <c r="P379" s="73">
        <f t="shared" si="45"/>
        <v>0</v>
      </c>
      <c r="Q379" s="73"/>
      <c r="R379" s="73">
        <v>0</v>
      </c>
      <c r="S379" s="75">
        <f t="shared" si="47"/>
        <v>0</v>
      </c>
      <c r="T379" s="77">
        <v>0</v>
      </c>
      <c r="U379" s="66">
        <v>40280</v>
      </c>
      <c r="V379" s="79"/>
      <c r="W379" s="66" t="s">
        <v>1585</v>
      </c>
      <c r="X379" s="24" t="s">
        <v>1586</v>
      </c>
      <c r="Y379" s="62"/>
      <c r="Z379" s="177" t="s">
        <v>894</v>
      </c>
      <c r="AA379" s="80" t="s">
        <v>2701</v>
      </c>
      <c r="AB379" s="3"/>
      <c r="AC379" s="4"/>
      <c r="AD379" s="5"/>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6"/>
      <c r="CE379" s="7"/>
      <c r="CF379" s="6"/>
      <c r="CG379" s="7"/>
      <c r="CH379" s="6"/>
      <c r="CI379" s="7"/>
      <c r="CJ379" s="8">
        <f t="shared" si="46"/>
        <v>0</v>
      </c>
      <c r="CK379" s="9"/>
      <c r="CL379" s="10"/>
      <c r="CM379" s="11"/>
      <c r="CN379" s="12"/>
      <c r="CO379" s="28"/>
      <c r="CP379" s="12"/>
      <c r="CQ379" s="9"/>
      <c r="CR379" s="10"/>
      <c r="CS379" s="68"/>
      <c r="EC379" s="344" t="str">
        <f t="shared" si="41"/>
        <v>RISARALDA_DOSQUEBRADAS</v>
      </c>
      <c r="ED379" s="341"/>
      <c r="EE379" s="341" t="s">
        <v>3128</v>
      </c>
      <c r="EF379" s="349" t="s">
        <v>4707</v>
      </c>
      <c r="EG379" s="341" t="s">
        <v>3570</v>
      </c>
      <c r="EH379" s="341" t="s">
        <v>4708</v>
      </c>
      <c r="EI379" s="341" t="str">
        <f t="shared" si="48"/>
        <v>Caqueta_Florencia</v>
      </c>
    </row>
    <row r="380" spans="1:139" ht="25.5">
      <c r="A380" s="228">
        <v>40279</v>
      </c>
      <c r="B380" s="102" t="s">
        <v>1609</v>
      </c>
      <c r="C380" s="102" t="s">
        <v>2373</v>
      </c>
      <c r="D380" s="206" t="s">
        <v>1201</v>
      </c>
      <c r="E380" s="320" t="s">
        <v>4059</v>
      </c>
      <c r="F380" s="320"/>
      <c r="G380" s="210"/>
      <c r="H380" s="71"/>
      <c r="I380" s="71"/>
      <c r="J380" s="71">
        <v>5</v>
      </c>
      <c r="K380" s="71">
        <v>1</v>
      </c>
      <c r="L380" s="1"/>
      <c r="M380" s="73">
        <f t="shared" si="42"/>
        <v>0</v>
      </c>
      <c r="N380" s="73">
        <f t="shared" si="43"/>
        <v>0</v>
      </c>
      <c r="O380" s="73">
        <f t="shared" si="44"/>
        <v>0</v>
      </c>
      <c r="P380" s="73">
        <f t="shared" si="45"/>
        <v>0</v>
      </c>
      <c r="Q380" s="73"/>
      <c r="R380" s="73">
        <v>0</v>
      </c>
      <c r="S380" s="75">
        <f t="shared" si="47"/>
        <v>0</v>
      </c>
      <c r="T380" s="77">
        <v>0</v>
      </c>
      <c r="U380" s="66">
        <v>40280</v>
      </c>
      <c r="V380" s="79"/>
      <c r="W380" s="66" t="s">
        <v>1585</v>
      </c>
      <c r="X380" s="24" t="s">
        <v>1586</v>
      </c>
      <c r="Y380" s="62"/>
      <c r="Z380" s="177" t="s">
        <v>894</v>
      </c>
      <c r="AA380" s="80" t="s">
        <v>2702</v>
      </c>
      <c r="AB380" s="3"/>
      <c r="AC380" s="4"/>
      <c r="AD380" s="5"/>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6"/>
      <c r="CE380" s="7"/>
      <c r="CF380" s="6"/>
      <c r="CG380" s="7"/>
      <c r="CH380" s="6"/>
      <c r="CI380" s="7"/>
      <c r="CJ380" s="8">
        <f t="shared" si="46"/>
        <v>0</v>
      </c>
      <c r="CK380" s="9"/>
      <c r="CL380" s="10"/>
      <c r="CM380" s="11"/>
      <c r="CN380" s="12"/>
      <c r="CO380" s="28"/>
      <c r="CP380" s="12"/>
      <c r="CQ380" s="9"/>
      <c r="CR380" s="10"/>
      <c r="CS380" s="68"/>
      <c r="EC380" s="344" t="str">
        <f t="shared" si="41"/>
        <v>RISARALDA_MISTRATO</v>
      </c>
      <c r="ED380" s="341"/>
      <c r="EE380" s="341" t="s">
        <v>3128</v>
      </c>
      <c r="EF380" s="349" t="s">
        <v>4707</v>
      </c>
      <c r="EG380" s="341" t="s">
        <v>3571</v>
      </c>
      <c r="EH380" s="341" t="s">
        <v>4709</v>
      </c>
      <c r="EI380" s="341" t="str">
        <f t="shared" si="48"/>
        <v>Caqueta_Albania</v>
      </c>
    </row>
    <row r="381" spans="1:139" ht="38.25">
      <c r="A381" s="228">
        <v>40279</v>
      </c>
      <c r="B381" s="102" t="s">
        <v>1609</v>
      </c>
      <c r="C381" s="102" t="s">
        <v>2004</v>
      </c>
      <c r="D381" s="206" t="s">
        <v>1201</v>
      </c>
      <c r="E381" s="320" t="s">
        <v>4050</v>
      </c>
      <c r="F381" s="320"/>
      <c r="G381" s="210"/>
      <c r="H381" s="71"/>
      <c r="I381" s="71"/>
      <c r="J381" s="71">
        <v>10</v>
      </c>
      <c r="K381" s="71">
        <v>2</v>
      </c>
      <c r="L381" s="1"/>
      <c r="M381" s="73">
        <f t="shared" si="42"/>
        <v>0</v>
      </c>
      <c r="N381" s="73">
        <f t="shared" si="43"/>
        <v>0</v>
      </c>
      <c r="O381" s="73">
        <f t="shared" si="44"/>
        <v>0</v>
      </c>
      <c r="P381" s="73">
        <f t="shared" si="45"/>
        <v>0</v>
      </c>
      <c r="Q381" s="73"/>
      <c r="R381" s="73">
        <v>0</v>
      </c>
      <c r="S381" s="75">
        <f t="shared" si="47"/>
        <v>0</v>
      </c>
      <c r="T381" s="77">
        <v>0</v>
      </c>
      <c r="U381" s="66">
        <v>40280</v>
      </c>
      <c r="V381" s="79"/>
      <c r="W381" s="66" t="s">
        <v>1585</v>
      </c>
      <c r="X381" s="24" t="s">
        <v>1586</v>
      </c>
      <c r="Y381" s="62"/>
      <c r="Z381" s="177" t="s">
        <v>894</v>
      </c>
      <c r="AA381" s="80" t="s">
        <v>647</v>
      </c>
      <c r="AB381" s="3"/>
      <c r="AC381" s="4"/>
      <c r="AD381" s="5"/>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6"/>
      <c r="CE381" s="7"/>
      <c r="CF381" s="6"/>
      <c r="CG381" s="7"/>
      <c r="CH381" s="6"/>
      <c r="CI381" s="7"/>
      <c r="CJ381" s="8">
        <f t="shared" si="46"/>
        <v>0</v>
      </c>
      <c r="CK381" s="9"/>
      <c r="CL381" s="10"/>
      <c r="CM381" s="11"/>
      <c r="CN381" s="12"/>
      <c r="CO381" s="28"/>
      <c r="CP381" s="12"/>
      <c r="CQ381" s="9"/>
      <c r="CR381" s="10"/>
      <c r="CS381" s="68"/>
      <c r="EC381" s="344" t="str">
        <f t="shared" si="41"/>
        <v>RISARALDA_PEREIRA</v>
      </c>
      <c r="ED381" s="341"/>
      <c r="EE381" s="341" t="s">
        <v>3128</v>
      </c>
      <c r="EF381" s="349" t="s">
        <v>4707</v>
      </c>
      <c r="EG381" s="341" t="s">
        <v>3572</v>
      </c>
      <c r="EH381" s="341" t="s">
        <v>4710</v>
      </c>
      <c r="EI381" s="341" t="str">
        <f t="shared" si="48"/>
        <v>Caqueta_Belen de Los Andaquies</v>
      </c>
    </row>
    <row r="382" spans="1:139" ht="51">
      <c r="A382" s="228">
        <v>40279</v>
      </c>
      <c r="B382" s="102" t="s">
        <v>1609</v>
      </c>
      <c r="C382" s="102" t="s">
        <v>1708</v>
      </c>
      <c r="D382" s="206" t="s">
        <v>1201</v>
      </c>
      <c r="E382" s="320" t="s">
        <v>4062</v>
      </c>
      <c r="F382" s="320"/>
      <c r="G382" s="210"/>
      <c r="H382" s="71"/>
      <c r="I382" s="71"/>
      <c r="J382" s="71">
        <v>20</v>
      </c>
      <c r="K382" s="71">
        <v>4</v>
      </c>
      <c r="L382" s="1"/>
      <c r="M382" s="73">
        <f t="shared" si="42"/>
        <v>0</v>
      </c>
      <c r="N382" s="73">
        <f t="shared" si="43"/>
        <v>0</v>
      </c>
      <c r="O382" s="73">
        <f t="shared" si="44"/>
        <v>0</v>
      </c>
      <c r="P382" s="73">
        <f t="shared" si="45"/>
        <v>0</v>
      </c>
      <c r="Q382" s="73"/>
      <c r="R382" s="73">
        <v>0</v>
      </c>
      <c r="S382" s="75">
        <f t="shared" si="47"/>
        <v>0</v>
      </c>
      <c r="T382" s="77">
        <v>0</v>
      </c>
      <c r="U382" s="66">
        <v>40280</v>
      </c>
      <c r="V382" s="79"/>
      <c r="W382" s="66" t="s">
        <v>1585</v>
      </c>
      <c r="X382" s="24" t="s">
        <v>1586</v>
      </c>
      <c r="Y382" s="62"/>
      <c r="Z382" s="177" t="s">
        <v>894</v>
      </c>
      <c r="AA382" s="80" t="s">
        <v>647</v>
      </c>
      <c r="AB382" s="3"/>
      <c r="AC382" s="4"/>
      <c r="AD382" s="5"/>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6"/>
      <c r="CE382" s="7"/>
      <c r="CF382" s="6"/>
      <c r="CG382" s="7"/>
      <c r="CH382" s="6"/>
      <c r="CI382" s="7"/>
      <c r="CJ382" s="8">
        <f t="shared" si="46"/>
        <v>0</v>
      </c>
      <c r="CK382" s="9"/>
      <c r="CL382" s="10"/>
      <c r="CM382" s="11"/>
      <c r="CN382" s="12"/>
      <c r="CO382" s="28"/>
      <c r="CP382" s="12"/>
      <c r="CQ382" s="9"/>
      <c r="CR382" s="10"/>
      <c r="CS382" s="68"/>
      <c r="EC382" s="344" t="str">
        <f t="shared" si="41"/>
        <v>RISARALDA_SANTA ROSA DE CABAL</v>
      </c>
      <c r="ED382" s="341"/>
      <c r="EE382" s="341" t="s">
        <v>3128</v>
      </c>
      <c r="EF382" s="349" t="s">
        <v>4707</v>
      </c>
      <c r="EG382" s="341" t="s">
        <v>3573</v>
      </c>
      <c r="EH382" s="341" t="s">
        <v>4711</v>
      </c>
      <c r="EI382" s="341" t="str">
        <f t="shared" si="48"/>
        <v>Caqueta_Cartagena del Chaira</v>
      </c>
    </row>
    <row r="383" spans="1:139" ht="33.75">
      <c r="A383" s="228">
        <v>40279</v>
      </c>
      <c r="B383" s="102" t="s">
        <v>1998</v>
      </c>
      <c r="C383" s="102" t="s">
        <v>1807</v>
      </c>
      <c r="D383" s="206" t="s">
        <v>1201</v>
      </c>
      <c r="E383" s="320" t="s">
        <v>4133</v>
      </c>
      <c r="F383" s="320"/>
      <c r="G383" s="265"/>
      <c r="H383" s="71"/>
      <c r="I383" s="71"/>
      <c r="J383" s="71">
        <v>200</v>
      </c>
      <c r="K383" s="71">
        <v>40</v>
      </c>
      <c r="L383" s="1">
        <v>40389</v>
      </c>
      <c r="M383" s="73">
        <f t="shared" si="42"/>
        <v>0</v>
      </c>
      <c r="N383" s="73">
        <f t="shared" si="43"/>
        <v>3400000</v>
      </c>
      <c r="O383" s="73">
        <f t="shared" si="44"/>
        <v>0</v>
      </c>
      <c r="P383" s="73">
        <f t="shared" si="45"/>
        <v>0</v>
      </c>
      <c r="Q383" s="73"/>
      <c r="R383" s="73">
        <v>0</v>
      </c>
      <c r="S383" s="75">
        <f t="shared" si="47"/>
        <v>3400000</v>
      </c>
      <c r="T383" s="77">
        <v>0</v>
      </c>
      <c r="U383" s="66">
        <v>40353</v>
      </c>
      <c r="V383" s="79">
        <v>30750</v>
      </c>
      <c r="W383" s="66" t="s">
        <v>1606</v>
      </c>
      <c r="X383" s="24" t="s">
        <v>1607</v>
      </c>
      <c r="Y383" s="62">
        <v>220</v>
      </c>
      <c r="Z383" s="177" t="s">
        <v>577</v>
      </c>
      <c r="AA383" s="80" t="s">
        <v>1808</v>
      </c>
      <c r="AB383" s="3"/>
      <c r="AC383" s="4"/>
      <c r="AD383" s="5"/>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6"/>
      <c r="CE383" s="7"/>
      <c r="CF383" s="6"/>
      <c r="CG383" s="7"/>
      <c r="CH383" s="6"/>
      <c r="CI383" s="7"/>
      <c r="CJ383" s="8">
        <f t="shared" si="46"/>
        <v>0</v>
      </c>
      <c r="CK383" s="9"/>
      <c r="CL383" s="10"/>
      <c r="CM383" s="11">
        <v>40</v>
      </c>
      <c r="CN383" s="12">
        <f>40*85000</f>
        <v>3400000</v>
      </c>
      <c r="CO383" s="28"/>
      <c r="CP383" s="12"/>
      <c r="CQ383" s="9"/>
      <c r="CR383" s="10"/>
      <c r="CS383" s="68"/>
      <c r="EC383" s="344" t="str">
        <f t="shared" si="41"/>
        <v>SANTANDER_SAN GIL</v>
      </c>
      <c r="ED383" s="341"/>
      <c r="EE383" s="341" t="s">
        <v>3128</v>
      </c>
      <c r="EF383" s="349" t="s">
        <v>4707</v>
      </c>
      <c r="EG383" s="341" t="s">
        <v>3574</v>
      </c>
      <c r="EH383" s="341" t="s">
        <v>4712</v>
      </c>
      <c r="EI383" s="341" t="str">
        <f t="shared" si="48"/>
        <v>Caqueta_Curillo</v>
      </c>
    </row>
    <row r="384" spans="1:139" ht="25.5">
      <c r="A384" s="228">
        <v>40279</v>
      </c>
      <c r="B384" s="102" t="s">
        <v>2400</v>
      </c>
      <c r="C384" s="102" t="s">
        <v>3201</v>
      </c>
      <c r="D384" s="206" t="s">
        <v>2606</v>
      </c>
      <c r="E384" s="320" t="s">
        <v>4223</v>
      </c>
      <c r="F384" s="320"/>
      <c r="G384" s="210"/>
      <c r="H384" s="71"/>
      <c r="I384" s="71"/>
      <c r="J384" s="71">
        <v>65</v>
      </c>
      <c r="K384" s="71">
        <v>13</v>
      </c>
      <c r="L384" s="1"/>
      <c r="M384" s="73">
        <f t="shared" si="42"/>
        <v>0</v>
      </c>
      <c r="N384" s="73">
        <f t="shared" si="43"/>
        <v>0</v>
      </c>
      <c r="O384" s="73">
        <f t="shared" si="44"/>
        <v>0</v>
      </c>
      <c r="P384" s="73">
        <f t="shared" si="45"/>
        <v>0</v>
      </c>
      <c r="Q384" s="73"/>
      <c r="R384" s="73">
        <v>0</v>
      </c>
      <c r="S384" s="75">
        <f t="shared" si="47"/>
        <v>0</v>
      </c>
      <c r="T384" s="77">
        <v>0</v>
      </c>
      <c r="U384" s="66">
        <v>40280</v>
      </c>
      <c r="V384" s="79"/>
      <c r="W384" s="66" t="s">
        <v>1585</v>
      </c>
      <c r="X384" s="24" t="s">
        <v>1586</v>
      </c>
      <c r="Y384" s="62"/>
      <c r="Z384" s="177" t="s">
        <v>894</v>
      </c>
      <c r="AA384" s="80" t="s">
        <v>2434</v>
      </c>
      <c r="AB384" s="3"/>
      <c r="AC384" s="4"/>
      <c r="AD384" s="5"/>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6"/>
      <c r="CE384" s="7"/>
      <c r="CF384" s="6"/>
      <c r="CG384" s="7"/>
      <c r="CH384" s="6"/>
      <c r="CI384" s="7"/>
      <c r="CJ384" s="8">
        <f t="shared" si="46"/>
        <v>0</v>
      </c>
      <c r="CK384" s="9"/>
      <c r="CL384" s="10"/>
      <c r="CM384" s="11"/>
      <c r="CN384" s="12"/>
      <c r="CO384" s="28"/>
      <c r="CP384" s="12"/>
      <c r="CQ384" s="9"/>
      <c r="CR384" s="10"/>
      <c r="CS384" s="68"/>
      <c r="EC384" s="344" t="str">
        <f t="shared" ref="EC384:EC441" si="49">B384&amp;"_"&amp;C384</f>
        <v>TOLIMA_VILLARRICA</v>
      </c>
      <c r="ED384" s="341"/>
      <c r="EE384" s="341" t="s">
        <v>3128</v>
      </c>
      <c r="EF384" s="349" t="s">
        <v>4707</v>
      </c>
      <c r="EG384" s="341" t="s">
        <v>3576</v>
      </c>
      <c r="EH384" s="341" t="s">
        <v>4713</v>
      </c>
      <c r="EI384" s="341" t="str">
        <f t="shared" si="48"/>
        <v>Caqueta_El Paujil</v>
      </c>
    </row>
    <row r="385" spans="1:139" ht="72">
      <c r="A385" s="228">
        <v>40280</v>
      </c>
      <c r="B385" s="102" t="s">
        <v>1314</v>
      </c>
      <c r="C385" s="102" t="s">
        <v>1234</v>
      </c>
      <c r="D385" s="206" t="s">
        <v>1878</v>
      </c>
      <c r="E385" s="320" t="s">
        <v>3614</v>
      </c>
      <c r="F385" s="320"/>
      <c r="G385" s="210"/>
      <c r="H385" s="71"/>
      <c r="I385" s="71"/>
      <c r="J385" s="71">
        <f>23*5</f>
        <v>115</v>
      </c>
      <c r="K385" s="71">
        <f>876-853</f>
        <v>23</v>
      </c>
      <c r="L385" s="1">
        <v>40380</v>
      </c>
      <c r="M385" s="73">
        <f t="shared" si="42"/>
        <v>0</v>
      </c>
      <c r="N385" s="73">
        <f t="shared" si="43"/>
        <v>0</v>
      </c>
      <c r="O385" s="73">
        <f t="shared" si="44"/>
        <v>0</v>
      </c>
      <c r="P385" s="73">
        <f t="shared" si="45"/>
        <v>0</v>
      </c>
      <c r="Q385" s="73"/>
      <c r="R385" s="73">
        <v>60000000</v>
      </c>
      <c r="S385" s="75">
        <f t="shared" si="47"/>
        <v>60000000</v>
      </c>
      <c r="T385" s="77">
        <v>0</v>
      </c>
      <c r="U385" s="66">
        <v>40282</v>
      </c>
      <c r="V385" s="79">
        <v>34717</v>
      </c>
      <c r="W385" s="66" t="s">
        <v>1606</v>
      </c>
      <c r="X385" s="24" t="s">
        <v>1607</v>
      </c>
      <c r="Y385" s="62">
        <v>357</v>
      </c>
      <c r="Z385" s="177" t="s">
        <v>1435</v>
      </c>
      <c r="AA385" s="80" t="s">
        <v>2619</v>
      </c>
      <c r="AB385" s="3"/>
      <c r="AC385" s="4"/>
      <c r="AD385" s="5"/>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6"/>
      <c r="CE385" s="7"/>
      <c r="CF385" s="6"/>
      <c r="CG385" s="7"/>
      <c r="CH385" s="6"/>
      <c r="CI385" s="7"/>
      <c r="CJ385" s="8">
        <f t="shared" si="46"/>
        <v>0</v>
      </c>
      <c r="CK385" s="9"/>
      <c r="CL385" s="10"/>
      <c r="CM385" s="11"/>
      <c r="CN385" s="12"/>
      <c r="CO385" s="28"/>
      <c r="CP385" s="12"/>
      <c r="CQ385" s="9"/>
      <c r="CR385" s="10"/>
      <c r="CS385" s="68">
        <v>2</v>
      </c>
      <c r="EC385" s="344" t="str">
        <f t="shared" si="49"/>
        <v>CAUCA_PURACE</v>
      </c>
      <c r="ED385" s="341"/>
      <c r="EE385" s="341" t="s">
        <v>3128</v>
      </c>
      <c r="EF385" s="349" t="s">
        <v>4707</v>
      </c>
      <c r="EG385" s="341" t="s">
        <v>3577</v>
      </c>
      <c r="EH385" s="341" t="s">
        <v>4714</v>
      </c>
      <c r="EI385" s="341" t="str">
        <f t="shared" si="48"/>
        <v>Caqueta_La Montañita</v>
      </c>
    </row>
    <row r="386" spans="1:139" ht="48">
      <c r="A386" s="228">
        <v>40280</v>
      </c>
      <c r="B386" s="102" t="s">
        <v>1314</v>
      </c>
      <c r="C386" s="102" t="s">
        <v>2750</v>
      </c>
      <c r="D386" s="206" t="s">
        <v>1201</v>
      </c>
      <c r="E386" s="320" t="s">
        <v>3627</v>
      </c>
      <c r="F386" s="320"/>
      <c r="G386" s="210"/>
      <c r="H386" s="71"/>
      <c r="I386" s="71"/>
      <c r="J386" s="71">
        <f>215*5</f>
        <v>1075</v>
      </c>
      <c r="K386" s="71">
        <v>215</v>
      </c>
      <c r="L386" s="1">
        <v>40333</v>
      </c>
      <c r="M386" s="73">
        <f t="shared" si="42"/>
        <v>23405000</v>
      </c>
      <c r="N386" s="73">
        <f t="shared" si="43"/>
        <v>17850000</v>
      </c>
      <c r="O386" s="73">
        <f t="shared" si="44"/>
        <v>0</v>
      </c>
      <c r="P386" s="73">
        <f t="shared" si="45"/>
        <v>0</v>
      </c>
      <c r="Q386" s="73"/>
      <c r="R386" s="73">
        <v>0</v>
      </c>
      <c r="S386" s="75">
        <f t="shared" si="47"/>
        <v>41255000</v>
      </c>
      <c r="T386" s="77">
        <v>0</v>
      </c>
      <c r="U386" s="66">
        <v>40318</v>
      </c>
      <c r="V386" s="79">
        <v>97645</v>
      </c>
      <c r="W386" s="66" t="s">
        <v>1606</v>
      </c>
      <c r="X386" s="24" t="s">
        <v>1607</v>
      </c>
      <c r="Y386" s="62">
        <v>149</v>
      </c>
      <c r="Z386" s="177" t="s">
        <v>2580</v>
      </c>
      <c r="AA386" s="80" t="s">
        <v>2751</v>
      </c>
      <c r="AB386" s="3"/>
      <c r="AC386" s="4"/>
      <c r="AD386" s="5"/>
      <c r="AE386" s="4"/>
      <c r="AF386" s="4"/>
      <c r="AG386" s="4"/>
      <c r="AH386" s="4"/>
      <c r="AI386" s="4"/>
      <c r="AJ386" s="4"/>
      <c r="AK386" s="4"/>
      <c r="AL386" s="4"/>
      <c r="AM386" s="4"/>
      <c r="AN386" s="4">
        <v>302</v>
      </c>
      <c r="AO386" s="4">
        <f>302*56000</f>
        <v>16912000</v>
      </c>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v>302</v>
      </c>
      <c r="BY386" s="4">
        <f>302*21500</f>
        <v>6493000</v>
      </c>
      <c r="BZ386" s="4"/>
      <c r="CA386" s="4"/>
      <c r="CB386" s="4"/>
      <c r="CC386" s="4"/>
      <c r="CD386" s="6"/>
      <c r="CE386" s="7"/>
      <c r="CF386" s="6"/>
      <c r="CG386" s="7"/>
      <c r="CH386" s="6"/>
      <c r="CI386" s="7"/>
      <c r="CJ386" s="8">
        <f t="shared" si="46"/>
        <v>23405000</v>
      </c>
      <c r="CK386" s="9"/>
      <c r="CL386" s="10"/>
      <c r="CM386" s="11">
        <v>210</v>
      </c>
      <c r="CN386" s="12">
        <f>210*85000</f>
        <v>17850000</v>
      </c>
      <c r="CO386" s="28"/>
      <c r="CP386" s="12"/>
      <c r="CQ386" s="9"/>
      <c r="CR386" s="10"/>
      <c r="CS386" s="68"/>
      <c r="EC386" s="344" t="str">
        <f t="shared" si="49"/>
        <v>CAUCA_VILLA RICA</v>
      </c>
      <c r="ED386" s="341"/>
      <c r="EE386" s="341" t="s">
        <v>3128</v>
      </c>
      <c r="EF386" s="349" t="s">
        <v>4707</v>
      </c>
      <c r="EG386" s="341" t="s">
        <v>3578</v>
      </c>
      <c r="EH386" s="341" t="s">
        <v>4715</v>
      </c>
      <c r="EI386" s="341" t="str">
        <f t="shared" si="48"/>
        <v>Caqueta_Milan</v>
      </c>
    </row>
    <row r="387" spans="1:139" ht="25.5">
      <c r="A387" s="228">
        <v>40280</v>
      </c>
      <c r="B387" s="102" t="s">
        <v>962</v>
      </c>
      <c r="C387" s="102" t="s">
        <v>2296</v>
      </c>
      <c r="D387" s="206" t="s">
        <v>1201</v>
      </c>
      <c r="E387" s="320" t="s">
        <v>3834</v>
      </c>
      <c r="F387" s="320"/>
      <c r="G387" s="210"/>
      <c r="H387" s="71"/>
      <c r="I387" s="71"/>
      <c r="J387" s="71">
        <v>220</v>
      </c>
      <c r="K387" s="71">
        <v>53</v>
      </c>
      <c r="L387" s="1"/>
      <c r="M387" s="73">
        <f t="shared" ref="M387:M450" si="50">CJ387</f>
        <v>0</v>
      </c>
      <c r="N387" s="73">
        <f t="shared" ref="N387:N450" si="51">CN387</f>
        <v>0</v>
      </c>
      <c r="O387" s="73">
        <f t="shared" ref="O387:O450" si="52">CP387+CR387</f>
        <v>0</v>
      </c>
      <c r="P387" s="73">
        <f t="shared" ref="P387:P450" si="53">CL387</f>
        <v>0</v>
      </c>
      <c r="Q387" s="73"/>
      <c r="R387" s="73">
        <v>0</v>
      </c>
      <c r="S387" s="75">
        <f t="shared" si="47"/>
        <v>0</v>
      </c>
      <c r="T387" s="77">
        <v>0</v>
      </c>
      <c r="U387" s="66">
        <v>40281</v>
      </c>
      <c r="V387" s="79"/>
      <c r="W387" s="66" t="s">
        <v>1585</v>
      </c>
      <c r="X387" s="24" t="s">
        <v>1586</v>
      </c>
      <c r="Y387" s="62"/>
      <c r="Z387" s="177" t="s">
        <v>894</v>
      </c>
      <c r="AA387" s="80" t="s">
        <v>2353</v>
      </c>
      <c r="AB387" s="3"/>
      <c r="AC387" s="4"/>
      <c r="AD387" s="5"/>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6"/>
      <c r="CE387" s="7"/>
      <c r="CF387" s="6"/>
      <c r="CG387" s="7"/>
      <c r="CH387" s="6"/>
      <c r="CI387" s="7"/>
      <c r="CJ387" s="8">
        <f t="shared" ref="CJ387:CJ450" si="54">AC387+AE387+AG387+AI387+AK387+AM387+AO387+AQ387+AS387+AU387+AW387+AY387+BA387+BC387+BE387+BG387+BI387+BK387+BM387+BO387+BQ387+BS387+BU387+BW387+BY387+CA387+CC387+CE387+CG387+CI387</f>
        <v>0</v>
      </c>
      <c r="CK387" s="9"/>
      <c r="CL387" s="10"/>
      <c r="CM387" s="11"/>
      <c r="CN387" s="12"/>
      <c r="CO387" s="28"/>
      <c r="CP387" s="12"/>
      <c r="CQ387" s="9"/>
      <c r="CR387" s="10"/>
      <c r="CS387" s="68"/>
      <c r="EC387" s="344" t="str">
        <f t="shared" si="49"/>
        <v>HUILA_GIGANTE</v>
      </c>
      <c r="ED387" s="341"/>
      <c r="EE387" s="341" t="s">
        <v>3128</v>
      </c>
      <c r="EF387" s="349" t="s">
        <v>4707</v>
      </c>
      <c r="EG387" s="341" t="s">
        <v>3579</v>
      </c>
      <c r="EH387" s="341" t="s">
        <v>4716</v>
      </c>
      <c r="EI387" s="341" t="str">
        <f t="shared" si="48"/>
        <v>Caqueta_Morelia</v>
      </c>
    </row>
    <row r="388" spans="1:139" ht="36">
      <c r="A388" s="235">
        <v>40281</v>
      </c>
      <c r="B388" s="224" t="s">
        <v>1972</v>
      </c>
      <c r="C388" s="224" t="s">
        <v>2358</v>
      </c>
      <c r="D388" s="236" t="s">
        <v>1878</v>
      </c>
      <c r="E388" s="324" t="s">
        <v>3227</v>
      </c>
      <c r="F388" s="324"/>
      <c r="G388" s="210"/>
      <c r="H388" s="71"/>
      <c r="I388" s="71"/>
      <c r="J388" s="71">
        <f>18*5</f>
        <v>90</v>
      </c>
      <c r="K388" s="71">
        <v>18</v>
      </c>
      <c r="L388" s="1"/>
      <c r="M388" s="73">
        <f t="shared" si="50"/>
        <v>0</v>
      </c>
      <c r="N388" s="73">
        <f t="shared" si="51"/>
        <v>0</v>
      </c>
      <c r="O388" s="73">
        <f t="shared" si="52"/>
        <v>0</v>
      </c>
      <c r="P388" s="73">
        <f t="shared" si="53"/>
        <v>0</v>
      </c>
      <c r="Q388" s="73"/>
      <c r="R388" s="73">
        <v>0</v>
      </c>
      <c r="S388" s="75">
        <f t="shared" si="47"/>
        <v>0</v>
      </c>
      <c r="T388" s="77">
        <v>0</v>
      </c>
      <c r="U388" s="66">
        <v>40282</v>
      </c>
      <c r="V388" s="79"/>
      <c r="W388" s="66" t="s">
        <v>1585</v>
      </c>
      <c r="X388" s="24" t="s">
        <v>1586</v>
      </c>
      <c r="Y388" s="62"/>
      <c r="Z388" s="177" t="s">
        <v>894</v>
      </c>
      <c r="AA388" s="80" t="s">
        <v>2359</v>
      </c>
      <c r="AB388" s="3"/>
      <c r="AC388" s="4"/>
      <c r="AD388" s="5"/>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6"/>
      <c r="CE388" s="7"/>
      <c r="CF388" s="6"/>
      <c r="CG388" s="7"/>
      <c r="CH388" s="6"/>
      <c r="CI388" s="7"/>
      <c r="CJ388" s="8">
        <f t="shared" si="54"/>
        <v>0</v>
      </c>
      <c r="CK388" s="9"/>
      <c r="CL388" s="10"/>
      <c r="CM388" s="11"/>
      <c r="CN388" s="12"/>
      <c r="CO388" s="28"/>
      <c r="CP388" s="12"/>
      <c r="CQ388" s="9"/>
      <c r="CR388" s="10"/>
      <c r="CS388" s="68"/>
      <c r="EC388" s="344" t="str">
        <f t="shared" si="49"/>
        <v>ANTIOQUIA_MEDELLIN</v>
      </c>
      <c r="ED388" s="341"/>
      <c r="EE388" s="341" t="s">
        <v>3128</v>
      </c>
      <c r="EF388" s="349" t="s">
        <v>4707</v>
      </c>
      <c r="EG388" s="341" t="s">
        <v>3580</v>
      </c>
      <c r="EH388" s="341" t="s">
        <v>4717</v>
      </c>
      <c r="EI388" s="341" t="str">
        <f t="shared" si="48"/>
        <v>Caqueta_Puerto Rico</v>
      </c>
    </row>
    <row r="389" spans="1:139" ht="38.25">
      <c r="A389" s="228">
        <v>40281</v>
      </c>
      <c r="B389" s="102" t="s">
        <v>653</v>
      </c>
      <c r="C389" s="102" t="s">
        <v>399</v>
      </c>
      <c r="D389" s="206" t="s">
        <v>2606</v>
      </c>
      <c r="E389" s="320" t="s">
        <v>3543</v>
      </c>
      <c r="F389" s="320"/>
      <c r="G389" s="210"/>
      <c r="H389" s="71"/>
      <c r="I389" s="71"/>
      <c r="J389" s="71">
        <v>15</v>
      </c>
      <c r="K389" s="71">
        <v>3</v>
      </c>
      <c r="L389" s="1"/>
      <c r="M389" s="73">
        <f t="shared" si="50"/>
        <v>0</v>
      </c>
      <c r="N389" s="73">
        <f t="shared" si="51"/>
        <v>0</v>
      </c>
      <c r="O389" s="73">
        <f t="shared" si="52"/>
        <v>0</v>
      </c>
      <c r="P389" s="73">
        <f t="shared" si="53"/>
        <v>0</v>
      </c>
      <c r="Q389" s="73"/>
      <c r="R389" s="73">
        <v>0</v>
      </c>
      <c r="S389" s="75">
        <f t="shared" si="47"/>
        <v>0</v>
      </c>
      <c r="T389" s="77">
        <v>0</v>
      </c>
      <c r="U389" s="66">
        <v>40282</v>
      </c>
      <c r="V389" s="79"/>
      <c r="W389" s="66" t="s">
        <v>1585</v>
      </c>
      <c r="X389" s="24" t="s">
        <v>1586</v>
      </c>
      <c r="Y389" s="62"/>
      <c r="Z389" s="177" t="s">
        <v>894</v>
      </c>
      <c r="AA389" s="80" t="s">
        <v>2361</v>
      </c>
      <c r="AB389" s="3"/>
      <c r="AC389" s="4"/>
      <c r="AD389" s="5"/>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6"/>
      <c r="CE389" s="7"/>
      <c r="CF389" s="6"/>
      <c r="CG389" s="7"/>
      <c r="CH389" s="6"/>
      <c r="CI389" s="7"/>
      <c r="CJ389" s="8">
        <f t="shared" si="54"/>
        <v>0</v>
      </c>
      <c r="CK389" s="9"/>
      <c r="CL389" s="10"/>
      <c r="CM389" s="11"/>
      <c r="CN389" s="12"/>
      <c r="CO389" s="28"/>
      <c r="CP389" s="12"/>
      <c r="CQ389" s="9"/>
      <c r="CR389" s="10"/>
      <c r="CS389" s="68"/>
      <c r="EC389" s="344" t="str">
        <f t="shared" si="49"/>
        <v>CALDAS_MANIZALES</v>
      </c>
      <c r="ED389" s="341"/>
      <c r="EE389" s="341" t="s">
        <v>3128</v>
      </c>
      <c r="EF389" s="349" t="s">
        <v>4707</v>
      </c>
      <c r="EG389" s="341" t="s">
        <v>3581</v>
      </c>
      <c r="EH389" s="341" t="s">
        <v>4718</v>
      </c>
      <c r="EI389" s="341" t="str">
        <f t="shared" si="48"/>
        <v>Caqueta_San Jose del Fragua</v>
      </c>
    </row>
    <row r="390" spans="1:139" ht="38.25">
      <c r="A390" s="228">
        <v>40281</v>
      </c>
      <c r="B390" s="102" t="s">
        <v>1314</v>
      </c>
      <c r="C390" s="102" t="s">
        <v>1600</v>
      </c>
      <c r="D390" s="206" t="s">
        <v>1902</v>
      </c>
      <c r="E390" s="320" t="s">
        <v>3609</v>
      </c>
      <c r="F390" s="320"/>
      <c r="G390" s="210"/>
      <c r="H390" s="71"/>
      <c r="I390" s="71"/>
      <c r="J390" s="71"/>
      <c r="K390" s="71"/>
      <c r="L390" s="1"/>
      <c r="M390" s="73">
        <f t="shared" si="50"/>
        <v>0</v>
      </c>
      <c r="N390" s="73">
        <f t="shared" si="51"/>
        <v>0</v>
      </c>
      <c r="O390" s="73">
        <f t="shared" si="52"/>
        <v>0</v>
      </c>
      <c r="P390" s="73">
        <f t="shared" si="53"/>
        <v>0</v>
      </c>
      <c r="Q390" s="73"/>
      <c r="R390" s="73">
        <v>0</v>
      </c>
      <c r="S390" s="75">
        <f t="shared" si="47"/>
        <v>0</v>
      </c>
      <c r="T390" s="77">
        <v>0</v>
      </c>
      <c r="U390" s="66">
        <v>40282</v>
      </c>
      <c r="V390" s="79"/>
      <c r="W390" s="66" t="s">
        <v>1585</v>
      </c>
      <c r="X390" s="24" t="s">
        <v>1586</v>
      </c>
      <c r="Y390" s="62"/>
      <c r="Z390" s="177" t="s">
        <v>894</v>
      </c>
      <c r="AA390" s="80" t="s">
        <v>1739</v>
      </c>
      <c r="AB390" s="3"/>
      <c r="AC390" s="4"/>
      <c r="AD390" s="5"/>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6"/>
      <c r="CE390" s="7"/>
      <c r="CF390" s="6"/>
      <c r="CG390" s="7"/>
      <c r="CH390" s="6"/>
      <c r="CI390" s="7"/>
      <c r="CJ390" s="8">
        <f t="shared" si="54"/>
        <v>0</v>
      </c>
      <c r="CK390" s="9"/>
      <c r="CL390" s="10"/>
      <c r="CM390" s="11"/>
      <c r="CN390" s="12"/>
      <c r="CO390" s="28"/>
      <c r="CP390" s="12"/>
      <c r="CQ390" s="9"/>
      <c r="CR390" s="10"/>
      <c r="CS390" s="68"/>
      <c r="EC390" s="344" t="str">
        <f t="shared" si="49"/>
        <v>CAUCA_PAEZ</v>
      </c>
      <c r="ED390" s="341"/>
      <c r="EE390" s="341" t="s">
        <v>3128</v>
      </c>
      <c r="EF390" s="349" t="s">
        <v>4707</v>
      </c>
      <c r="EG390" s="341" t="s">
        <v>3582</v>
      </c>
      <c r="EH390" s="341" t="s">
        <v>4719</v>
      </c>
      <c r="EI390" s="341" t="str">
        <f t="shared" si="48"/>
        <v>Caqueta_San Vicente del Caguan</v>
      </c>
    </row>
    <row r="391" spans="1:139" ht="38.25">
      <c r="A391" s="228">
        <v>40281</v>
      </c>
      <c r="B391" s="102" t="s">
        <v>1604</v>
      </c>
      <c r="C391" s="102" t="s">
        <v>984</v>
      </c>
      <c r="D391" s="206" t="s">
        <v>1878</v>
      </c>
      <c r="E391" s="320" t="s">
        <v>3752</v>
      </c>
      <c r="F391" s="320"/>
      <c r="G391" s="210"/>
      <c r="H391" s="71"/>
      <c r="I391" s="71"/>
      <c r="J391" s="71"/>
      <c r="K391" s="71"/>
      <c r="L391" s="1"/>
      <c r="M391" s="73">
        <f t="shared" si="50"/>
        <v>0</v>
      </c>
      <c r="N391" s="73">
        <f t="shared" si="51"/>
        <v>0</v>
      </c>
      <c r="O391" s="73">
        <f t="shared" si="52"/>
        <v>0</v>
      </c>
      <c r="P391" s="73">
        <f t="shared" si="53"/>
        <v>0</v>
      </c>
      <c r="Q391" s="73"/>
      <c r="R391" s="73">
        <v>0</v>
      </c>
      <c r="S391" s="75">
        <f t="shared" si="47"/>
        <v>0</v>
      </c>
      <c r="T391" s="77">
        <v>0</v>
      </c>
      <c r="U391" s="66">
        <v>40282</v>
      </c>
      <c r="V391" s="79"/>
      <c r="W391" s="66" t="s">
        <v>1585</v>
      </c>
      <c r="X391" s="24" t="s">
        <v>1586</v>
      </c>
      <c r="Y391" s="62"/>
      <c r="Z391" s="177" t="s">
        <v>894</v>
      </c>
      <c r="AA391" s="80" t="s">
        <v>2401</v>
      </c>
      <c r="AB391" s="3"/>
      <c r="AC391" s="4"/>
      <c r="AD391" s="5"/>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6"/>
      <c r="CE391" s="7"/>
      <c r="CF391" s="6"/>
      <c r="CG391" s="7"/>
      <c r="CH391" s="6"/>
      <c r="CI391" s="7"/>
      <c r="CJ391" s="8">
        <f t="shared" si="54"/>
        <v>0</v>
      </c>
      <c r="CK391" s="9"/>
      <c r="CL391" s="10"/>
      <c r="CM391" s="11"/>
      <c r="CN391" s="12"/>
      <c r="CO391" s="28"/>
      <c r="CP391" s="12"/>
      <c r="CQ391" s="9"/>
      <c r="CR391" s="10"/>
      <c r="CS391" s="68"/>
      <c r="EC391" s="344" t="str">
        <f t="shared" si="49"/>
        <v>CUNDINAMARCA_APULO</v>
      </c>
      <c r="ED391" s="341"/>
      <c r="EE391" s="341" t="s">
        <v>3128</v>
      </c>
      <c r="EF391" s="349" t="s">
        <v>4707</v>
      </c>
      <c r="EG391" s="341" t="s">
        <v>3583</v>
      </c>
      <c r="EH391" s="341" t="s">
        <v>4720</v>
      </c>
      <c r="EI391" s="341" t="str">
        <f t="shared" si="48"/>
        <v>Caqueta_Solano</v>
      </c>
    </row>
    <row r="392" spans="1:139" ht="38.25">
      <c r="A392" s="228">
        <v>40281</v>
      </c>
      <c r="B392" s="102" t="s">
        <v>1604</v>
      </c>
      <c r="C392" s="102" t="s">
        <v>1949</v>
      </c>
      <c r="D392" s="206" t="s">
        <v>1201</v>
      </c>
      <c r="E392" s="320" t="s">
        <v>3699</v>
      </c>
      <c r="F392" s="320"/>
      <c r="G392" s="210"/>
      <c r="H392" s="71"/>
      <c r="I392" s="71"/>
      <c r="J392" s="71">
        <v>5</v>
      </c>
      <c r="K392" s="71">
        <v>1</v>
      </c>
      <c r="L392" s="1"/>
      <c r="M392" s="73">
        <f t="shared" si="50"/>
        <v>0</v>
      </c>
      <c r="N392" s="73">
        <f t="shared" si="51"/>
        <v>0</v>
      </c>
      <c r="O392" s="73">
        <f t="shared" si="52"/>
        <v>0</v>
      </c>
      <c r="P392" s="73">
        <f t="shared" si="53"/>
        <v>0</v>
      </c>
      <c r="Q392" s="73"/>
      <c r="R392" s="73">
        <v>0</v>
      </c>
      <c r="S392" s="75">
        <f t="shared" si="47"/>
        <v>0</v>
      </c>
      <c r="T392" s="77">
        <v>0</v>
      </c>
      <c r="U392" s="66">
        <v>40282</v>
      </c>
      <c r="V392" s="79"/>
      <c r="W392" s="66" t="s">
        <v>1585</v>
      </c>
      <c r="X392" s="24" t="s">
        <v>1586</v>
      </c>
      <c r="Y392" s="62"/>
      <c r="Z392" s="196" t="s">
        <v>894</v>
      </c>
      <c r="AA392" s="80" t="s">
        <v>1736</v>
      </c>
      <c r="AB392" s="3"/>
      <c r="AC392" s="4"/>
      <c r="AD392" s="5"/>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6"/>
      <c r="CE392" s="7"/>
      <c r="CF392" s="6"/>
      <c r="CG392" s="7"/>
      <c r="CH392" s="6"/>
      <c r="CI392" s="7"/>
      <c r="CJ392" s="8">
        <f t="shared" si="54"/>
        <v>0</v>
      </c>
      <c r="CK392" s="9"/>
      <c r="CL392" s="10"/>
      <c r="CM392" s="11"/>
      <c r="CN392" s="12"/>
      <c r="CO392" s="28"/>
      <c r="CP392" s="12"/>
      <c r="CQ392" s="9"/>
      <c r="CR392" s="10"/>
      <c r="CS392" s="68"/>
      <c r="EC392" s="344" t="str">
        <f t="shared" si="49"/>
        <v>CUNDINAMARCA_COTA</v>
      </c>
      <c r="ED392" s="341"/>
      <c r="EE392" s="341" t="s">
        <v>3128</v>
      </c>
      <c r="EF392" s="349" t="s">
        <v>4707</v>
      </c>
      <c r="EG392" s="341" t="s">
        <v>3584</v>
      </c>
      <c r="EH392" s="341" t="s">
        <v>4721</v>
      </c>
      <c r="EI392" s="341" t="str">
        <f t="shared" si="48"/>
        <v>Caqueta_Solita</v>
      </c>
    </row>
    <row r="393" spans="1:139" ht="38.25">
      <c r="A393" s="228">
        <v>40281</v>
      </c>
      <c r="B393" s="102" t="s">
        <v>1604</v>
      </c>
      <c r="C393" s="102" t="s">
        <v>840</v>
      </c>
      <c r="D393" s="206" t="s">
        <v>1201</v>
      </c>
      <c r="E393" s="320" t="s">
        <v>3753</v>
      </c>
      <c r="F393" s="320"/>
      <c r="G393" s="210"/>
      <c r="H393" s="71"/>
      <c r="I393" s="71"/>
      <c r="J393" s="71">
        <f>38+75</f>
        <v>113</v>
      </c>
      <c r="K393" s="71">
        <f>19+22</f>
        <v>41</v>
      </c>
      <c r="L393" s="1"/>
      <c r="M393" s="73">
        <f t="shared" si="50"/>
        <v>0</v>
      </c>
      <c r="N393" s="73">
        <f t="shared" si="51"/>
        <v>0</v>
      </c>
      <c r="O393" s="73">
        <f t="shared" si="52"/>
        <v>0</v>
      </c>
      <c r="P393" s="73">
        <f t="shared" si="53"/>
        <v>0</v>
      </c>
      <c r="Q393" s="73"/>
      <c r="R393" s="73">
        <v>0</v>
      </c>
      <c r="S393" s="75">
        <f t="shared" ref="S393:S456" si="55">M393+N393+O393+P393+Q393+R393</f>
        <v>0</v>
      </c>
      <c r="T393" s="77">
        <v>0</v>
      </c>
      <c r="U393" s="66">
        <v>40282</v>
      </c>
      <c r="V393" s="79"/>
      <c r="W393" s="66" t="s">
        <v>1585</v>
      </c>
      <c r="X393" s="24" t="s">
        <v>1586</v>
      </c>
      <c r="Y393" s="62"/>
      <c r="Z393" s="177" t="s">
        <v>894</v>
      </c>
      <c r="AA393" s="80" t="s">
        <v>1172</v>
      </c>
      <c r="AB393" s="3"/>
      <c r="AC393" s="4"/>
      <c r="AD393" s="5"/>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6"/>
      <c r="CE393" s="7"/>
      <c r="CF393" s="6"/>
      <c r="CG393" s="7"/>
      <c r="CH393" s="6"/>
      <c r="CI393" s="7"/>
      <c r="CJ393" s="8">
        <f t="shared" si="54"/>
        <v>0</v>
      </c>
      <c r="CK393" s="9"/>
      <c r="CL393" s="10"/>
      <c r="CM393" s="11"/>
      <c r="CN393" s="12"/>
      <c r="CO393" s="28"/>
      <c r="CP393" s="12"/>
      <c r="CQ393" s="9"/>
      <c r="CR393" s="10"/>
      <c r="CS393" s="68"/>
      <c r="EC393" s="344" t="str">
        <f t="shared" si="49"/>
        <v>CUNDINAMARCA_RICAURTE</v>
      </c>
      <c r="ED393" s="341"/>
      <c r="EE393" s="341" t="s">
        <v>3128</v>
      </c>
      <c r="EF393" s="349" t="s">
        <v>4707</v>
      </c>
      <c r="EG393" s="341" t="s">
        <v>3585</v>
      </c>
      <c r="EH393" s="341" t="s">
        <v>4485</v>
      </c>
      <c r="EI393" s="341" t="str">
        <f t="shared" si="48"/>
        <v>Caqueta_Valparaiso</v>
      </c>
    </row>
    <row r="394" spans="1:139" ht="25.5">
      <c r="A394" s="228">
        <v>40281</v>
      </c>
      <c r="B394" s="102" t="s">
        <v>1609</v>
      </c>
      <c r="C394" s="102" t="s">
        <v>2004</v>
      </c>
      <c r="D394" s="206" t="s">
        <v>1316</v>
      </c>
      <c r="E394" s="320" t="s">
        <v>4050</v>
      </c>
      <c r="F394" s="320"/>
      <c r="G394" s="210"/>
      <c r="H394" s="71">
        <v>5</v>
      </c>
      <c r="I394" s="71"/>
      <c r="J394" s="71">
        <v>36</v>
      </c>
      <c r="K394" s="71">
        <v>8</v>
      </c>
      <c r="L394" s="1"/>
      <c r="M394" s="73">
        <f t="shared" si="50"/>
        <v>0</v>
      </c>
      <c r="N394" s="73">
        <f t="shared" si="51"/>
        <v>0</v>
      </c>
      <c r="O394" s="73">
        <f t="shared" si="52"/>
        <v>0</v>
      </c>
      <c r="P394" s="73">
        <f t="shared" si="53"/>
        <v>0</v>
      </c>
      <c r="Q394" s="73"/>
      <c r="R394" s="73">
        <v>0</v>
      </c>
      <c r="S394" s="75">
        <f t="shared" si="55"/>
        <v>0</v>
      </c>
      <c r="T394" s="77">
        <v>0</v>
      </c>
      <c r="U394" s="66">
        <v>40283</v>
      </c>
      <c r="V394" s="79"/>
      <c r="W394" s="66" t="s">
        <v>1585</v>
      </c>
      <c r="X394" s="24" t="s">
        <v>1586</v>
      </c>
      <c r="Y394" s="62"/>
      <c r="Z394" s="177" t="s">
        <v>894</v>
      </c>
      <c r="AA394" s="80" t="s">
        <v>2439</v>
      </c>
      <c r="AB394" s="3"/>
      <c r="AC394" s="4"/>
      <c r="AD394" s="5"/>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6"/>
      <c r="CE394" s="7"/>
      <c r="CF394" s="6"/>
      <c r="CG394" s="7"/>
      <c r="CH394" s="6"/>
      <c r="CI394" s="7"/>
      <c r="CJ394" s="8">
        <f t="shared" si="54"/>
        <v>0</v>
      </c>
      <c r="CK394" s="9"/>
      <c r="CL394" s="10"/>
      <c r="CM394" s="11"/>
      <c r="CN394" s="12"/>
      <c r="CO394" s="28"/>
      <c r="CP394" s="12"/>
      <c r="CQ394" s="9"/>
      <c r="CR394" s="10"/>
      <c r="CS394" s="68"/>
      <c r="EC394" s="344" t="str">
        <f t="shared" si="49"/>
        <v>RISARALDA_PEREIRA</v>
      </c>
      <c r="ED394" s="341"/>
      <c r="EE394" s="341" t="s">
        <v>3131</v>
      </c>
      <c r="EF394" s="349" t="s">
        <v>3132</v>
      </c>
      <c r="EG394" s="341" t="s">
        <v>3586</v>
      </c>
      <c r="EH394" s="341" t="s">
        <v>4722</v>
      </c>
      <c r="EI394" s="341" t="str">
        <f t="shared" si="48"/>
        <v>Cauca_Popayan</v>
      </c>
    </row>
    <row r="395" spans="1:139" ht="38.25">
      <c r="A395" s="228">
        <v>40281</v>
      </c>
      <c r="B395" s="102" t="s">
        <v>2400</v>
      </c>
      <c r="C395" s="102" t="s">
        <v>2364</v>
      </c>
      <c r="D395" s="206" t="s">
        <v>1878</v>
      </c>
      <c r="E395" s="320" t="s">
        <v>4185</v>
      </c>
      <c r="F395" s="320"/>
      <c r="G395" s="210"/>
      <c r="H395" s="71"/>
      <c r="I395" s="71"/>
      <c r="J395" s="71">
        <v>10</v>
      </c>
      <c r="K395" s="71">
        <v>2</v>
      </c>
      <c r="L395" s="1"/>
      <c r="M395" s="73">
        <f t="shared" si="50"/>
        <v>0</v>
      </c>
      <c r="N395" s="73">
        <f t="shared" si="51"/>
        <v>0</v>
      </c>
      <c r="O395" s="73">
        <f t="shared" si="52"/>
        <v>0</v>
      </c>
      <c r="P395" s="73">
        <f t="shared" si="53"/>
        <v>0</v>
      </c>
      <c r="Q395" s="73"/>
      <c r="R395" s="73">
        <v>0</v>
      </c>
      <c r="S395" s="75">
        <f t="shared" si="55"/>
        <v>0</v>
      </c>
      <c r="T395" s="77">
        <v>0</v>
      </c>
      <c r="U395" s="66">
        <v>40282</v>
      </c>
      <c r="V395" s="79"/>
      <c r="W395" s="66" t="s">
        <v>1585</v>
      </c>
      <c r="X395" s="24" t="s">
        <v>1586</v>
      </c>
      <c r="Y395" s="62"/>
      <c r="Z395" s="177" t="s">
        <v>894</v>
      </c>
      <c r="AA395" s="80" t="s">
        <v>981</v>
      </c>
      <c r="AB395" s="3"/>
      <c r="AC395" s="4"/>
      <c r="AD395" s="5"/>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6"/>
      <c r="CE395" s="7"/>
      <c r="CF395" s="6"/>
      <c r="CG395" s="7"/>
      <c r="CH395" s="6"/>
      <c r="CI395" s="7"/>
      <c r="CJ395" s="8">
        <f t="shared" si="54"/>
        <v>0</v>
      </c>
      <c r="CK395" s="9"/>
      <c r="CL395" s="10"/>
      <c r="CM395" s="11"/>
      <c r="CN395" s="12"/>
      <c r="CO395" s="28"/>
      <c r="CP395" s="12"/>
      <c r="CQ395" s="9"/>
      <c r="CR395" s="10"/>
      <c r="CS395" s="68"/>
      <c r="EC395" s="344" t="str">
        <f t="shared" si="49"/>
        <v>TOLIMA_CARMEN DE APICALA</v>
      </c>
      <c r="ED395" s="341"/>
      <c r="EE395" s="341" t="s">
        <v>3131</v>
      </c>
      <c r="EF395" s="349" t="s">
        <v>3132</v>
      </c>
      <c r="EG395" s="341" t="s">
        <v>3587</v>
      </c>
      <c r="EH395" s="341" t="s">
        <v>4723</v>
      </c>
      <c r="EI395" s="341" t="str">
        <f t="shared" si="48"/>
        <v>Cauca_Almaguer</v>
      </c>
    </row>
    <row r="396" spans="1:139" ht="108">
      <c r="A396" s="228">
        <v>40281</v>
      </c>
      <c r="B396" s="102" t="s">
        <v>2400</v>
      </c>
      <c r="C396" s="102" t="s">
        <v>1579</v>
      </c>
      <c r="D396" s="206" t="s">
        <v>1201</v>
      </c>
      <c r="E396" s="320" t="s">
        <v>4192</v>
      </c>
      <c r="F396" s="320"/>
      <c r="G396" s="210"/>
      <c r="H396" s="71"/>
      <c r="I396" s="71"/>
      <c r="J396" s="71">
        <v>3071</v>
      </c>
      <c r="K396" s="71">
        <v>539</v>
      </c>
      <c r="L396" s="1"/>
      <c r="M396" s="73">
        <f t="shared" si="50"/>
        <v>0</v>
      </c>
      <c r="N396" s="73">
        <f t="shared" si="51"/>
        <v>0</v>
      </c>
      <c r="O396" s="73">
        <f t="shared" si="52"/>
        <v>0</v>
      </c>
      <c r="P396" s="73">
        <f t="shared" si="53"/>
        <v>0</v>
      </c>
      <c r="Q396" s="73"/>
      <c r="R396" s="73">
        <v>0</v>
      </c>
      <c r="S396" s="75">
        <f t="shared" si="55"/>
        <v>0</v>
      </c>
      <c r="T396" s="77">
        <v>0</v>
      </c>
      <c r="U396" s="66">
        <v>40282</v>
      </c>
      <c r="V396" s="79"/>
      <c r="W396" s="66" t="s">
        <v>1585</v>
      </c>
      <c r="X396" s="24" t="s">
        <v>1586</v>
      </c>
      <c r="Y396" s="62"/>
      <c r="Z396" s="177" t="s">
        <v>894</v>
      </c>
      <c r="AA396" s="80" t="s">
        <v>2291</v>
      </c>
      <c r="AB396" s="3"/>
      <c r="AC396" s="4"/>
      <c r="AD396" s="5"/>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6"/>
      <c r="CE396" s="7"/>
      <c r="CF396" s="6"/>
      <c r="CG396" s="7"/>
      <c r="CH396" s="6"/>
      <c r="CI396" s="7"/>
      <c r="CJ396" s="8">
        <f t="shared" si="54"/>
        <v>0</v>
      </c>
      <c r="CK396" s="9"/>
      <c r="CL396" s="10"/>
      <c r="CM396" s="11"/>
      <c r="CN396" s="12"/>
      <c r="CO396" s="28"/>
      <c r="CP396" s="12"/>
      <c r="CQ396" s="9"/>
      <c r="CR396" s="10"/>
      <c r="CS396" s="68"/>
      <c r="EC396" s="344" t="str">
        <f t="shared" si="49"/>
        <v>TOLIMA_ESPINAL</v>
      </c>
      <c r="ED396" s="341"/>
      <c r="EE396" s="341" t="s">
        <v>3131</v>
      </c>
      <c r="EF396" s="349" t="s">
        <v>3132</v>
      </c>
      <c r="EG396" s="341" t="s">
        <v>3588</v>
      </c>
      <c r="EH396" s="341" t="s">
        <v>4385</v>
      </c>
      <c r="EI396" s="341" t="str">
        <f t="shared" si="48"/>
        <v>Cauca_Argelia</v>
      </c>
    </row>
    <row r="397" spans="1:139" ht="132">
      <c r="A397" s="228">
        <v>40281</v>
      </c>
      <c r="B397" s="102" t="s">
        <v>2400</v>
      </c>
      <c r="C397" s="102" t="s">
        <v>630</v>
      </c>
      <c r="D397" s="206" t="s">
        <v>1201</v>
      </c>
      <c r="E397" s="320" t="s">
        <v>4196</v>
      </c>
      <c r="F397" s="320"/>
      <c r="G397" s="210"/>
      <c r="H397" s="71"/>
      <c r="I397" s="71"/>
      <c r="J397" s="71">
        <f>171*5</f>
        <v>855</v>
      </c>
      <c r="K397" s="71">
        <v>171</v>
      </c>
      <c r="L397" s="1">
        <v>40354</v>
      </c>
      <c r="M397" s="73">
        <f t="shared" si="50"/>
        <v>41211000</v>
      </c>
      <c r="N397" s="73">
        <f t="shared" si="51"/>
        <v>14535000</v>
      </c>
      <c r="O397" s="73">
        <f t="shared" si="52"/>
        <v>0</v>
      </c>
      <c r="P397" s="73">
        <f t="shared" si="53"/>
        <v>0</v>
      </c>
      <c r="Q397" s="73"/>
      <c r="R397" s="73">
        <v>0</v>
      </c>
      <c r="S397" s="75">
        <f t="shared" si="55"/>
        <v>55746000</v>
      </c>
      <c r="T397" s="77">
        <v>0</v>
      </c>
      <c r="U397" s="66">
        <v>40330</v>
      </c>
      <c r="V397" s="79">
        <v>97944</v>
      </c>
      <c r="W397" s="66" t="s">
        <v>1606</v>
      </c>
      <c r="X397" s="24" t="s">
        <v>1607</v>
      </c>
      <c r="Y397" s="83" t="s">
        <v>2448</v>
      </c>
      <c r="Z397" s="177" t="s">
        <v>2580</v>
      </c>
      <c r="AA397" s="80" t="s">
        <v>1017</v>
      </c>
      <c r="AB397" s="3"/>
      <c r="AC397" s="4"/>
      <c r="AD397" s="5"/>
      <c r="AE397" s="4"/>
      <c r="AF397" s="4"/>
      <c r="AG397" s="4"/>
      <c r="AH397" s="4"/>
      <c r="AI397" s="4"/>
      <c r="AJ397" s="4"/>
      <c r="AK397" s="4"/>
      <c r="AL397" s="4"/>
      <c r="AM397" s="4"/>
      <c r="AN397" s="4">
        <v>513</v>
      </c>
      <c r="AO397" s="4">
        <f>513*56000</f>
        <v>28728000</v>
      </c>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6">
        <v>171</v>
      </c>
      <c r="CE397" s="7">
        <f>171*37000</f>
        <v>6327000</v>
      </c>
      <c r="CF397" s="6">
        <v>171</v>
      </c>
      <c r="CG397" s="7">
        <f>171*36000</f>
        <v>6156000</v>
      </c>
      <c r="CH397" s="6"/>
      <c r="CI397" s="7"/>
      <c r="CJ397" s="8">
        <f t="shared" si="54"/>
        <v>41211000</v>
      </c>
      <c r="CK397" s="9"/>
      <c r="CL397" s="10"/>
      <c r="CM397" s="11">
        <v>171</v>
      </c>
      <c r="CN397" s="12">
        <f>171*85000</f>
        <v>14535000</v>
      </c>
      <c r="CO397" s="28"/>
      <c r="CP397" s="12"/>
      <c r="CQ397" s="9"/>
      <c r="CR397" s="10"/>
      <c r="CS397" s="68"/>
      <c r="EC397" s="344" t="str">
        <f t="shared" si="49"/>
        <v>TOLIMA_GUAMO</v>
      </c>
      <c r="ED397" s="341"/>
      <c r="EE397" s="341" t="s">
        <v>3131</v>
      </c>
      <c r="EF397" s="349" t="s">
        <v>3132</v>
      </c>
      <c r="EG397" s="341" t="s">
        <v>3589</v>
      </c>
      <c r="EH397" s="341" t="s">
        <v>4724</v>
      </c>
      <c r="EI397" s="341" t="str">
        <f t="shared" si="48"/>
        <v>Cauca_Balboa</v>
      </c>
    </row>
    <row r="398" spans="1:139" ht="25.5">
      <c r="A398" s="228">
        <v>40281</v>
      </c>
      <c r="B398" s="102" t="s">
        <v>2400</v>
      </c>
      <c r="C398" s="102" t="s">
        <v>1545</v>
      </c>
      <c r="D398" s="206" t="s">
        <v>1878</v>
      </c>
      <c r="E398" s="320" t="s">
        <v>4177</v>
      </c>
      <c r="F398" s="320"/>
      <c r="G398" s="210"/>
      <c r="H398" s="71"/>
      <c r="I398" s="71"/>
      <c r="J398" s="71"/>
      <c r="K398" s="71"/>
      <c r="L398" s="1"/>
      <c r="M398" s="73">
        <f t="shared" si="50"/>
        <v>0</v>
      </c>
      <c r="N398" s="73">
        <f t="shared" si="51"/>
        <v>0</v>
      </c>
      <c r="O398" s="73">
        <f t="shared" si="52"/>
        <v>0</v>
      </c>
      <c r="P398" s="73">
        <f t="shared" si="53"/>
        <v>0</v>
      </c>
      <c r="Q398" s="73"/>
      <c r="R398" s="73">
        <v>0</v>
      </c>
      <c r="S398" s="75">
        <f t="shared" si="55"/>
        <v>0</v>
      </c>
      <c r="T398" s="77">
        <v>0</v>
      </c>
      <c r="U398" s="66">
        <v>40282</v>
      </c>
      <c r="V398" s="79"/>
      <c r="W398" s="66" t="s">
        <v>1585</v>
      </c>
      <c r="X398" s="24" t="s">
        <v>1586</v>
      </c>
      <c r="Y398" s="62"/>
      <c r="Z398" s="177" t="s">
        <v>894</v>
      </c>
      <c r="AA398" s="80" t="s">
        <v>2363</v>
      </c>
      <c r="AB398" s="3"/>
      <c r="AC398" s="4"/>
      <c r="AD398" s="5"/>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6"/>
      <c r="CE398" s="7"/>
      <c r="CF398" s="6"/>
      <c r="CG398" s="7"/>
      <c r="CH398" s="6"/>
      <c r="CI398" s="7"/>
      <c r="CJ398" s="8">
        <f t="shared" si="54"/>
        <v>0</v>
      </c>
      <c r="CK398" s="9"/>
      <c r="CL398" s="10"/>
      <c r="CM398" s="11"/>
      <c r="CN398" s="12"/>
      <c r="CO398" s="28"/>
      <c r="CP398" s="12"/>
      <c r="CQ398" s="9"/>
      <c r="CR398" s="10"/>
      <c r="CS398" s="68"/>
      <c r="EC398" s="344" t="str">
        <f t="shared" si="49"/>
        <v>TOLIMA_IBAGUE</v>
      </c>
      <c r="ED398" s="341"/>
      <c r="EE398" s="341" t="s">
        <v>3131</v>
      </c>
      <c r="EF398" s="349" t="s">
        <v>3132</v>
      </c>
      <c r="EG398" s="341" t="s">
        <v>3590</v>
      </c>
      <c r="EH398" s="341" t="s">
        <v>3115</v>
      </c>
      <c r="EI398" s="341" t="str">
        <f t="shared" si="48"/>
        <v>Cauca_Bolivar</v>
      </c>
    </row>
    <row r="399" spans="1:139" ht="25.5">
      <c r="A399" s="228">
        <v>40281</v>
      </c>
      <c r="B399" s="102" t="s">
        <v>2400</v>
      </c>
      <c r="C399" s="102" t="s">
        <v>2362</v>
      </c>
      <c r="D399" s="206" t="s">
        <v>1878</v>
      </c>
      <c r="E399" s="320" t="s">
        <v>4203</v>
      </c>
      <c r="F399" s="320"/>
      <c r="G399" s="210"/>
      <c r="H399" s="71"/>
      <c r="I399" s="71"/>
      <c r="J399" s="71">
        <v>25</v>
      </c>
      <c r="K399" s="71">
        <v>5</v>
      </c>
      <c r="L399" s="1"/>
      <c r="M399" s="73">
        <f t="shared" si="50"/>
        <v>0</v>
      </c>
      <c r="N399" s="73">
        <f t="shared" si="51"/>
        <v>0</v>
      </c>
      <c r="O399" s="73">
        <f t="shared" si="52"/>
        <v>0</v>
      </c>
      <c r="P399" s="73">
        <f t="shared" si="53"/>
        <v>0</v>
      </c>
      <c r="Q399" s="73"/>
      <c r="R399" s="73">
        <v>0</v>
      </c>
      <c r="S399" s="75">
        <f t="shared" si="55"/>
        <v>0</v>
      </c>
      <c r="T399" s="77">
        <v>0</v>
      </c>
      <c r="U399" s="66">
        <v>40282</v>
      </c>
      <c r="V399" s="79"/>
      <c r="W399" s="66" t="s">
        <v>1585</v>
      </c>
      <c r="X399" s="24" t="s">
        <v>1586</v>
      </c>
      <c r="Y399" s="62"/>
      <c r="Z399" s="177" t="s">
        <v>894</v>
      </c>
      <c r="AA399" s="80" t="s">
        <v>2433</v>
      </c>
      <c r="AB399" s="3"/>
      <c r="AC399" s="4"/>
      <c r="AD399" s="5"/>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6"/>
      <c r="CE399" s="7"/>
      <c r="CF399" s="6"/>
      <c r="CG399" s="7"/>
      <c r="CH399" s="6"/>
      <c r="CI399" s="7"/>
      <c r="CJ399" s="8">
        <f t="shared" si="54"/>
        <v>0</v>
      </c>
      <c r="CK399" s="9"/>
      <c r="CL399" s="10"/>
      <c r="CM399" s="11"/>
      <c r="CN399" s="12"/>
      <c r="CO399" s="28"/>
      <c r="CP399" s="12"/>
      <c r="CQ399" s="9"/>
      <c r="CR399" s="10"/>
      <c r="CS399" s="68"/>
      <c r="EC399" s="344" t="str">
        <f t="shared" si="49"/>
        <v>TOLIMA_MELGAR</v>
      </c>
      <c r="ED399" s="341"/>
      <c r="EE399" s="341" t="s">
        <v>3131</v>
      </c>
      <c r="EF399" s="349" t="s">
        <v>3132</v>
      </c>
      <c r="EG399" s="341" t="s">
        <v>3591</v>
      </c>
      <c r="EH399" s="341" t="s">
        <v>4725</v>
      </c>
      <c r="EI399" s="341" t="str">
        <f t="shared" si="48"/>
        <v>Cauca_Buenos Aires</v>
      </c>
    </row>
    <row r="400" spans="1:139" ht="38.25">
      <c r="A400" s="228">
        <v>40281.931250000001</v>
      </c>
      <c r="B400" s="205" t="s">
        <v>2298</v>
      </c>
      <c r="C400" s="205" t="s">
        <v>1610</v>
      </c>
      <c r="D400" s="207" t="s">
        <v>1878</v>
      </c>
      <c r="E400" s="323"/>
      <c r="F400" s="323"/>
      <c r="G400" s="204"/>
      <c r="H400" s="151">
        <v>2</v>
      </c>
      <c r="I400" s="151"/>
      <c r="J400" s="151">
        <v>120</v>
      </c>
      <c r="K400" s="409">
        <v>26</v>
      </c>
      <c r="L400" s="1"/>
      <c r="M400" s="73">
        <f t="shared" si="50"/>
        <v>0</v>
      </c>
      <c r="N400" s="73">
        <f t="shared" si="51"/>
        <v>0</v>
      </c>
      <c r="O400" s="73">
        <f t="shared" si="52"/>
        <v>0</v>
      </c>
      <c r="P400" s="73">
        <f t="shared" si="53"/>
        <v>0</v>
      </c>
      <c r="Q400" s="73"/>
      <c r="R400" s="73">
        <v>0</v>
      </c>
      <c r="S400" s="75">
        <f t="shared" si="55"/>
        <v>0</v>
      </c>
      <c r="T400" s="77">
        <v>0</v>
      </c>
      <c r="U400" s="296">
        <v>40624</v>
      </c>
      <c r="V400" s="297"/>
      <c r="W400" s="296" t="s">
        <v>1585</v>
      </c>
      <c r="X400" s="298" t="s">
        <v>1586</v>
      </c>
      <c r="Y400" s="299"/>
      <c r="Z400" s="300" t="s">
        <v>894</v>
      </c>
      <c r="AA400" s="414" t="s">
        <v>5403</v>
      </c>
      <c r="AB400" s="152"/>
      <c r="AC400" s="153"/>
      <c r="AD400" s="154"/>
      <c r="AE400" s="153"/>
      <c r="AF400" s="153"/>
      <c r="AG400" s="153"/>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c r="BI400" s="153"/>
      <c r="BJ400" s="153"/>
      <c r="BK400" s="153"/>
      <c r="BL400" s="153"/>
      <c r="BM400" s="153"/>
      <c r="BN400" s="153"/>
      <c r="BO400" s="153"/>
      <c r="BP400" s="153"/>
      <c r="BQ400" s="153"/>
      <c r="BR400" s="153"/>
      <c r="BS400" s="153"/>
      <c r="BT400" s="153"/>
      <c r="BU400" s="153"/>
      <c r="BV400" s="153"/>
      <c r="BW400" s="153"/>
      <c r="BX400" s="153"/>
      <c r="BY400" s="153"/>
      <c r="BZ400" s="153"/>
      <c r="CA400" s="153"/>
      <c r="CB400" s="153"/>
      <c r="CC400" s="153"/>
      <c r="CD400" s="155"/>
      <c r="CE400" s="156"/>
      <c r="CF400" s="155"/>
      <c r="CG400" s="156"/>
      <c r="CH400" s="155"/>
      <c r="CI400" s="156"/>
      <c r="CJ400" s="157">
        <f t="shared" si="54"/>
        <v>0</v>
      </c>
      <c r="CK400" s="158"/>
      <c r="CL400" s="159"/>
      <c r="CM400" s="160"/>
      <c r="CN400" s="161"/>
      <c r="CO400" s="162"/>
      <c r="CP400" s="161"/>
      <c r="CQ400" s="158"/>
      <c r="CR400" s="159"/>
      <c r="CS400" s="68"/>
      <c r="CT400" s="163"/>
      <c r="EC400" s="344" t="str">
        <f t="shared" si="49"/>
        <v>BOGOTA D.C._BOGOTA</v>
      </c>
      <c r="ED400" s="341"/>
      <c r="EE400" s="341" t="s">
        <v>3131</v>
      </c>
      <c r="EF400" s="349" t="s">
        <v>3132</v>
      </c>
      <c r="EG400" s="341" t="s">
        <v>3592</v>
      </c>
      <c r="EH400" s="341" t="s">
        <v>4726</v>
      </c>
      <c r="EI400" s="341" t="str">
        <f t="shared" si="48"/>
        <v>Cauca_Cajibio</v>
      </c>
    </row>
    <row r="401" spans="1:139" ht="25.5">
      <c r="A401" s="235">
        <v>40282</v>
      </c>
      <c r="B401" s="224" t="s">
        <v>1972</v>
      </c>
      <c r="C401" s="224" t="s">
        <v>1844</v>
      </c>
      <c r="D401" s="236" t="s">
        <v>1201</v>
      </c>
      <c r="E401" s="324" t="s">
        <v>3339</v>
      </c>
      <c r="F401" s="324"/>
      <c r="G401" s="210"/>
      <c r="H401" s="71"/>
      <c r="I401" s="71"/>
      <c r="J401" s="71">
        <f>27*5</f>
        <v>135</v>
      </c>
      <c r="K401" s="71">
        <v>27</v>
      </c>
      <c r="L401" s="1"/>
      <c r="M401" s="73">
        <f t="shared" si="50"/>
        <v>0</v>
      </c>
      <c r="N401" s="73">
        <f t="shared" si="51"/>
        <v>0</v>
      </c>
      <c r="O401" s="73">
        <f t="shared" si="52"/>
        <v>0</v>
      </c>
      <c r="P401" s="73">
        <f t="shared" si="53"/>
        <v>0</v>
      </c>
      <c r="Q401" s="73"/>
      <c r="R401" s="73">
        <v>0</v>
      </c>
      <c r="S401" s="75">
        <f t="shared" si="55"/>
        <v>0</v>
      </c>
      <c r="T401" s="77">
        <v>0</v>
      </c>
      <c r="U401" s="66">
        <v>40282</v>
      </c>
      <c r="V401" s="79"/>
      <c r="W401" s="66" t="s">
        <v>1585</v>
      </c>
      <c r="X401" s="24" t="s">
        <v>1586</v>
      </c>
      <c r="Y401" s="62"/>
      <c r="Z401" s="177" t="s">
        <v>894</v>
      </c>
      <c r="AA401" s="80" t="s">
        <v>1170</v>
      </c>
      <c r="AB401" s="3"/>
      <c r="AC401" s="4"/>
      <c r="AD401" s="5"/>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6"/>
      <c r="CE401" s="7"/>
      <c r="CF401" s="6"/>
      <c r="CG401" s="7"/>
      <c r="CH401" s="6"/>
      <c r="CI401" s="7"/>
      <c r="CJ401" s="8">
        <f t="shared" si="54"/>
        <v>0</v>
      </c>
      <c r="CK401" s="9"/>
      <c r="CL401" s="10"/>
      <c r="CM401" s="11"/>
      <c r="CN401" s="12"/>
      <c r="CO401" s="28"/>
      <c r="CP401" s="12"/>
      <c r="CQ401" s="9"/>
      <c r="CR401" s="10"/>
      <c r="CS401" s="68"/>
      <c r="EC401" s="344" t="str">
        <f t="shared" si="49"/>
        <v>ANTIOQUIA_TURBO</v>
      </c>
      <c r="ED401" s="341"/>
      <c r="EE401" s="341" t="s">
        <v>3131</v>
      </c>
      <c r="EF401" s="349" t="s">
        <v>3132</v>
      </c>
      <c r="EG401" s="341" t="s">
        <v>3594</v>
      </c>
      <c r="EH401" s="341" t="s">
        <v>4727</v>
      </c>
      <c r="EI401" s="341" t="str">
        <f t="shared" si="48"/>
        <v>Cauca_Caloto</v>
      </c>
    </row>
    <row r="402" spans="1:139" ht="38.25">
      <c r="A402" s="228">
        <v>40282</v>
      </c>
      <c r="B402" s="102" t="s">
        <v>1551</v>
      </c>
      <c r="C402" s="102" t="s">
        <v>1590</v>
      </c>
      <c r="D402" s="206" t="s">
        <v>1201</v>
      </c>
      <c r="E402" s="320" t="s">
        <v>3352</v>
      </c>
      <c r="F402" s="320"/>
      <c r="G402" s="210"/>
      <c r="H402" s="71"/>
      <c r="I402" s="71"/>
      <c r="J402" s="71">
        <v>56</v>
      </c>
      <c r="K402" s="71">
        <v>10</v>
      </c>
      <c r="L402" s="1"/>
      <c r="M402" s="73">
        <f t="shared" si="50"/>
        <v>0</v>
      </c>
      <c r="N402" s="73">
        <f t="shared" si="51"/>
        <v>0</v>
      </c>
      <c r="O402" s="73">
        <f t="shared" si="52"/>
        <v>0</v>
      </c>
      <c r="P402" s="73">
        <f t="shared" si="53"/>
        <v>0</v>
      </c>
      <c r="Q402" s="73"/>
      <c r="R402" s="73">
        <v>0</v>
      </c>
      <c r="S402" s="75">
        <f t="shared" si="55"/>
        <v>0</v>
      </c>
      <c r="T402" s="77">
        <v>0</v>
      </c>
      <c r="U402" s="66">
        <v>40283</v>
      </c>
      <c r="V402" s="79"/>
      <c r="W402" s="66" t="s">
        <v>1585</v>
      </c>
      <c r="X402" s="24" t="s">
        <v>1586</v>
      </c>
      <c r="Y402" s="62"/>
      <c r="Z402" s="177" t="s">
        <v>894</v>
      </c>
      <c r="AA402" s="80" t="s">
        <v>2443</v>
      </c>
      <c r="AB402" s="3"/>
      <c r="AC402" s="4"/>
      <c r="AD402" s="5"/>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6"/>
      <c r="CE402" s="7"/>
      <c r="CF402" s="6"/>
      <c r="CG402" s="7"/>
      <c r="CH402" s="6"/>
      <c r="CI402" s="7"/>
      <c r="CJ402" s="8">
        <f t="shared" si="54"/>
        <v>0</v>
      </c>
      <c r="CK402" s="9"/>
      <c r="CL402" s="10"/>
      <c r="CM402" s="11"/>
      <c r="CN402" s="12"/>
      <c r="CO402" s="28"/>
      <c r="CP402" s="12"/>
      <c r="CQ402" s="9"/>
      <c r="CR402" s="10"/>
      <c r="CS402" s="68"/>
      <c r="EC402" s="350" t="str">
        <f t="shared" si="49"/>
        <v>ATLANTICO_BARRANQUILLA</v>
      </c>
      <c r="ED402" s="351"/>
      <c r="EE402" s="341" t="s">
        <v>3131</v>
      </c>
      <c r="EF402" s="349" t="s">
        <v>3132</v>
      </c>
      <c r="EG402" s="341" t="s">
        <v>3595</v>
      </c>
      <c r="EH402" s="341" t="s">
        <v>4728</v>
      </c>
      <c r="EI402" s="341" t="str">
        <f t="shared" si="48"/>
        <v>Cauca_Corinto</v>
      </c>
    </row>
    <row r="403" spans="1:139" ht="96">
      <c r="A403" s="228">
        <v>40282</v>
      </c>
      <c r="B403" s="102" t="s">
        <v>2704</v>
      </c>
      <c r="C403" s="102" t="s">
        <v>1158</v>
      </c>
      <c r="D403" s="206" t="s">
        <v>1201</v>
      </c>
      <c r="E403" s="320" t="s">
        <v>3570</v>
      </c>
      <c r="F403" s="320"/>
      <c r="G403" s="210"/>
      <c r="H403" s="71"/>
      <c r="I403" s="71"/>
      <c r="J403" s="71">
        <v>270</v>
      </c>
      <c r="K403" s="71">
        <v>50</v>
      </c>
      <c r="L403" s="1">
        <v>40340</v>
      </c>
      <c r="M403" s="73">
        <f t="shared" si="50"/>
        <v>0</v>
      </c>
      <c r="N403" s="73">
        <f t="shared" si="51"/>
        <v>0</v>
      </c>
      <c r="O403" s="73">
        <f t="shared" si="52"/>
        <v>0</v>
      </c>
      <c r="P403" s="73">
        <f t="shared" si="53"/>
        <v>0</v>
      </c>
      <c r="Q403" s="73">
        <f>2000*33872+200*24940+80*32480+1200*40368+300*38860</f>
        <v>135430000</v>
      </c>
      <c r="R403" s="73">
        <v>0</v>
      </c>
      <c r="S403" s="75">
        <f t="shared" si="55"/>
        <v>135430000</v>
      </c>
      <c r="T403" s="77">
        <v>0</v>
      </c>
      <c r="U403" s="66">
        <v>40303</v>
      </c>
      <c r="V403" s="79">
        <v>97232</v>
      </c>
      <c r="W403" s="66" t="s">
        <v>1606</v>
      </c>
      <c r="X403" s="24" t="s">
        <v>1607</v>
      </c>
      <c r="Y403" s="62">
        <v>154</v>
      </c>
      <c r="Z403" s="177" t="s">
        <v>2580</v>
      </c>
      <c r="AA403" s="80" t="s">
        <v>1317</v>
      </c>
      <c r="AB403" s="3"/>
      <c r="AC403" s="4"/>
      <c r="AD403" s="5"/>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6"/>
      <c r="CE403" s="7"/>
      <c r="CF403" s="6"/>
      <c r="CG403" s="7"/>
      <c r="CH403" s="6"/>
      <c r="CI403" s="7"/>
      <c r="CJ403" s="8">
        <f t="shared" si="54"/>
        <v>0</v>
      </c>
      <c r="CK403" s="9"/>
      <c r="CL403" s="10"/>
      <c r="CM403" s="11"/>
      <c r="CN403" s="12"/>
      <c r="CO403" s="28"/>
      <c r="CP403" s="12"/>
      <c r="CQ403" s="9"/>
      <c r="CR403" s="10"/>
      <c r="CS403" s="68"/>
      <c r="EC403" s="350" t="str">
        <f t="shared" si="49"/>
        <v>CAQUETA_FLORENCIA</v>
      </c>
      <c r="ED403" s="351"/>
      <c r="EE403" s="341" t="s">
        <v>3131</v>
      </c>
      <c r="EF403" s="349" t="s">
        <v>3132</v>
      </c>
      <c r="EG403" s="341" t="s">
        <v>3596</v>
      </c>
      <c r="EH403" s="341" t="s">
        <v>4729</v>
      </c>
      <c r="EI403" s="341" t="str">
        <f t="shared" si="48"/>
        <v>Cauca_El Tambo</v>
      </c>
    </row>
    <row r="404" spans="1:139" ht="38.25">
      <c r="A404" s="228">
        <v>40282</v>
      </c>
      <c r="B404" s="102" t="s">
        <v>1604</v>
      </c>
      <c r="C404" s="102" t="s">
        <v>2032</v>
      </c>
      <c r="D404" s="206" t="s">
        <v>1201</v>
      </c>
      <c r="E404" s="320" t="s">
        <v>3681</v>
      </c>
      <c r="F404" s="320"/>
      <c r="G404" s="210"/>
      <c r="H404" s="71"/>
      <c r="I404" s="71"/>
      <c r="J404" s="71">
        <v>10</v>
      </c>
      <c r="K404" s="71">
        <v>2</v>
      </c>
      <c r="L404" s="1"/>
      <c r="M404" s="73">
        <f t="shared" si="50"/>
        <v>0</v>
      </c>
      <c r="N404" s="73">
        <f t="shared" si="51"/>
        <v>0</v>
      </c>
      <c r="O404" s="73">
        <f t="shared" si="52"/>
        <v>0</v>
      </c>
      <c r="P404" s="73">
        <f t="shared" si="53"/>
        <v>0</v>
      </c>
      <c r="Q404" s="73"/>
      <c r="R404" s="73">
        <v>0</v>
      </c>
      <c r="S404" s="75">
        <f t="shared" si="55"/>
        <v>0</v>
      </c>
      <c r="T404" s="77">
        <v>0</v>
      </c>
      <c r="U404" s="66">
        <v>40283</v>
      </c>
      <c r="V404" s="79"/>
      <c r="W404" s="66" t="s">
        <v>1585</v>
      </c>
      <c r="X404" s="24" t="s">
        <v>1586</v>
      </c>
      <c r="Y404" s="62"/>
      <c r="Z404" s="177" t="s">
        <v>894</v>
      </c>
      <c r="AA404" s="80" t="s">
        <v>182</v>
      </c>
      <c r="AB404" s="3"/>
      <c r="AC404" s="4"/>
      <c r="AD404" s="5"/>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6"/>
      <c r="CE404" s="7"/>
      <c r="CF404" s="6"/>
      <c r="CG404" s="7"/>
      <c r="CH404" s="6"/>
      <c r="CI404" s="7"/>
      <c r="CJ404" s="8">
        <f t="shared" si="54"/>
        <v>0</v>
      </c>
      <c r="CK404" s="9"/>
      <c r="CL404" s="10"/>
      <c r="CM404" s="11"/>
      <c r="CN404" s="12"/>
      <c r="CO404" s="28"/>
      <c r="CP404" s="12"/>
      <c r="CQ404" s="9"/>
      <c r="CR404" s="10"/>
      <c r="CS404" s="68"/>
      <c r="EC404" s="344" t="str">
        <f t="shared" si="49"/>
        <v>CUNDINAMARCA_AGUA DE DIOS</v>
      </c>
      <c r="ED404" s="341"/>
      <c r="EE404" s="341" t="s">
        <v>3131</v>
      </c>
      <c r="EF404" s="349" t="s">
        <v>3132</v>
      </c>
      <c r="EG404" s="341" t="s">
        <v>3597</v>
      </c>
      <c r="EH404" s="341" t="s">
        <v>4708</v>
      </c>
      <c r="EI404" s="341" t="str">
        <f t="shared" si="48"/>
        <v>Cauca_Florencia</v>
      </c>
    </row>
    <row r="405" spans="1:139" ht="38.25">
      <c r="A405" s="228">
        <v>40282</v>
      </c>
      <c r="B405" s="102" t="s">
        <v>1604</v>
      </c>
      <c r="C405" s="102" t="s">
        <v>2033</v>
      </c>
      <c r="D405" s="206" t="s">
        <v>1878</v>
      </c>
      <c r="E405" s="320" t="s">
        <v>3694</v>
      </c>
      <c r="F405" s="320"/>
      <c r="G405" s="210"/>
      <c r="H405" s="71"/>
      <c r="I405" s="71"/>
      <c r="J405" s="71"/>
      <c r="K405" s="71"/>
      <c r="L405" s="1"/>
      <c r="M405" s="73">
        <f t="shared" si="50"/>
        <v>0</v>
      </c>
      <c r="N405" s="73">
        <f t="shared" si="51"/>
        <v>0</v>
      </c>
      <c r="O405" s="73">
        <f t="shared" si="52"/>
        <v>0</v>
      </c>
      <c r="P405" s="73">
        <f t="shared" si="53"/>
        <v>0</v>
      </c>
      <c r="Q405" s="73"/>
      <c r="R405" s="73">
        <v>0</v>
      </c>
      <c r="S405" s="75">
        <f t="shared" si="55"/>
        <v>0</v>
      </c>
      <c r="T405" s="77">
        <v>0</v>
      </c>
      <c r="U405" s="66">
        <v>40283</v>
      </c>
      <c r="V405" s="79"/>
      <c r="W405" s="66" t="s">
        <v>1585</v>
      </c>
      <c r="X405" s="24" t="s">
        <v>1586</v>
      </c>
      <c r="Y405" s="62"/>
      <c r="Z405" s="177" t="s">
        <v>894</v>
      </c>
      <c r="AA405" s="80" t="s">
        <v>2034</v>
      </c>
      <c r="AB405" s="3"/>
      <c r="AC405" s="4"/>
      <c r="AD405" s="5"/>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6"/>
      <c r="CE405" s="7"/>
      <c r="CF405" s="6"/>
      <c r="CG405" s="7"/>
      <c r="CH405" s="6"/>
      <c r="CI405" s="7"/>
      <c r="CJ405" s="8">
        <f t="shared" si="54"/>
        <v>0</v>
      </c>
      <c r="CK405" s="9"/>
      <c r="CL405" s="10"/>
      <c r="CM405" s="11"/>
      <c r="CN405" s="12"/>
      <c r="CO405" s="28"/>
      <c r="CP405" s="12"/>
      <c r="CQ405" s="9"/>
      <c r="CR405" s="10"/>
      <c r="CS405" s="68"/>
      <c r="EC405" s="344" t="str">
        <f t="shared" si="49"/>
        <v>CUNDINAMARCA_CHAGUANI</v>
      </c>
      <c r="ED405" s="341"/>
      <c r="EE405" s="341" t="s">
        <v>3131</v>
      </c>
      <c r="EF405" s="349" t="s">
        <v>3132</v>
      </c>
      <c r="EG405" s="341" t="s">
        <v>3598</v>
      </c>
      <c r="EH405" s="341" t="s">
        <v>4730</v>
      </c>
      <c r="EI405" s="341" t="str">
        <f t="shared" si="48"/>
        <v>Cauca_Guachene</v>
      </c>
    </row>
    <row r="406" spans="1:139" ht="38.25">
      <c r="A406" s="228">
        <v>40282</v>
      </c>
      <c r="B406" s="102" t="s">
        <v>1604</v>
      </c>
      <c r="C406" s="102" t="s">
        <v>1825</v>
      </c>
      <c r="D406" s="206" t="s">
        <v>1878</v>
      </c>
      <c r="E406" s="320" t="s">
        <v>3713</v>
      </c>
      <c r="F406" s="320"/>
      <c r="G406" s="210">
        <v>2</v>
      </c>
      <c r="H406" s="71"/>
      <c r="I406" s="71"/>
      <c r="J406" s="71"/>
      <c r="K406" s="71"/>
      <c r="L406" s="1"/>
      <c r="M406" s="73">
        <f t="shared" si="50"/>
        <v>0</v>
      </c>
      <c r="N406" s="73">
        <f t="shared" si="51"/>
        <v>0</v>
      </c>
      <c r="O406" s="73">
        <f t="shared" si="52"/>
        <v>0</v>
      </c>
      <c r="P406" s="73">
        <f t="shared" si="53"/>
        <v>0</v>
      </c>
      <c r="Q406" s="73"/>
      <c r="R406" s="73">
        <v>0</v>
      </c>
      <c r="S406" s="75">
        <f t="shared" si="55"/>
        <v>0</v>
      </c>
      <c r="T406" s="77">
        <v>0</v>
      </c>
      <c r="U406" s="66">
        <v>40282</v>
      </c>
      <c r="V406" s="79"/>
      <c r="W406" s="66" t="s">
        <v>1585</v>
      </c>
      <c r="X406" s="24" t="s">
        <v>1586</v>
      </c>
      <c r="Y406" s="62"/>
      <c r="Z406" s="177" t="s">
        <v>894</v>
      </c>
      <c r="AA406" s="80" t="s">
        <v>2352</v>
      </c>
      <c r="AB406" s="3"/>
      <c r="AC406" s="4"/>
      <c r="AD406" s="5"/>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6"/>
      <c r="CE406" s="7"/>
      <c r="CF406" s="6"/>
      <c r="CG406" s="7"/>
      <c r="CH406" s="6"/>
      <c r="CI406" s="7"/>
      <c r="CJ406" s="8">
        <f t="shared" si="54"/>
        <v>0</v>
      </c>
      <c r="CK406" s="9"/>
      <c r="CL406" s="10"/>
      <c r="CM406" s="11"/>
      <c r="CN406" s="12"/>
      <c r="CO406" s="28"/>
      <c r="CP406" s="12"/>
      <c r="CQ406" s="9"/>
      <c r="CR406" s="10"/>
      <c r="CS406" s="68"/>
      <c r="EC406" s="344" t="str">
        <f t="shared" si="49"/>
        <v>CUNDINAMARCA_GIRARDOT</v>
      </c>
      <c r="ED406" s="341"/>
      <c r="EE406" s="351" t="s">
        <v>3131</v>
      </c>
      <c r="EF406" s="349" t="s">
        <v>3132</v>
      </c>
      <c r="EG406" s="351" t="s">
        <v>3599</v>
      </c>
      <c r="EH406" s="351" t="s">
        <v>4731</v>
      </c>
      <c r="EI406" s="351" t="str">
        <f t="shared" si="48"/>
        <v>Cauca_Guapi</v>
      </c>
    </row>
    <row r="407" spans="1:139" ht="38.25">
      <c r="A407" s="228">
        <v>40282</v>
      </c>
      <c r="B407" s="102" t="s">
        <v>1604</v>
      </c>
      <c r="C407" s="102" t="s">
        <v>1825</v>
      </c>
      <c r="D407" s="206" t="s">
        <v>1878</v>
      </c>
      <c r="E407" s="320" t="s">
        <v>3713</v>
      </c>
      <c r="F407" s="320"/>
      <c r="G407" s="210"/>
      <c r="H407" s="71">
        <v>1</v>
      </c>
      <c r="I407" s="71"/>
      <c r="J407" s="71"/>
      <c r="K407" s="71"/>
      <c r="L407" s="1"/>
      <c r="M407" s="73">
        <f t="shared" si="50"/>
        <v>0</v>
      </c>
      <c r="N407" s="73">
        <f t="shared" si="51"/>
        <v>0</v>
      </c>
      <c r="O407" s="73">
        <f t="shared" si="52"/>
        <v>0</v>
      </c>
      <c r="P407" s="73">
        <f t="shared" si="53"/>
        <v>0</v>
      </c>
      <c r="Q407" s="73"/>
      <c r="R407" s="73">
        <v>0</v>
      </c>
      <c r="S407" s="75">
        <f t="shared" si="55"/>
        <v>0</v>
      </c>
      <c r="T407" s="77">
        <v>0</v>
      </c>
      <c r="U407" s="66">
        <v>40282</v>
      </c>
      <c r="V407" s="79"/>
      <c r="W407" s="66" t="s">
        <v>1585</v>
      </c>
      <c r="X407" s="24" t="s">
        <v>1586</v>
      </c>
      <c r="Y407" s="62"/>
      <c r="Z407" s="177" t="s">
        <v>894</v>
      </c>
      <c r="AA407" s="80" t="s">
        <v>1737</v>
      </c>
      <c r="AB407" s="3"/>
      <c r="AC407" s="4"/>
      <c r="AD407" s="5"/>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6"/>
      <c r="CE407" s="7"/>
      <c r="CF407" s="6"/>
      <c r="CG407" s="7"/>
      <c r="CH407" s="6"/>
      <c r="CI407" s="7"/>
      <c r="CJ407" s="8">
        <f t="shared" si="54"/>
        <v>0</v>
      </c>
      <c r="CK407" s="9"/>
      <c r="CL407" s="10"/>
      <c r="CM407" s="11"/>
      <c r="CN407" s="12"/>
      <c r="CO407" s="28"/>
      <c r="CP407" s="12"/>
      <c r="CQ407" s="9"/>
      <c r="CR407" s="10"/>
      <c r="CS407" s="68"/>
      <c r="EC407" s="344" t="str">
        <f t="shared" si="49"/>
        <v>CUNDINAMARCA_GIRARDOT</v>
      </c>
      <c r="ED407" s="341"/>
      <c r="EE407" s="351" t="s">
        <v>3131</v>
      </c>
      <c r="EF407" s="349" t="s">
        <v>3132</v>
      </c>
      <c r="EG407" s="351" t="s">
        <v>3600</v>
      </c>
      <c r="EH407" s="351" t="s">
        <v>4732</v>
      </c>
      <c r="EI407" s="351" t="str">
        <f t="shared" si="48"/>
        <v>Cauca_Inza</v>
      </c>
    </row>
    <row r="408" spans="1:139" ht="51">
      <c r="A408" s="228">
        <v>40282</v>
      </c>
      <c r="B408" s="102" t="s">
        <v>1604</v>
      </c>
      <c r="C408" s="102" t="s">
        <v>951</v>
      </c>
      <c r="D408" s="206" t="s">
        <v>1201</v>
      </c>
      <c r="E408" s="320" t="s">
        <v>3747</v>
      </c>
      <c r="F408" s="320"/>
      <c r="G408" s="210"/>
      <c r="H408" s="71"/>
      <c r="I408" s="71"/>
      <c r="J408" s="71"/>
      <c r="K408" s="71"/>
      <c r="L408" s="1"/>
      <c r="M408" s="73">
        <f t="shared" si="50"/>
        <v>0</v>
      </c>
      <c r="N408" s="73">
        <f t="shared" si="51"/>
        <v>0</v>
      </c>
      <c r="O408" s="73">
        <f t="shared" si="52"/>
        <v>0</v>
      </c>
      <c r="P408" s="73">
        <f t="shared" si="53"/>
        <v>0</v>
      </c>
      <c r="Q408" s="73"/>
      <c r="R408" s="73">
        <v>0</v>
      </c>
      <c r="S408" s="75">
        <f t="shared" si="55"/>
        <v>0</v>
      </c>
      <c r="T408" s="77">
        <v>0</v>
      </c>
      <c r="U408" s="66">
        <v>40283</v>
      </c>
      <c r="V408" s="79"/>
      <c r="W408" s="66" t="s">
        <v>1585</v>
      </c>
      <c r="X408" s="24" t="s">
        <v>1586</v>
      </c>
      <c r="Y408" s="62"/>
      <c r="Z408" s="177" t="s">
        <v>894</v>
      </c>
      <c r="AA408" s="80" t="s">
        <v>2408</v>
      </c>
      <c r="AB408" s="3"/>
      <c r="AC408" s="4"/>
      <c r="AD408" s="5"/>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6"/>
      <c r="CE408" s="7"/>
      <c r="CF408" s="6"/>
      <c r="CG408" s="7"/>
      <c r="CH408" s="6"/>
      <c r="CI408" s="7"/>
      <c r="CJ408" s="8">
        <f t="shared" si="54"/>
        <v>0</v>
      </c>
      <c r="CK408" s="9"/>
      <c r="CL408" s="10"/>
      <c r="CM408" s="11"/>
      <c r="CN408" s="12"/>
      <c r="CO408" s="28"/>
      <c r="CP408" s="12"/>
      <c r="CQ408" s="9"/>
      <c r="CR408" s="10"/>
      <c r="CS408" s="68"/>
      <c r="EC408" s="344" t="str">
        <f t="shared" si="49"/>
        <v>CUNDINAMARCA_PUERTO SALGAR</v>
      </c>
      <c r="ED408" s="341"/>
      <c r="EE408" s="341" t="s">
        <v>3131</v>
      </c>
      <c r="EF408" s="349" t="s">
        <v>3132</v>
      </c>
      <c r="EG408" s="341" t="s">
        <v>3601</v>
      </c>
      <c r="EH408" s="341" t="s">
        <v>4733</v>
      </c>
      <c r="EI408" s="341" t="str">
        <f t="shared" si="48"/>
        <v>Cauca_Jambalo</v>
      </c>
    </row>
    <row r="409" spans="1:139" ht="38.25">
      <c r="A409" s="228">
        <v>40282</v>
      </c>
      <c r="B409" s="102" t="s">
        <v>1604</v>
      </c>
      <c r="C409" s="102" t="s">
        <v>840</v>
      </c>
      <c r="D409" s="206" t="s">
        <v>1201</v>
      </c>
      <c r="E409" s="320" t="s">
        <v>3753</v>
      </c>
      <c r="F409" s="320"/>
      <c r="G409" s="210"/>
      <c r="H409" s="71">
        <v>6</v>
      </c>
      <c r="I409" s="71"/>
      <c r="J409" s="71">
        <f>13*5</f>
        <v>65</v>
      </c>
      <c r="K409" s="71">
        <v>13</v>
      </c>
      <c r="L409" s="1"/>
      <c r="M409" s="73">
        <f t="shared" si="50"/>
        <v>0</v>
      </c>
      <c r="N409" s="73">
        <f t="shared" si="51"/>
        <v>0</v>
      </c>
      <c r="O409" s="73">
        <f t="shared" si="52"/>
        <v>0</v>
      </c>
      <c r="P409" s="73">
        <f t="shared" si="53"/>
        <v>0</v>
      </c>
      <c r="Q409" s="73"/>
      <c r="R409" s="73">
        <v>0</v>
      </c>
      <c r="S409" s="75">
        <f t="shared" si="55"/>
        <v>0</v>
      </c>
      <c r="T409" s="77">
        <v>0</v>
      </c>
      <c r="U409" s="66">
        <v>40282</v>
      </c>
      <c r="V409" s="79"/>
      <c r="W409" s="66" t="s">
        <v>1585</v>
      </c>
      <c r="X409" s="24" t="s">
        <v>1586</v>
      </c>
      <c r="Y409" s="62"/>
      <c r="Z409" s="177" t="s">
        <v>894</v>
      </c>
      <c r="AA409" s="80" t="s">
        <v>1171</v>
      </c>
      <c r="AB409" s="3"/>
      <c r="AC409" s="4"/>
      <c r="AD409" s="5"/>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6"/>
      <c r="CE409" s="7"/>
      <c r="CF409" s="6"/>
      <c r="CG409" s="7"/>
      <c r="CH409" s="6"/>
      <c r="CI409" s="7"/>
      <c r="CJ409" s="8">
        <f t="shared" si="54"/>
        <v>0</v>
      </c>
      <c r="CK409" s="9"/>
      <c r="CL409" s="10"/>
      <c r="CM409" s="11"/>
      <c r="CN409" s="12"/>
      <c r="CO409" s="28"/>
      <c r="CP409" s="12"/>
      <c r="CQ409" s="9"/>
      <c r="CR409" s="10"/>
      <c r="CS409" s="68"/>
      <c r="EC409" s="344" t="str">
        <f t="shared" si="49"/>
        <v>CUNDINAMARCA_RICAURTE</v>
      </c>
      <c r="ED409" s="341"/>
      <c r="EE409" s="341" t="s">
        <v>3131</v>
      </c>
      <c r="EF409" s="349" t="s">
        <v>3132</v>
      </c>
      <c r="EG409" s="341" t="s">
        <v>3602</v>
      </c>
      <c r="EH409" s="341" t="s">
        <v>4734</v>
      </c>
      <c r="EI409" s="341" t="str">
        <f t="shared" si="48"/>
        <v>Cauca_La Sierra</v>
      </c>
    </row>
    <row r="410" spans="1:139" ht="38.25">
      <c r="A410" s="228">
        <v>40282</v>
      </c>
      <c r="B410" s="102" t="s">
        <v>1604</v>
      </c>
      <c r="C410" s="102" t="s">
        <v>2351</v>
      </c>
      <c r="D410" s="206" t="s">
        <v>1201</v>
      </c>
      <c r="E410" s="320" t="s">
        <v>3764</v>
      </c>
      <c r="F410" s="320"/>
      <c r="G410" s="210"/>
      <c r="H410" s="71"/>
      <c r="I410" s="71"/>
      <c r="J410" s="71">
        <v>148</v>
      </c>
      <c r="K410" s="71">
        <v>28</v>
      </c>
      <c r="L410" s="1"/>
      <c r="M410" s="73">
        <f t="shared" si="50"/>
        <v>0</v>
      </c>
      <c r="N410" s="73">
        <f t="shared" si="51"/>
        <v>0</v>
      </c>
      <c r="O410" s="73">
        <f t="shared" si="52"/>
        <v>0</v>
      </c>
      <c r="P410" s="73">
        <f t="shared" si="53"/>
        <v>0</v>
      </c>
      <c r="Q410" s="73"/>
      <c r="R410" s="73">
        <v>0</v>
      </c>
      <c r="S410" s="75">
        <f t="shared" si="55"/>
        <v>0</v>
      </c>
      <c r="T410" s="77">
        <v>0</v>
      </c>
      <c r="U410" s="66">
        <v>40282</v>
      </c>
      <c r="V410" s="79"/>
      <c r="W410" s="66" t="s">
        <v>1585</v>
      </c>
      <c r="X410" s="24" t="s">
        <v>1586</v>
      </c>
      <c r="Y410" s="62"/>
      <c r="Z410" s="177" t="s">
        <v>894</v>
      </c>
      <c r="AA410" s="80" t="s">
        <v>2438</v>
      </c>
      <c r="AB410" s="3"/>
      <c r="AC410" s="4"/>
      <c r="AD410" s="5"/>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6"/>
      <c r="CE410" s="7"/>
      <c r="CF410" s="6"/>
      <c r="CG410" s="7"/>
      <c r="CH410" s="6"/>
      <c r="CI410" s="7"/>
      <c r="CJ410" s="8">
        <f t="shared" si="54"/>
        <v>0</v>
      </c>
      <c r="CK410" s="9"/>
      <c r="CL410" s="10"/>
      <c r="CM410" s="11"/>
      <c r="CN410" s="12"/>
      <c r="CO410" s="28"/>
      <c r="CP410" s="12"/>
      <c r="CQ410" s="9"/>
      <c r="CR410" s="10"/>
      <c r="CS410" s="68"/>
      <c r="EC410" s="344" t="str">
        <f t="shared" si="49"/>
        <v>CUNDINAMARCA_SOACHA</v>
      </c>
      <c r="ED410" s="341"/>
      <c r="EE410" s="341" t="s">
        <v>3131</v>
      </c>
      <c r="EF410" s="349" t="s">
        <v>3132</v>
      </c>
      <c r="EG410" s="341" t="s">
        <v>3603</v>
      </c>
      <c r="EH410" s="341" t="s">
        <v>4735</v>
      </c>
      <c r="EI410" s="341" t="str">
        <f t="shared" si="48"/>
        <v>Cauca_La Vega</v>
      </c>
    </row>
    <row r="411" spans="1:139" ht="38.25">
      <c r="A411" s="228">
        <v>40282</v>
      </c>
      <c r="B411" s="102" t="s">
        <v>1604</v>
      </c>
      <c r="C411" s="102" t="s">
        <v>2351</v>
      </c>
      <c r="D411" s="206" t="s">
        <v>1878</v>
      </c>
      <c r="E411" s="320" t="s">
        <v>3764</v>
      </c>
      <c r="F411" s="320"/>
      <c r="G411" s="210"/>
      <c r="H411" s="71"/>
      <c r="I411" s="71"/>
      <c r="J411" s="71">
        <v>70</v>
      </c>
      <c r="K411" s="71">
        <v>17</v>
      </c>
      <c r="L411" s="1"/>
      <c r="M411" s="73">
        <f t="shared" si="50"/>
        <v>0</v>
      </c>
      <c r="N411" s="73">
        <f t="shared" si="51"/>
        <v>0</v>
      </c>
      <c r="O411" s="73">
        <f t="shared" si="52"/>
        <v>0</v>
      </c>
      <c r="P411" s="73">
        <f t="shared" si="53"/>
        <v>0</v>
      </c>
      <c r="Q411" s="73"/>
      <c r="R411" s="73">
        <v>0</v>
      </c>
      <c r="S411" s="75">
        <f t="shared" si="55"/>
        <v>0</v>
      </c>
      <c r="T411" s="77">
        <v>0</v>
      </c>
      <c r="U411" s="66">
        <v>40283</v>
      </c>
      <c r="V411" s="79"/>
      <c r="W411" s="66" t="s">
        <v>1585</v>
      </c>
      <c r="X411" s="24" t="s">
        <v>1586</v>
      </c>
      <c r="Y411" s="62"/>
      <c r="Z411" s="177" t="s">
        <v>894</v>
      </c>
      <c r="AA411" s="80" t="s">
        <v>1014</v>
      </c>
      <c r="AB411" s="3"/>
      <c r="AC411" s="4"/>
      <c r="AD411" s="5"/>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6"/>
      <c r="CE411" s="7"/>
      <c r="CF411" s="6"/>
      <c r="CG411" s="7"/>
      <c r="CH411" s="6"/>
      <c r="CI411" s="7"/>
      <c r="CJ411" s="8">
        <f t="shared" si="54"/>
        <v>0</v>
      </c>
      <c r="CK411" s="9"/>
      <c r="CL411" s="10"/>
      <c r="CM411" s="11"/>
      <c r="CN411" s="12"/>
      <c r="CO411" s="28"/>
      <c r="CP411" s="12"/>
      <c r="CQ411" s="9"/>
      <c r="CR411" s="10"/>
      <c r="CS411" s="68"/>
      <c r="EC411" s="344" t="str">
        <f t="shared" si="49"/>
        <v>CUNDINAMARCA_SOACHA</v>
      </c>
      <c r="ED411" s="341"/>
      <c r="EE411" s="341" t="s">
        <v>3131</v>
      </c>
      <c r="EF411" s="349" t="s">
        <v>3132</v>
      </c>
      <c r="EG411" s="341" t="s">
        <v>3604</v>
      </c>
      <c r="EH411" s="341" t="s">
        <v>4736</v>
      </c>
      <c r="EI411" s="341" t="str">
        <f t="shared" si="48"/>
        <v>Cauca_Lopez</v>
      </c>
    </row>
    <row r="412" spans="1:139" ht="63.75">
      <c r="A412" s="228">
        <v>40282</v>
      </c>
      <c r="B412" s="102" t="s">
        <v>1824</v>
      </c>
      <c r="C412" s="102" t="s">
        <v>3175</v>
      </c>
      <c r="D412" s="206" t="s">
        <v>1201</v>
      </c>
      <c r="E412" s="320" t="s">
        <v>3995</v>
      </c>
      <c r="F412" s="320"/>
      <c r="G412" s="210"/>
      <c r="H412" s="71"/>
      <c r="I412" s="71"/>
      <c r="J412" s="71">
        <v>338</v>
      </c>
      <c r="K412" s="71">
        <v>116</v>
      </c>
      <c r="L412" s="1"/>
      <c r="M412" s="73">
        <f t="shared" si="50"/>
        <v>0</v>
      </c>
      <c r="N412" s="73">
        <f t="shared" si="51"/>
        <v>0</v>
      </c>
      <c r="O412" s="73">
        <f t="shared" si="52"/>
        <v>0</v>
      </c>
      <c r="P412" s="73">
        <f t="shared" si="53"/>
        <v>0</v>
      </c>
      <c r="Q412" s="73"/>
      <c r="R412" s="73">
        <v>0</v>
      </c>
      <c r="S412" s="75">
        <f t="shared" si="55"/>
        <v>0</v>
      </c>
      <c r="T412" s="77">
        <v>0</v>
      </c>
      <c r="U412" s="66">
        <v>40282</v>
      </c>
      <c r="V412" s="79"/>
      <c r="W412" s="66" t="s">
        <v>1585</v>
      </c>
      <c r="X412" s="24" t="s">
        <v>1586</v>
      </c>
      <c r="Y412" s="62"/>
      <c r="Z412" s="177" t="s">
        <v>894</v>
      </c>
      <c r="AA412" s="80" t="s">
        <v>1200</v>
      </c>
      <c r="AB412" s="3"/>
      <c r="AC412" s="4"/>
      <c r="AD412" s="5"/>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6"/>
      <c r="CE412" s="7"/>
      <c r="CF412" s="6"/>
      <c r="CG412" s="7"/>
      <c r="CH412" s="6"/>
      <c r="CI412" s="7"/>
      <c r="CJ412" s="8">
        <f t="shared" si="54"/>
        <v>0</v>
      </c>
      <c r="CK412" s="9"/>
      <c r="CL412" s="10"/>
      <c r="CM412" s="11"/>
      <c r="CN412" s="12"/>
      <c r="CO412" s="28"/>
      <c r="CP412" s="12"/>
      <c r="CQ412" s="9"/>
      <c r="CR412" s="10"/>
      <c r="CS412" s="68"/>
      <c r="EC412" s="344" t="str">
        <f t="shared" si="49"/>
        <v>NARIÑO_SAN ANDRES DE TUMACO</v>
      </c>
      <c r="ED412" s="341"/>
      <c r="EE412" s="341" t="s">
        <v>3131</v>
      </c>
      <c r="EF412" s="349" t="s">
        <v>3132</v>
      </c>
      <c r="EG412" s="341" t="s">
        <v>3605</v>
      </c>
      <c r="EH412" s="341" t="s">
        <v>4737</v>
      </c>
      <c r="EI412" s="341" t="str">
        <f t="shared" si="48"/>
        <v>Cauca_Mercaderes</v>
      </c>
    </row>
    <row r="413" spans="1:139" ht="25.5">
      <c r="A413" s="228">
        <v>40282</v>
      </c>
      <c r="B413" s="102" t="s">
        <v>1609</v>
      </c>
      <c r="C413" s="102" t="s">
        <v>2004</v>
      </c>
      <c r="D413" s="206" t="s">
        <v>1923</v>
      </c>
      <c r="E413" s="320" t="s">
        <v>4050</v>
      </c>
      <c r="F413" s="320"/>
      <c r="G413" s="210">
        <v>1</v>
      </c>
      <c r="H413" s="71">
        <v>1</v>
      </c>
      <c r="I413" s="71"/>
      <c r="J413" s="71"/>
      <c r="K413" s="71"/>
      <c r="L413" s="1"/>
      <c r="M413" s="73">
        <f t="shared" si="50"/>
        <v>0</v>
      </c>
      <c r="N413" s="73">
        <f t="shared" si="51"/>
        <v>0</v>
      </c>
      <c r="O413" s="73">
        <f t="shared" si="52"/>
        <v>0</v>
      </c>
      <c r="P413" s="73">
        <f t="shared" si="53"/>
        <v>0</v>
      </c>
      <c r="Q413" s="73"/>
      <c r="R413" s="73">
        <v>0</v>
      </c>
      <c r="S413" s="75">
        <f t="shared" si="55"/>
        <v>0</v>
      </c>
      <c r="T413" s="77">
        <v>0</v>
      </c>
      <c r="U413" s="66">
        <v>40283</v>
      </c>
      <c r="V413" s="79"/>
      <c r="W413" s="66" t="s">
        <v>1585</v>
      </c>
      <c r="X413" s="24" t="s">
        <v>1586</v>
      </c>
      <c r="Y413" s="62"/>
      <c r="Z413" s="177" t="s">
        <v>894</v>
      </c>
      <c r="AA413" s="80" t="s">
        <v>2444</v>
      </c>
      <c r="AB413" s="3"/>
      <c r="AC413" s="4"/>
      <c r="AD413" s="5"/>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6"/>
      <c r="CE413" s="7"/>
      <c r="CF413" s="6"/>
      <c r="CG413" s="7"/>
      <c r="CH413" s="6"/>
      <c r="CI413" s="7"/>
      <c r="CJ413" s="8">
        <f t="shared" si="54"/>
        <v>0</v>
      </c>
      <c r="CK413" s="9"/>
      <c r="CL413" s="10"/>
      <c r="CM413" s="11"/>
      <c r="CN413" s="12"/>
      <c r="CO413" s="28"/>
      <c r="CP413" s="12"/>
      <c r="CQ413" s="9"/>
      <c r="CR413" s="10"/>
      <c r="CS413" s="68"/>
      <c r="EC413" s="344" t="str">
        <f t="shared" si="49"/>
        <v>RISARALDA_PEREIRA</v>
      </c>
      <c r="ED413" s="341"/>
      <c r="EE413" s="341" t="s">
        <v>3131</v>
      </c>
      <c r="EF413" s="349" t="s">
        <v>3132</v>
      </c>
      <c r="EG413" s="341" t="s">
        <v>3606</v>
      </c>
      <c r="EH413" s="341" t="s">
        <v>4738</v>
      </c>
      <c r="EI413" s="341" t="str">
        <f t="shared" si="48"/>
        <v>Cauca_Miranda</v>
      </c>
    </row>
    <row r="414" spans="1:139" ht="38.25">
      <c r="A414" s="228">
        <v>40282</v>
      </c>
      <c r="B414" s="102" t="s">
        <v>2400</v>
      </c>
      <c r="C414" s="102" t="s">
        <v>2364</v>
      </c>
      <c r="D414" s="206" t="s">
        <v>1201</v>
      </c>
      <c r="E414" s="320" t="s">
        <v>4185</v>
      </c>
      <c r="F414" s="320"/>
      <c r="G414" s="210"/>
      <c r="H414" s="71"/>
      <c r="I414" s="71"/>
      <c r="J414" s="71">
        <v>300</v>
      </c>
      <c r="K414" s="71">
        <v>60</v>
      </c>
      <c r="L414" s="1"/>
      <c r="M414" s="73">
        <f t="shared" si="50"/>
        <v>0</v>
      </c>
      <c r="N414" s="73">
        <f t="shared" si="51"/>
        <v>0</v>
      </c>
      <c r="O414" s="73">
        <f t="shared" si="52"/>
        <v>0</v>
      </c>
      <c r="P414" s="73">
        <f t="shared" si="53"/>
        <v>0</v>
      </c>
      <c r="Q414" s="73"/>
      <c r="R414" s="73">
        <v>0</v>
      </c>
      <c r="S414" s="75">
        <f t="shared" si="55"/>
        <v>0</v>
      </c>
      <c r="T414" s="77">
        <v>0</v>
      </c>
      <c r="U414" s="66">
        <v>40283</v>
      </c>
      <c r="V414" s="79"/>
      <c r="W414" s="66" t="s">
        <v>1585</v>
      </c>
      <c r="X414" s="24" t="s">
        <v>1586</v>
      </c>
      <c r="Y414" s="62"/>
      <c r="Z414" s="177" t="s">
        <v>894</v>
      </c>
      <c r="AA414" s="80" t="s">
        <v>2741</v>
      </c>
      <c r="AB414" s="3"/>
      <c r="AC414" s="4"/>
      <c r="AD414" s="5"/>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6"/>
      <c r="CE414" s="7"/>
      <c r="CF414" s="6"/>
      <c r="CG414" s="7"/>
      <c r="CH414" s="6"/>
      <c r="CI414" s="7"/>
      <c r="CJ414" s="8">
        <f t="shared" si="54"/>
        <v>0</v>
      </c>
      <c r="CK414" s="9"/>
      <c r="CL414" s="10"/>
      <c r="CM414" s="11"/>
      <c r="CN414" s="12"/>
      <c r="CO414" s="28"/>
      <c r="CP414" s="12"/>
      <c r="CQ414" s="9"/>
      <c r="CR414" s="10"/>
      <c r="CS414" s="68"/>
      <c r="EC414" s="344" t="str">
        <f t="shared" si="49"/>
        <v>TOLIMA_CARMEN DE APICALA</v>
      </c>
      <c r="ED414" s="341"/>
      <c r="EE414" s="341" t="s">
        <v>3131</v>
      </c>
      <c r="EF414" s="349" t="s">
        <v>3132</v>
      </c>
      <c r="EG414" s="341" t="s">
        <v>3607</v>
      </c>
      <c r="EH414" s="341" t="s">
        <v>4539</v>
      </c>
      <c r="EI414" s="341" t="str">
        <f t="shared" si="48"/>
        <v>Cauca_Morales</v>
      </c>
    </row>
    <row r="415" spans="1:139" ht="45">
      <c r="A415" s="228">
        <v>40282</v>
      </c>
      <c r="B415" s="102" t="s">
        <v>1088</v>
      </c>
      <c r="C415" s="102" t="s">
        <v>2440</v>
      </c>
      <c r="D415" s="206" t="s">
        <v>2606</v>
      </c>
      <c r="E415" s="320" t="s">
        <v>4242</v>
      </c>
      <c r="F415" s="320"/>
      <c r="G415" s="210"/>
      <c r="H415" s="71">
        <v>2</v>
      </c>
      <c r="I415" s="71"/>
      <c r="J415" s="71">
        <f>32*5</f>
        <v>160</v>
      </c>
      <c r="K415" s="71">
        <v>32</v>
      </c>
      <c r="L415" s="1">
        <v>40302</v>
      </c>
      <c r="M415" s="73">
        <f t="shared" si="50"/>
        <v>0</v>
      </c>
      <c r="N415" s="73">
        <f t="shared" si="51"/>
        <v>0</v>
      </c>
      <c r="O415" s="73">
        <f t="shared" si="52"/>
        <v>35392000</v>
      </c>
      <c r="P415" s="73">
        <f t="shared" si="53"/>
        <v>0</v>
      </c>
      <c r="Q415" s="73"/>
      <c r="R415" s="73">
        <v>0</v>
      </c>
      <c r="S415" s="75">
        <f t="shared" si="55"/>
        <v>35392000</v>
      </c>
      <c r="T415" s="77">
        <v>0</v>
      </c>
      <c r="U415" s="66">
        <v>40283</v>
      </c>
      <c r="V415" s="79">
        <v>96706</v>
      </c>
      <c r="W415" s="66" t="s">
        <v>1606</v>
      </c>
      <c r="X415" s="24" t="s">
        <v>1607</v>
      </c>
      <c r="Y415" s="62">
        <v>103</v>
      </c>
      <c r="Z415" s="177" t="s">
        <v>2580</v>
      </c>
      <c r="AA415" s="80" t="s">
        <v>1895</v>
      </c>
      <c r="AB415" s="3"/>
      <c r="AC415" s="4"/>
      <c r="AD415" s="5"/>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6"/>
      <c r="CE415" s="7"/>
      <c r="CF415" s="6"/>
      <c r="CG415" s="7"/>
      <c r="CH415" s="6"/>
      <c r="CI415" s="7"/>
      <c r="CJ415" s="8">
        <f t="shared" si="54"/>
        <v>0</v>
      </c>
      <c r="CK415" s="9"/>
      <c r="CL415" s="10"/>
      <c r="CM415" s="11"/>
      <c r="CN415" s="12"/>
      <c r="CO415" s="28"/>
      <c r="CP415" s="12"/>
      <c r="CQ415" s="9">
        <v>1000</v>
      </c>
      <c r="CR415" s="10">
        <f>1000*34000+4000*348</f>
        <v>35392000</v>
      </c>
      <c r="CS415" s="68"/>
      <c r="EC415" s="344" t="str">
        <f t="shared" si="49"/>
        <v>VALLE DEL CAUCA_FLORIDA</v>
      </c>
      <c r="ED415" s="341"/>
      <c r="EE415" s="341" t="s">
        <v>3131</v>
      </c>
      <c r="EF415" s="349" t="s">
        <v>3132</v>
      </c>
      <c r="EG415" s="341" t="s">
        <v>3609</v>
      </c>
      <c r="EH415" s="341" t="s">
        <v>4624</v>
      </c>
      <c r="EI415" s="341" t="str">
        <f t="shared" ref="EI415:EI473" si="56">EF415&amp;"_"&amp;EH415</f>
        <v>Cauca_Paez</v>
      </c>
    </row>
    <row r="416" spans="1:139" ht="72">
      <c r="A416" s="228">
        <v>40283</v>
      </c>
      <c r="B416" s="102" t="s">
        <v>1314</v>
      </c>
      <c r="C416" s="102" t="s">
        <v>1811</v>
      </c>
      <c r="D416" s="206" t="s">
        <v>1878</v>
      </c>
      <c r="E416" s="320" t="s">
        <v>3600</v>
      </c>
      <c r="F416" s="320"/>
      <c r="G416" s="210"/>
      <c r="H416" s="71"/>
      <c r="I416" s="71"/>
      <c r="J416" s="71">
        <f>569*5</f>
        <v>2845</v>
      </c>
      <c r="K416" s="71">
        <f>597-28</f>
        <v>569</v>
      </c>
      <c r="L416" s="1">
        <v>40513</v>
      </c>
      <c r="M416" s="73">
        <f t="shared" si="50"/>
        <v>0</v>
      </c>
      <c r="N416" s="73">
        <f t="shared" si="51"/>
        <v>0</v>
      </c>
      <c r="O416" s="73">
        <f t="shared" si="52"/>
        <v>0</v>
      </c>
      <c r="P416" s="73">
        <f t="shared" si="53"/>
        <v>0</v>
      </c>
      <c r="Q416" s="73"/>
      <c r="R416" s="73">
        <v>73350000</v>
      </c>
      <c r="S416" s="75">
        <f t="shared" si="55"/>
        <v>73350000</v>
      </c>
      <c r="T416" s="77">
        <v>0</v>
      </c>
      <c r="U416" s="66">
        <v>40284</v>
      </c>
      <c r="V416" s="79">
        <v>53030</v>
      </c>
      <c r="W416" s="66" t="s">
        <v>1606</v>
      </c>
      <c r="X416" s="24" t="s">
        <v>1607</v>
      </c>
      <c r="Y416" s="62">
        <v>44928</v>
      </c>
      <c r="Z416" s="177" t="s">
        <v>1435</v>
      </c>
      <c r="AA416" s="92" t="s">
        <v>801</v>
      </c>
      <c r="AB416" s="3"/>
      <c r="AC416" s="4"/>
      <c r="AD416" s="5"/>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6"/>
      <c r="CE416" s="7"/>
      <c r="CF416" s="6"/>
      <c r="CG416" s="7"/>
      <c r="CH416" s="6"/>
      <c r="CI416" s="7"/>
      <c r="CJ416" s="8">
        <f t="shared" si="54"/>
        <v>0</v>
      </c>
      <c r="CK416" s="9"/>
      <c r="CL416" s="10"/>
      <c r="CM416" s="11"/>
      <c r="CN416" s="12"/>
      <c r="CO416" s="28"/>
      <c r="CP416" s="12"/>
      <c r="CQ416" s="9"/>
      <c r="CR416" s="10"/>
      <c r="CS416" s="68">
        <v>2</v>
      </c>
      <c r="EC416" s="344" t="str">
        <f t="shared" si="49"/>
        <v>CAUCA_INZA</v>
      </c>
      <c r="ED416" s="341"/>
      <c r="EE416" s="341" t="s">
        <v>3131</v>
      </c>
      <c r="EF416" s="349" t="s">
        <v>3132</v>
      </c>
      <c r="EG416" s="341" t="s">
        <v>3610</v>
      </c>
      <c r="EH416" s="341" t="s">
        <v>4739</v>
      </c>
      <c r="EI416" s="341" t="str">
        <f t="shared" si="56"/>
        <v>Cauca_Patia</v>
      </c>
    </row>
    <row r="417" spans="1:139" ht="84">
      <c r="A417" s="228">
        <v>40284</v>
      </c>
      <c r="B417" s="102" t="s">
        <v>1821</v>
      </c>
      <c r="C417" s="102" t="s">
        <v>2585</v>
      </c>
      <c r="D417" s="206" t="s">
        <v>2606</v>
      </c>
      <c r="E417" s="320" t="s">
        <v>3651</v>
      </c>
      <c r="F417" s="320"/>
      <c r="G417" s="210"/>
      <c r="H417" s="71"/>
      <c r="I417" s="71"/>
      <c r="J417" s="71">
        <f>18*5</f>
        <v>90</v>
      </c>
      <c r="K417" s="71">
        <v>18</v>
      </c>
      <c r="L417" s="1">
        <v>40310</v>
      </c>
      <c r="M417" s="73">
        <f t="shared" si="50"/>
        <v>0</v>
      </c>
      <c r="N417" s="73">
        <f t="shared" si="51"/>
        <v>0</v>
      </c>
      <c r="O417" s="73">
        <f t="shared" si="52"/>
        <v>0</v>
      </c>
      <c r="P417" s="73">
        <f t="shared" si="53"/>
        <v>0</v>
      </c>
      <c r="Q417" s="73"/>
      <c r="R417" s="73">
        <v>100000000</v>
      </c>
      <c r="S417" s="75">
        <f t="shared" si="55"/>
        <v>100000000</v>
      </c>
      <c r="T417" s="77">
        <v>0</v>
      </c>
      <c r="U417" s="66">
        <v>40290</v>
      </c>
      <c r="V417" s="89" t="s">
        <v>924</v>
      </c>
      <c r="W417" s="66" t="s">
        <v>1606</v>
      </c>
      <c r="X417" s="24" t="s">
        <v>1607</v>
      </c>
      <c r="Y417" s="62">
        <v>247</v>
      </c>
      <c r="Z417" s="177" t="s">
        <v>923</v>
      </c>
      <c r="AA417" s="80" t="s">
        <v>2035</v>
      </c>
      <c r="AB417" s="3"/>
      <c r="AC417" s="4"/>
      <c r="AD417" s="5"/>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6"/>
      <c r="CE417" s="7"/>
      <c r="CF417" s="6"/>
      <c r="CG417" s="7"/>
      <c r="CH417" s="6"/>
      <c r="CI417" s="7"/>
      <c r="CJ417" s="8">
        <f t="shared" si="54"/>
        <v>0</v>
      </c>
      <c r="CK417" s="9"/>
      <c r="CL417" s="10"/>
      <c r="CM417" s="11"/>
      <c r="CN417" s="12"/>
      <c r="CO417" s="28"/>
      <c r="CP417" s="12"/>
      <c r="CQ417" s="9"/>
      <c r="CR417" s="10"/>
      <c r="CS417" s="68">
        <v>2</v>
      </c>
      <c r="EC417" s="344" t="str">
        <f t="shared" si="49"/>
        <v>CESAR_SAN MARTIN</v>
      </c>
      <c r="ED417" s="341"/>
      <c r="EE417" s="341" t="s">
        <v>3131</v>
      </c>
      <c r="EF417" s="349" t="s">
        <v>3132</v>
      </c>
      <c r="EG417" s="341" t="s">
        <v>3611</v>
      </c>
      <c r="EH417" s="341" t="s">
        <v>4740</v>
      </c>
      <c r="EI417" s="341" t="str">
        <f t="shared" si="56"/>
        <v>Cauca_Piamonte</v>
      </c>
    </row>
    <row r="418" spans="1:139" ht="96">
      <c r="A418" s="228">
        <v>40284</v>
      </c>
      <c r="B418" s="102" t="s">
        <v>1604</v>
      </c>
      <c r="C418" s="102" t="s">
        <v>739</v>
      </c>
      <c r="D418" s="206" t="s">
        <v>1201</v>
      </c>
      <c r="E418" s="320" t="s">
        <v>3716</v>
      </c>
      <c r="F418" s="320"/>
      <c r="G418" s="210"/>
      <c r="H418" s="71"/>
      <c r="I418" s="71"/>
      <c r="J418" s="71">
        <v>200</v>
      </c>
      <c r="K418" s="71">
        <v>50</v>
      </c>
      <c r="L418" s="1"/>
      <c r="M418" s="73">
        <f t="shared" si="50"/>
        <v>0</v>
      </c>
      <c r="N418" s="73">
        <f t="shared" si="51"/>
        <v>0</v>
      </c>
      <c r="O418" s="73">
        <f t="shared" si="52"/>
        <v>0</v>
      </c>
      <c r="P418" s="73">
        <f t="shared" si="53"/>
        <v>0</v>
      </c>
      <c r="Q418" s="73"/>
      <c r="R418" s="73">
        <v>0</v>
      </c>
      <c r="S418" s="75">
        <f t="shared" si="55"/>
        <v>0</v>
      </c>
      <c r="T418" s="77">
        <v>0</v>
      </c>
      <c r="U418" s="66">
        <v>40284</v>
      </c>
      <c r="V418" s="79"/>
      <c r="W418" s="66" t="s">
        <v>1585</v>
      </c>
      <c r="X418" s="24" t="s">
        <v>1586</v>
      </c>
      <c r="Y418" s="62"/>
      <c r="Z418" s="177" t="s">
        <v>894</v>
      </c>
      <c r="AA418" s="80" t="s">
        <v>1623</v>
      </c>
      <c r="AB418" s="3"/>
      <c r="AC418" s="4"/>
      <c r="AD418" s="5"/>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6"/>
      <c r="CE418" s="7"/>
      <c r="CF418" s="6"/>
      <c r="CG418" s="7"/>
      <c r="CH418" s="6"/>
      <c r="CI418" s="7"/>
      <c r="CJ418" s="8">
        <f t="shared" si="54"/>
        <v>0</v>
      </c>
      <c r="CK418" s="9"/>
      <c r="CL418" s="10"/>
      <c r="CM418" s="11"/>
      <c r="CN418" s="12"/>
      <c r="CO418" s="28"/>
      <c r="CP418" s="12"/>
      <c r="CQ418" s="9"/>
      <c r="CR418" s="10"/>
      <c r="CS418" s="68"/>
      <c r="EC418" s="344" t="str">
        <f t="shared" si="49"/>
        <v>CUNDINAMARCA_GUADUAS</v>
      </c>
      <c r="ED418" s="341"/>
      <c r="EE418" s="341" t="s">
        <v>3131</v>
      </c>
      <c r="EF418" s="349" t="s">
        <v>3132</v>
      </c>
      <c r="EG418" s="341" t="s">
        <v>3612</v>
      </c>
      <c r="EH418" s="341" t="s">
        <v>4741</v>
      </c>
      <c r="EI418" s="341" t="str">
        <f t="shared" si="56"/>
        <v>Cauca_Piendamo</v>
      </c>
    </row>
    <row r="419" spans="1:139" ht="38.25">
      <c r="A419" s="228">
        <v>40284</v>
      </c>
      <c r="B419" s="102" t="s">
        <v>1604</v>
      </c>
      <c r="C419" s="102" t="s">
        <v>1957</v>
      </c>
      <c r="D419" s="206" t="s">
        <v>1201</v>
      </c>
      <c r="E419" s="320" t="s">
        <v>3726</v>
      </c>
      <c r="F419" s="320"/>
      <c r="G419" s="210"/>
      <c r="H419" s="71"/>
      <c r="I419" s="71"/>
      <c r="J419" s="71">
        <v>20</v>
      </c>
      <c r="K419" s="71">
        <v>5</v>
      </c>
      <c r="L419" s="1"/>
      <c r="M419" s="73">
        <f t="shared" si="50"/>
        <v>0</v>
      </c>
      <c r="N419" s="73">
        <f t="shared" si="51"/>
        <v>0</v>
      </c>
      <c r="O419" s="73">
        <f t="shared" si="52"/>
        <v>0</v>
      </c>
      <c r="P419" s="73">
        <f t="shared" si="53"/>
        <v>0</v>
      </c>
      <c r="Q419" s="73"/>
      <c r="R419" s="73">
        <v>0</v>
      </c>
      <c r="S419" s="75">
        <f t="shared" si="55"/>
        <v>0</v>
      </c>
      <c r="T419" s="77">
        <v>0</v>
      </c>
      <c r="U419" s="66">
        <v>40284</v>
      </c>
      <c r="V419" s="79"/>
      <c r="W419" s="66" t="s">
        <v>1585</v>
      </c>
      <c r="X419" s="24" t="s">
        <v>1586</v>
      </c>
      <c r="Y419" s="62"/>
      <c r="Z419" s="177" t="s">
        <v>894</v>
      </c>
      <c r="AA419" s="80" t="s">
        <v>2611</v>
      </c>
      <c r="AB419" s="3"/>
      <c r="AC419" s="4"/>
      <c r="AD419" s="5"/>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6"/>
      <c r="CE419" s="7"/>
      <c r="CF419" s="6"/>
      <c r="CG419" s="7"/>
      <c r="CH419" s="6"/>
      <c r="CI419" s="7"/>
      <c r="CJ419" s="8">
        <f t="shared" si="54"/>
        <v>0</v>
      </c>
      <c r="CK419" s="9"/>
      <c r="CL419" s="10"/>
      <c r="CM419" s="11"/>
      <c r="CN419" s="12"/>
      <c r="CO419" s="28"/>
      <c r="CP419" s="12"/>
      <c r="CQ419" s="9"/>
      <c r="CR419" s="10"/>
      <c r="CS419" s="68"/>
      <c r="EC419" s="344" t="str">
        <f t="shared" si="49"/>
        <v>CUNDINAMARCA_LA MESA</v>
      </c>
      <c r="ED419" s="341"/>
      <c r="EE419" s="341" t="s">
        <v>3131</v>
      </c>
      <c r="EF419" s="349" t="s">
        <v>3132</v>
      </c>
      <c r="EG419" s="341" t="s">
        <v>3613</v>
      </c>
      <c r="EH419" s="341" t="s">
        <v>4742</v>
      </c>
      <c r="EI419" s="341" t="str">
        <f t="shared" si="56"/>
        <v>Cauca_Puerto Tejada</v>
      </c>
    </row>
    <row r="420" spans="1:139" ht="25.5">
      <c r="A420" s="228">
        <v>40284</v>
      </c>
      <c r="B420" s="205" t="s">
        <v>962</v>
      </c>
      <c r="C420" s="205" t="s">
        <v>39</v>
      </c>
      <c r="D420" s="207" t="s">
        <v>1201</v>
      </c>
      <c r="E420" s="323" t="s">
        <v>3833</v>
      </c>
      <c r="F420" s="323"/>
      <c r="G420" s="204"/>
      <c r="H420" s="151"/>
      <c r="I420" s="151"/>
      <c r="J420" s="151">
        <v>70</v>
      </c>
      <c r="K420" s="151">
        <v>14</v>
      </c>
      <c r="L420" s="1"/>
      <c r="M420" s="73">
        <f t="shared" si="50"/>
        <v>0</v>
      </c>
      <c r="N420" s="73">
        <f t="shared" si="51"/>
        <v>0</v>
      </c>
      <c r="O420" s="73">
        <f t="shared" si="52"/>
        <v>0</v>
      </c>
      <c r="P420" s="73">
        <f t="shared" si="53"/>
        <v>0</v>
      </c>
      <c r="Q420" s="73"/>
      <c r="R420" s="73">
        <v>0</v>
      </c>
      <c r="S420" s="75">
        <f t="shared" si="55"/>
        <v>0</v>
      </c>
      <c r="T420" s="77">
        <v>0</v>
      </c>
      <c r="U420" s="66">
        <v>40581</v>
      </c>
      <c r="V420" s="79"/>
      <c r="W420" s="66" t="s">
        <v>1585</v>
      </c>
      <c r="X420" s="24" t="s">
        <v>1586</v>
      </c>
      <c r="Y420" s="62"/>
      <c r="Z420" s="169" t="s">
        <v>894</v>
      </c>
      <c r="AA420" s="166" t="s">
        <v>54</v>
      </c>
      <c r="AB420" s="152"/>
      <c r="AC420" s="153"/>
      <c r="AD420" s="154"/>
      <c r="AE420" s="153"/>
      <c r="AF420" s="153"/>
      <c r="AG420" s="153"/>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c r="BM420" s="153"/>
      <c r="BN420" s="153"/>
      <c r="BO420" s="153"/>
      <c r="BP420" s="153"/>
      <c r="BQ420" s="153"/>
      <c r="BR420" s="153"/>
      <c r="BS420" s="153"/>
      <c r="BT420" s="153"/>
      <c r="BU420" s="153"/>
      <c r="BV420" s="153"/>
      <c r="BW420" s="153"/>
      <c r="BX420" s="153"/>
      <c r="BY420" s="153"/>
      <c r="BZ420" s="153"/>
      <c r="CA420" s="153"/>
      <c r="CB420" s="153"/>
      <c r="CC420" s="153"/>
      <c r="CD420" s="155"/>
      <c r="CE420" s="156"/>
      <c r="CF420" s="155"/>
      <c r="CG420" s="156"/>
      <c r="CH420" s="155"/>
      <c r="CI420" s="156"/>
      <c r="CJ420" s="157">
        <f t="shared" si="54"/>
        <v>0</v>
      </c>
      <c r="CK420" s="158"/>
      <c r="CL420" s="159"/>
      <c r="CM420" s="160"/>
      <c r="CN420" s="161"/>
      <c r="CO420" s="162"/>
      <c r="CP420" s="161"/>
      <c r="CQ420" s="158"/>
      <c r="CR420" s="159"/>
      <c r="CS420" s="68"/>
      <c r="CT420" s="163"/>
      <c r="EC420" s="344" t="str">
        <f t="shared" si="49"/>
        <v>HUILA_GARZON</v>
      </c>
      <c r="ED420" s="341"/>
      <c r="EE420" s="341" t="s">
        <v>3131</v>
      </c>
      <c r="EF420" s="349" t="s">
        <v>3132</v>
      </c>
      <c r="EG420" s="341" t="s">
        <v>3614</v>
      </c>
      <c r="EH420" s="341" t="s">
        <v>4743</v>
      </c>
      <c r="EI420" s="341" t="str">
        <f t="shared" si="56"/>
        <v>Cauca_Purace</v>
      </c>
    </row>
    <row r="421" spans="1:139" ht="90">
      <c r="A421" s="228">
        <v>40284</v>
      </c>
      <c r="B421" s="102" t="s">
        <v>396</v>
      </c>
      <c r="C421" s="102" t="s">
        <v>1952</v>
      </c>
      <c r="D421" s="206" t="s">
        <v>1201</v>
      </c>
      <c r="E421" s="320" t="s">
        <v>3916</v>
      </c>
      <c r="F421" s="320"/>
      <c r="G421" s="210"/>
      <c r="H421" s="71"/>
      <c r="I421" s="71">
        <v>1</v>
      </c>
      <c r="J421" s="71">
        <v>4198</v>
      </c>
      <c r="K421" s="71">
        <v>1382</v>
      </c>
      <c r="L421" s="1">
        <v>40304</v>
      </c>
      <c r="M421" s="73">
        <f t="shared" si="50"/>
        <v>156934880</v>
      </c>
      <c r="N421" s="73">
        <f t="shared" si="51"/>
        <v>79900000</v>
      </c>
      <c r="O421" s="73">
        <f t="shared" si="52"/>
        <v>0</v>
      </c>
      <c r="P421" s="73">
        <f t="shared" si="53"/>
        <v>0</v>
      </c>
      <c r="Q421" s="73"/>
      <c r="R421" s="73">
        <v>0</v>
      </c>
      <c r="S421" s="75">
        <f t="shared" si="55"/>
        <v>236834880</v>
      </c>
      <c r="T421" s="77">
        <v>0</v>
      </c>
      <c r="U421" s="66">
        <v>40289</v>
      </c>
      <c r="V421" s="79">
        <v>96792</v>
      </c>
      <c r="W421" s="66" t="s">
        <v>1606</v>
      </c>
      <c r="X421" s="24" t="s">
        <v>1607</v>
      </c>
      <c r="Y421" s="62">
        <v>98</v>
      </c>
      <c r="Z421" s="177" t="s">
        <v>2242</v>
      </c>
      <c r="AA421" s="80" t="s">
        <v>1809</v>
      </c>
      <c r="AB421" s="3"/>
      <c r="AC421" s="4"/>
      <c r="AD421" s="5"/>
      <c r="AE421" s="4"/>
      <c r="AF421" s="4"/>
      <c r="AG421" s="4"/>
      <c r="AH421" s="4"/>
      <c r="AI421" s="4"/>
      <c r="AJ421" s="4"/>
      <c r="AK421" s="4"/>
      <c r="AL421" s="4"/>
      <c r="AM421" s="4"/>
      <c r="AN421" s="4">
        <v>940</v>
      </c>
      <c r="AO421" s="4">
        <f>940*56000</f>
        <v>52640000</v>
      </c>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v>940</v>
      </c>
      <c r="BY421" s="4">
        <f>940*20000</f>
        <v>18800000</v>
      </c>
      <c r="BZ421" s="4"/>
      <c r="CA421" s="4"/>
      <c r="CB421" s="4">
        <v>940</v>
      </c>
      <c r="CC421" s="4">
        <f>940*18000</f>
        <v>16920000</v>
      </c>
      <c r="CD421" s="6">
        <v>940</v>
      </c>
      <c r="CE421" s="7">
        <f>940*36952</f>
        <v>34734880</v>
      </c>
      <c r="CF421" s="6">
        <v>940</v>
      </c>
      <c r="CG421" s="7">
        <f>940*36000</f>
        <v>33840000</v>
      </c>
      <c r="CH421" s="6"/>
      <c r="CI421" s="7"/>
      <c r="CJ421" s="8">
        <f t="shared" si="54"/>
        <v>156934880</v>
      </c>
      <c r="CK421" s="9"/>
      <c r="CL421" s="10"/>
      <c r="CM421" s="11">
        <v>940</v>
      </c>
      <c r="CN421" s="12">
        <f>940*85000</f>
        <v>79900000</v>
      </c>
      <c r="CO421" s="28"/>
      <c r="CP421" s="12"/>
      <c r="CQ421" s="9"/>
      <c r="CR421" s="10"/>
      <c r="CS421" s="68"/>
      <c r="EC421" s="352" t="str">
        <f t="shared" si="49"/>
        <v>META_GRANADA</v>
      </c>
      <c r="ED421" s="353"/>
      <c r="EE421" s="341" t="s">
        <v>3131</v>
      </c>
      <c r="EF421" s="349" t="s">
        <v>3132</v>
      </c>
      <c r="EG421" s="341" t="s">
        <v>3615</v>
      </c>
      <c r="EH421" s="341" t="s">
        <v>4744</v>
      </c>
      <c r="EI421" s="341" t="str">
        <f t="shared" si="56"/>
        <v>Cauca_Rosas</v>
      </c>
    </row>
    <row r="422" spans="1:139" ht="90">
      <c r="A422" s="228">
        <v>40284</v>
      </c>
      <c r="B422" s="102" t="s">
        <v>396</v>
      </c>
      <c r="C422" s="102" t="s">
        <v>2585</v>
      </c>
      <c r="D422" s="206" t="s">
        <v>1201</v>
      </c>
      <c r="E422" s="320" t="s">
        <v>3932</v>
      </c>
      <c r="F422" s="320"/>
      <c r="G422" s="210"/>
      <c r="H422" s="71"/>
      <c r="I422" s="71"/>
      <c r="J422" s="71">
        <v>332</v>
      </c>
      <c r="K422" s="71">
        <v>58</v>
      </c>
      <c r="L422" s="1">
        <v>40304</v>
      </c>
      <c r="M422" s="73">
        <f t="shared" si="50"/>
        <v>10017120</v>
      </c>
      <c r="N422" s="73">
        <f t="shared" si="51"/>
        <v>5100000</v>
      </c>
      <c r="O422" s="73">
        <f t="shared" si="52"/>
        <v>0</v>
      </c>
      <c r="P422" s="73">
        <f t="shared" si="53"/>
        <v>0</v>
      </c>
      <c r="Q422" s="73"/>
      <c r="R422" s="73">
        <v>0</v>
      </c>
      <c r="S422" s="75">
        <f t="shared" si="55"/>
        <v>15117120</v>
      </c>
      <c r="T422" s="77">
        <v>0</v>
      </c>
      <c r="U422" s="66">
        <v>40289</v>
      </c>
      <c r="V422" s="79">
        <v>96792</v>
      </c>
      <c r="W422" s="66" t="s">
        <v>1606</v>
      </c>
      <c r="X422" s="24" t="s">
        <v>1607</v>
      </c>
      <c r="Y422" s="62">
        <v>98</v>
      </c>
      <c r="Z422" s="177" t="s">
        <v>2242</v>
      </c>
      <c r="AA422" s="80" t="s">
        <v>2586</v>
      </c>
      <c r="AB422" s="3"/>
      <c r="AC422" s="4"/>
      <c r="AD422" s="5"/>
      <c r="AE422" s="4"/>
      <c r="AF422" s="4"/>
      <c r="AG422" s="4"/>
      <c r="AH422" s="4"/>
      <c r="AI422" s="4"/>
      <c r="AJ422" s="4"/>
      <c r="AK422" s="4"/>
      <c r="AL422" s="4"/>
      <c r="AM422" s="4"/>
      <c r="AN422" s="4">
        <v>60</v>
      </c>
      <c r="AO422" s="4">
        <f>60*56000</f>
        <v>3360000</v>
      </c>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v>60</v>
      </c>
      <c r="BY422" s="4">
        <f>60*20000</f>
        <v>1200000</v>
      </c>
      <c r="BZ422" s="4"/>
      <c r="CA422" s="4"/>
      <c r="CB422" s="4">
        <v>60</v>
      </c>
      <c r="CC422" s="4">
        <f>60*18000</f>
        <v>1080000</v>
      </c>
      <c r="CD422" s="6">
        <v>60</v>
      </c>
      <c r="CE422" s="7">
        <f>60*36952</f>
        <v>2217120</v>
      </c>
      <c r="CF422" s="6">
        <v>60</v>
      </c>
      <c r="CG422" s="7">
        <f>60*36000</f>
        <v>2160000</v>
      </c>
      <c r="CH422" s="6"/>
      <c r="CI422" s="7"/>
      <c r="CJ422" s="8">
        <f t="shared" si="54"/>
        <v>10017120</v>
      </c>
      <c r="CK422" s="9"/>
      <c r="CL422" s="10"/>
      <c r="CM422" s="11">
        <v>60</v>
      </c>
      <c r="CN422" s="12">
        <f>60*85000</f>
        <v>5100000</v>
      </c>
      <c r="CO422" s="28"/>
      <c r="CP422" s="12"/>
      <c r="CQ422" s="9"/>
      <c r="CR422" s="10"/>
      <c r="CS422" s="68"/>
      <c r="EC422" s="352" t="str">
        <f t="shared" si="49"/>
        <v>META_SAN MARTIN</v>
      </c>
      <c r="ED422" s="353"/>
      <c r="EE422" s="341" t="s">
        <v>3131</v>
      </c>
      <c r="EF422" s="349" t="s">
        <v>3132</v>
      </c>
      <c r="EG422" s="341" t="s">
        <v>3616</v>
      </c>
      <c r="EH422" s="341" t="s">
        <v>4745</v>
      </c>
      <c r="EI422" s="341" t="str">
        <f t="shared" si="56"/>
        <v>Cauca_San Sebastian</v>
      </c>
    </row>
    <row r="423" spans="1:139" ht="38.25">
      <c r="A423" s="228">
        <v>40284</v>
      </c>
      <c r="B423" s="102" t="s">
        <v>396</v>
      </c>
      <c r="C423" s="102" t="s">
        <v>2860</v>
      </c>
      <c r="D423" s="206" t="s">
        <v>1201</v>
      </c>
      <c r="E423" s="320" t="s">
        <v>3933</v>
      </c>
      <c r="F423" s="320"/>
      <c r="G423" s="210"/>
      <c r="H423" s="71"/>
      <c r="I423" s="71"/>
      <c r="J423" s="71"/>
      <c r="K423" s="71"/>
      <c r="L423" s="1"/>
      <c r="M423" s="73">
        <f t="shared" si="50"/>
        <v>0</v>
      </c>
      <c r="N423" s="73">
        <f t="shared" si="51"/>
        <v>0</v>
      </c>
      <c r="O423" s="73">
        <f t="shared" si="52"/>
        <v>0</v>
      </c>
      <c r="P423" s="73">
        <f t="shared" si="53"/>
        <v>0</v>
      </c>
      <c r="Q423" s="73"/>
      <c r="R423" s="73">
        <v>0</v>
      </c>
      <c r="S423" s="75">
        <f t="shared" si="55"/>
        <v>0</v>
      </c>
      <c r="T423" s="77">
        <v>0</v>
      </c>
      <c r="U423" s="66">
        <v>40284</v>
      </c>
      <c r="V423" s="79"/>
      <c r="W423" s="66" t="s">
        <v>1585</v>
      </c>
      <c r="X423" s="24" t="s">
        <v>1586</v>
      </c>
      <c r="Y423" s="62"/>
      <c r="Z423" s="177" t="s">
        <v>894</v>
      </c>
      <c r="AA423" s="80" t="s">
        <v>1810</v>
      </c>
      <c r="AB423" s="3"/>
      <c r="AC423" s="4"/>
      <c r="AD423" s="5"/>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6"/>
      <c r="CE423" s="7"/>
      <c r="CF423" s="6"/>
      <c r="CG423" s="7"/>
      <c r="CH423" s="6"/>
      <c r="CI423" s="7"/>
      <c r="CJ423" s="8">
        <f t="shared" si="54"/>
        <v>0</v>
      </c>
      <c r="CK423" s="9"/>
      <c r="CL423" s="10"/>
      <c r="CM423" s="11"/>
      <c r="CN423" s="12"/>
      <c r="CO423" s="28"/>
      <c r="CP423" s="12"/>
      <c r="CQ423" s="9"/>
      <c r="CR423" s="10"/>
      <c r="CS423" s="68"/>
      <c r="EC423" s="344" t="str">
        <f t="shared" si="49"/>
        <v>META_VISTAHERMOSA</v>
      </c>
      <c r="ED423" s="341"/>
      <c r="EE423" s="341" t="s">
        <v>3131</v>
      </c>
      <c r="EF423" s="349" t="s">
        <v>3132</v>
      </c>
      <c r="EG423" s="341" t="s">
        <v>3617</v>
      </c>
      <c r="EH423" s="341" t="s">
        <v>4746</v>
      </c>
      <c r="EI423" s="341" t="str">
        <f t="shared" si="56"/>
        <v>Cauca_Santander de Quilichao</v>
      </c>
    </row>
    <row r="424" spans="1:139" ht="36">
      <c r="A424" s="228">
        <v>40284</v>
      </c>
      <c r="B424" s="102" t="s">
        <v>2400</v>
      </c>
      <c r="C424" s="102" t="s">
        <v>2286</v>
      </c>
      <c r="D424" s="206" t="s">
        <v>1201</v>
      </c>
      <c r="E424" s="320" t="s">
        <v>4217</v>
      </c>
      <c r="F424" s="320"/>
      <c r="G424" s="210"/>
      <c r="H424" s="71"/>
      <c r="I424" s="71"/>
      <c r="J424" s="71"/>
      <c r="K424" s="71"/>
      <c r="L424" s="1"/>
      <c r="M424" s="73">
        <f t="shared" si="50"/>
        <v>0</v>
      </c>
      <c r="N424" s="73">
        <f t="shared" si="51"/>
        <v>0</v>
      </c>
      <c r="O424" s="73">
        <f t="shared" si="52"/>
        <v>0</v>
      </c>
      <c r="P424" s="73">
        <f t="shared" si="53"/>
        <v>0</v>
      </c>
      <c r="Q424" s="73"/>
      <c r="R424" s="73">
        <v>0</v>
      </c>
      <c r="S424" s="75">
        <f t="shared" si="55"/>
        <v>0</v>
      </c>
      <c r="T424" s="77">
        <v>0</v>
      </c>
      <c r="U424" s="66">
        <v>40285</v>
      </c>
      <c r="V424" s="79"/>
      <c r="W424" s="66" t="s">
        <v>1585</v>
      </c>
      <c r="X424" s="24" t="s">
        <v>1586</v>
      </c>
      <c r="Y424" s="62"/>
      <c r="Z424" s="177" t="s">
        <v>894</v>
      </c>
      <c r="AA424" s="80" t="s">
        <v>2287</v>
      </c>
      <c r="AB424" s="3"/>
      <c r="AC424" s="4"/>
      <c r="AD424" s="5"/>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6"/>
      <c r="CE424" s="7"/>
      <c r="CF424" s="6"/>
      <c r="CG424" s="7"/>
      <c r="CH424" s="6"/>
      <c r="CI424" s="7"/>
      <c r="CJ424" s="8">
        <f t="shared" si="54"/>
        <v>0</v>
      </c>
      <c r="CK424" s="9"/>
      <c r="CL424" s="10"/>
      <c r="CM424" s="11"/>
      <c r="CN424" s="12"/>
      <c r="CO424" s="28"/>
      <c r="CP424" s="12"/>
      <c r="CQ424" s="9"/>
      <c r="CR424" s="10"/>
      <c r="CS424" s="68"/>
      <c r="EC424" s="344" t="str">
        <f t="shared" si="49"/>
        <v>TOLIMA_SAN LUIS</v>
      </c>
      <c r="ED424" s="341"/>
      <c r="EE424" s="353" t="s">
        <v>3131</v>
      </c>
      <c r="EF424" s="349" t="s">
        <v>3132</v>
      </c>
      <c r="EG424" s="353" t="s">
        <v>3619</v>
      </c>
      <c r="EH424" s="353" t="s">
        <v>4747</v>
      </c>
      <c r="EI424" s="353" t="str">
        <f t="shared" si="56"/>
        <v>Cauca_Silvia</v>
      </c>
    </row>
    <row r="425" spans="1:139" ht="38.25">
      <c r="A425" s="228">
        <v>40284.579861111109</v>
      </c>
      <c r="B425" s="205" t="s">
        <v>2298</v>
      </c>
      <c r="C425" s="205" t="s">
        <v>1610</v>
      </c>
      <c r="D425" s="207" t="s">
        <v>1878</v>
      </c>
      <c r="E425" s="323"/>
      <c r="F425" s="323"/>
      <c r="G425" s="204"/>
      <c r="H425" s="151"/>
      <c r="I425" s="151"/>
      <c r="J425" s="151">
        <v>5</v>
      </c>
      <c r="K425" s="409">
        <v>2</v>
      </c>
      <c r="L425" s="1"/>
      <c r="M425" s="73">
        <f t="shared" si="50"/>
        <v>0</v>
      </c>
      <c r="N425" s="73">
        <f t="shared" si="51"/>
        <v>0</v>
      </c>
      <c r="O425" s="73">
        <f t="shared" si="52"/>
        <v>0</v>
      </c>
      <c r="P425" s="73">
        <f t="shared" si="53"/>
        <v>0</v>
      </c>
      <c r="Q425" s="73"/>
      <c r="R425" s="73">
        <v>0</v>
      </c>
      <c r="S425" s="75">
        <f t="shared" si="55"/>
        <v>0</v>
      </c>
      <c r="T425" s="77">
        <v>0</v>
      </c>
      <c r="U425" s="296">
        <v>40624</v>
      </c>
      <c r="V425" s="297"/>
      <c r="W425" s="296" t="s">
        <v>1585</v>
      </c>
      <c r="X425" s="298" t="s">
        <v>1586</v>
      </c>
      <c r="Y425" s="299"/>
      <c r="Z425" s="300" t="s">
        <v>894</v>
      </c>
      <c r="AA425" s="414" t="s">
        <v>5404</v>
      </c>
      <c r="AB425" s="152"/>
      <c r="AC425" s="153"/>
      <c r="AD425" s="154"/>
      <c r="AE425" s="153"/>
      <c r="AF425" s="153"/>
      <c r="AG425" s="153"/>
      <c r="AH425" s="153"/>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c r="BI425" s="153"/>
      <c r="BJ425" s="153"/>
      <c r="BK425" s="153"/>
      <c r="BL425" s="153"/>
      <c r="BM425" s="153"/>
      <c r="BN425" s="153"/>
      <c r="BO425" s="153"/>
      <c r="BP425" s="153"/>
      <c r="BQ425" s="153"/>
      <c r="BR425" s="153"/>
      <c r="BS425" s="153"/>
      <c r="BT425" s="153"/>
      <c r="BU425" s="153"/>
      <c r="BV425" s="153"/>
      <c r="BW425" s="153"/>
      <c r="BX425" s="153"/>
      <c r="BY425" s="153"/>
      <c r="BZ425" s="153"/>
      <c r="CA425" s="153"/>
      <c r="CB425" s="153"/>
      <c r="CC425" s="153"/>
      <c r="CD425" s="155"/>
      <c r="CE425" s="156"/>
      <c r="CF425" s="155"/>
      <c r="CG425" s="156"/>
      <c r="CH425" s="155"/>
      <c r="CI425" s="156"/>
      <c r="CJ425" s="157">
        <f t="shared" si="54"/>
        <v>0</v>
      </c>
      <c r="CK425" s="158"/>
      <c r="CL425" s="159"/>
      <c r="CM425" s="160"/>
      <c r="CN425" s="161"/>
      <c r="CO425" s="162"/>
      <c r="CP425" s="161"/>
      <c r="CQ425" s="158"/>
      <c r="CR425" s="159"/>
      <c r="CS425" s="68"/>
      <c r="CT425" s="163"/>
      <c r="EC425" s="344" t="str">
        <f t="shared" si="49"/>
        <v>BOGOTA D.C._BOGOTA</v>
      </c>
      <c r="ED425" s="341"/>
      <c r="EE425" s="353" t="s">
        <v>3131</v>
      </c>
      <c r="EF425" s="349" t="s">
        <v>3132</v>
      </c>
      <c r="EG425" s="353" t="s">
        <v>3620</v>
      </c>
      <c r="EH425" s="353" t="s">
        <v>4748</v>
      </c>
      <c r="EI425" s="353" t="str">
        <f t="shared" si="56"/>
        <v>Cauca_Sotara</v>
      </c>
    </row>
    <row r="426" spans="1:139" ht="38.25">
      <c r="A426" s="235">
        <v>40285</v>
      </c>
      <c r="B426" s="224" t="s">
        <v>1972</v>
      </c>
      <c r="C426" s="224" t="s">
        <v>2160</v>
      </c>
      <c r="D426" s="236" t="s">
        <v>618</v>
      </c>
      <c r="E426" s="324" t="s">
        <v>3326</v>
      </c>
      <c r="F426" s="324"/>
      <c r="G426" s="210"/>
      <c r="H426" s="71"/>
      <c r="I426" s="71"/>
      <c r="J426" s="71">
        <f>36*5</f>
        <v>180</v>
      </c>
      <c r="K426" s="71">
        <v>36</v>
      </c>
      <c r="L426" s="1"/>
      <c r="M426" s="73">
        <f t="shared" si="50"/>
        <v>0</v>
      </c>
      <c r="N426" s="73">
        <f t="shared" si="51"/>
        <v>0</v>
      </c>
      <c r="O426" s="73">
        <f t="shared" si="52"/>
        <v>0</v>
      </c>
      <c r="P426" s="73">
        <f t="shared" si="53"/>
        <v>0</v>
      </c>
      <c r="Q426" s="73"/>
      <c r="R426" s="73">
        <v>0</v>
      </c>
      <c r="S426" s="75">
        <f t="shared" si="55"/>
        <v>0</v>
      </c>
      <c r="T426" s="77">
        <v>0</v>
      </c>
      <c r="U426" s="66">
        <v>40292</v>
      </c>
      <c r="V426" s="79"/>
      <c r="W426" s="66" t="s">
        <v>1585</v>
      </c>
      <c r="X426" s="24" t="s">
        <v>1586</v>
      </c>
      <c r="Y426" s="62"/>
      <c r="Z426" s="177" t="s">
        <v>894</v>
      </c>
      <c r="AA426" s="80" t="s">
        <v>931</v>
      </c>
      <c r="AB426" s="3"/>
      <c r="AC426" s="4"/>
      <c r="AD426" s="5"/>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6"/>
      <c r="CE426" s="7"/>
      <c r="CF426" s="6"/>
      <c r="CG426" s="7"/>
      <c r="CH426" s="6"/>
      <c r="CI426" s="7"/>
      <c r="CJ426" s="8">
        <f t="shared" si="54"/>
        <v>0</v>
      </c>
      <c r="CK426" s="9"/>
      <c r="CL426" s="10"/>
      <c r="CM426" s="11"/>
      <c r="CN426" s="12"/>
      <c r="CO426" s="28"/>
      <c r="CP426" s="12"/>
      <c r="CQ426" s="9"/>
      <c r="CR426" s="10"/>
      <c r="CS426" s="68"/>
      <c r="EC426" s="344" t="str">
        <f t="shared" si="49"/>
        <v>ANTIOQUIA_SAN VICENTE</v>
      </c>
      <c r="ED426" s="341"/>
      <c r="EE426" s="341" t="s">
        <v>3131</v>
      </c>
      <c r="EF426" s="349" t="s">
        <v>3132</v>
      </c>
      <c r="EG426" s="341" t="s">
        <v>3621</v>
      </c>
      <c r="EH426" s="341" t="s">
        <v>4749</v>
      </c>
      <c r="EI426" s="341" t="str">
        <f t="shared" si="56"/>
        <v>Cauca_Suarez</v>
      </c>
    </row>
    <row r="427" spans="1:139" ht="25.5">
      <c r="A427" s="228">
        <v>40285</v>
      </c>
      <c r="B427" s="102" t="s">
        <v>1192</v>
      </c>
      <c r="C427" s="102" t="s">
        <v>1918</v>
      </c>
      <c r="D427" s="206" t="s">
        <v>1878</v>
      </c>
      <c r="E427" s="320" t="s">
        <v>3452</v>
      </c>
      <c r="F427" s="320"/>
      <c r="G427" s="210"/>
      <c r="H427" s="71"/>
      <c r="I427" s="71"/>
      <c r="J427" s="71"/>
      <c r="K427" s="71"/>
      <c r="L427" s="1"/>
      <c r="M427" s="73">
        <f t="shared" si="50"/>
        <v>0</v>
      </c>
      <c r="N427" s="73">
        <f t="shared" si="51"/>
        <v>0</v>
      </c>
      <c r="O427" s="73">
        <f t="shared" si="52"/>
        <v>0</v>
      </c>
      <c r="P427" s="73">
        <f t="shared" si="53"/>
        <v>0</v>
      </c>
      <c r="Q427" s="73"/>
      <c r="R427" s="73">
        <v>0</v>
      </c>
      <c r="S427" s="75">
        <f t="shared" si="55"/>
        <v>0</v>
      </c>
      <c r="T427" s="77">
        <v>0</v>
      </c>
      <c r="U427" s="66">
        <v>40292</v>
      </c>
      <c r="V427" s="79"/>
      <c r="W427" s="66" t="s">
        <v>1585</v>
      </c>
      <c r="X427" s="24" t="s">
        <v>1586</v>
      </c>
      <c r="Y427" s="62"/>
      <c r="Z427" s="177" t="s">
        <v>894</v>
      </c>
      <c r="AA427" s="80" t="s">
        <v>928</v>
      </c>
      <c r="AB427" s="3"/>
      <c r="AC427" s="4"/>
      <c r="AD427" s="5"/>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6"/>
      <c r="CE427" s="7"/>
      <c r="CF427" s="6"/>
      <c r="CG427" s="7"/>
      <c r="CH427" s="6"/>
      <c r="CI427" s="7"/>
      <c r="CJ427" s="8">
        <f t="shared" si="54"/>
        <v>0</v>
      </c>
      <c r="CK427" s="9"/>
      <c r="CL427" s="10"/>
      <c r="CM427" s="11"/>
      <c r="CN427" s="12"/>
      <c r="CO427" s="28"/>
      <c r="CP427" s="12"/>
      <c r="CQ427" s="9"/>
      <c r="CR427" s="10"/>
      <c r="CS427" s="68"/>
      <c r="EC427" s="344" t="str">
        <f t="shared" si="49"/>
        <v>BOYACA_DUITAMA</v>
      </c>
      <c r="ED427" s="341"/>
      <c r="EE427" s="341" t="s">
        <v>3131</v>
      </c>
      <c r="EF427" s="349" t="s">
        <v>3132</v>
      </c>
      <c r="EG427" s="341" t="s">
        <v>3622</v>
      </c>
      <c r="EH427" s="341" t="s">
        <v>3192</v>
      </c>
      <c r="EI427" s="341" t="str">
        <f t="shared" si="56"/>
        <v>Cauca_Sucre</v>
      </c>
    </row>
    <row r="428" spans="1:139" ht="25.5">
      <c r="A428" s="228">
        <v>40285</v>
      </c>
      <c r="B428" s="102" t="s">
        <v>1192</v>
      </c>
      <c r="C428" s="102" t="s">
        <v>1932</v>
      </c>
      <c r="D428" s="206" t="s">
        <v>1201</v>
      </c>
      <c r="E428" s="320" t="s">
        <v>3480</v>
      </c>
      <c r="F428" s="320"/>
      <c r="G428" s="210"/>
      <c r="H428" s="71"/>
      <c r="I428" s="71"/>
      <c r="J428" s="71">
        <f>55*5</f>
        <v>275</v>
      </c>
      <c r="K428" s="71">
        <v>55</v>
      </c>
      <c r="L428" s="1"/>
      <c r="M428" s="73">
        <f t="shared" si="50"/>
        <v>0</v>
      </c>
      <c r="N428" s="73">
        <f t="shared" si="51"/>
        <v>0</v>
      </c>
      <c r="O428" s="73">
        <f t="shared" si="52"/>
        <v>0</v>
      </c>
      <c r="P428" s="73">
        <f t="shared" si="53"/>
        <v>0</v>
      </c>
      <c r="Q428" s="73"/>
      <c r="R428" s="73">
        <v>0</v>
      </c>
      <c r="S428" s="75">
        <f t="shared" si="55"/>
        <v>0</v>
      </c>
      <c r="T428" s="77">
        <v>0</v>
      </c>
      <c r="U428" s="66">
        <v>40287</v>
      </c>
      <c r="V428" s="79"/>
      <c r="W428" s="66" t="s">
        <v>1585</v>
      </c>
      <c r="X428" s="24" t="s">
        <v>1586</v>
      </c>
      <c r="Y428" s="62"/>
      <c r="Z428" s="177" t="s">
        <v>894</v>
      </c>
      <c r="AA428" s="80" t="s">
        <v>748</v>
      </c>
      <c r="AB428" s="3"/>
      <c r="AC428" s="4"/>
      <c r="AD428" s="5"/>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6"/>
      <c r="CE428" s="7"/>
      <c r="CF428" s="6"/>
      <c r="CG428" s="7"/>
      <c r="CH428" s="6"/>
      <c r="CI428" s="7"/>
      <c r="CJ428" s="8">
        <f t="shared" si="54"/>
        <v>0</v>
      </c>
      <c r="CK428" s="9"/>
      <c r="CL428" s="10"/>
      <c r="CM428" s="11"/>
      <c r="CN428" s="12"/>
      <c r="CO428" s="28"/>
      <c r="CP428" s="12"/>
      <c r="CQ428" s="9"/>
      <c r="CR428" s="10"/>
      <c r="CS428" s="68"/>
      <c r="EC428" s="344" t="str">
        <f t="shared" si="49"/>
        <v>BOYACA_NOBSA</v>
      </c>
      <c r="ED428" s="341"/>
      <c r="EE428" s="341" t="s">
        <v>3131</v>
      </c>
      <c r="EF428" s="349" t="s">
        <v>3132</v>
      </c>
      <c r="EG428" s="341" t="s">
        <v>3623</v>
      </c>
      <c r="EH428" s="341" t="s">
        <v>4750</v>
      </c>
      <c r="EI428" s="341" t="str">
        <f t="shared" si="56"/>
        <v>Cauca_Timbio</v>
      </c>
    </row>
    <row r="429" spans="1:139" ht="25.5">
      <c r="A429" s="228">
        <v>40285</v>
      </c>
      <c r="B429" s="102" t="s">
        <v>1192</v>
      </c>
      <c r="C429" s="102" t="s">
        <v>749</v>
      </c>
      <c r="D429" s="206" t="s">
        <v>1878</v>
      </c>
      <c r="E429" s="320" t="s">
        <v>3529</v>
      </c>
      <c r="F429" s="320"/>
      <c r="G429" s="210"/>
      <c r="H429" s="71"/>
      <c r="I429" s="71"/>
      <c r="J429" s="71">
        <v>15</v>
      </c>
      <c r="K429" s="71">
        <v>3</v>
      </c>
      <c r="L429" s="1"/>
      <c r="M429" s="73">
        <f t="shared" si="50"/>
        <v>0</v>
      </c>
      <c r="N429" s="73">
        <f t="shared" si="51"/>
        <v>0</v>
      </c>
      <c r="O429" s="73">
        <f t="shared" si="52"/>
        <v>0</v>
      </c>
      <c r="P429" s="73">
        <f t="shared" si="53"/>
        <v>0</v>
      </c>
      <c r="Q429" s="73"/>
      <c r="R429" s="73">
        <v>0</v>
      </c>
      <c r="S429" s="75">
        <f t="shared" si="55"/>
        <v>0</v>
      </c>
      <c r="T429" s="77">
        <v>0</v>
      </c>
      <c r="U429" s="66">
        <v>40287</v>
      </c>
      <c r="V429" s="79"/>
      <c r="W429" s="66" t="s">
        <v>1585</v>
      </c>
      <c r="X429" s="24" t="s">
        <v>1586</v>
      </c>
      <c r="Y429" s="62"/>
      <c r="Z429" s="177" t="s">
        <v>894</v>
      </c>
      <c r="AA429" s="80" t="s">
        <v>929</v>
      </c>
      <c r="AB429" s="3"/>
      <c r="AC429" s="4"/>
      <c r="AD429" s="5"/>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6"/>
      <c r="CE429" s="7"/>
      <c r="CF429" s="6"/>
      <c r="CG429" s="7"/>
      <c r="CH429" s="6"/>
      <c r="CI429" s="7"/>
      <c r="CJ429" s="8">
        <f t="shared" si="54"/>
        <v>0</v>
      </c>
      <c r="CK429" s="9"/>
      <c r="CL429" s="10"/>
      <c r="CM429" s="11"/>
      <c r="CN429" s="12"/>
      <c r="CO429" s="28"/>
      <c r="CP429" s="12"/>
      <c r="CQ429" s="9"/>
      <c r="CR429" s="10"/>
      <c r="CS429" s="68"/>
      <c r="EC429" s="344" t="str">
        <f t="shared" si="49"/>
        <v>BOYACA_TIBASOSA</v>
      </c>
      <c r="ED429" s="341"/>
      <c r="EE429" s="341" t="s">
        <v>3131</v>
      </c>
      <c r="EF429" s="349" t="s">
        <v>3132</v>
      </c>
      <c r="EG429" s="341" t="s">
        <v>3626</v>
      </c>
      <c r="EH429" s="341" t="s">
        <v>4751</v>
      </c>
      <c r="EI429" s="341" t="str">
        <f t="shared" si="56"/>
        <v>Cauca_Totoro</v>
      </c>
    </row>
    <row r="430" spans="1:139" ht="25.5">
      <c r="A430" s="228">
        <v>40285</v>
      </c>
      <c r="B430" s="102" t="s">
        <v>1192</v>
      </c>
      <c r="C430" s="102" t="s">
        <v>1004</v>
      </c>
      <c r="D430" s="206" t="s">
        <v>2606</v>
      </c>
      <c r="E430" s="320" t="s">
        <v>3421</v>
      </c>
      <c r="F430" s="320"/>
      <c r="G430" s="210"/>
      <c r="H430" s="71"/>
      <c r="I430" s="71"/>
      <c r="J430" s="71">
        <v>80</v>
      </c>
      <c r="K430" s="71">
        <v>16</v>
      </c>
      <c r="L430" s="1"/>
      <c r="M430" s="73">
        <f t="shared" si="50"/>
        <v>0</v>
      </c>
      <c r="N430" s="73">
        <f t="shared" si="51"/>
        <v>0</v>
      </c>
      <c r="O430" s="73">
        <f t="shared" si="52"/>
        <v>0</v>
      </c>
      <c r="P430" s="73">
        <f t="shared" si="53"/>
        <v>0</v>
      </c>
      <c r="Q430" s="73"/>
      <c r="R430" s="73">
        <v>0</v>
      </c>
      <c r="S430" s="75">
        <f t="shared" si="55"/>
        <v>0</v>
      </c>
      <c r="T430" s="77">
        <v>0</v>
      </c>
      <c r="U430" s="66">
        <v>40286</v>
      </c>
      <c r="V430" s="79"/>
      <c r="W430" s="66" t="s">
        <v>1585</v>
      </c>
      <c r="X430" s="24" t="s">
        <v>1586</v>
      </c>
      <c r="Y430" s="62"/>
      <c r="Z430" s="177" t="s">
        <v>894</v>
      </c>
      <c r="AA430" s="80" t="s">
        <v>927</v>
      </c>
      <c r="AB430" s="3"/>
      <c r="AC430" s="4"/>
      <c r="AD430" s="5"/>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6"/>
      <c r="CE430" s="7"/>
      <c r="CF430" s="6"/>
      <c r="CG430" s="7"/>
      <c r="CH430" s="6"/>
      <c r="CI430" s="7"/>
      <c r="CJ430" s="8">
        <f t="shared" si="54"/>
        <v>0</v>
      </c>
      <c r="CK430" s="9"/>
      <c r="CL430" s="10"/>
      <c r="CM430" s="11"/>
      <c r="CN430" s="12"/>
      <c r="CO430" s="28"/>
      <c r="CP430" s="12"/>
      <c r="CQ430" s="9"/>
      <c r="CR430" s="10"/>
      <c r="CS430" s="68"/>
      <c r="EC430" s="344" t="str">
        <f t="shared" si="49"/>
        <v>BOYACA_TUNJA</v>
      </c>
      <c r="ED430" s="341"/>
      <c r="EE430" s="341" t="s">
        <v>3131</v>
      </c>
      <c r="EF430" s="349" t="s">
        <v>3132</v>
      </c>
      <c r="EG430" s="341" t="s">
        <v>3627</v>
      </c>
      <c r="EH430" s="341" t="s">
        <v>4752</v>
      </c>
      <c r="EI430" s="341" t="str">
        <f t="shared" si="56"/>
        <v>Cauca_Villa Rica</v>
      </c>
    </row>
    <row r="431" spans="1:139" ht="38.25">
      <c r="A431" s="228">
        <v>40285</v>
      </c>
      <c r="B431" s="102" t="s">
        <v>965</v>
      </c>
      <c r="C431" s="102" t="s">
        <v>1327</v>
      </c>
      <c r="D431" s="206" t="s">
        <v>2606</v>
      </c>
      <c r="E431" s="320" t="s">
        <v>3998</v>
      </c>
      <c r="F431" s="320"/>
      <c r="G431" s="210"/>
      <c r="H431" s="71"/>
      <c r="I431" s="71"/>
      <c r="J431" s="71"/>
      <c r="K431" s="71"/>
      <c r="L431" s="1"/>
      <c r="M431" s="73">
        <f t="shared" si="50"/>
        <v>0</v>
      </c>
      <c r="N431" s="73">
        <f t="shared" si="51"/>
        <v>0</v>
      </c>
      <c r="O431" s="73">
        <f t="shared" si="52"/>
        <v>0</v>
      </c>
      <c r="P431" s="73">
        <f t="shared" si="53"/>
        <v>0</v>
      </c>
      <c r="Q431" s="73"/>
      <c r="R431" s="73">
        <v>0</v>
      </c>
      <c r="S431" s="75">
        <f t="shared" si="55"/>
        <v>0</v>
      </c>
      <c r="T431" s="77">
        <v>0</v>
      </c>
      <c r="U431" s="66">
        <v>40286</v>
      </c>
      <c r="V431" s="79"/>
      <c r="W431" s="66" t="s">
        <v>1585</v>
      </c>
      <c r="X431" s="24" t="s">
        <v>1586</v>
      </c>
      <c r="Y431" s="62"/>
      <c r="Z431" s="177" t="s">
        <v>894</v>
      </c>
      <c r="AA431" s="80" t="s">
        <v>1005</v>
      </c>
      <c r="AB431" s="3"/>
      <c r="AC431" s="4"/>
      <c r="AD431" s="5"/>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6"/>
      <c r="CE431" s="7"/>
      <c r="CF431" s="6"/>
      <c r="CG431" s="7"/>
      <c r="CH431" s="6"/>
      <c r="CI431" s="7"/>
      <c r="CJ431" s="8">
        <f t="shared" si="54"/>
        <v>0</v>
      </c>
      <c r="CK431" s="9"/>
      <c r="CL431" s="10"/>
      <c r="CM431" s="11"/>
      <c r="CN431" s="12"/>
      <c r="CO431" s="28"/>
      <c r="CP431" s="12"/>
      <c r="CQ431" s="9"/>
      <c r="CR431" s="10"/>
      <c r="CS431" s="68"/>
      <c r="EC431" s="344" t="str">
        <f t="shared" si="49"/>
        <v>NORTE DE SANTANDER_CUCUTA</v>
      </c>
      <c r="ED431" s="341"/>
      <c r="EE431" s="341" t="s">
        <v>3134</v>
      </c>
      <c r="EF431" s="349" t="s">
        <v>3135</v>
      </c>
      <c r="EG431" s="341" t="s">
        <v>3628</v>
      </c>
      <c r="EH431" s="341" t="s">
        <v>4753</v>
      </c>
      <c r="EI431" s="341" t="str">
        <f t="shared" si="56"/>
        <v>Cesar_Valledupar</v>
      </c>
    </row>
    <row r="432" spans="1:139" ht="38.25">
      <c r="A432" s="228">
        <v>40286</v>
      </c>
      <c r="B432" s="102" t="s">
        <v>1604</v>
      </c>
      <c r="C432" s="102" t="s">
        <v>2588</v>
      </c>
      <c r="D432" s="206" t="s">
        <v>1201</v>
      </c>
      <c r="E432" s="320" t="s">
        <v>3751</v>
      </c>
      <c r="F432" s="320"/>
      <c r="G432" s="210"/>
      <c r="H432" s="71"/>
      <c r="I432" s="71"/>
      <c r="J432" s="71">
        <f>43*4</f>
        <v>172</v>
      </c>
      <c r="K432" s="71">
        <v>43</v>
      </c>
      <c r="L432" s="1"/>
      <c r="M432" s="73">
        <f t="shared" si="50"/>
        <v>0</v>
      </c>
      <c r="N432" s="73">
        <f t="shared" si="51"/>
        <v>0</v>
      </c>
      <c r="O432" s="73">
        <f t="shared" si="52"/>
        <v>0</v>
      </c>
      <c r="P432" s="73">
        <f t="shared" si="53"/>
        <v>0</v>
      </c>
      <c r="Q432" s="73"/>
      <c r="R432" s="73">
        <v>0</v>
      </c>
      <c r="S432" s="75">
        <f t="shared" si="55"/>
        <v>0</v>
      </c>
      <c r="T432" s="77">
        <v>0</v>
      </c>
      <c r="U432" s="66">
        <v>40287</v>
      </c>
      <c r="V432" s="79"/>
      <c r="W432" s="66" t="s">
        <v>1585</v>
      </c>
      <c r="X432" s="24" t="s">
        <v>1586</v>
      </c>
      <c r="Y432" s="62"/>
      <c r="Z432" s="177" t="s">
        <v>894</v>
      </c>
      <c r="AA432" s="80" t="s">
        <v>510</v>
      </c>
      <c r="AB432" s="3"/>
      <c r="AC432" s="4"/>
      <c r="AD432" s="5"/>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6"/>
      <c r="CE432" s="7"/>
      <c r="CF432" s="6"/>
      <c r="CG432" s="7"/>
      <c r="CH432" s="6"/>
      <c r="CI432" s="7"/>
      <c r="CJ432" s="8">
        <f t="shared" si="54"/>
        <v>0</v>
      </c>
      <c r="CK432" s="9"/>
      <c r="CL432" s="10"/>
      <c r="CM432" s="11"/>
      <c r="CN432" s="12"/>
      <c r="CO432" s="28"/>
      <c r="CP432" s="12"/>
      <c r="CQ432" s="9"/>
      <c r="CR432" s="10"/>
      <c r="CS432" s="68"/>
      <c r="EC432" s="344" t="str">
        <f t="shared" si="49"/>
        <v>CUNDINAMARCA_QUIPILE</v>
      </c>
      <c r="ED432" s="341"/>
      <c r="EE432" s="341" t="s">
        <v>3134</v>
      </c>
      <c r="EF432" s="349" t="s">
        <v>3135</v>
      </c>
      <c r="EG432" s="341" t="s">
        <v>3629</v>
      </c>
      <c r="EH432" s="341" t="s">
        <v>4754</v>
      </c>
      <c r="EI432" s="341" t="str">
        <f t="shared" si="56"/>
        <v>Cesar_Aguachica</v>
      </c>
    </row>
    <row r="433" spans="1:139" ht="25.5">
      <c r="A433" s="228">
        <v>40287</v>
      </c>
      <c r="B433" s="102" t="s">
        <v>1192</v>
      </c>
      <c r="C433" s="102" t="s">
        <v>1930</v>
      </c>
      <c r="D433" s="206" t="s">
        <v>2606</v>
      </c>
      <c r="E433" s="320" t="s">
        <v>3469</v>
      </c>
      <c r="F433" s="320"/>
      <c r="G433" s="210"/>
      <c r="H433" s="71"/>
      <c r="I433" s="71"/>
      <c r="J433" s="71">
        <v>35</v>
      </c>
      <c r="K433" s="71">
        <v>7</v>
      </c>
      <c r="L433" s="1"/>
      <c r="M433" s="73">
        <f t="shared" si="50"/>
        <v>0</v>
      </c>
      <c r="N433" s="73">
        <f t="shared" si="51"/>
        <v>0</v>
      </c>
      <c r="O433" s="73">
        <f t="shared" si="52"/>
        <v>0</v>
      </c>
      <c r="P433" s="73">
        <f t="shared" si="53"/>
        <v>0</v>
      </c>
      <c r="Q433" s="73"/>
      <c r="R433" s="73">
        <v>0</v>
      </c>
      <c r="S433" s="75">
        <f t="shared" si="55"/>
        <v>0</v>
      </c>
      <c r="T433" s="77">
        <v>0</v>
      </c>
      <c r="U433" s="66">
        <v>40290</v>
      </c>
      <c r="V433" s="79"/>
      <c r="W433" s="66" t="s">
        <v>1585</v>
      </c>
      <c r="X433" s="24" t="s">
        <v>1586</v>
      </c>
      <c r="Y433" s="62"/>
      <c r="Z433" s="177" t="s">
        <v>894</v>
      </c>
      <c r="AA433" s="80" t="s">
        <v>1165</v>
      </c>
      <c r="AB433" s="3"/>
      <c r="AC433" s="4"/>
      <c r="AD433" s="5"/>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6"/>
      <c r="CE433" s="7"/>
      <c r="CF433" s="6"/>
      <c r="CG433" s="7"/>
      <c r="CH433" s="6"/>
      <c r="CI433" s="7"/>
      <c r="CJ433" s="8">
        <f t="shared" si="54"/>
        <v>0</v>
      </c>
      <c r="CK433" s="9"/>
      <c r="CL433" s="10"/>
      <c r="CM433" s="11"/>
      <c r="CN433" s="12"/>
      <c r="CO433" s="28"/>
      <c r="CP433" s="12"/>
      <c r="CQ433" s="9"/>
      <c r="CR433" s="10"/>
      <c r="CS433" s="68"/>
      <c r="EC433" s="344" t="str">
        <f t="shared" si="49"/>
        <v>BOYACA_LA VICTORIA</v>
      </c>
      <c r="ED433" s="341"/>
      <c r="EE433" s="341" t="s">
        <v>3134</v>
      </c>
      <c r="EF433" s="349" t="s">
        <v>3135</v>
      </c>
      <c r="EG433" s="341" t="s">
        <v>3630</v>
      </c>
      <c r="EH433" s="341" t="s">
        <v>4755</v>
      </c>
      <c r="EI433" s="341" t="str">
        <f t="shared" si="56"/>
        <v>Cesar_Agustin Codazzi</v>
      </c>
    </row>
    <row r="434" spans="1:139" ht="38.25">
      <c r="A434" s="228">
        <v>40287</v>
      </c>
      <c r="B434" s="102" t="s">
        <v>1192</v>
      </c>
      <c r="C434" s="102" t="s">
        <v>1935</v>
      </c>
      <c r="D434" s="206" t="s">
        <v>1201</v>
      </c>
      <c r="E434" s="320" t="s">
        <v>3494</v>
      </c>
      <c r="F434" s="320"/>
      <c r="G434" s="210"/>
      <c r="H434" s="71"/>
      <c r="I434" s="71"/>
      <c r="J434" s="71">
        <v>75</v>
      </c>
      <c r="K434" s="71">
        <v>15</v>
      </c>
      <c r="L434" s="1"/>
      <c r="M434" s="73">
        <f t="shared" si="50"/>
        <v>0</v>
      </c>
      <c r="N434" s="73">
        <f t="shared" si="51"/>
        <v>0</v>
      </c>
      <c r="O434" s="73">
        <f t="shared" si="52"/>
        <v>0</v>
      </c>
      <c r="P434" s="73">
        <f t="shared" si="53"/>
        <v>0</v>
      </c>
      <c r="Q434" s="73"/>
      <c r="R434" s="73">
        <v>0</v>
      </c>
      <c r="S434" s="75">
        <f t="shared" si="55"/>
        <v>0</v>
      </c>
      <c r="T434" s="77">
        <v>0</v>
      </c>
      <c r="U434" s="66">
        <v>40290</v>
      </c>
      <c r="V434" s="79"/>
      <c r="W434" s="66" t="s">
        <v>1585</v>
      </c>
      <c r="X434" s="24" t="s">
        <v>1586</v>
      </c>
      <c r="Y434" s="62"/>
      <c r="Z434" s="177" t="s">
        <v>894</v>
      </c>
      <c r="AA434" s="80" t="s">
        <v>747</v>
      </c>
      <c r="AB434" s="3"/>
      <c r="AC434" s="4"/>
      <c r="AD434" s="5"/>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6"/>
      <c r="CE434" s="7"/>
      <c r="CF434" s="6"/>
      <c r="CG434" s="7"/>
      <c r="CH434" s="6"/>
      <c r="CI434" s="7"/>
      <c r="CJ434" s="8">
        <f t="shared" si="54"/>
        <v>0</v>
      </c>
      <c r="CK434" s="9"/>
      <c r="CL434" s="10"/>
      <c r="CM434" s="11"/>
      <c r="CN434" s="12"/>
      <c r="CO434" s="28"/>
      <c r="CP434" s="12"/>
      <c r="CQ434" s="9"/>
      <c r="CR434" s="10"/>
      <c r="CS434" s="68"/>
      <c r="EC434" s="344" t="str">
        <f t="shared" si="49"/>
        <v>BOYACA_PUERTO BOYACA</v>
      </c>
      <c r="ED434" s="341"/>
      <c r="EE434" s="341" t="s">
        <v>3134</v>
      </c>
      <c r="EF434" s="349" t="s">
        <v>3135</v>
      </c>
      <c r="EG434" s="341" t="s">
        <v>3631</v>
      </c>
      <c r="EH434" s="341" t="s">
        <v>4756</v>
      </c>
      <c r="EI434" s="341" t="str">
        <f t="shared" si="56"/>
        <v>Cesar_Astrea</v>
      </c>
    </row>
    <row r="435" spans="1:139" ht="25.5">
      <c r="A435" s="228">
        <v>40287</v>
      </c>
      <c r="B435" s="102" t="s">
        <v>2400</v>
      </c>
      <c r="C435" s="102" t="s">
        <v>1961</v>
      </c>
      <c r="D435" s="206" t="s">
        <v>1201</v>
      </c>
      <c r="E435" s="320" t="s">
        <v>4206</v>
      </c>
      <c r="F435" s="320"/>
      <c r="G435" s="210"/>
      <c r="H435" s="71"/>
      <c r="I435" s="71"/>
      <c r="J435" s="71"/>
      <c r="K435" s="71"/>
      <c r="L435" s="1"/>
      <c r="M435" s="73">
        <f t="shared" si="50"/>
        <v>0</v>
      </c>
      <c r="N435" s="73">
        <f t="shared" si="51"/>
        <v>0</v>
      </c>
      <c r="O435" s="73">
        <f t="shared" si="52"/>
        <v>0</v>
      </c>
      <c r="P435" s="73">
        <f t="shared" si="53"/>
        <v>0</v>
      </c>
      <c r="Q435" s="73"/>
      <c r="R435" s="73">
        <v>0</v>
      </c>
      <c r="S435" s="75">
        <f t="shared" si="55"/>
        <v>0</v>
      </c>
      <c r="T435" s="77">
        <v>0</v>
      </c>
      <c r="U435" s="66">
        <v>40290</v>
      </c>
      <c r="V435" s="79"/>
      <c r="W435" s="66" t="s">
        <v>1585</v>
      </c>
      <c r="X435" s="24" t="s">
        <v>1586</v>
      </c>
      <c r="Y435" s="62"/>
      <c r="Z435" s="177" t="s">
        <v>894</v>
      </c>
      <c r="AA435" s="80" t="s">
        <v>1962</v>
      </c>
      <c r="AB435" s="3"/>
      <c r="AC435" s="4"/>
      <c r="AD435" s="5"/>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6"/>
      <c r="CE435" s="7"/>
      <c r="CF435" s="6"/>
      <c r="CG435" s="7"/>
      <c r="CH435" s="6"/>
      <c r="CI435" s="7"/>
      <c r="CJ435" s="8">
        <f t="shared" si="54"/>
        <v>0</v>
      </c>
      <c r="CK435" s="9"/>
      <c r="CL435" s="10"/>
      <c r="CM435" s="11"/>
      <c r="CN435" s="12"/>
      <c r="CO435" s="28"/>
      <c r="CP435" s="12"/>
      <c r="CQ435" s="9"/>
      <c r="CR435" s="10"/>
      <c r="CS435" s="68"/>
      <c r="EC435" s="344" t="str">
        <f t="shared" si="49"/>
        <v>TOLIMA_ORTEGA</v>
      </c>
      <c r="ED435" s="341"/>
      <c r="EE435" s="341" t="s">
        <v>3134</v>
      </c>
      <c r="EF435" s="349" t="s">
        <v>3135</v>
      </c>
      <c r="EG435" s="341" t="s">
        <v>3632</v>
      </c>
      <c r="EH435" s="341" t="s">
        <v>4757</v>
      </c>
      <c r="EI435" s="341" t="str">
        <f t="shared" si="56"/>
        <v>Cesar_Becerril</v>
      </c>
    </row>
    <row r="436" spans="1:139" ht="25.5">
      <c r="A436" s="228">
        <v>40287</v>
      </c>
      <c r="B436" s="102" t="s">
        <v>2400</v>
      </c>
      <c r="C436" s="102" t="s">
        <v>1597</v>
      </c>
      <c r="D436" s="206" t="s">
        <v>1201</v>
      </c>
      <c r="E436" s="320" t="s">
        <v>4212</v>
      </c>
      <c r="F436" s="320"/>
      <c r="G436" s="210"/>
      <c r="H436" s="71"/>
      <c r="I436" s="71"/>
      <c r="J436" s="71">
        <v>167</v>
      </c>
      <c r="K436" s="71">
        <v>33</v>
      </c>
      <c r="L436" s="1"/>
      <c r="M436" s="73">
        <f t="shared" si="50"/>
        <v>0</v>
      </c>
      <c r="N436" s="73">
        <f t="shared" si="51"/>
        <v>0</v>
      </c>
      <c r="O436" s="73">
        <f t="shared" si="52"/>
        <v>0</v>
      </c>
      <c r="P436" s="73">
        <f t="shared" si="53"/>
        <v>0</v>
      </c>
      <c r="Q436" s="73"/>
      <c r="R436" s="73">
        <v>0</v>
      </c>
      <c r="S436" s="75">
        <f t="shared" si="55"/>
        <v>0</v>
      </c>
      <c r="T436" s="77">
        <v>0</v>
      </c>
      <c r="U436" s="66">
        <v>40291</v>
      </c>
      <c r="V436" s="79"/>
      <c r="W436" s="66" t="s">
        <v>1585</v>
      </c>
      <c r="X436" s="24" t="s">
        <v>1586</v>
      </c>
      <c r="Y436" s="62"/>
      <c r="Z436" s="177" t="s">
        <v>894</v>
      </c>
      <c r="AA436" s="80" t="s">
        <v>935</v>
      </c>
      <c r="AB436" s="3"/>
      <c r="AC436" s="4"/>
      <c r="AD436" s="5"/>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6"/>
      <c r="CE436" s="7"/>
      <c r="CF436" s="6"/>
      <c r="CG436" s="7"/>
      <c r="CH436" s="6"/>
      <c r="CI436" s="7"/>
      <c r="CJ436" s="8">
        <f t="shared" si="54"/>
        <v>0</v>
      </c>
      <c r="CK436" s="9"/>
      <c r="CL436" s="10"/>
      <c r="CM436" s="11"/>
      <c r="CN436" s="12"/>
      <c r="CO436" s="28"/>
      <c r="CP436" s="12"/>
      <c r="CQ436" s="9"/>
      <c r="CR436" s="10"/>
      <c r="CS436" s="68"/>
      <c r="EC436" s="344" t="str">
        <f t="shared" si="49"/>
        <v>TOLIMA_RIOBLANCO</v>
      </c>
      <c r="ED436" s="341"/>
      <c r="EE436" s="341" t="s">
        <v>3134</v>
      </c>
      <c r="EF436" s="349" t="s">
        <v>3135</v>
      </c>
      <c r="EG436" s="341" t="s">
        <v>3633</v>
      </c>
      <c r="EH436" s="341" t="s">
        <v>4758</v>
      </c>
      <c r="EI436" s="341" t="str">
        <f t="shared" si="56"/>
        <v>Cesar_Bosconia</v>
      </c>
    </row>
    <row r="437" spans="1:139" ht="45">
      <c r="A437" s="228">
        <v>40288</v>
      </c>
      <c r="B437" s="102" t="s">
        <v>1996</v>
      </c>
      <c r="C437" s="102" t="s">
        <v>941</v>
      </c>
      <c r="D437" s="206" t="s">
        <v>1201</v>
      </c>
      <c r="E437" s="320" t="s">
        <v>3815</v>
      </c>
      <c r="F437" s="320"/>
      <c r="G437" s="210"/>
      <c r="H437" s="71"/>
      <c r="I437" s="71"/>
      <c r="J437" s="71">
        <f>95*5</f>
        <v>475</v>
      </c>
      <c r="K437" s="71">
        <v>95</v>
      </c>
      <c r="L437" s="1">
        <v>40374</v>
      </c>
      <c r="M437" s="73">
        <f t="shared" si="50"/>
        <v>16461030</v>
      </c>
      <c r="N437" s="73">
        <f t="shared" si="51"/>
        <v>16530000</v>
      </c>
      <c r="O437" s="73">
        <f t="shared" si="52"/>
        <v>22800000</v>
      </c>
      <c r="P437" s="73">
        <f t="shared" si="53"/>
        <v>0</v>
      </c>
      <c r="Q437" s="73">
        <v>69908800</v>
      </c>
      <c r="R437" s="73">
        <v>0</v>
      </c>
      <c r="S437" s="75">
        <f t="shared" si="55"/>
        <v>125699830</v>
      </c>
      <c r="T437" s="77">
        <v>0</v>
      </c>
      <c r="U437" s="66">
        <v>40340</v>
      </c>
      <c r="V437" s="79">
        <v>98202</v>
      </c>
      <c r="W437" s="66" t="s">
        <v>1606</v>
      </c>
      <c r="X437" s="24" t="s">
        <v>1607</v>
      </c>
      <c r="Y437" s="62">
        <v>204</v>
      </c>
      <c r="Z437" s="177" t="s">
        <v>2580</v>
      </c>
      <c r="AA437" s="92" t="s">
        <v>348</v>
      </c>
      <c r="AB437" s="3"/>
      <c r="AC437" s="4"/>
      <c r="AD437" s="5"/>
      <c r="AE437" s="4"/>
      <c r="AF437" s="4"/>
      <c r="AG437" s="4"/>
      <c r="AH437" s="4"/>
      <c r="AI437" s="4"/>
      <c r="AJ437" s="4"/>
      <c r="AK437" s="4"/>
      <c r="AL437" s="4"/>
      <c r="AM437" s="4"/>
      <c r="AN437" s="4">
        <v>285</v>
      </c>
      <c r="AO437" s="4">
        <f>285*57758</f>
        <v>16461030</v>
      </c>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6"/>
      <c r="CE437" s="7"/>
      <c r="CF437" s="6"/>
      <c r="CG437" s="7"/>
      <c r="CH437" s="6"/>
      <c r="CI437" s="7"/>
      <c r="CJ437" s="8">
        <f t="shared" si="54"/>
        <v>16461030</v>
      </c>
      <c r="CK437" s="9"/>
      <c r="CL437" s="10"/>
      <c r="CM437" s="11">
        <v>190</v>
      </c>
      <c r="CN437" s="12">
        <f>190*87000</f>
        <v>16530000</v>
      </c>
      <c r="CO437" s="28"/>
      <c r="CP437" s="12"/>
      <c r="CQ437" s="9">
        <v>1000</v>
      </c>
      <c r="CR437" s="10">
        <f>1000*22800</f>
        <v>22800000</v>
      </c>
      <c r="CS437" s="68"/>
      <c r="EC437" s="344" t="str">
        <f t="shared" si="49"/>
        <v>CHOCO_RIO IRO</v>
      </c>
      <c r="ED437" s="341"/>
      <c r="EE437" s="341" t="s">
        <v>3134</v>
      </c>
      <c r="EF437" s="349" t="s">
        <v>3135</v>
      </c>
      <c r="EG437" s="341" t="s">
        <v>3634</v>
      </c>
      <c r="EH437" s="341" t="s">
        <v>4759</v>
      </c>
      <c r="EI437" s="341" t="str">
        <f t="shared" si="56"/>
        <v>Cesar_Chimichagua</v>
      </c>
    </row>
    <row r="438" spans="1:139" ht="48">
      <c r="A438" s="228">
        <v>40288</v>
      </c>
      <c r="B438" s="102" t="s">
        <v>1998</v>
      </c>
      <c r="C438" s="102" t="s">
        <v>932</v>
      </c>
      <c r="D438" s="206" t="s">
        <v>1201</v>
      </c>
      <c r="E438" s="320" t="s">
        <v>4098</v>
      </c>
      <c r="F438" s="320"/>
      <c r="G438" s="265"/>
      <c r="H438" s="71"/>
      <c r="I438" s="71"/>
      <c r="J438" s="71">
        <v>300</v>
      </c>
      <c r="K438" s="71">
        <v>60</v>
      </c>
      <c r="L438" s="1"/>
      <c r="M438" s="73">
        <f t="shared" si="50"/>
        <v>0</v>
      </c>
      <c r="N438" s="73">
        <f t="shared" si="51"/>
        <v>0</v>
      </c>
      <c r="O438" s="73">
        <f t="shared" si="52"/>
        <v>0</v>
      </c>
      <c r="P438" s="73">
        <f t="shared" si="53"/>
        <v>0</v>
      </c>
      <c r="Q438" s="73"/>
      <c r="R438" s="73">
        <v>0</v>
      </c>
      <c r="S438" s="75">
        <f t="shared" si="55"/>
        <v>0</v>
      </c>
      <c r="T438" s="77">
        <v>0</v>
      </c>
      <c r="U438" s="66">
        <v>40292</v>
      </c>
      <c r="V438" s="79"/>
      <c r="W438" s="66" t="s">
        <v>1585</v>
      </c>
      <c r="X438" s="24" t="s">
        <v>1586</v>
      </c>
      <c r="Y438" s="62"/>
      <c r="Z438" s="177" t="s">
        <v>894</v>
      </c>
      <c r="AA438" s="80" t="s">
        <v>2365</v>
      </c>
      <c r="AB438" s="3"/>
      <c r="AC438" s="4"/>
      <c r="AD438" s="5"/>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6"/>
      <c r="CE438" s="7"/>
      <c r="CF438" s="6"/>
      <c r="CG438" s="7"/>
      <c r="CH438" s="6"/>
      <c r="CI438" s="7"/>
      <c r="CJ438" s="8">
        <f t="shared" si="54"/>
        <v>0</v>
      </c>
      <c r="CK438" s="9"/>
      <c r="CL438" s="10"/>
      <c r="CM438" s="11"/>
      <c r="CN438" s="12"/>
      <c r="CO438" s="28"/>
      <c r="CP438" s="12"/>
      <c r="CQ438" s="9"/>
      <c r="CR438" s="10"/>
      <c r="CS438" s="68"/>
      <c r="EC438" s="344" t="str">
        <f t="shared" si="49"/>
        <v>SANTANDER_GAMBITA</v>
      </c>
      <c r="ED438" s="341"/>
      <c r="EE438" s="341" t="s">
        <v>3134</v>
      </c>
      <c r="EF438" s="349" t="s">
        <v>3135</v>
      </c>
      <c r="EG438" s="341" t="s">
        <v>3635</v>
      </c>
      <c r="EH438" s="341" t="s">
        <v>4760</v>
      </c>
      <c r="EI438" s="341" t="str">
        <f t="shared" si="56"/>
        <v>Cesar_Chiriguana</v>
      </c>
    </row>
    <row r="439" spans="1:139" ht="25.5">
      <c r="A439" s="228">
        <v>40289</v>
      </c>
      <c r="B439" s="102" t="s">
        <v>2367</v>
      </c>
      <c r="C439" s="102" t="s">
        <v>2367</v>
      </c>
      <c r="D439" s="206" t="s">
        <v>2606</v>
      </c>
      <c r="E439" s="320" t="s">
        <v>4266</v>
      </c>
      <c r="F439" s="320"/>
      <c r="G439" s="210"/>
      <c r="H439" s="71">
        <v>1</v>
      </c>
      <c r="I439" s="71"/>
      <c r="J439" s="71">
        <v>165</v>
      </c>
      <c r="K439" s="71">
        <v>33</v>
      </c>
      <c r="L439" s="1"/>
      <c r="M439" s="73">
        <f t="shared" si="50"/>
        <v>0</v>
      </c>
      <c r="N439" s="73">
        <f t="shared" si="51"/>
        <v>0</v>
      </c>
      <c r="O439" s="73">
        <f t="shared" si="52"/>
        <v>0</v>
      </c>
      <c r="P439" s="73">
        <f t="shared" si="53"/>
        <v>0</v>
      </c>
      <c r="Q439" s="73"/>
      <c r="R439" s="73">
        <v>0</v>
      </c>
      <c r="S439" s="75">
        <f t="shared" si="55"/>
        <v>0</v>
      </c>
      <c r="T439" s="77">
        <v>0</v>
      </c>
      <c r="U439" s="66">
        <v>40290</v>
      </c>
      <c r="V439" s="79"/>
      <c r="W439" s="66" t="s">
        <v>1585</v>
      </c>
      <c r="X439" s="24" t="s">
        <v>1586</v>
      </c>
      <c r="Y439" s="62"/>
      <c r="Z439" s="177" t="s">
        <v>894</v>
      </c>
      <c r="AA439" s="80" t="s">
        <v>986</v>
      </c>
      <c r="AB439" s="3"/>
      <c r="AC439" s="4"/>
      <c r="AD439" s="5"/>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6"/>
      <c r="CE439" s="7"/>
      <c r="CF439" s="6"/>
      <c r="CG439" s="7"/>
      <c r="CH439" s="6"/>
      <c r="CI439" s="7"/>
      <c r="CJ439" s="8">
        <f t="shared" si="54"/>
        <v>0</v>
      </c>
      <c r="CK439" s="9"/>
      <c r="CL439" s="10"/>
      <c r="CM439" s="11"/>
      <c r="CN439" s="12"/>
      <c r="CO439" s="28"/>
      <c r="CP439" s="12"/>
      <c r="CQ439" s="9"/>
      <c r="CR439" s="10"/>
      <c r="CS439" s="68"/>
      <c r="EC439" s="344" t="str">
        <f t="shared" si="49"/>
        <v>ARAUCA_ARAUCA</v>
      </c>
      <c r="ED439" s="341"/>
      <c r="EE439" s="341" t="s">
        <v>3134</v>
      </c>
      <c r="EF439" s="349" t="s">
        <v>3135</v>
      </c>
      <c r="EG439" s="341" t="s">
        <v>3636</v>
      </c>
      <c r="EH439" s="341" t="s">
        <v>4761</v>
      </c>
      <c r="EI439" s="341" t="str">
        <f t="shared" si="56"/>
        <v>Cesar_Curumani</v>
      </c>
    </row>
    <row r="440" spans="1:139" ht="38.25">
      <c r="A440" s="228">
        <v>40289</v>
      </c>
      <c r="B440" s="102" t="s">
        <v>1551</v>
      </c>
      <c r="C440" s="102" t="s">
        <v>1590</v>
      </c>
      <c r="D440" s="206" t="s">
        <v>1878</v>
      </c>
      <c r="E440" s="320" t="s">
        <v>3352</v>
      </c>
      <c r="F440" s="320"/>
      <c r="G440" s="210"/>
      <c r="H440" s="71"/>
      <c r="I440" s="71"/>
      <c r="J440" s="71">
        <v>16</v>
      </c>
      <c r="K440" s="71">
        <v>3</v>
      </c>
      <c r="L440" s="1"/>
      <c r="M440" s="73">
        <f t="shared" si="50"/>
        <v>0</v>
      </c>
      <c r="N440" s="73">
        <f t="shared" si="51"/>
        <v>0</v>
      </c>
      <c r="O440" s="73">
        <f t="shared" si="52"/>
        <v>0</v>
      </c>
      <c r="P440" s="73">
        <f t="shared" si="53"/>
        <v>0</v>
      </c>
      <c r="Q440" s="73"/>
      <c r="R440" s="73">
        <v>0</v>
      </c>
      <c r="S440" s="75">
        <f t="shared" si="55"/>
        <v>0</v>
      </c>
      <c r="T440" s="77">
        <v>0</v>
      </c>
      <c r="U440" s="66">
        <v>40290</v>
      </c>
      <c r="V440" s="79"/>
      <c r="W440" s="66" t="s">
        <v>1585</v>
      </c>
      <c r="X440" s="24" t="s">
        <v>1586</v>
      </c>
      <c r="Y440" s="62"/>
      <c r="Z440" s="177" t="s">
        <v>894</v>
      </c>
      <c r="AA440" s="80" t="s">
        <v>987</v>
      </c>
      <c r="AB440" s="3"/>
      <c r="AC440" s="4"/>
      <c r="AD440" s="5"/>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6"/>
      <c r="CE440" s="7"/>
      <c r="CF440" s="6"/>
      <c r="CG440" s="7"/>
      <c r="CH440" s="6"/>
      <c r="CI440" s="7"/>
      <c r="CJ440" s="8">
        <f t="shared" si="54"/>
        <v>0</v>
      </c>
      <c r="CK440" s="9"/>
      <c r="CL440" s="10"/>
      <c r="CM440" s="11"/>
      <c r="CN440" s="12"/>
      <c r="CO440" s="28"/>
      <c r="CP440" s="12"/>
      <c r="CQ440" s="9"/>
      <c r="CR440" s="10"/>
      <c r="CS440" s="68"/>
      <c r="EC440" s="344" t="str">
        <f t="shared" si="49"/>
        <v>ATLANTICO_BARRANQUILLA</v>
      </c>
      <c r="ED440" s="341"/>
      <c r="EE440" s="341" t="s">
        <v>3134</v>
      </c>
      <c r="EF440" s="349" t="s">
        <v>3135</v>
      </c>
      <c r="EG440" s="341" t="s">
        <v>3637</v>
      </c>
      <c r="EH440" s="341" t="s">
        <v>4762</v>
      </c>
      <c r="EI440" s="341" t="str">
        <f t="shared" si="56"/>
        <v>Cesar_El Copey</v>
      </c>
    </row>
    <row r="441" spans="1:139" ht="25.5">
      <c r="A441" s="228">
        <v>40289</v>
      </c>
      <c r="B441" s="102" t="s">
        <v>1192</v>
      </c>
      <c r="C441" s="102" t="s">
        <v>1936</v>
      </c>
      <c r="D441" s="206" t="s">
        <v>2606</v>
      </c>
      <c r="E441" s="320" t="s">
        <v>3495</v>
      </c>
      <c r="F441" s="320"/>
      <c r="G441" s="210"/>
      <c r="H441" s="71"/>
      <c r="I441" s="71"/>
      <c r="J441" s="71">
        <v>125</v>
      </c>
      <c r="K441" s="71">
        <v>25</v>
      </c>
      <c r="L441" s="1"/>
      <c r="M441" s="73">
        <f t="shared" si="50"/>
        <v>0</v>
      </c>
      <c r="N441" s="73">
        <f t="shared" si="51"/>
        <v>0</v>
      </c>
      <c r="O441" s="73">
        <f t="shared" si="52"/>
        <v>0</v>
      </c>
      <c r="P441" s="73">
        <f t="shared" si="53"/>
        <v>0</v>
      </c>
      <c r="Q441" s="73"/>
      <c r="R441" s="73">
        <v>0</v>
      </c>
      <c r="S441" s="75">
        <f t="shared" si="55"/>
        <v>0</v>
      </c>
      <c r="T441" s="77">
        <v>0</v>
      </c>
      <c r="U441" s="66">
        <v>40292</v>
      </c>
      <c r="V441" s="79"/>
      <c r="W441" s="66" t="s">
        <v>1585</v>
      </c>
      <c r="X441" s="24" t="s">
        <v>1586</v>
      </c>
      <c r="Y441" s="62"/>
      <c r="Z441" s="177" t="s">
        <v>894</v>
      </c>
      <c r="AA441" s="80" t="s">
        <v>930</v>
      </c>
      <c r="AB441" s="3"/>
      <c r="AC441" s="4"/>
      <c r="AD441" s="5"/>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6"/>
      <c r="CE441" s="7"/>
      <c r="CF441" s="6"/>
      <c r="CG441" s="7"/>
      <c r="CH441" s="6"/>
      <c r="CI441" s="7"/>
      <c r="CJ441" s="8">
        <f t="shared" si="54"/>
        <v>0</v>
      </c>
      <c r="CK441" s="9"/>
      <c r="CL441" s="10"/>
      <c r="CM441" s="11"/>
      <c r="CN441" s="12"/>
      <c r="CO441" s="28"/>
      <c r="CP441" s="12"/>
      <c r="CQ441" s="9"/>
      <c r="CR441" s="10"/>
      <c r="CS441" s="68"/>
      <c r="EC441" s="344" t="str">
        <f t="shared" si="49"/>
        <v>BOYACA_QUIPAMA</v>
      </c>
      <c r="ED441" s="341"/>
      <c r="EE441" s="341" t="s">
        <v>3134</v>
      </c>
      <c r="EF441" s="349" t="s">
        <v>3135</v>
      </c>
      <c r="EG441" s="341" t="s">
        <v>3638</v>
      </c>
      <c r="EH441" s="341" t="s">
        <v>4763</v>
      </c>
      <c r="EI441" s="341" t="str">
        <f t="shared" si="56"/>
        <v>Cesar_El Paso</v>
      </c>
    </row>
    <row r="442" spans="1:139" ht="63.75">
      <c r="A442" s="228">
        <v>40289</v>
      </c>
      <c r="B442" s="102" t="s">
        <v>1824</v>
      </c>
      <c r="C442" s="102" t="s">
        <v>3175</v>
      </c>
      <c r="D442" s="206" t="s">
        <v>2606</v>
      </c>
      <c r="E442" s="320" t="s">
        <v>3995</v>
      </c>
      <c r="F442" s="320"/>
      <c r="G442" s="210"/>
      <c r="H442" s="71"/>
      <c r="I442" s="71"/>
      <c r="J442" s="71">
        <f>40*5</f>
        <v>200</v>
      </c>
      <c r="K442" s="71">
        <v>40</v>
      </c>
      <c r="L442" s="1">
        <v>40333</v>
      </c>
      <c r="M442" s="73">
        <f t="shared" si="50"/>
        <v>1540000</v>
      </c>
      <c r="N442" s="73">
        <f t="shared" si="51"/>
        <v>3400000</v>
      </c>
      <c r="O442" s="73">
        <f t="shared" si="52"/>
        <v>12337500</v>
      </c>
      <c r="P442" s="73">
        <f t="shared" si="53"/>
        <v>0</v>
      </c>
      <c r="Q442" s="73"/>
      <c r="R442" s="73">
        <v>0</v>
      </c>
      <c r="S442" s="75">
        <f t="shared" si="55"/>
        <v>17277500</v>
      </c>
      <c r="T442" s="77">
        <v>0</v>
      </c>
      <c r="U442" s="66">
        <v>40311</v>
      </c>
      <c r="V442" s="79">
        <v>97492</v>
      </c>
      <c r="W442" s="66" t="s">
        <v>1606</v>
      </c>
      <c r="X442" s="24" t="s">
        <v>1607</v>
      </c>
      <c r="Y442" s="62">
        <v>149</v>
      </c>
      <c r="Z442" s="177" t="s">
        <v>2580</v>
      </c>
      <c r="AA442" s="80" t="s">
        <v>743</v>
      </c>
      <c r="AB442" s="3"/>
      <c r="AC442" s="4"/>
      <c r="AD442" s="5"/>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6">
        <v>40</v>
      </c>
      <c r="CE442" s="7">
        <f>40*38500</f>
        <v>1540000</v>
      </c>
      <c r="CF442" s="6"/>
      <c r="CG442" s="7"/>
      <c r="CH442" s="6"/>
      <c r="CI442" s="7"/>
      <c r="CJ442" s="8">
        <f t="shared" si="54"/>
        <v>1540000</v>
      </c>
      <c r="CK442" s="9"/>
      <c r="CL442" s="10"/>
      <c r="CM442" s="11">
        <v>40</v>
      </c>
      <c r="CN442" s="12">
        <f>40*85000</f>
        <v>3400000</v>
      </c>
      <c r="CO442" s="28"/>
      <c r="CP442" s="12"/>
      <c r="CQ442" s="9">
        <f>250+150+75</f>
        <v>475</v>
      </c>
      <c r="CR442" s="10">
        <f>250*22000+150*30000+75*28500+1000*200</f>
        <v>12337500</v>
      </c>
      <c r="CS442" s="68"/>
      <c r="CT442" s="22" t="s">
        <v>1365</v>
      </c>
      <c r="EC442" s="344" t="str">
        <f t="shared" ref="EC442:EC499" si="57">B442&amp;"_"&amp;C442</f>
        <v>NARIÑO_SAN ANDRES DE TUMACO</v>
      </c>
      <c r="ED442" s="341"/>
      <c r="EE442" s="341" t="s">
        <v>3134</v>
      </c>
      <c r="EF442" s="349" t="s">
        <v>3135</v>
      </c>
      <c r="EG442" s="341" t="s">
        <v>3639</v>
      </c>
      <c r="EH442" s="341" t="s">
        <v>4764</v>
      </c>
      <c r="EI442" s="341" t="str">
        <f t="shared" si="56"/>
        <v>Cesar_Gamarra</v>
      </c>
    </row>
    <row r="443" spans="1:139" ht="51">
      <c r="A443" s="228">
        <v>40289</v>
      </c>
      <c r="B443" s="102" t="s">
        <v>965</v>
      </c>
      <c r="C443" s="102" t="s">
        <v>988</v>
      </c>
      <c r="D443" s="206" t="s">
        <v>2606</v>
      </c>
      <c r="E443" s="320" t="s">
        <v>4001</v>
      </c>
      <c r="F443" s="320"/>
      <c r="G443" s="210"/>
      <c r="H443" s="71"/>
      <c r="I443" s="71"/>
      <c r="J443" s="71">
        <v>5</v>
      </c>
      <c r="K443" s="71">
        <v>1</v>
      </c>
      <c r="L443" s="1"/>
      <c r="M443" s="73">
        <f t="shared" si="50"/>
        <v>0</v>
      </c>
      <c r="N443" s="73">
        <f t="shared" si="51"/>
        <v>0</v>
      </c>
      <c r="O443" s="73">
        <f t="shared" si="52"/>
        <v>0</v>
      </c>
      <c r="P443" s="73">
        <f t="shared" si="53"/>
        <v>0</v>
      </c>
      <c r="Q443" s="73"/>
      <c r="R443" s="73">
        <v>0</v>
      </c>
      <c r="S443" s="75">
        <f t="shared" si="55"/>
        <v>0</v>
      </c>
      <c r="T443" s="77">
        <v>0</v>
      </c>
      <c r="U443" s="66">
        <v>40290</v>
      </c>
      <c r="V443" s="79"/>
      <c r="W443" s="66" t="s">
        <v>1585</v>
      </c>
      <c r="X443" s="24" t="s">
        <v>1586</v>
      </c>
      <c r="Y443" s="62"/>
      <c r="Z443" s="177" t="s">
        <v>894</v>
      </c>
      <c r="AA443" s="80" t="s">
        <v>1184</v>
      </c>
      <c r="AB443" s="3"/>
      <c r="AC443" s="4"/>
      <c r="AD443" s="5"/>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6"/>
      <c r="CE443" s="7"/>
      <c r="CF443" s="6"/>
      <c r="CG443" s="7"/>
      <c r="CH443" s="6"/>
      <c r="CI443" s="7"/>
      <c r="CJ443" s="8">
        <f t="shared" si="54"/>
        <v>0</v>
      </c>
      <c r="CK443" s="9"/>
      <c r="CL443" s="10"/>
      <c r="CM443" s="11"/>
      <c r="CN443" s="12"/>
      <c r="CO443" s="28"/>
      <c r="CP443" s="12"/>
      <c r="CQ443" s="9"/>
      <c r="CR443" s="10"/>
      <c r="CS443" s="68"/>
      <c r="EC443" s="344" t="str">
        <f t="shared" si="57"/>
        <v>NORTE DE SANTANDER_BOCHALEMA</v>
      </c>
      <c r="ED443" s="341"/>
      <c r="EE443" s="341" t="s">
        <v>3134</v>
      </c>
      <c r="EF443" s="349" t="s">
        <v>3135</v>
      </c>
      <c r="EG443" s="341" t="s">
        <v>3640</v>
      </c>
      <c r="EH443" s="341" t="s">
        <v>4765</v>
      </c>
      <c r="EI443" s="341" t="str">
        <f t="shared" si="56"/>
        <v>Cesar_Gonzalez</v>
      </c>
    </row>
    <row r="444" spans="1:139" ht="38.25">
      <c r="A444" s="228">
        <v>40289</v>
      </c>
      <c r="B444" s="102" t="s">
        <v>965</v>
      </c>
      <c r="C444" s="102" t="s">
        <v>1327</v>
      </c>
      <c r="D444" s="206" t="s">
        <v>2606</v>
      </c>
      <c r="E444" s="320" t="s">
        <v>3998</v>
      </c>
      <c r="F444" s="320"/>
      <c r="G444" s="210"/>
      <c r="H444" s="71"/>
      <c r="I444" s="71"/>
      <c r="J444" s="71">
        <v>15</v>
      </c>
      <c r="K444" s="71">
        <v>3</v>
      </c>
      <c r="L444" s="1"/>
      <c r="M444" s="73">
        <f t="shared" si="50"/>
        <v>0</v>
      </c>
      <c r="N444" s="73">
        <f t="shared" si="51"/>
        <v>0</v>
      </c>
      <c r="O444" s="73">
        <f t="shared" si="52"/>
        <v>0</v>
      </c>
      <c r="P444" s="73">
        <f t="shared" si="53"/>
        <v>0</v>
      </c>
      <c r="Q444" s="73"/>
      <c r="R444" s="73">
        <v>0</v>
      </c>
      <c r="S444" s="75">
        <f t="shared" si="55"/>
        <v>0</v>
      </c>
      <c r="T444" s="77">
        <v>0</v>
      </c>
      <c r="U444" s="66">
        <v>40291</v>
      </c>
      <c r="V444" s="79"/>
      <c r="W444" s="66" t="s">
        <v>1585</v>
      </c>
      <c r="X444" s="24" t="s">
        <v>1586</v>
      </c>
      <c r="Y444" s="62"/>
      <c r="Z444" s="177" t="s">
        <v>894</v>
      </c>
      <c r="AA444" s="80" t="s">
        <v>1205</v>
      </c>
      <c r="AB444" s="3"/>
      <c r="AC444" s="4"/>
      <c r="AD444" s="5"/>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6"/>
      <c r="CE444" s="7"/>
      <c r="CF444" s="6"/>
      <c r="CG444" s="7"/>
      <c r="CH444" s="6"/>
      <c r="CI444" s="7"/>
      <c r="CJ444" s="8">
        <f t="shared" si="54"/>
        <v>0</v>
      </c>
      <c r="CK444" s="9"/>
      <c r="CL444" s="10"/>
      <c r="CM444" s="11"/>
      <c r="CN444" s="12"/>
      <c r="CO444" s="28"/>
      <c r="CP444" s="12"/>
      <c r="CQ444" s="9"/>
      <c r="CR444" s="10"/>
      <c r="CS444" s="68"/>
      <c r="EC444" s="344" t="str">
        <f t="shared" si="57"/>
        <v>NORTE DE SANTANDER_CUCUTA</v>
      </c>
      <c r="ED444" s="341"/>
      <c r="EE444" s="341" t="s">
        <v>3134</v>
      </c>
      <c r="EF444" s="349" t="s">
        <v>3135</v>
      </c>
      <c r="EG444" s="341" t="s">
        <v>3641</v>
      </c>
      <c r="EH444" s="341" t="s">
        <v>4766</v>
      </c>
      <c r="EI444" s="341" t="str">
        <f t="shared" si="56"/>
        <v>Cesar_La Gloria</v>
      </c>
    </row>
    <row r="445" spans="1:139" ht="45">
      <c r="A445" s="228">
        <v>40289</v>
      </c>
      <c r="B445" s="102" t="s">
        <v>1998</v>
      </c>
      <c r="C445" s="102" t="s">
        <v>1569</v>
      </c>
      <c r="D445" s="206" t="s">
        <v>2606</v>
      </c>
      <c r="E445" s="320" t="s">
        <v>4075</v>
      </c>
      <c r="F445" s="320"/>
      <c r="G445" s="265"/>
      <c r="H445" s="71"/>
      <c r="I445" s="71"/>
      <c r="J445" s="71">
        <f>60*5</f>
        <v>300</v>
      </c>
      <c r="K445" s="71">
        <v>60</v>
      </c>
      <c r="L445" s="1"/>
      <c r="M445" s="73">
        <f t="shared" si="50"/>
        <v>0</v>
      </c>
      <c r="N445" s="73">
        <f t="shared" si="51"/>
        <v>0</v>
      </c>
      <c r="O445" s="73">
        <f t="shared" si="52"/>
        <v>0</v>
      </c>
      <c r="P445" s="73">
        <f t="shared" si="53"/>
        <v>0</v>
      </c>
      <c r="Q445" s="73"/>
      <c r="R445" s="73">
        <v>0</v>
      </c>
      <c r="S445" s="75">
        <f t="shared" si="55"/>
        <v>0</v>
      </c>
      <c r="T445" s="77">
        <v>0</v>
      </c>
      <c r="U445" s="66">
        <v>40312</v>
      </c>
      <c r="V445" s="79">
        <v>97529</v>
      </c>
      <c r="W445" s="66" t="s">
        <v>1606</v>
      </c>
      <c r="X445" s="24" t="s">
        <v>1607</v>
      </c>
      <c r="Y445" s="62"/>
      <c r="Z445" s="177" t="s">
        <v>2580</v>
      </c>
      <c r="AA445" s="92" t="s">
        <v>2223</v>
      </c>
      <c r="AB445" s="3"/>
      <c r="AC445" s="4"/>
      <c r="AD445" s="5"/>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6"/>
      <c r="CE445" s="7"/>
      <c r="CF445" s="6"/>
      <c r="CG445" s="7"/>
      <c r="CH445" s="6"/>
      <c r="CI445" s="7"/>
      <c r="CJ445" s="8">
        <f t="shared" si="54"/>
        <v>0</v>
      </c>
      <c r="CK445" s="9"/>
      <c r="CL445" s="10"/>
      <c r="CM445" s="11"/>
      <c r="CN445" s="12"/>
      <c r="CO445" s="28"/>
      <c r="CP445" s="12"/>
      <c r="CQ445" s="9"/>
      <c r="CR445" s="10"/>
      <c r="CS445" s="68"/>
      <c r="EC445" s="344" t="str">
        <f t="shared" si="57"/>
        <v>SANTANDER_CAPITANEJO</v>
      </c>
      <c r="ED445" s="341"/>
      <c r="EE445" s="341" t="s">
        <v>3134</v>
      </c>
      <c r="EF445" s="349" t="s">
        <v>3135</v>
      </c>
      <c r="EG445" s="341" t="s">
        <v>3642</v>
      </c>
      <c r="EH445" s="341" t="s">
        <v>4767</v>
      </c>
      <c r="EI445" s="341" t="str">
        <f t="shared" si="56"/>
        <v>Cesar_La Jagua de Ibirico</v>
      </c>
    </row>
    <row r="446" spans="1:139" ht="51">
      <c r="A446" s="228">
        <v>40289</v>
      </c>
      <c r="B446" s="102" t="s">
        <v>1998</v>
      </c>
      <c r="C446" s="102" t="s">
        <v>3187</v>
      </c>
      <c r="D446" s="206" t="s">
        <v>2606</v>
      </c>
      <c r="E446" s="320" t="s">
        <v>4090</v>
      </c>
      <c r="F446" s="320"/>
      <c r="G446" s="265"/>
      <c r="H446" s="71"/>
      <c r="I446" s="71"/>
      <c r="J446" s="71">
        <v>50</v>
      </c>
      <c r="K446" s="71">
        <v>10</v>
      </c>
      <c r="L446" s="1"/>
      <c r="M446" s="73">
        <f t="shared" si="50"/>
        <v>0</v>
      </c>
      <c r="N446" s="73">
        <f t="shared" si="51"/>
        <v>0</v>
      </c>
      <c r="O446" s="73">
        <f t="shared" si="52"/>
        <v>0</v>
      </c>
      <c r="P446" s="73">
        <f t="shared" si="53"/>
        <v>0</v>
      </c>
      <c r="Q446" s="73"/>
      <c r="R446" s="73">
        <v>0</v>
      </c>
      <c r="S446" s="75">
        <f t="shared" si="55"/>
        <v>0</v>
      </c>
      <c r="T446" s="77">
        <v>0</v>
      </c>
      <c r="U446" s="66">
        <v>40312</v>
      </c>
      <c r="V446" s="79">
        <v>97529</v>
      </c>
      <c r="W446" s="66" t="s">
        <v>1606</v>
      </c>
      <c r="X446" s="24" t="s">
        <v>1607</v>
      </c>
      <c r="Y446" s="62"/>
      <c r="Z446" s="177" t="s">
        <v>2580</v>
      </c>
      <c r="AA446" s="92" t="s">
        <v>2223</v>
      </c>
      <c r="AB446" s="3"/>
      <c r="AC446" s="4"/>
      <c r="AD446" s="5"/>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6"/>
      <c r="CE446" s="7"/>
      <c r="CF446" s="6"/>
      <c r="CG446" s="7"/>
      <c r="CH446" s="6"/>
      <c r="CI446" s="7"/>
      <c r="CJ446" s="8">
        <f t="shared" si="54"/>
        <v>0</v>
      </c>
      <c r="CK446" s="9"/>
      <c r="CL446" s="10"/>
      <c r="CM446" s="11"/>
      <c r="CN446" s="12"/>
      <c r="CO446" s="28"/>
      <c r="CP446" s="12"/>
      <c r="CQ446" s="9"/>
      <c r="CR446" s="10"/>
      <c r="CS446" s="68"/>
      <c r="EC446" s="344" t="str">
        <f t="shared" si="57"/>
        <v>SANTANDER_EL GUACAMAYO</v>
      </c>
      <c r="ED446" s="341"/>
      <c r="EE446" s="341" t="s">
        <v>3134</v>
      </c>
      <c r="EF446" s="349" t="s">
        <v>3135</v>
      </c>
      <c r="EG446" s="341" t="s">
        <v>3643</v>
      </c>
      <c r="EH446" s="341" t="s">
        <v>4768</v>
      </c>
      <c r="EI446" s="341" t="str">
        <f t="shared" si="56"/>
        <v>Cesar_Manaure</v>
      </c>
    </row>
    <row r="447" spans="1:139" ht="63.75">
      <c r="A447" s="228">
        <v>40289</v>
      </c>
      <c r="B447" s="102" t="s">
        <v>1998</v>
      </c>
      <c r="C447" s="102" t="s">
        <v>2222</v>
      </c>
      <c r="D447" s="206" t="s">
        <v>2606</v>
      </c>
      <c r="E447" s="320" t="e">
        <v>#N/A</v>
      </c>
      <c r="F447" s="320"/>
      <c r="G447" s="265"/>
      <c r="H447" s="71"/>
      <c r="I447" s="71"/>
      <c r="J447" s="71"/>
      <c r="K447" s="71"/>
      <c r="L447" s="1">
        <v>40354</v>
      </c>
      <c r="M447" s="73">
        <f t="shared" si="50"/>
        <v>51066400</v>
      </c>
      <c r="N447" s="73">
        <f t="shared" si="51"/>
        <v>59500000</v>
      </c>
      <c r="O447" s="73">
        <f t="shared" si="52"/>
        <v>19836000</v>
      </c>
      <c r="P447" s="73">
        <f t="shared" si="53"/>
        <v>0</v>
      </c>
      <c r="Q447" s="73"/>
      <c r="R447" s="73">
        <v>0</v>
      </c>
      <c r="S447" s="75">
        <f t="shared" si="55"/>
        <v>130402400</v>
      </c>
      <c r="T447" s="77">
        <v>0</v>
      </c>
      <c r="U447" s="66">
        <v>40312</v>
      </c>
      <c r="V447" s="79">
        <v>97529</v>
      </c>
      <c r="W447" s="66" t="s">
        <v>1606</v>
      </c>
      <c r="X447" s="24" t="s">
        <v>1607</v>
      </c>
      <c r="Y447" s="83" t="s">
        <v>2449</v>
      </c>
      <c r="Z447" s="177" t="s">
        <v>2580</v>
      </c>
      <c r="AA447" s="80" t="s">
        <v>1322</v>
      </c>
      <c r="AB447" s="3"/>
      <c r="AC447" s="4"/>
      <c r="AD447" s="5"/>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6">
        <v>700</v>
      </c>
      <c r="CE447" s="7">
        <f>700*36952</f>
        <v>25866400</v>
      </c>
      <c r="CF447" s="6">
        <v>700</v>
      </c>
      <c r="CG447" s="7">
        <f>700*36000</f>
        <v>25200000</v>
      </c>
      <c r="CH447" s="6"/>
      <c r="CI447" s="7"/>
      <c r="CJ447" s="8">
        <f t="shared" si="54"/>
        <v>51066400</v>
      </c>
      <c r="CK447" s="9"/>
      <c r="CL447" s="10"/>
      <c r="CM447" s="11">
        <v>700</v>
      </c>
      <c r="CN447" s="12">
        <f>700*85000</f>
        <v>59500000</v>
      </c>
      <c r="CO447" s="28"/>
      <c r="CP447" s="12"/>
      <c r="CQ447" s="9">
        <v>1000</v>
      </c>
      <c r="CR447" s="10">
        <f>1000*18792+2000*522</f>
        <v>19836000</v>
      </c>
      <c r="CS447" s="68"/>
      <c r="EC447" s="344" t="str">
        <f t="shared" si="57"/>
        <v>SANTANDER_GUACAMAYO/CAPITANEJO/OIBA</v>
      </c>
      <c r="ED447" s="341"/>
      <c r="EE447" s="341" t="s">
        <v>3134</v>
      </c>
      <c r="EF447" s="349" t="s">
        <v>3135</v>
      </c>
      <c r="EG447" s="341" t="s">
        <v>3644</v>
      </c>
      <c r="EH447" s="341" t="s">
        <v>4769</v>
      </c>
      <c r="EI447" s="341" t="str">
        <f t="shared" si="56"/>
        <v>Cesar_Pailitas</v>
      </c>
    </row>
    <row r="448" spans="1:139" ht="45">
      <c r="A448" s="228">
        <v>40289</v>
      </c>
      <c r="B448" s="102" t="s">
        <v>1998</v>
      </c>
      <c r="C448" s="102" t="s">
        <v>1570</v>
      </c>
      <c r="D448" s="206" t="s">
        <v>2606</v>
      </c>
      <c r="E448" s="320" t="s">
        <v>4119</v>
      </c>
      <c r="F448" s="320"/>
      <c r="G448" s="265"/>
      <c r="H448" s="71"/>
      <c r="I448" s="71"/>
      <c r="J448" s="71">
        <f>64*5</f>
        <v>320</v>
      </c>
      <c r="K448" s="71">
        <v>64</v>
      </c>
      <c r="L448" s="1"/>
      <c r="M448" s="73">
        <f t="shared" si="50"/>
        <v>0</v>
      </c>
      <c r="N448" s="73">
        <f t="shared" si="51"/>
        <v>0</v>
      </c>
      <c r="O448" s="73">
        <f t="shared" si="52"/>
        <v>0</v>
      </c>
      <c r="P448" s="73">
        <f t="shared" si="53"/>
        <v>0</v>
      </c>
      <c r="Q448" s="73"/>
      <c r="R448" s="73">
        <v>0</v>
      </c>
      <c r="S448" s="75">
        <f t="shared" si="55"/>
        <v>0</v>
      </c>
      <c r="T448" s="77">
        <v>0</v>
      </c>
      <c r="U448" s="66">
        <v>40312</v>
      </c>
      <c r="V448" s="79">
        <v>97529</v>
      </c>
      <c r="W448" s="66" t="s">
        <v>1606</v>
      </c>
      <c r="X448" s="24" t="s">
        <v>1607</v>
      </c>
      <c r="Y448" s="62"/>
      <c r="Z448" s="177" t="s">
        <v>2580</v>
      </c>
      <c r="AA448" s="92" t="s">
        <v>2223</v>
      </c>
      <c r="AB448" s="3"/>
      <c r="AC448" s="4"/>
      <c r="AD448" s="5"/>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6"/>
      <c r="CE448" s="7"/>
      <c r="CF448" s="6"/>
      <c r="CG448" s="7"/>
      <c r="CH448" s="6"/>
      <c r="CI448" s="7"/>
      <c r="CJ448" s="8">
        <f t="shared" si="54"/>
        <v>0</v>
      </c>
      <c r="CK448" s="9"/>
      <c r="CL448" s="10"/>
      <c r="CM448" s="11"/>
      <c r="CN448" s="12"/>
      <c r="CO448" s="28"/>
      <c r="CP448" s="12"/>
      <c r="CQ448" s="9"/>
      <c r="CR448" s="10"/>
      <c r="CS448" s="68"/>
      <c r="EC448" s="344" t="str">
        <f t="shared" si="57"/>
        <v>SANTANDER_OIBA</v>
      </c>
      <c r="ED448" s="341"/>
      <c r="EE448" s="341" t="s">
        <v>3134</v>
      </c>
      <c r="EF448" s="349" t="s">
        <v>3135</v>
      </c>
      <c r="EG448" s="341" t="s">
        <v>3645</v>
      </c>
      <c r="EH448" s="341" t="s">
        <v>4770</v>
      </c>
      <c r="EI448" s="341" t="str">
        <f t="shared" si="56"/>
        <v>Cesar_Pelaya</v>
      </c>
    </row>
    <row r="449" spans="1:139" ht="38.25">
      <c r="A449" s="228">
        <v>40289</v>
      </c>
      <c r="B449" s="102" t="s">
        <v>1088</v>
      </c>
      <c r="C449" s="102" t="s">
        <v>2440</v>
      </c>
      <c r="D449" s="206" t="s">
        <v>2606</v>
      </c>
      <c r="E449" s="320" t="s">
        <v>4242</v>
      </c>
      <c r="F449" s="320"/>
      <c r="G449" s="210"/>
      <c r="H449" s="71"/>
      <c r="I449" s="71"/>
      <c r="J449" s="71">
        <v>30</v>
      </c>
      <c r="K449" s="71">
        <v>6</v>
      </c>
      <c r="L449" s="1"/>
      <c r="M449" s="73">
        <f t="shared" si="50"/>
        <v>0</v>
      </c>
      <c r="N449" s="73">
        <f t="shared" si="51"/>
        <v>0</v>
      </c>
      <c r="O449" s="73">
        <f t="shared" si="52"/>
        <v>0</v>
      </c>
      <c r="P449" s="73">
        <f t="shared" si="53"/>
        <v>0</v>
      </c>
      <c r="Q449" s="73"/>
      <c r="R449" s="73">
        <v>0</v>
      </c>
      <c r="S449" s="75">
        <f t="shared" si="55"/>
        <v>0</v>
      </c>
      <c r="T449" s="77">
        <v>0</v>
      </c>
      <c r="U449" s="66">
        <v>40291</v>
      </c>
      <c r="V449" s="79"/>
      <c r="W449" s="66" t="s">
        <v>1585</v>
      </c>
      <c r="X449" s="24" t="s">
        <v>1586</v>
      </c>
      <c r="Y449" s="62"/>
      <c r="Z449" s="177" t="s">
        <v>894</v>
      </c>
      <c r="AA449" s="80" t="s">
        <v>1206</v>
      </c>
      <c r="AB449" s="3"/>
      <c r="AC449" s="4"/>
      <c r="AD449" s="5"/>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6"/>
      <c r="CE449" s="7"/>
      <c r="CF449" s="6"/>
      <c r="CG449" s="7"/>
      <c r="CH449" s="6"/>
      <c r="CI449" s="7"/>
      <c r="CJ449" s="8">
        <f t="shared" si="54"/>
        <v>0</v>
      </c>
      <c r="CK449" s="9"/>
      <c r="CL449" s="10"/>
      <c r="CM449" s="11"/>
      <c r="CN449" s="12"/>
      <c r="CO449" s="28"/>
      <c r="CP449" s="12"/>
      <c r="CQ449" s="9"/>
      <c r="CR449" s="10"/>
      <c r="CS449" s="68"/>
      <c r="EC449" s="344" t="str">
        <f t="shared" si="57"/>
        <v>VALLE DEL CAUCA_FLORIDA</v>
      </c>
      <c r="ED449" s="341"/>
      <c r="EE449" s="341" t="s">
        <v>3134</v>
      </c>
      <c r="EF449" s="349" t="s">
        <v>3135</v>
      </c>
      <c r="EG449" s="341" t="s">
        <v>3646</v>
      </c>
      <c r="EH449" s="341" t="s">
        <v>4771</v>
      </c>
      <c r="EI449" s="341" t="str">
        <f t="shared" si="56"/>
        <v>Cesar_Pueblo Bello</v>
      </c>
    </row>
    <row r="450" spans="1:139" ht="60">
      <c r="A450" s="228">
        <v>40290</v>
      </c>
      <c r="B450" s="102" t="s">
        <v>1998</v>
      </c>
      <c r="C450" s="102" t="s">
        <v>3187</v>
      </c>
      <c r="D450" s="206" t="s">
        <v>1752</v>
      </c>
      <c r="E450" s="320" t="s">
        <v>4090</v>
      </c>
      <c r="F450" s="320"/>
      <c r="G450" s="210"/>
      <c r="H450" s="71"/>
      <c r="I450" s="71"/>
      <c r="J450" s="71">
        <f>180*5</f>
        <v>900</v>
      </c>
      <c r="K450" s="71">
        <v>180</v>
      </c>
      <c r="L450" s="1">
        <v>40339</v>
      </c>
      <c r="M450" s="73">
        <f t="shared" si="50"/>
        <v>0</v>
      </c>
      <c r="N450" s="73">
        <f t="shared" si="51"/>
        <v>0</v>
      </c>
      <c r="O450" s="73">
        <f t="shared" si="52"/>
        <v>0</v>
      </c>
      <c r="P450" s="73">
        <f t="shared" si="53"/>
        <v>0</v>
      </c>
      <c r="Q450" s="73"/>
      <c r="R450" s="73">
        <f>42000000+4000000</f>
        <v>46000000</v>
      </c>
      <c r="S450" s="75">
        <f t="shared" si="55"/>
        <v>46000000</v>
      </c>
      <c r="T450" s="77">
        <v>0</v>
      </c>
      <c r="U450" s="66">
        <v>40332</v>
      </c>
      <c r="V450" s="79">
        <v>98013</v>
      </c>
      <c r="W450" s="66" t="s">
        <v>1606</v>
      </c>
      <c r="X450" s="24" t="s">
        <v>1607</v>
      </c>
      <c r="Y450" s="62">
        <v>305</v>
      </c>
      <c r="Z450" s="177" t="s">
        <v>308</v>
      </c>
      <c r="AA450" s="80" t="s">
        <v>311</v>
      </c>
      <c r="AB450" s="3"/>
      <c r="AC450" s="4"/>
      <c r="AD450" s="5"/>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6"/>
      <c r="CE450" s="7"/>
      <c r="CF450" s="6"/>
      <c r="CG450" s="7"/>
      <c r="CH450" s="6"/>
      <c r="CI450" s="7"/>
      <c r="CJ450" s="8">
        <f t="shared" si="54"/>
        <v>0</v>
      </c>
      <c r="CK450" s="9"/>
      <c r="CL450" s="10"/>
      <c r="CM450" s="11"/>
      <c r="CN450" s="12"/>
      <c r="CO450" s="28"/>
      <c r="CP450" s="12"/>
      <c r="CQ450" s="9"/>
      <c r="CR450" s="10"/>
      <c r="CS450" s="68">
        <v>2</v>
      </c>
      <c r="EC450" s="344" t="str">
        <f t="shared" si="57"/>
        <v>SANTANDER_EL GUACAMAYO</v>
      </c>
      <c r="ED450" s="341"/>
      <c r="EE450" s="341" t="s">
        <v>3134</v>
      </c>
      <c r="EF450" s="349" t="s">
        <v>3135</v>
      </c>
      <c r="EG450" s="341" t="s">
        <v>3647</v>
      </c>
      <c r="EH450" s="341" t="s">
        <v>4772</v>
      </c>
      <c r="EI450" s="341" t="str">
        <f t="shared" si="56"/>
        <v>Cesar_Rio de Oro</v>
      </c>
    </row>
    <row r="451" spans="1:139" ht="60">
      <c r="A451" s="228">
        <v>40290</v>
      </c>
      <c r="B451" s="102" t="s">
        <v>1998</v>
      </c>
      <c r="C451" s="102" t="s">
        <v>3187</v>
      </c>
      <c r="D451" s="206" t="s">
        <v>1878</v>
      </c>
      <c r="E451" s="320" t="s">
        <v>4090</v>
      </c>
      <c r="F451" s="320"/>
      <c r="G451" s="265"/>
      <c r="H451" s="71"/>
      <c r="I451" s="71"/>
      <c r="J451" s="71"/>
      <c r="K451" s="71"/>
      <c r="L451" s="1">
        <v>40339</v>
      </c>
      <c r="M451" s="73">
        <f t="shared" ref="M451:M514" si="58">CJ451</f>
        <v>0</v>
      </c>
      <c r="N451" s="73">
        <f t="shared" ref="N451:N514" si="59">CN451</f>
        <v>0</v>
      </c>
      <c r="O451" s="73">
        <f t="shared" ref="O451:O514" si="60">CP451+CR451</f>
        <v>0</v>
      </c>
      <c r="P451" s="73">
        <f t="shared" ref="P451:P514" si="61">CL451</f>
        <v>0</v>
      </c>
      <c r="Q451" s="73"/>
      <c r="R451" s="73">
        <f>15000000+7500000+6400000</f>
        <v>28900000</v>
      </c>
      <c r="S451" s="75">
        <f t="shared" si="55"/>
        <v>28900000</v>
      </c>
      <c r="T451" s="77">
        <v>0</v>
      </c>
      <c r="U451" s="66">
        <v>40332</v>
      </c>
      <c r="V451" s="79">
        <v>98013</v>
      </c>
      <c r="W451" s="66" t="s">
        <v>1606</v>
      </c>
      <c r="X451" s="24" t="s">
        <v>1607</v>
      </c>
      <c r="Y451" s="62">
        <v>305</v>
      </c>
      <c r="Z451" s="177" t="s">
        <v>309</v>
      </c>
      <c r="AA451" s="80" t="s">
        <v>310</v>
      </c>
      <c r="AB451" s="3"/>
      <c r="AC451" s="4"/>
      <c r="AD451" s="5"/>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6"/>
      <c r="CE451" s="7"/>
      <c r="CF451" s="6"/>
      <c r="CG451" s="7"/>
      <c r="CH451" s="6"/>
      <c r="CI451" s="7"/>
      <c r="CJ451" s="8">
        <f t="shared" ref="CJ451:CJ514" si="62">AC451+AE451+AG451+AI451+AK451+AM451+AO451+AQ451+AS451+AU451+AW451+AY451+BA451+BC451+BE451+BG451+BI451+BK451+BM451+BO451+BQ451+BS451+BU451+BW451+BY451+CA451+CC451+CE451+CG451+CI451</f>
        <v>0</v>
      </c>
      <c r="CK451" s="9"/>
      <c r="CL451" s="10"/>
      <c r="CM451" s="11"/>
      <c r="CN451" s="12"/>
      <c r="CO451" s="28"/>
      <c r="CP451" s="12"/>
      <c r="CQ451" s="9"/>
      <c r="CR451" s="10"/>
      <c r="CS451" s="68">
        <v>4</v>
      </c>
      <c r="EC451" s="344" t="str">
        <f t="shared" si="57"/>
        <v>SANTANDER_EL GUACAMAYO</v>
      </c>
      <c r="ED451" s="341"/>
      <c r="EE451" s="341" t="s">
        <v>3134</v>
      </c>
      <c r="EF451" s="349" t="s">
        <v>3135</v>
      </c>
      <c r="EG451" s="341" t="s">
        <v>3648</v>
      </c>
      <c r="EH451" s="341" t="s">
        <v>4773</v>
      </c>
      <c r="EI451" s="341" t="str">
        <f t="shared" si="56"/>
        <v>Cesar_La Paz</v>
      </c>
    </row>
    <row r="452" spans="1:139" ht="60">
      <c r="A452" s="228">
        <v>40290</v>
      </c>
      <c r="B452" s="102" t="s">
        <v>2400</v>
      </c>
      <c r="C452" s="102" t="s">
        <v>736</v>
      </c>
      <c r="D452" s="206" t="s">
        <v>2606</v>
      </c>
      <c r="E452" s="320" t="s">
        <v>4186</v>
      </c>
      <c r="F452" s="320"/>
      <c r="G452" s="210"/>
      <c r="H452" s="71"/>
      <c r="I452" s="71"/>
      <c r="J452" s="71">
        <v>180</v>
      </c>
      <c r="K452" s="71">
        <v>35</v>
      </c>
      <c r="L452" s="1"/>
      <c r="M452" s="73">
        <f t="shared" si="58"/>
        <v>0</v>
      </c>
      <c r="N452" s="73">
        <f t="shared" si="59"/>
        <v>0</v>
      </c>
      <c r="O452" s="73">
        <f t="shared" si="60"/>
        <v>0</v>
      </c>
      <c r="P452" s="73">
        <f t="shared" si="61"/>
        <v>0</v>
      </c>
      <c r="Q452" s="73"/>
      <c r="R452" s="73">
        <v>0</v>
      </c>
      <c r="S452" s="75">
        <f t="shared" si="55"/>
        <v>0</v>
      </c>
      <c r="T452" s="77">
        <v>0</v>
      </c>
      <c r="U452" s="66">
        <v>40291</v>
      </c>
      <c r="V452" s="79"/>
      <c r="W452" s="66" t="s">
        <v>1585</v>
      </c>
      <c r="X452" s="24" t="s">
        <v>1586</v>
      </c>
      <c r="Y452" s="62"/>
      <c r="Z452" s="177" t="s">
        <v>894</v>
      </c>
      <c r="AA452" s="80" t="s">
        <v>1758</v>
      </c>
      <c r="AB452" s="3"/>
      <c r="AC452" s="4"/>
      <c r="AD452" s="5"/>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6"/>
      <c r="CE452" s="7"/>
      <c r="CF452" s="6"/>
      <c r="CG452" s="7"/>
      <c r="CH452" s="6"/>
      <c r="CI452" s="7"/>
      <c r="CJ452" s="8">
        <f t="shared" si="62"/>
        <v>0</v>
      </c>
      <c r="CK452" s="9"/>
      <c r="CL452" s="10"/>
      <c r="CM452" s="11"/>
      <c r="CN452" s="12"/>
      <c r="CO452" s="28"/>
      <c r="CP452" s="12"/>
      <c r="CQ452" s="9"/>
      <c r="CR452" s="10"/>
      <c r="CS452" s="68"/>
      <c r="EC452" s="344" t="str">
        <f t="shared" si="57"/>
        <v>TOLIMA_CASABIANCA</v>
      </c>
      <c r="ED452" s="341"/>
      <c r="EE452" s="341" t="s">
        <v>3134</v>
      </c>
      <c r="EF452" s="349" t="s">
        <v>3135</v>
      </c>
      <c r="EG452" s="341" t="s">
        <v>3649</v>
      </c>
      <c r="EH452" s="341" t="s">
        <v>4774</v>
      </c>
      <c r="EI452" s="341" t="str">
        <f t="shared" si="56"/>
        <v>Cesar_San Alberto</v>
      </c>
    </row>
    <row r="453" spans="1:139" ht="25.5">
      <c r="A453" s="228">
        <v>40292</v>
      </c>
      <c r="B453" s="102" t="s">
        <v>1972</v>
      </c>
      <c r="C453" s="102" t="s">
        <v>2358</v>
      </c>
      <c r="D453" s="206" t="s">
        <v>1316</v>
      </c>
      <c r="E453" s="320" t="s">
        <v>3227</v>
      </c>
      <c r="F453" s="320"/>
      <c r="G453" s="210"/>
      <c r="H453" s="71"/>
      <c r="I453" s="71"/>
      <c r="J453" s="71">
        <v>15</v>
      </c>
      <c r="K453" s="71">
        <v>3</v>
      </c>
      <c r="L453" s="1"/>
      <c r="M453" s="73">
        <f t="shared" si="58"/>
        <v>0</v>
      </c>
      <c r="N453" s="73">
        <f t="shared" si="59"/>
        <v>0</v>
      </c>
      <c r="O453" s="73">
        <f t="shared" si="60"/>
        <v>0</v>
      </c>
      <c r="P453" s="73">
        <f t="shared" si="61"/>
        <v>0</v>
      </c>
      <c r="Q453" s="73"/>
      <c r="R453" s="73">
        <v>0</v>
      </c>
      <c r="S453" s="75">
        <f t="shared" si="55"/>
        <v>0</v>
      </c>
      <c r="T453" s="77">
        <v>0</v>
      </c>
      <c r="U453" s="66">
        <v>40292</v>
      </c>
      <c r="V453" s="79"/>
      <c r="W453" s="66" t="s">
        <v>1585</v>
      </c>
      <c r="X453" s="24" t="s">
        <v>1586</v>
      </c>
      <c r="Y453" s="62"/>
      <c r="Z453" s="177" t="s">
        <v>894</v>
      </c>
      <c r="AA453" s="80" t="s">
        <v>2366</v>
      </c>
      <c r="AB453" s="3"/>
      <c r="AC453" s="4"/>
      <c r="AD453" s="5"/>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6"/>
      <c r="CE453" s="7"/>
      <c r="CF453" s="6"/>
      <c r="CG453" s="7"/>
      <c r="CH453" s="6"/>
      <c r="CI453" s="7"/>
      <c r="CJ453" s="8">
        <f t="shared" si="62"/>
        <v>0</v>
      </c>
      <c r="CK453" s="9"/>
      <c r="CL453" s="10"/>
      <c r="CM453" s="11"/>
      <c r="CN453" s="12"/>
      <c r="CO453" s="28"/>
      <c r="CP453" s="12"/>
      <c r="CQ453" s="9"/>
      <c r="CR453" s="10"/>
      <c r="CS453" s="68"/>
      <c r="EC453" s="344" t="str">
        <f t="shared" si="57"/>
        <v>ANTIOQUIA_MEDELLIN</v>
      </c>
      <c r="ED453" s="341"/>
      <c r="EE453" s="341" t="s">
        <v>3134</v>
      </c>
      <c r="EF453" s="349" t="s">
        <v>3135</v>
      </c>
      <c r="EG453" s="341" t="s">
        <v>3650</v>
      </c>
      <c r="EH453" s="341" t="s">
        <v>4775</v>
      </c>
      <c r="EI453" s="341" t="str">
        <f t="shared" si="56"/>
        <v>Cesar_San Diego</v>
      </c>
    </row>
    <row r="454" spans="1:139" ht="63.75">
      <c r="A454" s="228">
        <v>40293</v>
      </c>
      <c r="B454" s="102" t="s">
        <v>1824</v>
      </c>
      <c r="C454" s="102" t="s">
        <v>3175</v>
      </c>
      <c r="D454" s="206" t="s">
        <v>1201</v>
      </c>
      <c r="E454" s="320" t="s">
        <v>3995</v>
      </c>
      <c r="F454" s="320"/>
      <c r="G454" s="210"/>
      <c r="H454" s="71"/>
      <c r="I454" s="71"/>
      <c r="J454" s="71">
        <v>200</v>
      </c>
      <c r="K454" s="71">
        <v>40</v>
      </c>
      <c r="L454" s="1">
        <v>40333</v>
      </c>
      <c r="M454" s="73">
        <f t="shared" si="58"/>
        <v>1540000</v>
      </c>
      <c r="N454" s="73">
        <f t="shared" si="59"/>
        <v>3400000</v>
      </c>
      <c r="O454" s="73">
        <f t="shared" si="60"/>
        <v>0</v>
      </c>
      <c r="P454" s="73">
        <f t="shared" si="61"/>
        <v>0</v>
      </c>
      <c r="Q454" s="73"/>
      <c r="R454" s="73">
        <v>0</v>
      </c>
      <c r="S454" s="75">
        <f t="shared" si="55"/>
        <v>4940000</v>
      </c>
      <c r="T454" s="77">
        <v>0</v>
      </c>
      <c r="U454" s="66">
        <v>40311</v>
      </c>
      <c r="V454" s="79">
        <v>97492</v>
      </c>
      <c r="W454" s="66" t="s">
        <v>1606</v>
      </c>
      <c r="X454" s="24" t="s">
        <v>1607</v>
      </c>
      <c r="Y454" s="62">
        <v>149</v>
      </c>
      <c r="Z454" s="177" t="s">
        <v>2580</v>
      </c>
      <c r="AA454" s="80" t="s">
        <v>2292</v>
      </c>
      <c r="AB454" s="3"/>
      <c r="AC454" s="4"/>
      <c r="AD454" s="5"/>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6">
        <v>40</v>
      </c>
      <c r="CE454" s="7">
        <f>40*38500</f>
        <v>1540000</v>
      </c>
      <c r="CF454" s="6"/>
      <c r="CG454" s="7"/>
      <c r="CH454" s="6"/>
      <c r="CI454" s="7"/>
      <c r="CJ454" s="8">
        <f t="shared" si="62"/>
        <v>1540000</v>
      </c>
      <c r="CK454" s="9"/>
      <c r="CL454" s="10"/>
      <c r="CM454" s="11">
        <v>40</v>
      </c>
      <c r="CN454" s="12">
        <f>40*85000</f>
        <v>3400000</v>
      </c>
      <c r="CO454" s="28"/>
      <c r="CP454" s="12"/>
      <c r="CQ454" s="9"/>
      <c r="CR454" s="10"/>
      <c r="CS454" s="68"/>
      <c r="EC454" s="344" t="str">
        <f t="shared" si="57"/>
        <v>NARIÑO_SAN ANDRES DE TUMACO</v>
      </c>
      <c r="ED454" s="341"/>
      <c r="EE454" s="341" t="s">
        <v>3134</v>
      </c>
      <c r="EF454" s="349" t="s">
        <v>3135</v>
      </c>
      <c r="EG454" s="341" t="s">
        <v>3651</v>
      </c>
      <c r="EH454" s="341" t="s">
        <v>4776</v>
      </c>
      <c r="EI454" s="341" t="str">
        <f t="shared" si="56"/>
        <v>Cesar_San Martin</v>
      </c>
    </row>
    <row r="455" spans="1:139" ht="36">
      <c r="A455" s="228">
        <v>40293</v>
      </c>
      <c r="B455" s="102" t="s">
        <v>2400</v>
      </c>
      <c r="C455" s="102" t="s">
        <v>1579</v>
      </c>
      <c r="D455" s="206" t="s">
        <v>2606</v>
      </c>
      <c r="E455" s="320" t="s">
        <v>4192</v>
      </c>
      <c r="F455" s="320"/>
      <c r="G455" s="210"/>
      <c r="H455" s="71"/>
      <c r="I455" s="71"/>
      <c r="J455" s="71">
        <v>1500</v>
      </c>
      <c r="K455" s="71">
        <v>500</v>
      </c>
      <c r="L455" s="1"/>
      <c r="M455" s="73">
        <f t="shared" si="58"/>
        <v>0</v>
      </c>
      <c r="N455" s="73">
        <f t="shared" si="59"/>
        <v>0</v>
      </c>
      <c r="O455" s="73">
        <f t="shared" si="60"/>
        <v>0</v>
      </c>
      <c r="P455" s="73">
        <f t="shared" si="61"/>
        <v>0</v>
      </c>
      <c r="Q455" s="73"/>
      <c r="R455" s="73">
        <v>0</v>
      </c>
      <c r="S455" s="75">
        <f t="shared" si="55"/>
        <v>0</v>
      </c>
      <c r="T455" s="77">
        <v>0</v>
      </c>
      <c r="U455" s="66">
        <v>40295</v>
      </c>
      <c r="V455" s="79"/>
      <c r="W455" s="66" t="s">
        <v>1585</v>
      </c>
      <c r="X455" s="24" t="s">
        <v>1586</v>
      </c>
      <c r="Y455" s="62"/>
      <c r="Z455" s="177" t="s">
        <v>894</v>
      </c>
      <c r="AA455" s="80" t="s">
        <v>1013</v>
      </c>
      <c r="AB455" s="3"/>
      <c r="AC455" s="4"/>
      <c r="AD455" s="5"/>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6"/>
      <c r="CE455" s="7"/>
      <c r="CF455" s="6"/>
      <c r="CG455" s="7"/>
      <c r="CH455" s="6"/>
      <c r="CI455" s="7"/>
      <c r="CJ455" s="8">
        <f t="shared" si="62"/>
        <v>0</v>
      </c>
      <c r="CK455" s="9"/>
      <c r="CL455" s="10"/>
      <c r="CM455" s="11"/>
      <c r="CN455" s="12"/>
      <c r="CO455" s="28"/>
      <c r="CP455" s="12"/>
      <c r="CQ455" s="9"/>
      <c r="CR455" s="10"/>
      <c r="CS455" s="68"/>
      <c r="EC455" s="344" t="str">
        <f t="shared" si="57"/>
        <v>TOLIMA_ESPINAL</v>
      </c>
      <c r="ED455" s="341"/>
      <c r="EE455" s="341" t="s">
        <v>3134</v>
      </c>
      <c r="EF455" s="349" t="s">
        <v>3135</v>
      </c>
      <c r="EG455" s="341" t="s">
        <v>3652</v>
      </c>
      <c r="EH455" s="341" t="s">
        <v>4777</v>
      </c>
      <c r="EI455" s="341" t="str">
        <f t="shared" si="56"/>
        <v>Cesar_Tamalameque</v>
      </c>
    </row>
    <row r="456" spans="1:139" ht="48">
      <c r="A456" s="228">
        <v>40294</v>
      </c>
      <c r="B456" s="102" t="s">
        <v>1192</v>
      </c>
      <c r="C456" s="102" t="s">
        <v>1935</v>
      </c>
      <c r="D456" s="206" t="s">
        <v>2606</v>
      </c>
      <c r="E456" s="320" t="s">
        <v>3494</v>
      </c>
      <c r="F456" s="320"/>
      <c r="G456" s="210"/>
      <c r="H456" s="71"/>
      <c r="I456" s="71"/>
      <c r="J456" s="71">
        <f>12*5</f>
        <v>60</v>
      </c>
      <c r="K456" s="71">
        <v>12</v>
      </c>
      <c r="L456" s="1"/>
      <c r="M456" s="73">
        <f t="shared" si="58"/>
        <v>0</v>
      </c>
      <c r="N456" s="73">
        <f t="shared" si="59"/>
        <v>0</v>
      </c>
      <c r="O456" s="73">
        <f t="shared" si="60"/>
        <v>0</v>
      </c>
      <c r="P456" s="73">
        <f t="shared" si="61"/>
        <v>0</v>
      </c>
      <c r="Q456" s="73"/>
      <c r="R456" s="73">
        <v>0</v>
      </c>
      <c r="S456" s="75">
        <f t="shared" si="55"/>
        <v>0</v>
      </c>
      <c r="T456" s="77">
        <v>0</v>
      </c>
      <c r="U456" s="66">
        <v>40303</v>
      </c>
      <c r="V456" s="79">
        <v>97262</v>
      </c>
      <c r="W456" s="66" t="s">
        <v>1585</v>
      </c>
      <c r="X456" s="24" t="s">
        <v>1586</v>
      </c>
      <c r="Y456" s="62"/>
      <c r="Z456" s="177" t="s">
        <v>894</v>
      </c>
      <c r="AA456" s="80" t="s">
        <v>2590</v>
      </c>
      <c r="AB456" s="3"/>
      <c r="AC456" s="4"/>
      <c r="AD456" s="5"/>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6"/>
      <c r="CE456" s="7"/>
      <c r="CF456" s="6"/>
      <c r="CG456" s="7"/>
      <c r="CH456" s="6"/>
      <c r="CI456" s="7"/>
      <c r="CJ456" s="8">
        <f t="shared" si="62"/>
        <v>0</v>
      </c>
      <c r="CK456" s="9"/>
      <c r="CL456" s="10"/>
      <c r="CM456" s="11"/>
      <c r="CN456" s="12"/>
      <c r="CO456" s="28"/>
      <c r="CP456" s="12"/>
      <c r="CQ456" s="9"/>
      <c r="CR456" s="10"/>
      <c r="CS456" s="68"/>
      <c r="EC456" s="344" t="str">
        <f t="shared" si="57"/>
        <v>BOYACA_PUERTO BOYACA</v>
      </c>
      <c r="ED456" s="341"/>
      <c r="EE456" s="341" t="s">
        <v>3136</v>
      </c>
      <c r="EF456" s="349" t="s">
        <v>3137</v>
      </c>
      <c r="EG456" s="341" t="s">
        <v>3653</v>
      </c>
      <c r="EH456" s="341" t="s">
        <v>4778</v>
      </c>
      <c r="EI456" s="341" t="str">
        <f t="shared" si="56"/>
        <v>Cordoba_Monteria</v>
      </c>
    </row>
    <row r="457" spans="1:139" ht="51">
      <c r="A457" s="228">
        <v>40294</v>
      </c>
      <c r="B457" s="102" t="s">
        <v>1604</v>
      </c>
      <c r="C457" s="102" t="s">
        <v>2293</v>
      </c>
      <c r="D457" s="206" t="s">
        <v>1316</v>
      </c>
      <c r="E457" s="320" t="s">
        <v>3757</v>
      </c>
      <c r="F457" s="320"/>
      <c r="G457" s="210">
        <v>1</v>
      </c>
      <c r="H457" s="71"/>
      <c r="I457" s="71"/>
      <c r="J457" s="71"/>
      <c r="K457" s="71"/>
      <c r="L457" s="1"/>
      <c r="M457" s="73">
        <f t="shared" si="58"/>
        <v>0</v>
      </c>
      <c r="N457" s="73">
        <f t="shared" si="59"/>
        <v>0</v>
      </c>
      <c r="O457" s="73">
        <f t="shared" si="60"/>
        <v>0</v>
      </c>
      <c r="P457" s="73">
        <f t="shared" si="61"/>
        <v>0</v>
      </c>
      <c r="Q457" s="73"/>
      <c r="R457" s="73">
        <v>0</v>
      </c>
      <c r="S457" s="75">
        <f t="shared" ref="S457:S520" si="63">M457+N457+O457+P457+Q457+R457</f>
        <v>0</v>
      </c>
      <c r="T457" s="77">
        <v>0</v>
      </c>
      <c r="U457" s="66">
        <v>40295</v>
      </c>
      <c r="V457" s="79"/>
      <c r="W457" s="66" t="s">
        <v>1585</v>
      </c>
      <c r="X457" s="24" t="s">
        <v>1586</v>
      </c>
      <c r="Y457" s="62"/>
      <c r="Z457" s="177" t="s">
        <v>894</v>
      </c>
      <c r="AA457" s="80" t="s">
        <v>2294</v>
      </c>
      <c r="AB457" s="3"/>
      <c r="AC457" s="4"/>
      <c r="AD457" s="5"/>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6"/>
      <c r="CE457" s="7"/>
      <c r="CF457" s="6"/>
      <c r="CG457" s="7"/>
      <c r="CH457" s="6"/>
      <c r="CI457" s="7"/>
      <c r="CJ457" s="8">
        <f t="shared" si="62"/>
        <v>0</v>
      </c>
      <c r="CK457" s="9"/>
      <c r="CL457" s="10"/>
      <c r="CM457" s="11"/>
      <c r="CN457" s="12"/>
      <c r="CO457" s="28"/>
      <c r="CP457" s="12"/>
      <c r="CQ457" s="9"/>
      <c r="CR457" s="10"/>
      <c r="CS457" s="68"/>
      <c r="EC457" s="344" t="str">
        <f t="shared" si="57"/>
        <v>CUNDINAMARCA_SAN FRANCISCO</v>
      </c>
      <c r="ED457" s="341"/>
      <c r="EE457" s="341" t="s">
        <v>3136</v>
      </c>
      <c r="EF457" s="349" t="s">
        <v>3137</v>
      </c>
      <c r="EG457" s="341" t="s">
        <v>3654</v>
      </c>
      <c r="EH457" s="341" t="s">
        <v>4779</v>
      </c>
      <c r="EI457" s="341" t="str">
        <f t="shared" si="56"/>
        <v>Cordoba_Ayapel</v>
      </c>
    </row>
    <row r="458" spans="1:139" ht="45">
      <c r="A458" s="228">
        <v>40294</v>
      </c>
      <c r="B458" s="102" t="s">
        <v>1943</v>
      </c>
      <c r="C458" s="102" t="s">
        <v>1964</v>
      </c>
      <c r="D458" s="206" t="s">
        <v>2606</v>
      </c>
      <c r="E458" s="320" t="s">
        <v>4163</v>
      </c>
      <c r="F458" s="320"/>
      <c r="G458" s="210"/>
      <c r="H458" s="71"/>
      <c r="I458" s="71"/>
      <c r="J458" s="71">
        <f>215+135</f>
        <v>350</v>
      </c>
      <c r="K458" s="71">
        <f>43+27</f>
        <v>70</v>
      </c>
      <c r="L458" s="1">
        <v>40368</v>
      </c>
      <c r="M458" s="73">
        <f t="shared" si="58"/>
        <v>0</v>
      </c>
      <c r="N458" s="73">
        <f t="shared" si="59"/>
        <v>0</v>
      </c>
      <c r="O458" s="73">
        <f t="shared" si="60"/>
        <v>19430800</v>
      </c>
      <c r="P458" s="73">
        <f t="shared" si="61"/>
        <v>0</v>
      </c>
      <c r="Q458" s="73"/>
      <c r="R458" s="73">
        <v>0</v>
      </c>
      <c r="S458" s="75">
        <f t="shared" si="63"/>
        <v>19430800</v>
      </c>
      <c r="T458" s="77">
        <v>0</v>
      </c>
      <c r="U458" s="66">
        <v>40330</v>
      </c>
      <c r="V458" s="79">
        <v>97922</v>
      </c>
      <c r="W458" s="66" t="s">
        <v>1606</v>
      </c>
      <c r="X458" s="24" t="s">
        <v>1607</v>
      </c>
      <c r="Y458" s="62">
        <v>195</v>
      </c>
      <c r="Z458" s="177" t="s">
        <v>2580</v>
      </c>
      <c r="AA458" s="80" t="s">
        <v>1969</v>
      </c>
      <c r="AB458" s="3"/>
      <c r="AC458" s="4"/>
      <c r="AD458" s="5"/>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6"/>
      <c r="CE458" s="7"/>
      <c r="CF458" s="6"/>
      <c r="CG458" s="7"/>
      <c r="CH458" s="6"/>
      <c r="CI458" s="7"/>
      <c r="CJ458" s="8">
        <f t="shared" si="62"/>
        <v>0</v>
      </c>
      <c r="CK458" s="9"/>
      <c r="CL458" s="10"/>
      <c r="CM458" s="11"/>
      <c r="CN458" s="12"/>
      <c r="CO458" s="28"/>
      <c r="CP458" s="12"/>
      <c r="CQ458" s="9">
        <v>850</v>
      </c>
      <c r="CR458" s="10">
        <f>850*22000+2100*348</f>
        <v>19430800</v>
      </c>
      <c r="CS458" s="68"/>
      <c r="EC458" s="344" t="str">
        <f t="shared" si="57"/>
        <v>SUCRE_MAJAGUAL</v>
      </c>
      <c r="ED458" s="341"/>
      <c r="EE458" s="341" t="s">
        <v>3136</v>
      </c>
      <c r="EF458" s="349" t="s">
        <v>3137</v>
      </c>
      <c r="EG458" s="341" t="s">
        <v>3655</v>
      </c>
      <c r="EH458" s="341" t="s">
        <v>4572</v>
      </c>
      <c r="EI458" s="341" t="str">
        <f t="shared" si="56"/>
        <v>Cordoba_Buenavista</v>
      </c>
    </row>
    <row r="459" spans="1:139" ht="36">
      <c r="A459" s="228">
        <v>40294</v>
      </c>
      <c r="B459" s="102" t="s">
        <v>2400</v>
      </c>
      <c r="C459" s="102" t="s">
        <v>630</v>
      </c>
      <c r="D459" s="206" t="s">
        <v>1201</v>
      </c>
      <c r="E459" s="320" t="s">
        <v>4196</v>
      </c>
      <c r="F459" s="320"/>
      <c r="G459" s="210"/>
      <c r="H459" s="71"/>
      <c r="I459" s="71"/>
      <c r="J459" s="71">
        <v>163</v>
      </c>
      <c r="K459" s="71">
        <v>34</v>
      </c>
      <c r="L459" s="1"/>
      <c r="M459" s="73">
        <f t="shared" si="58"/>
        <v>0</v>
      </c>
      <c r="N459" s="73">
        <f t="shared" si="59"/>
        <v>0</v>
      </c>
      <c r="O459" s="73">
        <f t="shared" si="60"/>
        <v>0</v>
      </c>
      <c r="P459" s="73">
        <f t="shared" si="61"/>
        <v>0</v>
      </c>
      <c r="Q459" s="73"/>
      <c r="R459" s="73">
        <v>0</v>
      </c>
      <c r="S459" s="75">
        <f t="shared" si="63"/>
        <v>0</v>
      </c>
      <c r="T459" s="77">
        <v>0</v>
      </c>
      <c r="U459" s="66">
        <v>40295</v>
      </c>
      <c r="V459" s="79"/>
      <c r="W459" s="66" t="s">
        <v>1585</v>
      </c>
      <c r="X459" s="24" t="s">
        <v>1586</v>
      </c>
      <c r="Y459" s="62"/>
      <c r="Z459" s="177" t="s">
        <v>894</v>
      </c>
      <c r="AA459" s="80" t="s">
        <v>1024</v>
      </c>
      <c r="AB459" s="3"/>
      <c r="AC459" s="4"/>
      <c r="AD459" s="5"/>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6"/>
      <c r="CE459" s="7"/>
      <c r="CF459" s="6"/>
      <c r="CG459" s="7"/>
      <c r="CH459" s="6"/>
      <c r="CI459" s="7"/>
      <c r="CJ459" s="8">
        <f t="shared" si="62"/>
        <v>0</v>
      </c>
      <c r="CK459" s="9"/>
      <c r="CL459" s="10"/>
      <c r="CM459" s="11"/>
      <c r="CN459" s="12"/>
      <c r="CO459" s="28"/>
      <c r="CP459" s="12"/>
      <c r="CQ459" s="9"/>
      <c r="CR459" s="10"/>
      <c r="CS459" s="68"/>
      <c r="EC459" s="344" t="str">
        <f t="shared" si="57"/>
        <v>TOLIMA_GUAMO</v>
      </c>
      <c r="ED459" s="341"/>
      <c r="EE459" s="341" t="s">
        <v>3136</v>
      </c>
      <c r="EF459" s="349" t="s">
        <v>3137</v>
      </c>
      <c r="EG459" s="341" t="s">
        <v>3656</v>
      </c>
      <c r="EH459" s="341" t="s">
        <v>4780</v>
      </c>
      <c r="EI459" s="341" t="str">
        <f t="shared" si="56"/>
        <v>Cordoba_Canalete</v>
      </c>
    </row>
    <row r="460" spans="1:139" ht="38.25">
      <c r="A460" s="235">
        <v>40295</v>
      </c>
      <c r="B460" s="224" t="s">
        <v>1972</v>
      </c>
      <c r="C460" s="224" t="s">
        <v>2607</v>
      </c>
      <c r="D460" s="236" t="s">
        <v>1201</v>
      </c>
      <c r="E460" s="324" t="s">
        <v>3262</v>
      </c>
      <c r="F460" s="324"/>
      <c r="G460" s="210"/>
      <c r="H460" s="71"/>
      <c r="I460" s="71"/>
      <c r="J460" s="71">
        <v>385</v>
      </c>
      <c r="K460" s="71">
        <v>77</v>
      </c>
      <c r="L460" s="1"/>
      <c r="M460" s="73">
        <f t="shared" si="58"/>
        <v>0</v>
      </c>
      <c r="N460" s="73">
        <f t="shared" si="59"/>
        <v>0</v>
      </c>
      <c r="O460" s="73">
        <f t="shared" si="60"/>
        <v>0</v>
      </c>
      <c r="P460" s="73">
        <f t="shared" si="61"/>
        <v>0</v>
      </c>
      <c r="Q460" s="73"/>
      <c r="R460" s="73">
        <v>0</v>
      </c>
      <c r="S460" s="75">
        <f t="shared" si="63"/>
        <v>0</v>
      </c>
      <c r="T460" s="77">
        <v>0</v>
      </c>
      <c r="U460" s="66">
        <v>40296</v>
      </c>
      <c r="V460" s="79"/>
      <c r="W460" s="66" t="s">
        <v>1585</v>
      </c>
      <c r="X460" s="24" t="s">
        <v>1586</v>
      </c>
      <c r="Y460" s="62"/>
      <c r="Z460" s="177" t="s">
        <v>894</v>
      </c>
      <c r="AA460" s="80" t="s">
        <v>1889</v>
      </c>
      <c r="AB460" s="3"/>
      <c r="AC460" s="4"/>
      <c r="AD460" s="5"/>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6"/>
      <c r="CE460" s="7"/>
      <c r="CF460" s="6"/>
      <c r="CG460" s="7"/>
      <c r="CH460" s="6"/>
      <c r="CI460" s="7"/>
      <c r="CJ460" s="8">
        <f t="shared" si="62"/>
        <v>0</v>
      </c>
      <c r="CK460" s="9"/>
      <c r="CL460" s="10"/>
      <c r="CM460" s="11"/>
      <c r="CN460" s="12"/>
      <c r="CO460" s="28"/>
      <c r="CP460" s="12"/>
      <c r="CQ460" s="9"/>
      <c r="CR460" s="10"/>
      <c r="CS460" s="68"/>
      <c r="EC460" s="344" t="str">
        <f t="shared" si="57"/>
        <v>ANTIOQUIA_CHIGORODO</v>
      </c>
      <c r="ED460" s="341"/>
      <c r="EE460" s="341" t="s">
        <v>3136</v>
      </c>
      <c r="EF460" s="349" t="s">
        <v>3137</v>
      </c>
      <c r="EG460" s="341" t="s">
        <v>3658</v>
      </c>
      <c r="EH460" s="341" t="s">
        <v>4781</v>
      </c>
      <c r="EI460" s="341" t="str">
        <f t="shared" si="56"/>
        <v>Cordoba_Chima</v>
      </c>
    </row>
    <row r="461" spans="1:139" ht="38.25">
      <c r="A461" s="235">
        <v>40295</v>
      </c>
      <c r="B461" s="224" t="s">
        <v>1972</v>
      </c>
      <c r="C461" s="224" t="s">
        <v>1253</v>
      </c>
      <c r="D461" s="236" t="s">
        <v>2606</v>
      </c>
      <c r="E461" s="324" t="s">
        <v>3307</v>
      </c>
      <c r="F461" s="324"/>
      <c r="G461" s="210"/>
      <c r="H461" s="71"/>
      <c r="I461" s="71"/>
      <c r="J461" s="71">
        <v>1186</v>
      </c>
      <c r="K461" s="71">
        <v>330</v>
      </c>
      <c r="L461" s="1"/>
      <c r="M461" s="73">
        <f t="shared" si="58"/>
        <v>0</v>
      </c>
      <c r="N461" s="73">
        <f t="shared" si="59"/>
        <v>0</v>
      </c>
      <c r="O461" s="73">
        <f t="shared" si="60"/>
        <v>0</v>
      </c>
      <c r="P461" s="73">
        <f t="shared" si="61"/>
        <v>0</v>
      </c>
      <c r="Q461" s="73"/>
      <c r="R461" s="73">
        <v>0</v>
      </c>
      <c r="S461" s="75">
        <f t="shared" si="63"/>
        <v>0</v>
      </c>
      <c r="T461" s="77">
        <v>0</v>
      </c>
      <c r="U461" s="66">
        <v>40296</v>
      </c>
      <c r="V461" s="79"/>
      <c r="W461" s="66" t="s">
        <v>1585</v>
      </c>
      <c r="X461" s="24" t="s">
        <v>1586</v>
      </c>
      <c r="Y461" s="62"/>
      <c r="Z461" s="177" t="s">
        <v>894</v>
      </c>
      <c r="AA461" s="80" t="s">
        <v>1254</v>
      </c>
      <c r="AB461" s="3"/>
      <c r="AC461" s="4"/>
      <c r="AD461" s="5"/>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6"/>
      <c r="CE461" s="7"/>
      <c r="CF461" s="6"/>
      <c r="CG461" s="7"/>
      <c r="CH461" s="6"/>
      <c r="CI461" s="7"/>
      <c r="CJ461" s="8">
        <f t="shared" si="62"/>
        <v>0</v>
      </c>
      <c r="CK461" s="9"/>
      <c r="CL461" s="10"/>
      <c r="CM461" s="11"/>
      <c r="CN461" s="12"/>
      <c r="CO461" s="28"/>
      <c r="CP461" s="12"/>
      <c r="CQ461" s="9"/>
      <c r="CR461" s="10"/>
      <c r="CS461" s="68"/>
      <c r="EC461" s="344" t="str">
        <f t="shared" si="57"/>
        <v>ANTIOQUIA_PUERTO NARE</v>
      </c>
      <c r="ED461" s="341"/>
      <c r="EE461" s="341" t="s">
        <v>3136</v>
      </c>
      <c r="EF461" s="349" t="s">
        <v>3137</v>
      </c>
      <c r="EG461" s="341" t="s">
        <v>3659</v>
      </c>
      <c r="EH461" s="341" t="s">
        <v>4782</v>
      </c>
      <c r="EI461" s="341" t="str">
        <f t="shared" si="56"/>
        <v>Cordoba_Chinu</v>
      </c>
    </row>
    <row r="462" spans="1:139" ht="38.25">
      <c r="A462" s="228">
        <v>40295</v>
      </c>
      <c r="B462" s="102" t="s">
        <v>2298</v>
      </c>
      <c r="C462" s="102" t="s">
        <v>1610</v>
      </c>
      <c r="D462" s="206" t="s">
        <v>1923</v>
      </c>
      <c r="E462" s="320" t="s">
        <v>3375</v>
      </c>
      <c r="F462" s="320"/>
      <c r="G462" s="210"/>
      <c r="H462" s="71"/>
      <c r="I462" s="71"/>
      <c r="J462" s="71">
        <v>5</v>
      </c>
      <c r="K462" s="71">
        <v>1</v>
      </c>
      <c r="L462" s="1"/>
      <c r="M462" s="73">
        <f t="shared" si="58"/>
        <v>0</v>
      </c>
      <c r="N462" s="73">
        <f t="shared" si="59"/>
        <v>0</v>
      </c>
      <c r="O462" s="73">
        <f t="shared" si="60"/>
        <v>0</v>
      </c>
      <c r="P462" s="73">
        <f t="shared" si="61"/>
        <v>0</v>
      </c>
      <c r="Q462" s="73"/>
      <c r="R462" s="73">
        <v>0</v>
      </c>
      <c r="S462" s="75">
        <f t="shared" si="63"/>
        <v>0</v>
      </c>
      <c r="T462" s="77">
        <v>0</v>
      </c>
      <c r="U462" s="66">
        <v>40296</v>
      </c>
      <c r="V462" s="79"/>
      <c r="W462" s="66" t="s">
        <v>1585</v>
      </c>
      <c r="X462" s="24" t="s">
        <v>1586</v>
      </c>
      <c r="Y462" s="62"/>
      <c r="Z462" s="177" t="s">
        <v>894</v>
      </c>
      <c r="AA462" s="80" t="s">
        <v>1252</v>
      </c>
      <c r="AB462" s="3"/>
      <c r="AC462" s="4"/>
      <c r="AD462" s="5"/>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6"/>
      <c r="CE462" s="7"/>
      <c r="CF462" s="6"/>
      <c r="CG462" s="7"/>
      <c r="CH462" s="6"/>
      <c r="CI462" s="7"/>
      <c r="CJ462" s="8">
        <f t="shared" si="62"/>
        <v>0</v>
      </c>
      <c r="CK462" s="9"/>
      <c r="CL462" s="10"/>
      <c r="CM462" s="11"/>
      <c r="CN462" s="12"/>
      <c r="CO462" s="28"/>
      <c r="CP462" s="12"/>
      <c r="CQ462" s="9"/>
      <c r="CR462" s="10"/>
      <c r="CS462" s="68"/>
      <c r="EC462" s="344" t="str">
        <f t="shared" si="57"/>
        <v>BOGOTA D.C._BOGOTA</v>
      </c>
      <c r="ED462" s="341"/>
      <c r="EE462" s="341" t="s">
        <v>3136</v>
      </c>
      <c r="EF462" s="349" t="s">
        <v>3137</v>
      </c>
      <c r="EG462" s="341" t="s">
        <v>3660</v>
      </c>
      <c r="EH462" s="341" t="s">
        <v>4783</v>
      </c>
      <c r="EI462" s="341" t="str">
        <f t="shared" si="56"/>
        <v>Cordoba_Cienaga de Oro</v>
      </c>
    </row>
    <row r="463" spans="1:139" ht="25.5">
      <c r="A463" s="228">
        <v>40295</v>
      </c>
      <c r="B463" s="205" t="s">
        <v>962</v>
      </c>
      <c r="C463" s="205" t="s">
        <v>2821</v>
      </c>
      <c r="D463" s="207" t="s">
        <v>1201</v>
      </c>
      <c r="E463" s="323" t="s">
        <v>3845</v>
      </c>
      <c r="F463" s="323"/>
      <c r="G463" s="204"/>
      <c r="H463" s="151"/>
      <c r="I463" s="151"/>
      <c r="J463" s="151">
        <v>25</v>
      </c>
      <c r="K463" s="151">
        <v>5</v>
      </c>
      <c r="L463" s="1"/>
      <c r="M463" s="73">
        <f t="shared" si="58"/>
        <v>0</v>
      </c>
      <c r="N463" s="73">
        <f t="shared" si="59"/>
        <v>0</v>
      </c>
      <c r="O463" s="73">
        <f t="shared" si="60"/>
        <v>0</v>
      </c>
      <c r="P463" s="73">
        <f t="shared" si="61"/>
        <v>0</v>
      </c>
      <c r="Q463" s="73"/>
      <c r="R463" s="73">
        <v>0</v>
      </c>
      <c r="S463" s="75">
        <f t="shared" si="63"/>
        <v>0</v>
      </c>
      <c r="T463" s="77">
        <v>0</v>
      </c>
      <c r="U463" s="66">
        <v>40581</v>
      </c>
      <c r="V463" s="79"/>
      <c r="W463" s="66" t="s">
        <v>1585</v>
      </c>
      <c r="X463" s="24" t="s">
        <v>1586</v>
      </c>
      <c r="Y463" s="62"/>
      <c r="Z463" s="169" t="s">
        <v>894</v>
      </c>
      <c r="AA463" s="166" t="s">
        <v>54</v>
      </c>
      <c r="AB463" s="152"/>
      <c r="AC463" s="153"/>
      <c r="AD463" s="154"/>
      <c r="AE463" s="153"/>
      <c r="AF463" s="153"/>
      <c r="AG463" s="153"/>
      <c r="AH463" s="153"/>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c r="BI463" s="153"/>
      <c r="BJ463" s="153"/>
      <c r="BK463" s="153"/>
      <c r="BL463" s="153"/>
      <c r="BM463" s="153"/>
      <c r="BN463" s="153"/>
      <c r="BO463" s="153"/>
      <c r="BP463" s="153"/>
      <c r="BQ463" s="153"/>
      <c r="BR463" s="153"/>
      <c r="BS463" s="153"/>
      <c r="BT463" s="153"/>
      <c r="BU463" s="153"/>
      <c r="BV463" s="153"/>
      <c r="BW463" s="153"/>
      <c r="BX463" s="153"/>
      <c r="BY463" s="153"/>
      <c r="BZ463" s="153"/>
      <c r="CA463" s="153"/>
      <c r="CB463" s="153"/>
      <c r="CC463" s="153"/>
      <c r="CD463" s="155"/>
      <c r="CE463" s="156"/>
      <c r="CF463" s="155"/>
      <c r="CG463" s="156"/>
      <c r="CH463" s="155"/>
      <c r="CI463" s="156"/>
      <c r="CJ463" s="157">
        <f t="shared" si="62"/>
        <v>0</v>
      </c>
      <c r="CK463" s="158"/>
      <c r="CL463" s="159"/>
      <c r="CM463" s="160"/>
      <c r="CN463" s="161"/>
      <c r="CO463" s="162"/>
      <c r="CP463" s="161"/>
      <c r="CQ463" s="158"/>
      <c r="CR463" s="159"/>
      <c r="CS463" s="68"/>
      <c r="CT463" s="163"/>
      <c r="EC463" s="344" t="str">
        <f t="shared" si="57"/>
        <v>HUILA_PALESTINA</v>
      </c>
      <c r="ED463" s="341"/>
      <c r="EE463" s="341" t="s">
        <v>3136</v>
      </c>
      <c r="EF463" s="349" t="s">
        <v>3137</v>
      </c>
      <c r="EG463" s="341" t="s">
        <v>3661</v>
      </c>
      <c r="EH463" s="341" t="s">
        <v>4784</v>
      </c>
      <c r="EI463" s="341" t="str">
        <f t="shared" si="56"/>
        <v>Cordoba_Cotorra</v>
      </c>
    </row>
    <row r="464" spans="1:139" ht="25.5">
      <c r="A464" s="228">
        <v>40295</v>
      </c>
      <c r="B464" s="102" t="s">
        <v>396</v>
      </c>
      <c r="C464" s="102" t="s">
        <v>2585</v>
      </c>
      <c r="D464" s="206" t="s">
        <v>1201</v>
      </c>
      <c r="E464" s="320" t="s">
        <v>3932</v>
      </c>
      <c r="F464" s="320"/>
      <c r="G464" s="210"/>
      <c r="H464" s="71"/>
      <c r="I464" s="71"/>
      <c r="J464" s="71">
        <v>20</v>
      </c>
      <c r="K464" s="71">
        <v>5</v>
      </c>
      <c r="L464" s="1"/>
      <c r="M464" s="73">
        <f t="shared" si="58"/>
        <v>0</v>
      </c>
      <c r="N464" s="73">
        <f t="shared" si="59"/>
        <v>0</v>
      </c>
      <c r="O464" s="73">
        <f t="shared" si="60"/>
        <v>0</v>
      </c>
      <c r="P464" s="73">
        <f t="shared" si="61"/>
        <v>0</v>
      </c>
      <c r="Q464" s="73"/>
      <c r="R464" s="73">
        <v>0</v>
      </c>
      <c r="S464" s="75">
        <f t="shared" si="63"/>
        <v>0</v>
      </c>
      <c r="T464" s="77">
        <v>0</v>
      </c>
      <c r="U464" s="66">
        <v>40302</v>
      </c>
      <c r="V464" s="79"/>
      <c r="W464" s="66" t="s">
        <v>1585</v>
      </c>
      <c r="X464" s="24" t="s">
        <v>1586</v>
      </c>
      <c r="Y464" s="62"/>
      <c r="Z464" s="177" t="s">
        <v>894</v>
      </c>
      <c r="AA464" s="80" t="s">
        <v>1015</v>
      </c>
      <c r="AB464" s="3"/>
      <c r="AC464" s="4"/>
      <c r="AD464" s="5"/>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6"/>
      <c r="CE464" s="7"/>
      <c r="CF464" s="6"/>
      <c r="CG464" s="7"/>
      <c r="CH464" s="6"/>
      <c r="CI464" s="7"/>
      <c r="CJ464" s="8">
        <f t="shared" si="62"/>
        <v>0</v>
      </c>
      <c r="CK464" s="9"/>
      <c r="CL464" s="10"/>
      <c r="CM464" s="11"/>
      <c r="CN464" s="12"/>
      <c r="CO464" s="28"/>
      <c r="CP464" s="12"/>
      <c r="CQ464" s="9"/>
      <c r="CR464" s="10"/>
      <c r="CS464" s="68"/>
      <c r="EC464" s="344" t="str">
        <f t="shared" si="57"/>
        <v>META_SAN MARTIN</v>
      </c>
      <c r="ED464" s="341"/>
      <c r="EE464" s="341" t="s">
        <v>3136</v>
      </c>
      <c r="EF464" s="349" t="s">
        <v>3137</v>
      </c>
      <c r="EG464" s="341" t="s">
        <v>3662</v>
      </c>
      <c r="EH464" s="341" t="s">
        <v>4785</v>
      </c>
      <c r="EI464" s="341" t="str">
        <f t="shared" si="56"/>
        <v>Cordoba_La Apartada</v>
      </c>
    </row>
    <row r="465" spans="1:139" ht="25.5">
      <c r="A465" s="228">
        <v>40296</v>
      </c>
      <c r="B465" s="102" t="s">
        <v>1972</v>
      </c>
      <c r="C465" s="102" t="s">
        <v>653</v>
      </c>
      <c r="D465" s="206" t="s">
        <v>1316</v>
      </c>
      <c r="E465" s="320" t="s">
        <v>3253</v>
      </c>
      <c r="F465" s="320"/>
      <c r="G465" s="210"/>
      <c r="H465" s="71"/>
      <c r="I465" s="71"/>
      <c r="J465" s="71">
        <v>5</v>
      </c>
      <c r="K465" s="71">
        <v>1</v>
      </c>
      <c r="L465" s="1"/>
      <c r="M465" s="73">
        <f t="shared" si="58"/>
        <v>0</v>
      </c>
      <c r="N465" s="73">
        <f t="shared" si="59"/>
        <v>0</v>
      </c>
      <c r="O465" s="73">
        <f t="shared" si="60"/>
        <v>0</v>
      </c>
      <c r="P465" s="73">
        <f t="shared" si="61"/>
        <v>0</v>
      </c>
      <c r="Q465" s="73"/>
      <c r="R465" s="73">
        <v>0</v>
      </c>
      <c r="S465" s="75">
        <f t="shared" si="63"/>
        <v>0</v>
      </c>
      <c r="T465" s="77">
        <v>0</v>
      </c>
      <c r="U465" s="66">
        <v>40297</v>
      </c>
      <c r="V465" s="79"/>
      <c r="W465" s="66" t="s">
        <v>1585</v>
      </c>
      <c r="X465" s="24" t="s">
        <v>1586</v>
      </c>
      <c r="Y465" s="62"/>
      <c r="Z465" s="177" t="s">
        <v>894</v>
      </c>
      <c r="AA465" s="80" t="s">
        <v>1888</v>
      </c>
      <c r="AB465" s="3"/>
      <c r="AC465" s="4"/>
      <c r="AD465" s="5"/>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6"/>
      <c r="CE465" s="7"/>
      <c r="CF465" s="6"/>
      <c r="CG465" s="7"/>
      <c r="CH465" s="6"/>
      <c r="CI465" s="7"/>
      <c r="CJ465" s="8">
        <f t="shared" si="62"/>
        <v>0</v>
      </c>
      <c r="CK465" s="9"/>
      <c r="CL465" s="10"/>
      <c r="CM465" s="11"/>
      <c r="CN465" s="12"/>
      <c r="CO465" s="28"/>
      <c r="CP465" s="12"/>
      <c r="CQ465" s="9"/>
      <c r="CR465" s="10"/>
      <c r="CS465" s="68"/>
      <c r="EC465" s="344" t="str">
        <f t="shared" si="57"/>
        <v>ANTIOQUIA_CALDAS</v>
      </c>
      <c r="ED465" s="341"/>
      <c r="EE465" s="341" t="s">
        <v>3136</v>
      </c>
      <c r="EF465" s="349" t="s">
        <v>3137</v>
      </c>
      <c r="EG465" s="341" t="s">
        <v>3663</v>
      </c>
      <c r="EH465" s="341" t="s">
        <v>4786</v>
      </c>
      <c r="EI465" s="341" t="str">
        <f t="shared" si="56"/>
        <v>Cordoba_Lorica</v>
      </c>
    </row>
    <row r="466" spans="1:139" ht="25.5">
      <c r="A466" s="228">
        <v>40296</v>
      </c>
      <c r="B466" s="102" t="s">
        <v>2400</v>
      </c>
      <c r="C466" s="102" t="s">
        <v>1250</v>
      </c>
      <c r="D466" s="206" t="s">
        <v>1201</v>
      </c>
      <c r="E466" s="320" t="s">
        <v>4189</v>
      </c>
      <c r="F466" s="320"/>
      <c r="G466" s="210"/>
      <c r="H466" s="71"/>
      <c r="I466" s="71"/>
      <c r="J466" s="71">
        <v>9</v>
      </c>
      <c r="K466" s="71">
        <v>2</v>
      </c>
      <c r="L466" s="1"/>
      <c r="M466" s="73">
        <f t="shared" si="58"/>
        <v>0</v>
      </c>
      <c r="N466" s="73">
        <f t="shared" si="59"/>
        <v>0</v>
      </c>
      <c r="O466" s="73">
        <f t="shared" si="60"/>
        <v>0</v>
      </c>
      <c r="P466" s="73">
        <f t="shared" si="61"/>
        <v>0</v>
      </c>
      <c r="Q466" s="73"/>
      <c r="R466" s="73">
        <v>0</v>
      </c>
      <c r="S466" s="75">
        <f t="shared" si="63"/>
        <v>0</v>
      </c>
      <c r="T466" s="77">
        <v>0</v>
      </c>
      <c r="U466" s="66">
        <v>40296</v>
      </c>
      <c r="V466" s="79"/>
      <c r="W466" s="66" t="s">
        <v>1585</v>
      </c>
      <c r="X466" s="24" t="s">
        <v>1586</v>
      </c>
      <c r="Y466" s="62"/>
      <c r="Z466" s="177" t="s">
        <v>894</v>
      </c>
      <c r="AA466" s="80" t="s">
        <v>1251</v>
      </c>
      <c r="AB466" s="3"/>
      <c r="AC466" s="4"/>
      <c r="AD466" s="5"/>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6"/>
      <c r="CE466" s="7"/>
      <c r="CF466" s="6"/>
      <c r="CG466" s="7"/>
      <c r="CH466" s="6"/>
      <c r="CI466" s="7"/>
      <c r="CJ466" s="8">
        <f t="shared" si="62"/>
        <v>0</v>
      </c>
      <c r="CK466" s="9"/>
      <c r="CL466" s="10"/>
      <c r="CM466" s="11"/>
      <c r="CN466" s="12"/>
      <c r="CO466" s="28"/>
      <c r="CP466" s="12"/>
      <c r="CQ466" s="9"/>
      <c r="CR466" s="10"/>
      <c r="CS466" s="68"/>
      <c r="EC466" s="344" t="str">
        <f t="shared" si="57"/>
        <v>TOLIMA_COYAIMA</v>
      </c>
      <c r="ED466" s="341"/>
      <c r="EE466" s="341" t="s">
        <v>3136</v>
      </c>
      <c r="EF466" s="349" t="s">
        <v>3137</v>
      </c>
      <c r="EG466" s="341" t="s">
        <v>3665</v>
      </c>
      <c r="EH466" s="341" t="s">
        <v>4787</v>
      </c>
      <c r="EI466" s="341" t="str">
        <f t="shared" si="56"/>
        <v>Cordoba_Momil</v>
      </c>
    </row>
    <row r="467" spans="1:139" ht="56.25">
      <c r="A467" s="228">
        <v>40296</v>
      </c>
      <c r="B467" s="102" t="s">
        <v>1088</v>
      </c>
      <c r="C467" s="102" t="s">
        <v>993</v>
      </c>
      <c r="D467" s="206" t="s">
        <v>1201</v>
      </c>
      <c r="E467" s="320" t="s">
        <v>4245</v>
      </c>
      <c r="F467" s="320"/>
      <c r="G467" s="210"/>
      <c r="H467" s="71"/>
      <c r="I467" s="71"/>
      <c r="J467" s="71">
        <v>750</v>
      </c>
      <c r="K467" s="71">
        <v>150</v>
      </c>
      <c r="L467" s="1"/>
      <c r="M467" s="73">
        <f t="shared" si="58"/>
        <v>0</v>
      </c>
      <c r="N467" s="73">
        <f t="shared" si="59"/>
        <v>0</v>
      </c>
      <c r="O467" s="73">
        <f t="shared" si="60"/>
        <v>0</v>
      </c>
      <c r="P467" s="73">
        <f t="shared" si="61"/>
        <v>0</v>
      </c>
      <c r="Q467" s="73"/>
      <c r="R467" s="73">
        <v>0</v>
      </c>
      <c r="S467" s="75">
        <f t="shared" si="63"/>
        <v>0</v>
      </c>
      <c r="T467" s="77">
        <v>0</v>
      </c>
      <c r="U467" s="66">
        <v>40297</v>
      </c>
      <c r="V467" s="79">
        <v>50268</v>
      </c>
      <c r="W467" s="66" t="s">
        <v>1606</v>
      </c>
      <c r="X467" s="24" t="s">
        <v>1624</v>
      </c>
      <c r="Y467" s="62"/>
      <c r="Z467" s="177" t="s">
        <v>1280</v>
      </c>
      <c r="AA467" s="80" t="s">
        <v>1443</v>
      </c>
      <c r="AB467" s="3"/>
      <c r="AC467" s="4"/>
      <c r="AD467" s="5"/>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6"/>
      <c r="CE467" s="7"/>
      <c r="CF467" s="6"/>
      <c r="CG467" s="7"/>
      <c r="CH467" s="6"/>
      <c r="CI467" s="7"/>
      <c r="CJ467" s="8">
        <f t="shared" si="62"/>
        <v>0</v>
      </c>
      <c r="CK467" s="9"/>
      <c r="CL467" s="10"/>
      <c r="CM467" s="11"/>
      <c r="CN467" s="12"/>
      <c r="CO467" s="28"/>
      <c r="CP467" s="12"/>
      <c r="CQ467" s="9"/>
      <c r="CR467" s="10"/>
      <c r="CS467" s="68"/>
      <c r="EC467" s="344" t="str">
        <f t="shared" si="57"/>
        <v>VALLE DEL CAUCA_JAMUNDI</v>
      </c>
      <c r="ED467" s="341"/>
      <c r="EE467" s="341" t="s">
        <v>3136</v>
      </c>
      <c r="EF467" s="349" t="s">
        <v>3137</v>
      </c>
      <c r="EG467" s="341" t="s">
        <v>3666</v>
      </c>
      <c r="EH467" s="341" t="s">
        <v>5395</v>
      </c>
      <c r="EI467" s="341" t="str">
        <f t="shared" si="56"/>
        <v>Cordoba_Montelibano</v>
      </c>
    </row>
    <row r="468" spans="1:139" ht="25.5">
      <c r="A468" s="228">
        <v>40297</v>
      </c>
      <c r="B468" s="102" t="s">
        <v>1551</v>
      </c>
      <c r="C468" s="102" t="s">
        <v>1061</v>
      </c>
      <c r="D468" s="206" t="s">
        <v>1201</v>
      </c>
      <c r="E468" s="320" t="s">
        <v>3371</v>
      </c>
      <c r="F468" s="320"/>
      <c r="G468" s="210"/>
      <c r="H468" s="71"/>
      <c r="I468" s="71"/>
      <c r="J468" s="71"/>
      <c r="K468" s="71"/>
      <c r="L468" s="1"/>
      <c r="M468" s="73">
        <f t="shared" si="58"/>
        <v>0</v>
      </c>
      <c r="N468" s="73">
        <f t="shared" si="59"/>
        <v>0</v>
      </c>
      <c r="O468" s="73">
        <f t="shared" si="60"/>
        <v>0</v>
      </c>
      <c r="P468" s="73">
        <f t="shared" si="61"/>
        <v>0</v>
      </c>
      <c r="Q468" s="73"/>
      <c r="R468" s="73">
        <v>0</v>
      </c>
      <c r="S468" s="75">
        <f t="shared" si="63"/>
        <v>0</v>
      </c>
      <c r="T468" s="77">
        <v>0</v>
      </c>
      <c r="U468" s="66">
        <v>40298</v>
      </c>
      <c r="V468" s="79"/>
      <c r="W468" s="66" t="s">
        <v>1585</v>
      </c>
      <c r="X468" s="24" t="s">
        <v>1586</v>
      </c>
      <c r="Y468" s="62"/>
      <c r="Z468" s="177" t="s">
        <v>894</v>
      </c>
      <c r="AA468" s="165" t="s">
        <v>1062</v>
      </c>
      <c r="AB468" s="3"/>
      <c r="AC468" s="4"/>
      <c r="AD468" s="5"/>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6"/>
      <c r="CE468" s="7"/>
      <c r="CF468" s="6"/>
      <c r="CG468" s="7"/>
      <c r="CH468" s="6"/>
      <c r="CI468" s="7"/>
      <c r="CJ468" s="8">
        <f t="shared" si="62"/>
        <v>0</v>
      </c>
      <c r="CK468" s="9"/>
      <c r="CL468" s="10"/>
      <c r="CM468" s="11"/>
      <c r="CN468" s="12"/>
      <c r="CO468" s="28"/>
      <c r="CP468" s="12"/>
      <c r="CQ468" s="9"/>
      <c r="CR468" s="10"/>
      <c r="CS468" s="68"/>
      <c r="CT468" s="22">
        <v>1026</v>
      </c>
      <c r="EC468" s="344" t="str">
        <f t="shared" si="57"/>
        <v>ATLANTICO_SOLEDAD</v>
      </c>
      <c r="ED468" s="341"/>
      <c r="EE468" s="341" t="s">
        <v>3136</v>
      </c>
      <c r="EF468" s="349" t="s">
        <v>3137</v>
      </c>
      <c r="EG468" s="341" t="s">
        <v>3667</v>
      </c>
      <c r="EH468" s="341" t="s">
        <v>4788</v>
      </c>
      <c r="EI468" s="341" t="str">
        <f t="shared" si="56"/>
        <v>Cordoba_Moñitos</v>
      </c>
    </row>
    <row r="469" spans="1:139" ht="38.25">
      <c r="A469" s="228">
        <v>40297.475694444445</v>
      </c>
      <c r="B469" s="205" t="s">
        <v>2298</v>
      </c>
      <c r="C469" s="205" t="s">
        <v>1610</v>
      </c>
      <c r="D469" s="207" t="s">
        <v>1878</v>
      </c>
      <c r="E469" s="323"/>
      <c r="F469" s="323"/>
      <c r="G469" s="204">
        <v>1</v>
      </c>
      <c r="H469" s="151">
        <v>9</v>
      </c>
      <c r="I469" s="151"/>
      <c r="J469" s="151">
        <v>373</v>
      </c>
      <c r="K469" s="409">
        <v>77</v>
      </c>
      <c r="L469" s="1"/>
      <c r="M469" s="73">
        <f t="shared" si="58"/>
        <v>0</v>
      </c>
      <c r="N469" s="73">
        <f t="shared" si="59"/>
        <v>0</v>
      </c>
      <c r="O469" s="73">
        <f t="shared" si="60"/>
        <v>0</v>
      </c>
      <c r="P469" s="73">
        <f t="shared" si="61"/>
        <v>0</v>
      </c>
      <c r="Q469" s="73"/>
      <c r="R469" s="73">
        <v>0</v>
      </c>
      <c r="S469" s="75">
        <f t="shared" si="63"/>
        <v>0</v>
      </c>
      <c r="T469" s="77">
        <v>0</v>
      </c>
      <c r="U469" s="296">
        <v>40624</v>
      </c>
      <c r="V469" s="297"/>
      <c r="W469" s="296" t="s">
        <v>1585</v>
      </c>
      <c r="X469" s="298" t="s">
        <v>1586</v>
      </c>
      <c r="Y469" s="299"/>
      <c r="Z469" s="300" t="s">
        <v>894</v>
      </c>
      <c r="AA469" s="414" t="s">
        <v>5405</v>
      </c>
      <c r="AB469" s="152"/>
      <c r="AC469" s="153"/>
      <c r="AD469" s="154"/>
      <c r="AE469" s="153"/>
      <c r="AF469" s="153"/>
      <c r="AG469" s="153"/>
      <c r="AH469" s="153"/>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c r="BI469" s="153"/>
      <c r="BJ469" s="153"/>
      <c r="BK469" s="153"/>
      <c r="BL469" s="153"/>
      <c r="BM469" s="153"/>
      <c r="BN469" s="153"/>
      <c r="BO469" s="153"/>
      <c r="BP469" s="153"/>
      <c r="BQ469" s="153"/>
      <c r="BR469" s="153"/>
      <c r="BS469" s="153"/>
      <c r="BT469" s="153"/>
      <c r="BU469" s="153"/>
      <c r="BV469" s="153"/>
      <c r="BW469" s="153"/>
      <c r="BX469" s="153"/>
      <c r="BY469" s="153"/>
      <c r="BZ469" s="153"/>
      <c r="CA469" s="153"/>
      <c r="CB469" s="153"/>
      <c r="CC469" s="153"/>
      <c r="CD469" s="155"/>
      <c r="CE469" s="156"/>
      <c r="CF469" s="155"/>
      <c r="CG469" s="156"/>
      <c r="CH469" s="155"/>
      <c r="CI469" s="156"/>
      <c r="CJ469" s="157">
        <f t="shared" si="62"/>
        <v>0</v>
      </c>
      <c r="CK469" s="158"/>
      <c r="CL469" s="159"/>
      <c r="CM469" s="160"/>
      <c r="CN469" s="161"/>
      <c r="CO469" s="162"/>
      <c r="CP469" s="161"/>
      <c r="CQ469" s="158"/>
      <c r="CR469" s="159"/>
      <c r="CS469" s="68"/>
      <c r="CT469" s="163"/>
      <c r="EC469" s="344" t="str">
        <f t="shared" si="57"/>
        <v>BOGOTA D.C._BOGOTA</v>
      </c>
      <c r="ED469" s="341"/>
      <c r="EE469" s="341" t="s">
        <v>3136</v>
      </c>
      <c r="EF469" s="349" t="s">
        <v>3137</v>
      </c>
      <c r="EG469" s="341" t="s">
        <v>3668</v>
      </c>
      <c r="EH469" s="341" t="s">
        <v>4789</v>
      </c>
      <c r="EI469" s="341" t="str">
        <f t="shared" si="56"/>
        <v>Cordoba_Planeta Rica</v>
      </c>
    </row>
    <row r="470" spans="1:139" ht="38.25">
      <c r="A470" s="228">
        <v>40298</v>
      </c>
      <c r="B470" s="102" t="s">
        <v>1551</v>
      </c>
      <c r="C470" s="102" t="s">
        <v>1590</v>
      </c>
      <c r="D470" s="206" t="s">
        <v>1201</v>
      </c>
      <c r="E470" s="320" t="s">
        <v>3352</v>
      </c>
      <c r="F470" s="320"/>
      <c r="G470" s="210"/>
      <c r="H470" s="71"/>
      <c r="I470" s="71"/>
      <c r="J470" s="71">
        <v>75</v>
      </c>
      <c r="K470" s="71">
        <v>15</v>
      </c>
      <c r="L470" s="1"/>
      <c r="M470" s="73">
        <f t="shared" si="58"/>
        <v>0</v>
      </c>
      <c r="N470" s="73">
        <f t="shared" si="59"/>
        <v>0</v>
      </c>
      <c r="O470" s="73">
        <f t="shared" si="60"/>
        <v>0</v>
      </c>
      <c r="P470" s="73">
        <f t="shared" si="61"/>
        <v>0</v>
      </c>
      <c r="Q470" s="73"/>
      <c r="R470" s="73">
        <v>0</v>
      </c>
      <c r="S470" s="75">
        <f t="shared" si="63"/>
        <v>0</v>
      </c>
      <c r="T470" s="77">
        <v>0</v>
      </c>
      <c r="U470" s="66">
        <v>40301</v>
      </c>
      <c r="V470" s="79"/>
      <c r="W470" s="66" t="s">
        <v>1585</v>
      </c>
      <c r="X470" s="24" t="s">
        <v>1586</v>
      </c>
      <c r="Y470" s="62"/>
      <c r="Z470" s="177" t="s">
        <v>894</v>
      </c>
      <c r="AA470" s="80" t="s">
        <v>2803</v>
      </c>
      <c r="AB470" s="3"/>
      <c r="AC470" s="4"/>
      <c r="AD470" s="5"/>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6"/>
      <c r="CE470" s="7"/>
      <c r="CF470" s="6"/>
      <c r="CG470" s="7"/>
      <c r="CH470" s="6"/>
      <c r="CI470" s="7"/>
      <c r="CJ470" s="8">
        <f t="shared" si="62"/>
        <v>0</v>
      </c>
      <c r="CK470" s="9"/>
      <c r="CL470" s="10"/>
      <c r="CM470" s="11"/>
      <c r="CN470" s="12"/>
      <c r="CO470" s="28"/>
      <c r="CP470" s="12"/>
      <c r="CQ470" s="9"/>
      <c r="CR470" s="10"/>
      <c r="CS470" s="68"/>
      <c r="EC470" s="344" t="str">
        <f t="shared" si="57"/>
        <v>ATLANTICO_BARRANQUILLA</v>
      </c>
      <c r="ED470" s="341"/>
      <c r="EE470" s="341" t="s">
        <v>3136</v>
      </c>
      <c r="EF470" s="349" t="s">
        <v>3137</v>
      </c>
      <c r="EG470" s="341" t="s">
        <v>3669</v>
      </c>
      <c r="EH470" s="341" t="s">
        <v>4790</v>
      </c>
      <c r="EI470" s="341" t="str">
        <f t="shared" si="56"/>
        <v>Cordoba_Pueblo Nuevo</v>
      </c>
    </row>
    <row r="471" spans="1:139" ht="84">
      <c r="A471" s="228">
        <v>40298</v>
      </c>
      <c r="B471" s="102" t="s">
        <v>2704</v>
      </c>
      <c r="C471" s="102" t="s">
        <v>2419</v>
      </c>
      <c r="D471" s="206" t="s">
        <v>1201</v>
      </c>
      <c r="E471" s="320" t="s">
        <v>3580</v>
      </c>
      <c r="F471" s="320"/>
      <c r="G471" s="210"/>
      <c r="H471" s="71"/>
      <c r="I471" s="71"/>
      <c r="J471" s="71">
        <f>113*5</f>
        <v>565</v>
      </c>
      <c r="K471" s="71">
        <f>120-7</f>
        <v>113</v>
      </c>
      <c r="L471" s="1">
        <v>40340</v>
      </c>
      <c r="M471" s="73">
        <f t="shared" si="58"/>
        <v>0</v>
      </c>
      <c r="N471" s="73">
        <f t="shared" si="59"/>
        <v>0</v>
      </c>
      <c r="O471" s="73">
        <f t="shared" si="60"/>
        <v>0</v>
      </c>
      <c r="P471" s="73">
        <f t="shared" si="61"/>
        <v>0</v>
      </c>
      <c r="Q471" s="73">
        <f>300*24940+12*40368+41*42804+36*93032+6*164720+600*18560</f>
        <v>25194852</v>
      </c>
      <c r="R471" s="73">
        <v>0</v>
      </c>
      <c r="S471" s="75">
        <f t="shared" si="63"/>
        <v>25194852</v>
      </c>
      <c r="T471" s="77">
        <v>0</v>
      </c>
      <c r="U471" s="66">
        <v>40312</v>
      </c>
      <c r="V471" s="79">
        <v>97541</v>
      </c>
      <c r="W471" s="66" t="s">
        <v>1606</v>
      </c>
      <c r="X471" s="24" t="s">
        <v>1607</v>
      </c>
      <c r="Y471" s="62">
        <v>154</v>
      </c>
      <c r="Z471" s="177" t="s">
        <v>2580</v>
      </c>
      <c r="AA471" s="80" t="s">
        <v>1907</v>
      </c>
      <c r="AB471" s="3"/>
      <c r="AC471" s="4"/>
      <c r="AD471" s="5"/>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6"/>
      <c r="CE471" s="7"/>
      <c r="CF471" s="6"/>
      <c r="CG471" s="7"/>
      <c r="CH471" s="6"/>
      <c r="CI471" s="7"/>
      <c r="CJ471" s="8">
        <f t="shared" si="62"/>
        <v>0</v>
      </c>
      <c r="CK471" s="9"/>
      <c r="CL471" s="10"/>
      <c r="CM471" s="11"/>
      <c r="CN471" s="12"/>
      <c r="CO471" s="28"/>
      <c r="CP471" s="12"/>
      <c r="CQ471" s="9"/>
      <c r="CR471" s="10"/>
      <c r="CS471" s="68"/>
      <c r="EC471" s="344" t="str">
        <f t="shared" si="57"/>
        <v>CAQUETA_PUERTO RICO</v>
      </c>
      <c r="ED471" s="341"/>
      <c r="EE471" s="341" t="s">
        <v>3136</v>
      </c>
      <c r="EF471" s="349" t="s">
        <v>3137</v>
      </c>
      <c r="EG471" s="341" t="s">
        <v>3670</v>
      </c>
      <c r="EH471" s="341" t="s">
        <v>4791</v>
      </c>
      <c r="EI471" s="341" t="str">
        <f t="shared" si="56"/>
        <v>Cordoba_Puerto Escondido</v>
      </c>
    </row>
    <row r="472" spans="1:139" ht="38.25">
      <c r="A472" s="228">
        <v>40298</v>
      </c>
      <c r="B472" s="102" t="s">
        <v>1604</v>
      </c>
      <c r="C472" s="102" t="s">
        <v>1008</v>
      </c>
      <c r="D472" s="206" t="s">
        <v>1201</v>
      </c>
      <c r="E472" s="320" t="s">
        <v>3734</v>
      </c>
      <c r="F472" s="320"/>
      <c r="G472" s="210"/>
      <c r="H472" s="71"/>
      <c r="I472" s="71"/>
      <c r="J472" s="71">
        <v>16</v>
      </c>
      <c r="K472" s="71">
        <v>2</v>
      </c>
      <c r="L472" s="1"/>
      <c r="M472" s="73">
        <f t="shared" si="58"/>
        <v>0</v>
      </c>
      <c r="N472" s="73">
        <f t="shared" si="59"/>
        <v>0</v>
      </c>
      <c r="O472" s="73">
        <f t="shared" si="60"/>
        <v>0</v>
      </c>
      <c r="P472" s="73">
        <f t="shared" si="61"/>
        <v>0</v>
      </c>
      <c r="Q472" s="73"/>
      <c r="R472" s="73">
        <v>0</v>
      </c>
      <c r="S472" s="75">
        <f t="shared" si="63"/>
        <v>0</v>
      </c>
      <c r="T472" s="77">
        <v>0</v>
      </c>
      <c r="U472" s="66">
        <v>40302</v>
      </c>
      <c r="V472" s="79"/>
      <c r="W472" s="66" t="s">
        <v>1585</v>
      </c>
      <c r="X472" s="24" t="s">
        <v>1586</v>
      </c>
      <c r="Y472" s="62"/>
      <c r="Z472" s="177" t="s">
        <v>894</v>
      </c>
      <c r="AA472" s="80" t="s">
        <v>1651</v>
      </c>
      <c r="AB472" s="3"/>
      <c r="AC472" s="4"/>
      <c r="AD472" s="5"/>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6"/>
      <c r="CE472" s="7"/>
      <c r="CF472" s="6"/>
      <c r="CG472" s="7"/>
      <c r="CH472" s="6"/>
      <c r="CI472" s="7"/>
      <c r="CJ472" s="8">
        <f t="shared" si="62"/>
        <v>0</v>
      </c>
      <c r="CK472" s="9"/>
      <c r="CL472" s="10"/>
      <c r="CM472" s="11"/>
      <c r="CN472" s="12"/>
      <c r="CO472" s="28"/>
      <c r="CP472" s="12"/>
      <c r="CQ472" s="9"/>
      <c r="CR472" s="10"/>
      <c r="CS472" s="68"/>
      <c r="EC472" s="344" t="str">
        <f t="shared" si="57"/>
        <v>CUNDINAMARCA_MEDINA</v>
      </c>
      <c r="ED472" s="341"/>
      <c r="EE472" s="341" t="s">
        <v>3136</v>
      </c>
      <c r="EF472" s="349" t="s">
        <v>3137</v>
      </c>
      <c r="EG472" s="341" t="s">
        <v>3671</v>
      </c>
      <c r="EH472" s="341" t="s">
        <v>4792</v>
      </c>
      <c r="EI472" s="341" t="str">
        <f t="shared" si="56"/>
        <v>Cordoba_Puerto Libertador</v>
      </c>
    </row>
    <row r="473" spans="1:139" ht="38.25">
      <c r="A473" s="228">
        <v>40298</v>
      </c>
      <c r="B473" s="102" t="s">
        <v>1824</v>
      </c>
      <c r="C473" s="102" t="s">
        <v>2801</v>
      </c>
      <c r="D473" s="206" t="s">
        <v>1923</v>
      </c>
      <c r="E473" s="320" t="s">
        <v>3974</v>
      </c>
      <c r="F473" s="320"/>
      <c r="G473" s="210"/>
      <c r="H473" s="71">
        <v>2</v>
      </c>
      <c r="I473" s="71"/>
      <c r="J473" s="71"/>
      <c r="K473" s="71"/>
      <c r="L473" s="1"/>
      <c r="M473" s="73">
        <f t="shared" si="58"/>
        <v>0</v>
      </c>
      <c r="N473" s="73">
        <f t="shared" si="59"/>
        <v>0</v>
      </c>
      <c r="O473" s="73">
        <f t="shared" si="60"/>
        <v>0</v>
      </c>
      <c r="P473" s="73">
        <f t="shared" si="61"/>
        <v>0</v>
      </c>
      <c r="Q473" s="73"/>
      <c r="R473" s="73">
        <v>0</v>
      </c>
      <c r="S473" s="75">
        <f t="shared" si="63"/>
        <v>0</v>
      </c>
      <c r="T473" s="77">
        <v>0</v>
      </c>
      <c r="U473" s="66">
        <v>40301</v>
      </c>
      <c r="V473" s="79"/>
      <c r="W473" s="66" t="s">
        <v>1585</v>
      </c>
      <c r="X473" s="24" t="s">
        <v>1586</v>
      </c>
      <c r="Y473" s="62"/>
      <c r="Z473" s="177" t="s">
        <v>894</v>
      </c>
      <c r="AA473" s="80" t="s">
        <v>2799</v>
      </c>
      <c r="AB473" s="3"/>
      <c r="AC473" s="4"/>
      <c r="AD473" s="5"/>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6"/>
      <c r="CE473" s="7"/>
      <c r="CF473" s="6"/>
      <c r="CG473" s="7"/>
      <c r="CH473" s="6"/>
      <c r="CI473" s="7"/>
      <c r="CJ473" s="8">
        <f t="shared" si="62"/>
        <v>0</v>
      </c>
      <c r="CK473" s="9"/>
      <c r="CL473" s="10"/>
      <c r="CM473" s="11"/>
      <c r="CN473" s="12"/>
      <c r="CO473" s="28"/>
      <c r="CP473" s="12"/>
      <c r="CQ473" s="9"/>
      <c r="CR473" s="10"/>
      <c r="CS473" s="68"/>
      <c r="EC473" s="344" t="str">
        <f t="shared" si="57"/>
        <v>NARIÑO_OLAYA HERRERA</v>
      </c>
      <c r="ED473" s="341"/>
      <c r="EE473" s="341" t="s">
        <v>3136</v>
      </c>
      <c r="EF473" s="349" t="s">
        <v>3137</v>
      </c>
      <c r="EG473" s="341" t="s">
        <v>3672</v>
      </c>
      <c r="EH473" s="341" t="s">
        <v>4793</v>
      </c>
      <c r="EI473" s="341" t="str">
        <f t="shared" si="56"/>
        <v>Cordoba_Purisima</v>
      </c>
    </row>
    <row r="474" spans="1:139" ht="38.25">
      <c r="A474" s="228">
        <v>40298</v>
      </c>
      <c r="B474" s="102" t="s">
        <v>1998</v>
      </c>
      <c r="C474" s="102" t="s">
        <v>2797</v>
      </c>
      <c r="D474" s="206" t="s">
        <v>1201</v>
      </c>
      <c r="E474" s="320" t="s">
        <v>4128</v>
      </c>
      <c r="F474" s="320"/>
      <c r="G474" s="265"/>
      <c r="H474" s="71"/>
      <c r="I474" s="71"/>
      <c r="J474" s="71">
        <v>140</v>
      </c>
      <c r="K474" s="71">
        <v>29</v>
      </c>
      <c r="L474" s="1"/>
      <c r="M474" s="73">
        <f t="shared" si="58"/>
        <v>0</v>
      </c>
      <c r="N474" s="73">
        <f t="shared" si="59"/>
        <v>0</v>
      </c>
      <c r="O474" s="73">
        <f t="shared" si="60"/>
        <v>0</v>
      </c>
      <c r="P474" s="73">
        <f t="shared" si="61"/>
        <v>0</v>
      </c>
      <c r="Q474" s="73"/>
      <c r="R474" s="73">
        <v>0</v>
      </c>
      <c r="S474" s="75">
        <f t="shared" si="63"/>
        <v>0</v>
      </c>
      <c r="T474" s="77">
        <v>0</v>
      </c>
      <c r="U474" s="66">
        <v>40301</v>
      </c>
      <c r="V474" s="79"/>
      <c r="W474" s="66" t="s">
        <v>1606</v>
      </c>
      <c r="X474" s="24" t="s">
        <v>1607</v>
      </c>
      <c r="Y474" s="62"/>
      <c r="Z474" s="198" t="s">
        <v>822</v>
      </c>
      <c r="AA474" s="80" t="s">
        <v>2798</v>
      </c>
      <c r="AB474" s="3"/>
      <c r="AC474" s="4"/>
      <c r="AD474" s="5"/>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6"/>
      <c r="CE474" s="7"/>
      <c r="CF474" s="6"/>
      <c r="CG474" s="7"/>
      <c r="CH474" s="6"/>
      <c r="CI474" s="7"/>
      <c r="CJ474" s="8">
        <f t="shared" si="62"/>
        <v>0</v>
      </c>
      <c r="CK474" s="9"/>
      <c r="CL474" s="10"/>
      <c r="CM474" s="11"/>
      <c r="CN474" s="12"/>
      <c r="CO474" s="28"/>
      <c r="CP474" s="12"/>
      <c r="CQ474" s="9"/>
      <c r="CR474" s="10"/>
      <c r="CS474" s="68"/>
      <c r="EC474" s="344" t="str">
        <f t="shared" si="57"/>
        <v>SANTANDER_PUERTO WILCHES</v>
      </c>
      <c r="ED474" s="341"/>
      <c r="EE474" s="341" t="s">
        <v>3136</v>
      </c>
      <c r="EF474" s="349" t="s">
        <v>3137</v>
      </c>
      <c r="EG474" s="341" t="s">
        <v>3673</v>
      </c>
      <c r="EH474" s="341" t="s">
        <v>4794</v>
      </c>
      <c r="EI474" s="341" t="str">
        <f t="shared" ref="EI474:EI531" si="64">EF474&amp;"_"&amp;EH474</f>
        <v>Cordoba_Sahagun</v>
      </c>
    </row>
    <row r="475" spans="1:139" ht="38.25">
      <c r="A475" s="228">
        <v>40299</v>
      </c>
      <c r="B475" s="102" t="s">
        <v>1551</v>
      </c>
      <c r="C475" s="102" t="s">
        <v>1590</v>
      </c>
      <c r="D475" s="206" t="s">
        <v>1201</v>
      </c>
      <c r="E475" s="320" t="s">
        <v>3352</v>
      </c>
      <c r="F475" s="320"/>
      <c r="G475" s="210"/>
      <c r="H475" s="71"/>
      <c r="I475" s="71"/>
      <c r="J475" s="71">
        <v>5</v>
      </c>
      <c r="K475" s="71">
        <v>1</v>
      </c>
      <c r="L475" s="1"/>
      <c r="M475" s="73">
        <f t="shared" si="58"/>
        <v>0</v>
      </c>
      <c r="N475" s="73">
        <f t="shared" si="59"/>
        <v>0</v>
      </c>
      <c r="O475" s="73">
        <f t="shared" si="60"/>
        <v>0</v>
      </c>
      <c r="P475" s="73">
        <f t="shared" si="61"/>
        <v>0</v>
      </c>
      <c r="Q475" s="73"/>
      <c r="R475" s="73">
        <v>0</v>
      </c>
      <c r="S475" s="75">
        <f t="shared" si="63"/>
        <v>0</v>
      </c>
      <c r="T475" s="77">
        <v>0</v>
      </c>
      <c r="U475" s="66">
        <v>40301</v>
      </c>
      <c r="V475" s="79"/>
      <c r="W475" s="66" t="s">
        <v>1585</v>
      </c>
      <c r="X475" s="24" t="s">
        <v>1586</v>
      </c>
      <c r="Y475" s="62"/>
      <c r="Z475" s="177" t="s">
        <v>894</v>
      </c>
      <c r="AA475" s="80" t="s">
        <v>2804</v>
      </c>
      <c r="AB475" s="3"/>
      <c r="AC475" s="4"/>
      <c r="AD475" s="5"/>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6"/>
      <c r="CE475" s="7"/>
      <c r="CF475" s="6"/>
      <c r="CG475" s="7"/>
      <c r="CH475" s="6"/>
      <c r="CI475" s="7"/>
      <c r="CJ475" s="8">
        <f t="shared" si="62"/>
        <v>0</v>
      </c>
      <c r="CK475" s="9"/>
      <c r="CL475" s="10"/>
      <c r="CM475" s="11"/>
      <c r="CN475" s="12"/>
      <c r="CO475" s="28"/>
      <c r="CP475" s="12"/>
      <c r="CQ475" s="9"/>
      <c r="CR475" s="10"/>
      <c r="CS475" s="68"/>
      <c r="EC475" s="344" t="str">
        <f t="shared" si="57"/>
        <v>ATLANTICO_BARRANQUILLA</v>
      </c>
      <c r="ED475" s="341"/>
      <c r="EE475" s="341" t="s">
        <v>3136</v>
      </c>
      <c r="EF475" s="349" t="s">
        <v>3137</v>
      </c>
      <c r="EG475" s="341" t="s">
        <v>3674</v>
      </c>
      <c r="EH475" s="341" t="s">
        <v>4795</v>
      </c>
      <c r="EI475" s="341" t="str">
        <f t="shared" si="64"/>
        <v>Cordoba_San Andres Sotavento</v>
      </c>
    </row>
    <row r="476" spans="1:139" ht="96">
      <c r="A476" s="228">
        <v>40299</v>
      </c>
      <c r="B476" s="102" t="s">
        <v>1996</v>
      </c>
      <c r="C476" s="102" t="s">
        <v>1997</v>
      </c>
      <c r="D476" s="206" t="s">
        <v>1244</v>
      </c>
      <c r="E476" s="320" t="s">
        <v>3798</v>
      </c>
      <c r="F476" s="320"/>
      <c r="G476" s="210"/>
      <c r="H476" s="71"/>
      <c r="I476" s="71"/>
      <c r="J476" s="71">
        <v>1925</v>
      </c>
      <c r="K476" s="71">
        <v>450</v>
      </c>
      <c r="L476" s="1">
        <v>40480</v>
      </c>
      <c r="M476" s="73">
        <f t="shared" si="58"/>
        <v>0</v>
      </c>
      <c r="N476" s="73">
        <f t="shared" si="59"/>
        <v>0</v>
      </c>
      <c r="O476" s="73">
        <f t="shared" si="60"/>
        <v>0</v>
      </c>
      <c r="P476" s="73">
        <f t="shared" si="61"/>
        <v>0</v>
      </c>
      <c r="Q476" s="73"/>
      <c r="R476" s="73">
        <v>35000000</v>
      </c>
      <c r="S476" s="75">
        <f t="shared" si="63"/>
        <v>35000000</v>
      </c>
      <c r="T476" s="77">
        <v>0</v>
      </c>
      <c r="U476" s="66">
        <v>40338</v>
      </c>
      <c r="V476" s="79">
        <v>98143</v>
      </c>
      <c r="W476" s="66" t="s">
        <v>1606</v>
      </c>
      <c r="X476" s="24" t="s">
        <v>1607</v>
      </c>
      <c r="Y476" s="62">
        <v>40495</v>
      </c>
      <c r="Z476" s="177" t="s">
        <v>2580</v>
      </c>
      <c r="AA476" s="92" t="s">
        <v>2461</v>
      </c>
      <c r="AB476" s="3"/>
      <c r="AC476" s="4"/>
      <c r="AD476" s="5"/>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6"/>
      <c r="CE476" s="7"/>
      <c r="CF476" s="6"/>
      <c r="CG476" s="7"/>
      <c r="CH476" s="6"/>
      <c r="CI476" s="7"/>
      <c r="CJ476" s="8">
        <f t="shared" si="62"/>
        <v>0</v>
      </c>
      <c r="CK476" s="9"/>
      <c r="CL476" s="10"/>
      <c r="CM476" s="11"/>
      <c r="CN476" s="12"/>
      <c r="CO476" s="28"/>
      <c r="CP476" s="12"/>
      <c r="CQ476" s="9"/>
      <c r="CR476" s="10"/>
      <c r="CS476" s="68" t="s">
        <v>2458</v>
      </c>
      <c r="EC476" s="344" t="str">
        <f t="shared" si="57"/>
        <v>CHOCO_BAHIA SOLANO</v>
      </c>
      <c r="ED476" s="341"/>
      <c r="EE476" s="341" t="s">
        <v>3136</v>
      </c>
      <c r="EF476" s="349" t="s">
        <v>3137</v>
      </c>
      <c r="EG476" s="341" t="s">
        <v>3675</v>
      </c>
      <c r="EH476" s="341" t="s">
        <v>4796</v>
      </c>
      <c r="EI476" s="341" t="str">
        <f t="shared" si="64"/>
        <v>Cordoba_San Antero</v>
      </c>
    </row>
    <row r="477" spans="1:139" ht="48">
      <c r="A477" s="228">
        <v>40299</v>
      </c>
      <c r="B477" s="222" t="s">
        <v>1996</v>
      </c>
      <c r="C477" s="222" t="s">
        <v>939</v>
      </c>
      <c r="D477" s="233" t="s">
        <v>1201</v>
      </c>
      <c r="E477" s="325" t="s">
        <v>3813</v>
      </c>
      <c r="F477" s="325"/>
      <c r="G477" s="204"/>
      <c r="H477" s="151"/>
      <c r="I477" s="151"/>
      <c r="J477" s="151"/>
      <c r="K477" s="151"/>
      <c r="L477" s="1">
        <v>40417</v>
      </c>
      <c r="M477" s="73">
        <f t="shared" si="58"/>
        <v>0</v>
      </c>
      <c r="N477" s="73">
        <f t="shared" si="59"/>
        <v>0</v>
      </c>
      <c r="O477" s="73">
        <f t="shared" si="60"/>
        <v>0</v>
      </c>
      <c r="P477" s="73">
        <f t="shared" si="61"/>
        <v>0</v>
      </c>
      <c r="Q477" s="73"/>
      <c r="R477" s="73">
        <v>57500000</v>
      </c>
      <c r="S477" s="75">
        <f t="shared" si="63"/>
        <v>57500000</v>
      </c>
      <c r="T477" s="77">
        <v>0</v>
      </c>
      <c r="U477" s="66">
        <v>40338</v>
      </c>
      <c r="V477" s="89" t="s">
        <v>347</v>
      </c>
      <c r="W477" s="66" t="s">
        <v>1606</v>
      </c>
      <c r="X477" s="24" t="s">
        <v>1607</v>
      </c>
      <c r="Y477" s="62"/>
      <c r="Z477" s="169" t="s">
        <v>2580</v>
      </c>
      <c r="AA477" s="170" t="s">
        <v>360</v>
      </c>
      <c r="AB477" s="152"/>
      <c r="AC477" s="153"/>
      <c r="AD477" s="154"/>
      <c r="AE477" s="153"/>
      <c r="AF477" s="153"/>
      <c r="AG477" s="153"/>
      <c r="AH477" s="153"/>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c r="BI477" s="153"/>
      <c r="BJ477" s="153"/>
      <c r="BK477" s="153"/>
      <c r="BL477" s="153"/>
      <c r="BM477" s="153"/>
      <c r="BN477" s="153"/>
      <c r="BO477" s="153"/>
      <c r="BP477" s="153"/>
      <c r="BQ477" s="153"/>
      <c r="BR477" s="153"/>
      <c r="BS477" s="153"/>
      <c r="BT477" s="153"/>
      <c r="BU477" s="153"/>
      <c r="BV477" s="153"/>
      <c r="BW477" s="153"/>
      <c r="BX477" s="153"/>
      <c r="BY477" s="153"/>
      <c r="BZ477" s="153"/>
      <c r="CA477" s="153"/>
      <c r="CB477" s="153"/>
      <c r="CC477" s="153"/>
      <c r="CD477" s="155"/>
      <c r="CE477" s="156"/>
      <c r="CF477" s="155"/>
      <c r="CG477" s="156"/>
      <c r="CH477" s="155"/>
      <c r="CI477" s="156"/>
      <c r="CJ477" s="157">
        <f t="shared" si="62"/>
        <v>0</v>
      </c>
      <c r="CK477" s="158"/>
      <c r="CL477" s="159"/>
      <c r="CM477" s="160"/>
      <c r="CN477" s="161"/>
      <c r="CO477" s="162"/>
      <c r="CP477" s="161"/>
      <c r="CQ477" s="158"/>
      <c r="CR477" s="159"/>
      <c r="CS477" s="68">
        <v>2</v>
      </c>
      <c r="CT477" s="163"/>
      <c r="EC477" s="344" t="str">
        <f t="shared" si="57"/>
        <v>CHOCO_NOVITA</v>
      </c>
      <c r="ED477" s="341"/>
      <c r="EE477" s="341" t="s">
        <v>3136</v>
      </c>
      <c r="EF477" s="349" t="s">
        <v>3137</v>
      </c>
      <c r="EG477" s="341" t="s">
        <v>3677</v>
      </c>
      <c r="EH477" s="341" t="s">
        <v>4458</v>
      </c>
      <c r="EI477" s="341" t="str">
        <f t="shared" si="64"/>
        <v>Cordoba_San Carlos</v>
      </c>
    </row>
    <row r="478" spans="1:139" ht="240">
      <c r="A478" s="228">
        <v>40299</v>
      </c>
      <c r="B478" s="102" t="s">
        <v>1996</v>
      </c>
      <c r="C478" s="102" t="s">
        <v>2800</v>
      </c>
      <c r="D478" s="206" t="s">
        <v>1316</v>
      </c>
      <c r="E478" s="320" t="s">
        <v>3817</v>
      </c>
      <c r="F478" s="320"/>
      <c r="G478" s="210"/>
      <c r="H478" s="71">
        <v>2</v>
      </c>
      <c r="I478" s="71"/>
      <c r="J478" s="71">
        <v>242</v>
      </c>
      <c r="K478" s="71">
        <v>64</v>
      </c>
      <c r="L478" s="1">
        <v>40312</v>
      </c>
      <c r="M478" s="73">
        <f t="shared" si="58"/>
        <v>13422780</v>
      </c>
      <c r="N478" s="73">
        <f t="shared" si="59"/>
        <v>30450000</v>
      </c>
      <c r="O478" s="73">
        <f t="shared" si="60"/>
        <v>0</v>
      </c>
      <c r="P478" s="73">
        <f t="shared" si="61"/>
        <v>0</v>
      </c>
      <c r="Q478" s="73"/>
      <c r="R478" s="73">
        <f>300000000+552805700+373213400</f>
        <v>1226019100</v>
      </c>
      <c r="S478" s="75">
        <f t="shared" si="63"/>
        <v>1269891880</v>
      </c>
      <c r="T478" s="77">
        <f>1500000000-300000000-43872780-552805700</f>
        <v>603321520</v>
      </c>
      <c r="U478" s="66">
        <v>40308</v>
      </c>
      <c r="V478" s="79">
        <v>97348</v>
      </c>
      <c r="W478" s="66" t="s">
        <v>1606</v>
      </c>
      <c r="X478" s="24" t="s">
        <v>1607</v>
      </c>
      <c r="Y478" s="83" t="s">
        <v>2944</v>
      </c>
      <c r="Z478" s="177" t="s">
        <v>945</v>
      </c>
      <c r="AA478" s="80" t="s">
        <v>2946</v>
      </c>
      <c r="AB478" s="3"/>
      <c r="AC478" s="4"/>
      <c r="AD478" s="5"/>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6">
        <v>180</v>
      </c>
      <c r="CE478" s="7">
        <f>180*36595</f>
        <v>6587100</v>
      </c>
      <c r="CF478" s="6">
        <v>180</v>
      </c>
      <c r="CG478" s="7">
        <f>180*37976</f>
        <v>6835680</v>
      </c>
      <c r="CH478" s="6"/>
      <c r="CI478" s="7"/>
      <c r="CJ478" s="8">
        <f t="shared" si="62"/>
        <v>13422780</v>
      </c>
      <c r="CK478" s="9"/>
      <c r="CL478" s="10"/>
      <c r="CM478" s="11">
        <v>350</v>
      </c>
      <c r="CN478" s="12">
        <f>350*87000</f>
        <v>30450000</v>
      </c>
      <c r="CO478" s="28"/>
      <c r="CP478" s="12"/>
      <c r="CQ478" s="9"/>
      <c r="CR478" s="10"/>
      <c r="CS478" s="84" t="s">
        <v>2945</v>
      </c>
      <c r="EC478" s="344" t="str">
        <f t="shared" si="57"/>
        <v>CHOCO_RIOSUCIO</v>
      </c>
      <c r="ED478" s="341"/>
      <c r="EE478" s="341" t="s">
        <v>3136</v>
      </c>
      <c r="EF478" s="349" t="s">
        <v>3137</v>
      </c>
      <c r="EG478" s="341" t="s">
        <v>4325</v>
      </c>
      <c r="EH478" s="341" t="s">
        <v>4797</v>
      </c>
      <c r="EI478" s="341" t="str">
        <f t="shared" si="64"/>
        <v>Cordoba_San Jose de Ure</v>
      </c>
    </row>
    <row r="479" spans="1:139" ht="38.25">
      <c r="A479" s="228">
        <v>40299</v>
      </c>
      <c r="B479" s="102" t="s">
        <v>1196</v>
      </c>
      <c r="C479" s="102" t="s">
        <v>3217</v>
      </c>
      <c r="D479" s="206" t="s">
        <v>1201</v>
      </c>
      <c r="E479" s="320" t="s">
        <v>4304</v>
      </c>
      <c r="F479" s="320"/>
      <c r="G479" s="210"/>
      <c r="H479" s="71"/>
      <c r="I479" s="71"/>
      <c r="J479" s="71">
        <v>125</v>
      </c>
      <c r="K479" s="71">
        <v>25</v>
      </c>
      <c r="L479" s="1"/>
      <c r="M479" s="73">
        <f t="shared" si="58"/>
        <v>0</v>
      </c>
      <c r="N479" s="73">
        <f t="shared" si="59"/>
        <v>0</v>
      </c>
      <c r="O479" s="73">
        <f t="shared" si="60"/>
        <v>0</v>
      </c>
      <c r="P479" s="73">
        <f t="shared" si="61"/>
        <v>0</v>
      </c>
      <c r="Q479" s="73"/>
      <c r="R479" s="73">
        <v>0</v>
      </c>
      <c r="S479" s="75">
        <f t="shared" si="63"/>
        <v>0</v>
      </c>
      <c r="T479" s="77">
        <v>0</v>
      </c>
      <c r="U479" s="66">
        <v>40301</v>
      </c>
      <c r="V479" s="79"/>
      <c r="W479" s="66" t="s">
        <v>1585</v>
      </c>
      <c r="X479" s="24" t="s">
        <v>1586</v>
      </c>
      <c r="Y479" s="62"/>
      <c r="Z479" s="177" t="s">
        <v>894</v>
      </c>
      <c r="AA479" s="80" t="s">
        <v>1016</v>
      </c>
      <c r="AB479" s="3"/>
      <c r="AC479" s="4"/>
      <c r="AD479" s="5"/>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6"/>
      <c r="CE479" s="7"/>
      <c r="CF479" s="6"/>
      <c r="CG479" s="7"/>
      <c r="CH479" s="6"/>
      <c r="CI479" s="7"/>
      <c r="CJ479" s="8">
        <f t="shared" si="62"/>
        <v>0</v>
      </c>
      <c r="CK479" s="9"/>
      <c r="CL479" s="10"/>
      <c r="CM479" s="11"/>
      <c r="CN479" s="12"/>
      <c r="CO479" s="28"/>
      <c r="CP479" s="12"/>
      <c r="CQ479" s="9"/>
      <c r="CR479" s="10"/>
      <c r="CS479" s="68"/>
      <c r="EC479" s="344" t="str">
        <f t="shared" si="57"/>
        <v>PUTUMAYO_VILLAGARZON</v>
      </c>
      <c r="ED479" s="341"/>
      <c r="EE479" s="341" t="s">
        <v>3136</v>
      </c>
      <c r="EF479" s="349" t="s">
        <v>3137</v>
      </c>
      <c r="EG479" s="341" t="s">
        <v>3678</v>
      </c>
      <c r="EH479" s="341" t="s">
        <v>4798</v>
      </c>
      <c r="EI479" s="341" t="str">
        <f t="shared" si="64"/>
        <v>Cordoba_San Pelayo</v>
      </c>
    </row>
    <row r="480" spans="1:139" ht="51">
      <c r="A480" s="228">
        <v>40299</v>
      </c>
      <c r="B480" s="205" t="s">
        <v>1609</v>
      </c>
      <c r="C480" s="205" t="s">
        <v>1708</v>
      </c>
      <c r="D480" s="207" t="s">
        <v>1878</v>
      </c>
      <c r="E480" s="323"/>
      <c r="F480" s="323"/>
      <c r="G480" s="204"/>
      <c r="H480" s="151"/>
      <c r="I480" s="151"/>
      <c r="J480" s="151">
        <v>136</v>
      </c>
      <c r="K480" s="151">
        <v>34</v>
      </c>
      <c r="L480" s="1"/>
      <c r="M480" s="73">
        <f t="shared" si="58"/>
        <v>0</v>
      </c>
      <c r="N480" s="73">
        <f t="shared" si="59"/>
        <v>0</v>
      </c>
      <c r="O480" s="73">
        <f t="shared" si="60"/>
        <v>0</v>
      </c>
      <c r="P480" s="73">
        <f t="shared" si="61"/>
        <v>0</v>
      </c>
      <c r="Q480" s="73"/>
      <c r="R480" s="73">
        <v>0</v>
      </c>
      <c r="S480" s="75">
        <f t="shared" si="63"/>
        <v>0</v>
      </c>
      <c r="T480" s="77">
        <v>0</v>
      </c>
      <c r="U480" s="66">
        <v>40624</v>
      </c>
      <c r="V480" s="79"/>
      <c r="W480" s="66" t="s">
        <v>1585</v>
      </c>
      <c r="X480" s="24" t="s">
        <v>1586</v>
      </c>
      <c r="Y480" s="62"/>
      <c r="Z480" s="169" t="s">
        <v>894</v>
      </c>
      <c r="AA480" s="166" t="s">
        <v>155</v>
      </c>
      <c r="AB480" s="152"/>
      <c r="AC480" s="153"/>
      <c r="AD480" s="154"/>
      <c r="AE480" s="153"/>
      <c r="AF480" s="153"/>
      <c r="AG480" s="153"/>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c r="BI480" s="153"/>
      <c r="BJ480" s="153"/>
      <c r="BK480" s="153"/>
      <c r="BL480" s="153"/>
      <c r="BM480" s="153"/>
      <c r="BN480" s="153"/>
      <c r="BO480" s="153"/>
      <c r="BP480" s="153"/>
      <c r="BQ480" s="153"/>
      <c r="BR480" s="153"/>
      <c r="BS480" s="153"/>
      <c r="BT480" s="153"/>
      <c r="BU480" s="153"/>
      <c r="BV480" s="153"/>
      <c r="BW480" s="153"/>
      <c r="BX480" s="153"/>
      <c r="BY480" s="153"/>
      <c r="BZ480" s="153"/>
      <c r="CA480" s="153"/>
      <c r="CB480" s="153"/>
      <c r="CC480" s="153"/>
      <c r="CD480" s="155"/>
      <c r="CE480" s="156"/>
      <c r="CF480" s="155"/>
      <c r="CG480" s="156"/>
      <c r="CH480" s="155"/>
      <c r="CI480" s="156"/>
      <c r="CJ480" s="157">
        <f t="shared" si="62"/>
        <v>0</v>
      </c>
      <c r="CK480" s="158"/>
      <c r="CL480" s="159"/>
      <c r="CM480" s="160"/>
      <c r="CN480" s="161"/>
      <c r="CO480" s="162"/>
      <c r="CP480" s="161"/>
      <c r="CQ480" s="158"/>
      <c r="CR480" s="159"/>
      <c r="CS480" s="68"/>
      <c r="CT480" s="163"/>
      <c r="EC480" s="344" t="str">
        <f t="shared" si="57"/>
        <v>RISARALDA_SANTA ROSA DE CABAL</v>
      </c>
      <c r="ED480" s="341"/>
      <c r="EE480" s="341" t="s">
        <v>3136</v>
      </c>
      <c r="EF480" s="349" t="s">
        <v>3137</v>
      </c>
      <c r="EG480" s="341" t="s">
        <v>3679</v>
      </c>
      <c r="EH480" s="341" t="s">
        <v>4799</v>
      </c>
      <c r="EI480" s="341" t="str">
        <f t="shared" si="64"/>
        <v>Cordoba_Tierralta</v>
      </c>
    </row>
    <row r="481" spans="1:139" ht="38.25">
      <c r="A481" s="228">
        <v>40300</v>
      </c>
      <c r="B481" s="102" t="s">
        <v>1551</v>
      </c>
      <c r="C481" s="102" t="s">
        <v>1590</v>
      </c>
      <c r="D481" s="206" t="s">
        <v>1878</v>
      </c>
      <c r="E481" s="320" t="s">
        <v>3352</v>
      </c>
      <c r="F481" s="320"/>
      <c r="G481" s="210"/>
      <c r="H481" s="71"/>
      <c r="I481" s="71"/>
      <c r="J481" s="71">
        <v>5</v>
      </c>
      <c r="K481" s="71">
        <v>1</v>
      </c>
      <c r="L481" s="1"/>
      <c r="M481" s="73">
        <f t="shared" si="58"/>
        <v>0</v>
      </c>
      <c r="N481" s="73">
        <f t="shared" si="59"/>
        <v>0</v>
      </c>
      <c r="O481" s="73">
        <f t="shared" si="60"/>
        <v>0</v>
      </c>
      <c r="P481" s="73">
        <f t="shared" si="61"/>
        <v>0</v>
      </c>
      <c r="Q481" s="73"/>
      <c r="R481" s="73">
        <v>0</v>
      </c>
      <c r="S481" s="75">
        <f t="shared" si="63"/>
        <v>0</v>
      </c>
      <c r="T481" s="77">
        <v>0</v>
      </c>
      <c r="U481" s="66">
        <v>40301</v>
      </c>
      <c r="V481" s="79"/>
      <c r="W481" s="66" t="s">
        <v>1585</v>
      </c>
      <c r="X481" s="24" t="s">
        <v>1586</v>
      </c>
      <c r="Y481" s="62"/>
      <c r="Z481" s="177" t="s">
        <v>894</v>
      </c>
      <c r="AA481" s="80" t="s">
        <v>2805</v>
      </c>
      <c r="AB481" s="3"/>
      <c r="AC481" s="4"/>
      <c r="AD481" s="5"/>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6"/>
      <c r="CE481" s="7"/>
      <c r="CF481" s="6"/>
      <c r="CG481" s="7"/>
      <c r="CH481" s="6"/>
      <c r="CI481" s="7"/>
      <c r="CJ481" s="8">
        <f t="shared" si="62"/>
        <v>0</v>
      </c>
      <c r="CK481" s="9"/>
      <c r="CL481" s="10"/>
      <c r="CM481" s="11"/>
      <c r="CN481" s="12"/>
      <c r="CO481" s="28"/>
      <c r="CP481" s="12"/>
      <c r="CQ481" s="9"/>
      <c r="CR481" s="10"/>
      <c r="CS481" s="68"/>
      <c r="EC481" s="344" t="str">
        <f t="shared" si="57"/>
        <v>ATLANTICO_BARRANQUILLA</v>
      </c>
      <c r="ED481" s="341"/>
      <c r="EE481" s="341" t="s">
        <v>3136</v>
      </c>
      <c r="EF481" s="349" t="s">
        <v>3137</v>
      </c>
      <c r="EG481" s="341" t="s">
        <v>4324</v>
      </c>
      <c r="EH481" s="341" t="s">
        <v>4800</v>
      </c>
      <c r="EI481" s="341" t="str">
        <f t="shared" si="64"/>
        <v>Cordoba_Tuchin</v>
      </c>
    </row>
    <row r="482" spans="1:139" ht="60">
      <c r="A482" s="228">
        <v>40300</v>
      </c>
      <c r="B482" s="102" t="s">
        <v>1192</v>
      </c>
      <c r="C482" s="102" t="s">
        <v>1004</v>
      </c>
      <c r="D482" s="206" t="s">
        <v>1201</v>
      </c>
      <c r="E482" s="320" t="s">
        <v>3421</v>
      </c>
      <c r="F482" s="320"/>
      <c r="G482" s="210"/>
      <c r="H482" s="71"/>
      <c r="I482" s="71"/>
      <c r="J482" s="71">
        <v>125</v>
      </c>
      <c r="K482" s="71">
        <v>25</v>
      </c>
      <c r="L482" s="1"/>
      <c r="M482" s="73">
        <f t="shared" si="58"/>
        <v>0</v>
      </c>
      <c r="N482" s="73">
        <f t="shared" si="59"/>
        <v>0</v>
      </c>
      <c r="O482" s="73">
        <f t="shared" si="60"/>
        <v>0</v>
      </c>
      <c r="P482" s="73">
        <f t="shared" si="61"/>
        <v>0</v>
      </c>
      <c r="Q482" s="73"/>
      <c r="R482" s="73">
        <v>0</v>
      </c>
      <c r="S482" s="75">
        <f t="shared" si="63"/>
        <v>0</v>
      </c>
      <c r="T482" s="77">
        <v>0</v>
      </c>
      <c r="U482" s="66">
        <v>40301</v>
      </c>
      <c r="V482" s="79"/>
      <c r="W482" s="66" t="s">
        <v>1585</v>
      </c>
      <c r="X482" s="24" t="s">
        <v>1586</v>
      </c>
      <c r="Y482" s="62"/>
      <c r="Z482" s="177" t="s">
        <v>894</v>
      </c>
      <c r="AA482" s="80" t="s">
        <v>2802</v>
      </c>
      <c r="AB482" s="3"/>
      <c r="AC482" s="4"/>
      <c r="AD482" s="5"/>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6"/>
      <c r="CE482" s="7"/>
      <c r="CF482" s="6"/>
      <c r="CG482" s="7"/>
      <c r="CH482" s="6"/>
      <c r="CI482" s="7"/>
      <c r="CJ482" s="8">
        <f t="shared" si="62"/>
        <v>0</v>
      </c>
      <c r="CK482" s="9"/>
      <c r="CL482" s="10"/>
      <c r="CM482" s="11"/>
      <c r="CN482" s="12"/>
      <c r="CO482" s="28"/>
      <c r="CP482" s="12"/>
      <c r="CQ482" s="9"/>
      <c r="CR482" s="10"/>
      <c r="CS482" s="68"/>
      <c r="EC482" s="344" t="str">
        <f t="shared" si="57"/>
        <v>BOYACA_TUNJA</v>
      </c>
      <c r="ED482" s="341"/>
      <c r="EE482" s="341" t="s">
        <v>3136</v>
      </c>
      <c r="EF482" s="349" t="s">
        <v>3137</v>
      </c>
      <c r="EG482" s="341" t="s">
        <v>3680</v>
      </c>
      <c r="EH482" s="341" t="s">
        <v>4801</v>
      </c>
      <c r="EI482" s="341" t="str">
        <f t="shared" si="64"/>
        <v>Cordoba_Valencia</v>
      </c>
    </row>
    <row r="483" spans="1:139" ht="60">
      <c r="A483" s="228">
        <v>40300</v>
      </c>
      <c r="B483" s="102" t="s">
        <v>1604</v>
      </c>
      <c r="C483" s="102" t="s">
        <v>1009</v>
      </c>
      <c r="D483" s="206" t="s">
        <v>1201</v>
      </c>
      <c r="E483" s="320" t="s">
        <v>3709</v>
      </c>
      <c r="F483" s="320"/>
      <c r="G483" s="210"/>
      <c r="H483" s="71"/>
      <c r="I483" s="71"/>
      <c r="J483" s="71">
        <v>55</v>
      </c>
      <c r="K483" s="71">
        <v>11</v>
      </c>
      <c r="L483" s="1"/>
      <c r="M483" s="73">
        <f t="shared" si="58"/>
        <v>0</v>
      </c>
      <c r="N483" s="73">
        <f t="shared" si="59"/>
        <v>0</v>
      </c>
      <c r="O483" s="73">
        <f t="shared" si="60"/>
        <v>0</v>
      </c>
      <c r="P483" s="73">
        <f t="shared" si="61"/>
        <v>0</v>
      </c>
      <c r="Q483" s="73"/>
      <c r="R483" s="73">
        <v>0</v>
      </c>
      <c r="S483" s="75">
        <f t="shared" si="63"/>
        <v>0</v>
      </c>
      <c r="T483" s="77">
        <v>0</v>
      </c>
      <c r="U483" s="66">
        <v>40302</v>
      </c>
      <c r="V483" s="79"/>
      <c r="W483" s="66" t="s">
        <v>1585</v>
      </c>
      <c r="X483" s="24" t="s">
        <v>1586</v>
      </c>
      <c r="Y483" s="62"/>
      <c r="Z483" s="177" t="s">
        <v>894</v>
      </c>
      <c r="AA483" s="80" t="s">
        <v>1010</v>
      </c>
      <c r="AB483" s="3"/>
      <c r="AC483" s="4"/>
      <c r="AD483" s="5"/>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6"/>
      <c r="CE483" s="7"/>
      <c r="CF483" s="6"/>
      <c r="CG483" s="7"/>
      <c r="CH483" s="6"/>
      <c r="CI483" s="7"/>
      <c r="CJ483" s="8">
        <f t="shared" si="62"/>
        <v>0</v>
      </c>
      <c r="CK483" s="9"/>
      <c r="CL483" s="10"/>
      <c r="CM483" s="11"/>
      <c r="CN483" s="12"/>
      <c r="CO483" s="28"/>
      <c r="CP483" s="12"/>
      <c r="CQ483" s="9"/>
      <c r="CR483" s="10"/>
      <c r="CS483" s="68"/>
      <c r="EC483" s="344" t="str">
        <f t="shared" si="57"/>
        <v>CUNDINAMARCA_FUSAGASUGA</v>
      </c>
      <c r="ED483" s="341"/>
      <c r="EE483" s="341" t="s">
        <v>3139</v>
      </c>
      <c r="EF483" s="349" t="s">
        <v>4802</v>
      </c>
      <c r="EG483" s="341" t="s">
        <v>3681</v>
      </c>
      <c r="EH483" s="341" t="s">
        <v>4803</v>
      </c>
      <c r="EI483" s="341" t="str">
        <f t="shared" si="64"/>
        <v>Cundinamarca_Agua de Dios</v>
      </c>
    </row>
    <row r="484" spans="1:139" ht="48">
      <c r="A484" s="228">
        <v>40300</v>
      </c>
      <c r="B484" s="102" t="s">
        <v>962</v>
      </c>
      <c r="C484" s="102" t="s">
        <v>2296</v>
      </c>
      <c r="D484" s="206" t="s">
        <v>2606</v>
      </c>
      <c r="E484" s="320" t="s">
        <v>3834</v>
      </c>
      <c r="F484" s="320"/>
      <c r="G484" s="210"/>
      <c r="H484" s="71"/>
      <c r="I484" s="71"/>
      <c r="J484" s="71"/>
      <c r="K484" s="71"/>
      <c r="L484" s="1"/>
      <c r="M484" s="73">
        <f t="shared" si="58"/>
        <v>0</v>
      </c>
      <c r="N484" s="73">
        <f t="shared" si="59"/>
        <v>0</v>
      </c>
      <c r="O484" s="73">
        <f t="shared" si="60"/>
        <v>0</v>
      </c>
      <c r="P484" s="73">
        <f t="shared" si="61"/>
        <v>0</v>
      </c>
      <c r="Q484" s="73"/>
      <c r="R484" s="73">
        <v>0</v>
      </c>
      <c r="S484" s="75">
        <f t="shared" si="63"/>
        <v>0</v>
      </c>
      <c r="T484" s="77">
        <v>0</v>
      </c>
      <c r="U484" s="66">
        <v>40301</v>
      </c>
      <c r="V484" s="79"/>
      <c r="W484" s="66" t="s">
        <v>1585</v>
      </c>
      <c r="X484" s="24" t="s">
        <v>1586</v>
      </c>
      <c r="Y484" s="62"/>
      <c r="Z484" s="177" t="s">
        <v>894</v>
      </c>
      <c r="AA484" s="80" t="s">
        <v>2806</v>
      </c>
      <c r="AB484" s="3"/>
      <c r="AC484" s="4"/>
      <c r="AD484" s="5"/>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6"/>
      <c r="CE484" s="7"/>
      <c r="CF484" s="6"/>
      <c r="CG484" s="7"/>
      <c r="CH484" s="6"/>
      <c r="CI484" s="7"/>
      <c r="CJ484" s="8">
        <f t="shared" si="62"/>
        <v>0</v>
      </c>
      <c r="CK484" s="9"/>
      <c r="CL484" s="10"/>
      <c r="CM484" s="11"/>
      <c r="CN484" s="12"/>
      <c r="CO484" s="28"/>
      <c r="CP484" s="12"/>
      <c r="CQ484" s="9"/>
      <c r="CR484" s="10"/>
      <c r="CS484" s="68"/>
      <c r="EC484" s="344" t="str">
        <f t="shared" si="57"/>
        <v>HUILA_GIGANTE</v>
      </c>
      <c r="ED484" s="341"/>
      <c r="EE484" s="341" t="s">
        <v>3139</v>
      </c>
      <c r="EF484" s="349" t="s">
        <v>4802</v>
      </c>
      <c r="EG484" s="341" t="s">
        <v>3682</v>
      </c>
      <c r="EH484" s="341" t="s">
        <v>4804</v>
      </c>
      <c r="EI484" s="341" t="str">
        <f t="shared" si="64"/>
        <v>Cundinamarca_Alban</v>
      </c>
    </row>
    <row r="485" spans="1:139" ht="38.25">
      <c r="A485" s="228">
        <v>40300</v>
      </c>
      <c r="B485" s="102" t="s">
        <v>1088</v>
      </c>
      <c r="C485" s="102" t="s">
        <v>3205</v>
      </c>
      <c r="D485" s="206" t="s">
        <v>1201</v>
      </c>
      <c r="E485" s="320" t="s">
        <v>4234</v>
      </c>
      <c r="F485" s="320"/>
      <c r="G485" s="210"/>
      <c r="H485" s="71"/>
      <c r="I485" s="71"/>
      <c r="J485" s="71">
        <v>15</v>
      </c>
      <c r="K485" s="71">
        <v>3</v>
      </c>
      <c r="L485" s="1"/>
      <c r="M485" s="73">
        <f t="shared" si="58"/>
        <v>0</v>
      </c>
      <c r="N485" s="73">
        <f t="shared" si="59"/>
        <v>0</v>
      </c>
      <c r="O485" s="73">
        <f t="shared" si="60"/>
        <v>0</v>
      </c>
      <c r="P485" s="73">
        <f t="shared" si="61"/>
        <v>0</v>
      </c>
      <c r="Q485" s="73"/>
      <c r="R485" s="73">
        <v>0</v>
      </c>
      <c r="S485" s="75">
        <f t="shared" si="63"/>
        <v>0</v>
      </c>
      <c r="T485" s="77">
        <v>0</v>
      </c>
      <c r="U485" s="66">
        <v>40301</v>
      </c>
      <c r="V485" s="79"/>
      <c r="W485" s="66" t="s">
        <v>1585</v>
      </c>
      <c r="X485" s="24" t="s">
        <v>1586</v>
      </c>
      <c r="Y485" s="62"/>
      <c r="Z485" s="177" t="s">
        <v>894</v>
      </c>
      <c r="AA485" s="80" t="s">
        <v>902</v>
      </c>
      <c r="AB485" s="3"/>
      <c r="AC485" s="4"/>
      <c r="AD485" s="5"/>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6"/>
      <c r="CE485" s="7"/>
      <c r="CF485" s="6"/>
      <c r="CG485" s="7"/>
      <c r="CH485" s="6"/>
      <c r="CI485" s="7"/>
      <c r="CJ485" s="8">
        <f t="shared" si="62"/>
        <v>0</v>
      </c>
      <c r="CK485" s="9"/>
      <c r="CL485" s="10"/>
      <c r="CM485" s="11"/>
      <c r="CN485" s="12"/>
      <c r="CO485" s="28"/>
      <c r="CP485" s="12"/>
      <c r="CQ485" s="9"/>
      <c r="CR485" s="10"/>
      <c r="CS485" s="68"/>
      <c r="EC485" s="344" t="str">
        <f t="shared" si="57"/>
        <v>VALLE DEL CAUCA_CALIMA</v>
      </c>
      <c r="ED485" s="341"/>
      <c r="EE485" s="341" t="s">
        <v>3139</v>
      </c>
      <c r="EF485" s="349" t="s">
        <v>4802</v>
      </c>
      <c r="EG485" s="341" t="s">
        <v>3683</v>
      </c>
      <c r="EH485" s="341" t="s">
        <v>4805</v>
      </c>
      <c r="EI485" s="341" t="str">
        <f t="shared" si="64"/>
        <v>Cundinamarca_Anapoima</v>
      </c>
    </row>
    <row r="486" spans="1:139" ht="38.25">
      <c r="A486" s="228">
        <v>40300</v>
      </c>
      <c r="B486" s="102" t="s">
        <v>1088</v>
      </c>
      <c r="C486" s="102" t="s">
        <v>1227</v>
      </c>
      <c r="D486" s="206" t="s">
        <v>1878</v>
      </c>
      <c r="E486" s="320" t="s">
        <v>4238</v>
      </c>
      <c r="F486" s="320"/>
      <c r="G486" s="210"/>
      <c r="H486" s="71"/>
      <c r="I486" s="71"/>
      <c r="J486" s="71"/>
      <c r="K486" s="71"/>
      <c r="L486" s="1"/>
      <c r="M486" s="73">
        <f t="shared" si="58"/>
        <v>0</v>
      </c>
      <c r="N486" s="73">
        <f t="shared" si="59"/>
        <v>0</v>
      </c>
      <c r="O486" s="73">
        <f t="shared" si="60"/>
        <v>0</v>
      </c>
      <c r="P486" s="73">
        <f t="shared" si="61"/>
        <v>0</v>
      </c>
      <c r="Q486" s="73"/>
      <c r="R486" s="73">
        <v>0</v>
      </c>
      <c r="S486" s="75">
        <f t="shared" si="63"/>
        <v>0</v>
      </c>
      <c r="T486" s="77">
        <v>0</v>
      </c>
      <c r="U486" s="66">
        <v>40301</v>
      </c>
      <c r="V486" s="79"/>
      <c r="W486" s="66" t="s">
        <v>1585</v>
      </c>
      <c r="X486" s="24" t="s">
        <v>1586</v>
      </c>
      <c r="Y486" s="62"/>
      <c r="Z486" s="177" t="s">
        <v>894</v>
      </c>
      <c r="AA486" s="80" t="s">
        <v>1228</v>
      </c>
      <c r="AB486" s="3"/>
      <c r="AC486" s="4"/>
      <c r="AD486" s="5"/>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6"/>
      <c r="CE486" s="7"/>
      <c r="CF486" s="6"/>
      <c r="CG486" s="7"/>
      <c r="CH486" s="6"/>
      <c r="CI486" s="7"/>
      <c r="CJ486" s="8">
        <f t="shared" si="62"/>
        <v>0</v>
      </c>
      <c r="CK486" s="9"/>
      <c r="CL486" s="10"/>
      <c r="CM486" s="11"/>
      <c r="CN486" s="12"/>
      <c r="CO486" s="28"/>
      <c r="CP486" s="12"/>
      <c r="CQ486" s="9"/>
      <c r="CR486" s="10"/>
      <c r="CS486" s="68"/>
      <c r="EC486" s="344" t="str">
        <f t="shared" si="57"/>
        <v>VALLE DEL CAUCA_EL AGUILA</v>
      </c>
      <c r="ED486" s="341"/>
      <c r="EE486" s="341" t="s">
        <v>3139</v>
      </c>
      <c r="EF486" s="349" t="s">
        <v>4802</v>
      </c>
      <c r="EG486" s="341" t="s">
        <v>3684</v>
      </c>
      <c r="EH486" s="341" t="s">
        <v>4806</v>
      </c>
      <c r="EI486" s="341" t="str">
        <f t="shared" si="64"/>
        <v>Cundinamarca_Arbelaez</v>
      </c>
    </row>
    <row r="487" spans="1:139" ht="38.25">
      <c r="A487" s="228">
        <v>40300</v>
      </c>
      <c r="B487" s="102" t="s">
        <v>1088</v>
      </c>
      <c r="C487" s="102" t="s">
        <v>1751</v>
      </c>
      <c r="D487" s="206" t="s">
        <v>1201</v>
      </c>
      <c r="E487" s="320" t="s">
        <v>4265</v>
      </c>
      <c r="F487" s="320"/>
      <c r="G487" s="210"/>
      <c r="H487" s="71"/>
      <c r="I487" s="71"/>
      <c r="J487" s="71">
        <v>35</v>
      </c>
      <c r="K487" s="71">
        <v>7</v>
      </c>
      <c r="L487" s="1"/>
      <c r="M487" s="73">
        <f t="shared" si="58"/>
        <v>0</v>
      </c>
      <c r="N487" s="73">
        <f t="shared" si="59"/>
        <v>0</v>
      </c>
      <c r="O487" s="73">
        <f t="shared" si="60"/>
        <v>0</v>
      </c>
      <c r="P487" s="73">
        <f t="shared" si="61"/>
        <v>0</v>
      </c>
      <c r="Q487" s="73"/>
      <c r="R487" s="73">
        <v>0</v>
      </c>
      <c r="S487" s="75">
        <f t="shared" si="63"/>
        <v>0</v>
      </c>
      <c r="T487" s="77">
        <v>0</v>
      </c>
      <c r="U487" s="66">
        <v>40301</v>
      </c>
      <c r="V487" s="79"/>
      <c r="W487" s="66" t="s">
        <v>1585</v>
      </c>
      <c r="X487" s="24" t="s">
        <v>1586</v>
      </c>
      <c r="Y487" s="62"/>
      <c r="Z487" s="177" t="s">
        <v>894</v>
      </c>
      <c r="AA487" s="80" t="s">
        <v>1226</v>
      </c>
      <c r="AB487" s="3"/>
      <c r="AC487" s="4"/>
      <c r="AD487" s="5"/>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6"/>
      <c r="CE487" s="7"/>
      <c r="CF487" s="6"/>
      <c r="CG487" s="7"/>
      <c r="CH487" s="6"/>
      <c r="CI487" s="7"/>
      <c r="CJ487" s="8">
        <f t="shared" si="62"/>
        <v>0</v>
      </c>
      <c r="CK487" s="9"/>
      <c r="CL487" s="10"/>
      <c r="CM487" s="11"/>
      <c r="CN487" s="12"/>
      <c r="CO487" s="28"/>
      <c r="CP487" s="12"/>
      <c r="CQ487" s="9"/>
      <c r="CR487" s="10"/>
      <c r="CS487" s="68"/>
      <c r="EC487" s="344" t="str">
        <f t="shared" si="57"/>
        <v>VALLE DEL CAUCA_ZARZAL</v>
      </c>
      <c r="ED487" s="341"/>
      <c r="EE487" s="341" t="s">
        <v>3139</v>
      </c>
      <c r="EF487" s="349" t="s">
        <v>4802</v>
      </c>
      <c r="EG487" s="341" t="s">
        <v>3685</v>
      </c>
      <c r="EH487" s="341" t="s">
        <v>4807</v>
      </c>
      <c r="EI487" s="341" t="str">
        <f t="shared" si="64"/>
        <v>Cundinamarca_Beltran</v>
      </c>
    </row>
    <row r="488" spans="1:139" ht="38.25">
      <c r="A488" s="235">
        <v>40301</v>
      </c>
      <c r="B488" s="224" t="s">
        <v>1972</v>
      </c>
      <c r="C488" s="224" t="s">
        <v>933</v>
      </c>
      <c r="D488" s="236" t="s">
        <v>1594</v>
      </c>
      <c r="E488" s="324" t="s">
        <v>3324</v>
      </c>
      <c r="F488" s="324"/>
      <c r="G488" s="210">
        <v>3</v>
      </c>
      <c r="H488" s="71">
        <v>63</v>
      </c>
      <c r="I488" s="71"/>
      <c r="J488" s="71"/>
      <c r="K488" s="71"/>
      <c r="L488" s="1"/>
      <c r="M488" s="73">
        <f t="shared" si="58"/>
        <v>0</v>
      </c>
      <c r="N488" s="73">
        <f t="shared" si="59"/>
        <v>0</v>
      </c>
      <c r="O488" s="73">
        <f t="shared" si="60"/>
        <v>0</v>
      </c>
      <c r="P488" s="73">
        <f t="shared" si="61"/>
        <v>0</v>
      </c>
      <c r="Q488" s="73"/>
      <c r="R488" s="73">
        <v>0</v>
      </c>
      <c r="S488" s="75">
        <f t="shared" si="63"/>
        <v>0</v>
      </c>
      <c r="T488" s="77">
        <v>0</v>
      </c>
      <c r="U488" s="66">
        <v>40302</v>
      </c>
      <c r="V488" s="79"/>
      <c r="W488" s="66" t="s">
        <v>1585</v>
      </c>
      <c r="X488" s="24" t="s">
        <v>1586</v>
      </c>
      <c r="Y488" s="62"/>
      <c r="Z488" s="177" t="s">
        <v>894</v>
      </c>
      <c r="AA488" s="80" t="s">
        <v>934</v>
      </c>
      <c r="AB488" s="3"/>
      <c r="AC488" s="4"/>
      <c r="AD488" s="5"/>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6"/>
      <c r="CE488" s="7"/>
      <c r="CF488" s="6"/>
      <c r="CG488" s="7"/>
      <c r="CH488" s="6"/>
      <c r="CI488" s="7"/>
      <c r="CJ488" s="8">
        <f t="shared" si="62"/>
        <v>0</v>
      </c>
      <c r="CK488" s="9"/>
      <c r="CL488" s="10"/>
      <c r="CM488" s="11"/>
      <c r="CN488" s="12"/>
      <c r="CO488" s="28"/>
      <c r="CP488" s="12"/>
      <c r="CQ488" s="9"/>
      <c r="CR488" s="10"/>
      <c r="CS488" s="68"/>
      <c r="EC488" s="344" t="str">
        <f t="shared" si="57"/>
        <v>ANTIOQUIA_SAN RAFAEL</v>
      </c>
      <c r="ED488" s="341"/>
      <c r="EE488" s="341" t="s">
        <v>3139</v>
      </c>
      <c r="EF488" s="349" t="s">
        <v>4802</v>
      </c>
      <c r="EG488" s="341" t="s">
        <v>3686</v>
      </c>
      <c r="EH488" s="341" t="s">
        <v>4808</v>
      </c>
      <c r="EI488" s="341" t="str">
        <f t="shared" si="64"/>
        <v>Cundinamarca_Bituima</v>
      </c>
    </row>
    <row r="489" spans="1:139" ht="72">
      <c r="A489" s="235">
        <v>40301</v>
      </c>
      <c r="B489" s="224" t="s">
        <v>1972</v>
      </c>
      <c r="C489" s="224" t="s">
        <v>2041</v>
      </c>
      <c r="D489" s="236" t="s">
        <v>1201</v>
      </c>
      <c r="E489" s="324" t="s">
        <v>3351</v>
      </c>
      <c r="F489" s="324"/>
      <c r="G489" s="210"/>
      <c r="H489" s="71"/>
      <c r="I489" s="71"/>
      <c r="J489" s="71">
        <f>1848-1500</f>
        <v>348</v>
      </c>
      <c r="K489" s="71">
        <v>51</v>
      </c>
      <c r="L489" s="1"/>
      <c r="M489" s="73">
        <f t="shared" si="58"/>
        <v>0</v>
      </c>
      <c r="N489" s="73">
        <f t="shared" si="59"/>
        <v>0</v>
      </c>
      <c r="O489" s="73">
        <f t="shared" si="60"/>
        <v>0</v>
      </c>
      <c r="P489" s="73">
        <f t="shared" si="61"/>
        <v>0</v>
      </c>
      <c r="Q489" s="73"/>
      <c r="R489" s="73">
        <v>0</v>
      </c>
      <c r="S489" s="75">
        <f t="shared" si="63"/>
        <v>0</v>
      </c>
      <c r="T489" s="77">
        <v>0</v>
      </c>
      <c r="U489" s="66">
        <v>40302</v>
      </c>
      <c r="V489" s="79"/>
      <c r="W489" s="66" t="s">
        <v>1585</v>
      </c>
      <c r="X489" s="24" t="s">
        <v>1586</v>
      </c>
      <c r="Y489" s="62"/>
      <c r="Z489" s="177" t="s">
        <v>894</v>
      </c>
      <c r="AA489" s="80" t="s">
        <v>2382</v>
      </c>
      <c r="AB489" s="3"/>
      <c r="AC489" s="4"/>
      <c r="AD489" s="5"/>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6"/>
      <c r="CE489" s="7"/>
      <c r="CF489" s="6"/>
      <c r="CG489" s="7"/>
      <c r="CH489" s="6"/>
      <c r="CI489" s="7"/>
      <c r="CJ489" s="8">
        <f t="shared" si="62"/>
        <v>0</v>
      </c>
      <c r="CK489" s="9"/>
      <c r="CL489" s="10"/>
      <c r="CM489" s="11"/>
      <c r="CN489" s="12"/>
      <c r="CO489" s="28"/>
      <c r="CP489" s="12"/>
      <c r="CQ489" s="9"/>
      <c r="CR489" s="10"/>
      <c r="CS489" s="68"/>
      <c r="EC489" s="344" t="str">
        <f t="shared" si="57"/>
        <v>ANTIOQUIA_ZARAGOZA</v>
      </c>
      <c r="ED489" s="341"/>
      <c r="EE489" s="341" t="s">
        <v>3139</v>
      </c>
      <c r="EF489" s="349" t="s">
        <v>4802</v>
      </c>
      <c r="EG489" s="341" t="s">
        <v>3687</v>
      </c>
      <c r="EH489" s="341" t="s">
        <v>4809</v>
      </c>
      <c r="EI489" s="341" t="str">
        <f t="shared" si="64"/>
        <v>Cundinamarca_Bojaca</v>
      </c>
    </row>
    <row r="490" spans="1:139" ht="60">
      <c r="A490" s="228">
        <v>40301</v>
      </c>
      <c r="B490" s="102" t="s">
        <v>1551</v>
      </c>
      <c r="C490" s="102" t="s">
        <v>1605</v>
      </c>
      <c r="D490" s="206" t="s">
        <v>1201</v>
      </c>
      <c r="E490" s="320" t="s">
        <v>3110</v>
      </c>
      <c r="F490" s="320"/>
      <c r="G490" s="210"/>
      <c r="H490" s="71"/>
      <c r="I490" s="71"/>
      <c r="J490" s="71"/>
      <c r="K490" s="71"/>
      <c r="L490" s="1">
        <v>40339</v>
      </c>
      <c r="M490" s="73">
        <f t="shared" si="58"/>
        <v>0</v>
      </c>
      <c r="N490" s="73">
        <f t="shared" si="59"/>
        <v>0</v>
      </c>
      <c r="O490" s="73">
        <f t="shared" si="60"/>
        <v>0</v>
      </c>
      <c r="P490" s="73">
        <f t="shared" si="61"/>
        <v>45124000</v>
      </c>
      <c r="Q490" s="73">
        <f>200000*522+20000*174</f>
        <v>107880000</v>
      </c>
      <c r="R490" s="73">
        <v>0</v>
      </c>
      <c r="S490" s="75">
        <f t="shared" si="63"/>
        <v>153004000</v>
      </c>
      <c r="T490" s="77">
        <v>0</v>
      </c>
      <c r="U490" s="66">
        <v>40301</v>
      </c>
      <c r="V490" s="79">
        <v>97211</v>
      </c>
      <c r="W490" s="66" t="s">
        <v>1606</v>
      </c>
      <c r="X490" s="24" t="s">
        <v>1607</v>
      </c>
      <c r="Y490" s="83" t="s">
        <v>314</v>
      </c>
      <c r="Z490" s="177" t="s">
        <v>2580</v>
      </c>
      <c r="AA490" s="80" t="s">
        <v>2603</v>
      </c>
      <c r="AB490" s="3"/>
      <c r="AC490" s="4"/>
      <c r="AD490" s="5"/>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6"/>
      <c r="CE490" s="7"/>
      <c r="CF490" s="6"/>
      <c r="CG490" s="7"/>
      <c r="CH490" s="6"/>
      <c r="CI490" s="7"/>
      <c r="CJ490" s="8">
        <f t="shared" si="62"/>
        <v>0</v>
      </c>
      <c r="CK490" s="9">
        <v>50000</v>
      </c>
      <c r="CL490" s="10">
        <f>50000*902.48</f>
        <v>45124000</v>
      </c>
      <c r="CM490" s="11"/>
      <c r="CN490" s="12"/>
      <c r="CO490" s="28"/>
      <c r="CP490" s="12"/>
      <c r="CQ490" s="9"/>
      <c r="CR490" s="10"/>
      <c r="CS490" s="68"/>
      <c r="EC490" s="344" t="str">
        <f t="shared" si="57"/>
        <v>ATLANTICO_DEPARTAMENTO</v>
      </c>
      <c r="ED490" s="341"/>
      <c r="EE490" s="341" t="s">
        <v>3139</v>
      </c>
      <c r="EF490" s="349" t="s">
        <v>4802</v>
      </c>
      <c r="EG490" s="341" t="s">
        <v>3688</v>
      </c>
      <c r="EH490" s="341" t="s">
        <v>4810</v>
      </c>
      <c r="EI490" s="341" t="str">
        <f t="shared" si="64"/>
        <v>Cundinamarca_Cabrera</v>
      </c>
    </row>
    <row r="491" spans="1:139" ht="96">
      <c r="A491" s="228">
        <v>40301</v>
      </c>
      <c r="B491" s="102" t="s">
        <v>396</v>
      </c>
      <c r="C491" s="102" t="s">
        <v>1332</v>
      </c>
      <c r="D491" s="206" t="s">
        <v>1244</v>
      </c>
      <c r="E491" s="320" t="s">
        <v>3922</v>
      </c>
      <c r="F491" s="320"/>
      <c r="G491" s="210"/>
      <c r="H491" s="71"/>
      <c r="I491" s="71"/>
      <c r="J491" s="71"/>
      <c r="K491" s="71"/>
      <c r="L491" s="1">
        <v>40344</v>
      </c>
      <c r="M491" s="73">
        <f t="shared" si="58"/>
        <v>0</v>
      </c>
      <c r="N491" s="73">
        <f t="shared" si="59"/>
        <v>0</v>
      </c>
      <c r="O491" s="73">
        <f t="shared" si="60"/>
        <v>0</v>
      </c>
      <c r="P491" s="73">
        <f t="shared" si="61"/>
        <v>0</v>
      </c>
      <c r="Q491" s="73"/>
      <c r="R491" s="73">
        <v>110000000</v>
      </c>
      <c r="S491" s="75">
        <f t="shared" si="63"/>
        <v>110000000</v>
      </c>
      <c r="T491" s="77">
        <v>0</v>
      </c>
      <c r="U491" s="66">
        <v>40333</v>
      </c>
      <c r="V491" s="79">
        <v>98078</v>
      </c>
      <c r="W491" s="66" t="s">
        <v>1606</v>
      </c>
      <c r="X491" s="24" t="s">
        <v>1607</v>
      </c>
      <c r="Y491" s="62">
        <v>309</v>
      </c>
      <c r="Z491" s="177" t="s">
        <v>505</v>
      </c>
      <c r="AA491" s="92" t="s">
        <v>1591</v>
      </c>
      <c r="AB491" s="3"/>
      <c r="AC491" s="4"/>
      <c r="AD491" s="5"/>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6"/>
      <c r="CE491" s="7"/>
      <c r="CF491" s="6"/>
      <c r="CG491" s="7"/>
      <c r="CH491" s="6"/>
      <c r="CI491" s="7"/>
      <c r="CJ491" s="8">
        <f t="shared" si="62"/>
        <v>0</v>
      </c>
      <c r="CK491" s="9"/>
      <c r="CL491" s="10"/>
      <c r="CM491" s="11"/>
      <c r="CN491" s="12"/>
      <c r="CO491" s="28"/>
      <c r="CP491" s="12"/>
      <c r="CQ491" s="9"/>
      <c r="CR491" s="10"/>
      <c r="CS491" s="68">
        <v>4</v>
      </c>
      <c r="CT491" s="22">
        <v>1108</v>
      </c>
      <c r="EC491" s="344" t="str">
        <f t="shared" si="57"/>
        <v>META_LEJANIAS</v>
      </c>
      <c r="ED491" s="341"/>
      <c r="EE491" s="341" t="s">
        <v>3139</v>
      </c>
      <c r="EF491" s="349" t="s">
        <v>4802</v>
      </c>
      <c r="EG491" s="341" t="s">
        <v>3689</v>
      </c>
      <c r="EH491" s="341" t="s">
        <v>4811</v>
      </c>
      <c r="EI491" s="341" t="str">
        <f t="shared" si="64"/>
        <v>Cundinamarca_Cachipay</v>
      </c>
    </row>
    <row r="492" spans="1:139" ht="63.75">
      <c r="A492" s="228">
        <v>40301</v>
      </c>
      <c r="B492" s="102" t="s">
        <v>1824</v>
      </c>
      <c r="C492" s="102" t="s">
        <v>3175</v>
      </c>
      <c r="D492" s="206" t="s">
        <v>1201</v>
      </c>
      <c r="E492" s="320" t="s">
        <v>3995</v>
      </c>
      <c r="F492" s="320"/>
      <c r="G492" s="210"/>
      <c r="H492" s="71"/>
      <c r="I492" s="71"/>
      <c r="J492" s="71">
        <v>150</v>
      </c>
      <c r="K492" s="71">
        <v>30</v>
      </c>
      <c r="L492" s="1"/>
      <c r="M492" s="73">
        <f t="shared" si="58"/>
        <v>0</v>
      </c>
      <c r="N492" s="73">
        <f t="shared" si="59"/>
        <v>0</v>
      </c>
      <c r="O492" s="73">
        <f t="shared" si="60"/>
        <v>0</v>
      </c>
      <c r="P492" s="73">
        <f t="shared" si="61"/>
        <v>0</v>
      </c>
      <c r="Q492" s="73"/>
      <c r="R492" s="73">
        <v>0</v>
      </c>
      <c r="S492" s="75">
        <f t="shared" si="63"/>
        <v>0</v>
      </c>
      <c r="T492" s="77">
        <v>0</v>
      </c>
      <c r="U492" s="66">
        <v>40301</v>
      </c>
      <c r="V492" s="79"/>
      <c r="W492" s="66" t="s">
        <v>1585</v>
      </c>
      <c r="X492" s="24" t="s">
        <v>1586</v>
      </c>
      <c r="Y492" s="62"/>
      <c r="Z492" s="177" t="s">
        <v>894</v>
      </c>
      <c r="AA492" s="80" t="s">
        <v>1007</v>
      </c>
      <c r="AB492" s="3"/>
      <c r="AC492" s="4"/>
      <c r="AD492" s="5"/>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6"/>
      <c r="CE492" s="7"/>
      <c r="CF492" s="6"/>
      <c r="CG492" s="7"/>
      <c r="CH492" s="6"/>
      <c r="CI492" s="7"/>
      <c r="CJ492" s="8">
        <f t="shared" si="62"/>
        <v>0</v>
      </c>
      <c r="CK492" s="9"/>
      <c r="CL492" s="10"/>
      <c r="CM492" s="11"/>
      <c r="CN492" s="12"/>
      <c r="CO492" s="28"/>
      <c r="CP492" s="12"/>
      <c r="CQ492" s="9"/>
      <c r="CR492" s="10"/>
      <c r="CS492" s="68"/>
      <c r="EC492" s="344" t="str">
        <f t="shared" si="57"/>
        <v>NARIÑO_SAN ANDRES DE TUMACO</v>
      </c>
      <c r="ED492" s="341"/>
      <c r="EE492" s="341" t="s">
        <v>3139</v>
      </c>
      <c r="EF492" s="349" t="s">
        <v>4802</v>
      </c>
      <c r="EG492" s="341" t="s">
        <v>3690</v>
      </c>
      <c r="EH492" s="341" t="s">
        <v>4812</v>
      </c>
      <c r="EI492" s="341" t="str">
        <f t="shared" si="64"/>
        <v>Cundinamarca_Cajica</v>
      </c>
    </row>
    <row r="493" spans="1:139" ht="38.25">
      <c r="A493" s="228">
        <v>40301</v>
      </c>
      <c r="B493" s="102" t="s">
        <v>2400</v>
      </c>
      <c r="C493" s="102" t="s">
        <v>2051</v>
      </c>
      <c r="D493" s="206" t="s">
        <v>1201</v>
      </c>
      <c r="E493" s="320" t="s">
        <v>4183</v>
      </c>
      <c r="F493" s="320"/>
      <c r="G493" s="210"/>
      <c r="H493" s="71"/>
      <c r="I493" s="71"/>
      <c r="J493" s="71">
        <v>240</v>
      </c>
      <c r="K493" s="71">
        <v>60</v>
      </c>
      <c r="L493" s="1"/>
      <c r="M493" s="73">
        <f t="shared" si="58"/>
        <v>0</v>
      </c>
      <c r="N493" s="73">
        <f t="shared" si="59"/>
        <v>0</v>
      </c>
      <c r="O493" s="73">
        <f t="shared" si="60"/>
        <v>0</v>
      </c>
      <c r="P493" s="73">
        <f t="shared" si="61"/>
        <v>0</v>
      </c>
      <c r="Q493" s="73"/>
      <c r="R493" s="73">
        <v>0</v>
      </c>
      <c r="S493" s="75">
        <f t="shared" si="63"/>
        <v>0</v>
      </c>
      <c r="T493" s="77">
        <v>0</v>
      </c>
      <c r="U493" s="66">
        <v>40301</v>
      </c>
      <c r="V493" s="79"/>
      <c r="W493" s="66" t="s">
        <v>1585</v>
      </c>
      <c r="X493" s="24" t="s">
        <v>1586</v>
      </c>
      <c r="Y493" s="62"/>
      <c r="Z493" s="177" t="s">
        <v>894</v>
      </c>
      <c r="AA493" s="80" t="s">
        <v>509</v>
      </c>
      <c r="AB493" s="3"/>
      <c r="AC493" s="4"/>
      <c r="AD493" s="5"/>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6"/>
      <c r="CE493" s="7"/>
      <c r="CF493" s="6"/>
      <c r="CG493" s="7"/>
      <c r="CH493" s="6"/>
      <c r="CI493" s="7"/>
      <c r="CJ493" s="8">
        <f t="shared" si="62"/>
        <v>0</v>
      </c>
      <c r="CK493" s="9"/>
      <c r="CL493" s="10"/>
      <c r="CM493" s="11"/>
      <c r="CN493" s="12"/>
      <c r="CO493" s="28"/>
      <c r="CP493" s="12"/>
      <c r="CQ493" s="9"/>
      <c r="CR493" s="10"/>
      <c r="CS493" s="68"/>
      <c r="CT493" s="22">
        <v>1030</v>
      </c>
      <c r="EC493" s="344" t="str">
        <f t="shared" si="57"/>
        <v>TOLIMA_ATACO</v>
      </c>
      <c r="ED493" s="341"/>
      <c r="EE493" s="341" t="s">
        <v>3139</v>
      </c>
      <c r="EF493" s="349" t="s">
        <v>4802</v>
      </c>
      <c r="EG493" s="341" t="s">
        <v>3691</v>
      </c>
      <c r="EH493" s="341" t="s">
        <v>4813</v>
      </c>
      <c r="EI493" s="341" t="str">
        <f t="shared" si="64"/>
        <v>Cundinamarca_Caparrapi</v>
      </c>
    </row>
    <row r="494" spans="1:139" ht="38.25">
      <c r="A494" s="228">
        <v>40301</v>
      </c>
      <c r="B494" s="102" t="s">
        <v>1088</v>
      </c>
      <c r="C494" s="102" t="s">
        <v>1536</v>
      </c>
      <c r="D494" s="206" t="s">
        <v>1201</v>
      </c>
      <c r="E494" s="320" t="s">
        <v>4258</v>
      </c>
      <c r="F494" s="320"/>
      <c r="G494" s="210"/>
      <c r="H494" s="71"/>
      <c r="I494" s="71"/>
      <c r="J494" s="71">
        <v>20</v>
      </c>
      <c r="K494" s="71">
        <v>4</v>
      </c>
      <c r="L494" s="1"/>
      <c r="M494" s="73">
        <f t="shared" si="58"/>
        <v>0</v>
      </c>
      <c r="N494" s="73">
        <f t="shared" si="59"/>
        <v>0</v>
      </c>
      <c r="O494" s="73">
        <f t="shared" si="60"/>
        <v>0</v>
      </c>
      <c r="P494" s="73">
        <f t="shared" si="61"/>
        <v>0</v>
      </c>
      <c r="Q494" s="73"/>
      <c r="R494" s="73">
        <v>0</v>
      </c>
      <c r="S494" s="75">
        <f t="shared" si="63"/>
        <v>0</v>
      </c>
      <c r="T494" s="77">
        <v>0</v>
      </c>
      <c r="U494" s="66">
        <v>40302</v>
      </c>
      <c r="V494" s="79"/>
      <c r="W494" s="66" t="s">
        <v>1585</v>
      </c>
      <c r="X494" s="24" t="s">
        <v>1586</v>
      </c>
      <c r="Y494" s="62"/>
      <c r="Z494" s="177" t="s">
        <v>894</v>
      </c>
      <c r="AA494" s="80" t="s">
        <v>1537</v>
      </c>
      <c r="AB494" s="3"/>
      <c r="AC494" s="4"/>
      <c r="AD494" s="5"/>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6"/>
      <c r="CE494" s="7"/>
      <c r="CF494" s="6"/>
      <c r="CG494" s="7"/>
      <c r="CH494" s="6"/>
      <c r="CI494" s="7"/>
      <c r="CJ494" s="8">
        <f t="shared" si="62"/>
        <v>0</v>
      </c>
      <c r="CK494" s="9"/>
      <c r="CL494" s="10"/>
      <c r="CM494" s="11"/>
      <c r="CN494" s="12"/>
      <c r="CO494" s="28"/>
      <c r="CP494" s="12"/>
      <c r="CQ494" s="9"/>
      <c r="CR494" s="10"/>
      <c r="CS494" s="68"/>
      <c r="EC494" s="344" t="str">
        <f t="shared" si="57"/>
        <v>VALLE DEL CAUCA_TRUJILLO</v>
      </c>
      <c r="ED494" s="341"/>
      <c r="EE494" s="341" t="s">
        <v>3139</v>
      </c>
      <c r="EF494" s="349" t="s">
        <v>4802</v>
      </c>
      <c r="EG494" s="341" t="s">
        <v>3692</v>
      </c>
      <c r="EH494" s="341" t="s">
        <v>4814</v>
      </c>
      <c r="EI494" s="341" t="str">
        <f t="shared" si="64"/>
        <v>Cundinamarca_Caqueza</v>
      </c>
    </row>
    <row r="495" spans="1:139" ht="38.25">
      <c r="A495" s="228">
        <v>40301.326388888891</v>
      </c>
      <c r="B495" s="205" t="s">
        <v>2298</v>
      </c>
      <c r="C495" s="205" t="s">
        <v>1610</v>
      </c>
      <c r="D495" s="207" t="s">
        <v>1878</v>
      </c>
      <c r="E495" s="323"/>
      <c r="F495" s="323"/>
      <c r="G495" s="204"/>
      <c r="H495" s="151"/>
      <c r="I495" s="151"/>
      <c r="J495" s="151">
        <v>1015</v>
      </c>
      <c r="K495" s="409">
        <v>214</v>
      </c>
      <c r="L495" s="1"/>
      <c r="M495" s="73">
        <f t="shared" si="58"/>
        <v>0</v>
      </c>
      <c r="N495" s="73">
        <f t="shared" si="59"/>
        <v>0</v>
      </c>
      <c r="O495" s="73">
        <f t="shared" si="60"/>
        <v>0</v>
      </c>
      <c r="P495" s="73">
        <f t="shared" si="61"/>
        <v>0</v>
      </c>
      <c r="Q495" s="73"/>
      <c r="R495" s="73">
        <v>0</v>
      </c>
      <c r="S495" s="75">
        <f t="shared" si="63"/>
        <v>0</v>
      </c>
      <c r="T495" s="77">
        <v>0</v>
      </c>
      <c r="U495" s="296">
        <v>40624</v>
      </c>
      <c r="V495" s="297"/>
      <c r="W495" s="296" t="s">
        <v>1585</v>
      </c>
      <c r="X495" s="298" t="s">
        <v>1586</v>
      </c>
      <c r="Y495" s="299"/>
      <c r="Z495" s="300" t="s">
        <v>894</v>
      </c>
      <c r="AA495" s="414" t="s">
        <v>5405</v>
      </c>
      <c r="AB495" s="152"/>
      <c r="AC495" s="153"/>
      <c r="AD495" s="154"/>
      <c r="AE495" s="153"/>
      <c r="AF495" s="153"/>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c r="BI495" s="153"/>
      <c r="BJ495" s="153"/>
      <c r="BK495" s="153"/>
      <c r="BL495" s="153"/>
      <c r="BM495" s="153"/>
      <c r="BN495" s="153"/>
      <c r="BO495" s="153"/>
      <c r="BP495" s="153"/>
      <c r="BQ495" s="153"/>
      <c r="BR495" s="153"/>
      <c r="BS495" s="153"/>
      <c r="BT495" s="153"/>
      <c r="BU495" s="153"/>
      <c r="BV495" s="153"/>
      <c r="BW495" s="153"/>
      <c r="BX495" s="153"/>
      <c r="BY495" s="153"/>
      <c r="BZ495" s="153"/>
      <c r="CA495" s="153"/>
      <c r="CB495" s="153"/>
      <c r="CC495" s="153"/>
      <c r="CD495" s="155"/>
      <c r="CE495" s="156"/>
      <c r="CF495" s="155"/>
      <c r="CG495" s="156"/>
      <c r="CH495" s="155"/>
      <c r="CI495" s="156"/>
      <c r="CJ495" s="157">
        <f t="shared" si="62"/>
        <v>0</v>
      </c>
      <c r="CK495" s="158"/>
      <c r="CL495" s="159"/>
      <c r="CM495" s="160"/>
      <c r="CN495" s="161"/>
      <c r="CO495" s="162"/>
      <c r="CP495" s="161"/>
      <c r="CQ495" s="158"/>
      <c r="CR495" s="159"/>
      <c r="CS495" s="68"/>
      <c r="CT495" s="163"/>
      <c r="EC495" s="344" t="str">
        <f t="shared" si="57"/>
        <v>BOGOTA D.C._BOGOTA</v>
      </c>
      <c r="ED495" s="341"/>
      <c r="EE495" s="341" t="s">
        <v>3139</v>
      </c>
      <c r="EF495" s="349" t="s">
        <v>4802</v>
      </c>
      <c r="EG495" s="341" t="s">
        <v>3693</v>
      </c>
      <c r="EH495" s="341" t="s">
        <v>4815</v>
      </c>
      <c r="EI495" s="341" t="str">
        <f t="shared" si="64"/>
        <v>Cundinamarca_Carmen de Carupa</v>
      </c>
    </row>
    <row r="496" spans="1:139" ht="45">
      <c r="A496" s="228">
        <v>40302</v>
      </c>
      <c r="B496" s="102" t="s">
        <v>1314</v>
      </c>
      <c r="C496" s="102" t="s">
        <v>2003</v>
      </c>
      <c r="D496" s="206" t="s">
        <v>1201</v>
      </c>
      <c r="E496" s="320" t="s">
        <v>3588</v>
      </c>
      <c r="F496" s="320"/>
      <c r="G496" s="210"/>
      <c r="H496" s="71"/>
      <c r="I496" s="71"/>
      <c r="J496" s="71">
        <f>300*5</f>
        <v>1500</v>
      </c>
      <c r="K496" s="71">
        <v>300</v>
      </c>
      <c r="L496" s="1">
        <v>40448</v>
      </c>
      <c r="M496" s="73">
        <f t="shared" si="58"/>
        <v>45450000</v>
      </c>
      <c r="N496" s="73">
        <f t="shared" si="59"/>
        <v>25500000</v>
      </c>
      <c r="O496" s="73">
        <f t="shared" si="60"/>
        <v>11826000</v>
      </c>
      <c r="P496" s="73">
        <f t="shared" si="61"/>
        <v>0</v>
      </c>
      <c r="Q496" s="73"/>
      <c r="R496" s="73">
        <v>0</v>
      </c>
      <c r="S496" s="75">
        <f t="shared" si="63"/>
        <v>82776000</v>
      </c>
      <c r="T496" s="77">
        <v>0</v>
      </c>
      <c r="U496" s="66">
        <v>40388</v>
      </c>
      <c r="V496" s="79">
        <v>37735</v>
      </c>
      <c r="W496" s="66" t="s">
        <v>1606</v>
      </c>
      <c r="X496" s="24" t="s">
        <v>1607</v>
      </c>
      <c r="Y496" s="83" t="s">
        <v>2215</v>
      </c>
      <c r="Z496" s="177" t="s">
        <v>2580</v>
      </c>
      <c r="AA496" s="80" t="s">
        <v>671</v>
      </c>
      <c r="AB496" s="3"/>
      <c r="AC496" s="4"/>
      <c r="AD496" s="5"/>
      <c r="AE496" s="4"/>
      <c r="AF496" s="4"/>
      <c r="AG496" s="4"/>
      <c r="AH496" s="4"/>
      <c r="AI496" s="4"/>
      <c r="AJ496" s="4"/>
      <c r="AK496" s="4"/>
      <c r="AL496" s="4"/>
      <c r="AM496" s="4"/>
      <c r="AN496" s="4">
        <v>300</v>
      </c>
      <c r="AO496" s="4">
        <f>300*56000</f>
        <v>16800000</v>
      </c>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v>300</v>
      </c>
      <c r="BY496" s="4">
        <f>300*21000</f>
        <v>6300000</v>
      </c>
      <c r="BZ496" s="4"/>
      <c r="CA496" s="4"/>
      <c r="CB496" s="4"/>
      <c r="CC496" s="4"/>
      <c r="CD496" s="6">
        <v>300</v>
      </c>
      <c r="CE496" s="7">
        <f>300*38500</f>
        <v>11550000</v>
      </c>
      <c r="CF496" s="6">
        <v>300</v>
      </c>
      <c r="CG496" s="7">
        <f>300*36000</f>
        <v>10800000</v>
      </c>
      <c r="CH496" s="6"/>
      <c r="CI496" s="7"/>
      <c r="CJ496" s="8">
        <f t="shared" si="62"/>
        <v>45450000</v>
      </c>
      <c r="CK496" s="9"/>
      <c r="CL496" s="10"/>
      <c r="CM496" s="11">
        <v>300</v>
      </c>
      <c r="CN496" s="12">
        <f>300*85000</f>
        <v>25500000</v>
      </c>
      <c r="CO496" s="28"/>
      <c r="CP496" s="12"/>
      <c r="CQ496" s="9">
        <v>500</v>
      </c>
      <c r="CR496" s="10">
        <f>500*23652</f>
        <v>11826000</v>
      </c>
      <c r="CS496" s="68"/>
      <c r="EC496" s="344" t="str">
        <f t="shared" si="57"/>
        <v>CAUCA_ARGELIA</v>
      </c>
      <c r="ED496" s="341"/>
      <c r="EE496" s="341" t="s">
        <v>3139</v>
      </c>
      <c r="EF496" s="349" t="s">
        <v>4802</v>
      </c>
      <c r="EG496" s="341" t="s">
        <v>3694</v>
      </c>
      <c r="EH496" s="341" t="s">
        <v>4816</v>
      </c>
      <c r="EI496" s="341" t="str">
        <f t="shared" si="64"/>
        <v>Cundinamarca_Chaguani</v>
      </c>
    </row>
    <row r="497" spans="1:139" ht="276">
      <c r="A497" s="228">
        <v>40302</v>
      </c>
      <c r="B497" s="102" t="s">
        <v>1824</v>
      </c>
      <c r="C497" s="102" t="s">
        <v>3175</v>
      </c>
      <c r="D497" s="206" t="s">
        <v>1201</v>
      </c>
      <c r="E497" s="320" t="s">
        <v>3995</v>
      </c>
      <c r="F497" s="320"/>
      <c r="G497" s="210"/>
      <c r="H497" s="71"/>
      <c r="I497" s="71"/>
      <c r="J497" s="71">
        <v>9270</v>
      </c>
      <c r="K497" s="71">
        <v>1859</v>
      </c>
      <c r="L497" s="1">
        <v>40366</v>
      </c>
      <c r="M497" s="73">
        <f t="shared" si="58"/>
        <v>0</v>
      </c>
      <c r="N497" s="73">
        <f t="shared" si="59"/>
        <v>158015000</v>
      </c>
      <c r="O497" s="73">
        <f t="shared" si="60"/>
        <v>0</v>
      </c>
      <c r="P497" s="73">
        <f t="shared" si="61"/>
        <v>0</v>
      </c>
      <c r="Q497" s="73"/>
      <c r="R497" s="73">
        <v>0</v>
      </c>
      <c r="S497" s="75">
        <f t="shared" si="63"/>
        <v>158015000</v>
      </c>
      <c r="T497" s="77">
        <v>0</v>
      </c>
      <c r="U497" s="66">
        <v>40337</v>
      </c>
      <c r="V497" s="79">
        <v>98079</v>
      </c>
      <c r="W497" s="66" t="s">
        <v>1606</v>
      </c>
      <c r="X497" s="24" t="s">
        <v>1607</v>
      </c>
      <c r="Y497" s="62">
        <v>193</v>
      </c>
      <c r="Z497" s="177" t="s">
        <v>1435</v>
      </c>
      <c r="AA497" s="80" t="s">
        <v>1649</v>
      </c>
      <c r="AB497" s="3"/>
      <c r="AC497" s="4"/>
      <c r="AD497" s="5"/>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6"/>
      <c r="CE497" s="7"/>
      <c r="CF497" s="6"/>
      <c r="CG497" s="7"/>
      <c r="CH497" s="6"/>
      <c r="CI497" s="7"/>
      <c r="CJ497" s="8">
        <f t="shared" si="62"/>
        <v>0</v>
      </c>
      <c r="CK497" s="9"/>
      <c r="CL497" s="10"/>
      <c r="CM497" s="11">
        <v>1859</v>
      </c>
      <c r="CN497" s="12">
        <f>1859*85000</f>
        <v>158015000</v>
      </c>
      <c r="CO497" s="28"/>
      <c r="CP497" s="12"/>
      <c r="CQ497" s="9"/>
      <c r="CR497" s="10"/>
      <c r="CS497" s="68"/>
      <c r="EC497" s="344" t="str">
        <f t="shared" si="57"/>
        <v>NARIÑO_SAN ANDRES DE TUMACO</v>
      </c>
      <c r="ED497" s="341"/>
      <c r="EE497" s="341" t="s">
        <v>3139</v>
      </c>
      <c r="EF497" s="349" t="s">
        <v>4802</v>
      </c>
      <c r="EG497" s="341" t="s">
        <v>3695</v>
      </c>
      <c r="EH497" s="341" t="s">
        <v>4817</v>
      </c>
      <c r="EI497" s="341" t="str">
        <f t="shared" si="64"/>
        <v>Cundinamarca_Chia</v>
      </c>
    </row>
    <row r="498" spans="1:139" ht="38.25">
      <c r="A498" s="228">
        <v>40302</v>
      </c>
      <c r="B498" s="102" t="s">
        <v>1609</v>
      </c>
      <c r="C498" s="102" t="s">
        <v>1538</v>
      </c>
      <c r="D498" s="206" t="s">
        <v>1201</v>
      </c>
      <c r="E498" s="320" t="s">
        <v>4063</v>
      </c>
      <c r="F498" s="320"/>
      <c r="G498" s="210"/>
      <c r="H498" s="71"/>
      <c r="I498" s="71"/>
      <c r="J498" s="71">
        <v>15</v>
      </c>
      <c r="K498" s="71">
        <v>3</v>
      </c>
      <c r="L498" s="1"/>
      <c r="M498" s="73">
        <f t="shared" si="58"/>
        <v>0</v>
      </c>
      <c r="N498" s="73">
        <f t="shared" si="59"/>
        <v>0</v>
      </c>
      <c r="O498" s="73">
        <f t="shared" si="60"/>
        <v>0</v>
      </c>
      <c r="P498" s="73">
        <f t="shared" si="61"/>
        <v>0</v>
      </c>
      <c r="Q498" s="73"/>
      <c r="R498" s="73">
        <v>0</v>
      </c>
      <c r="S498" s="75">
        <f t="shared" si="63"/>
        <v>0</v>
      </c>
      <c r="T498" s="77">
        <v>0</v>
      </c>
      <c r="U498" s="66">
        <v>40302</v>
      </c>
      <c r="V498" s="79"/>
      <c r="W498" s="66" t="s">
        <v>1585</v>
      </c>
      <c r="X498" s="24" t="s">
        <v>1586</v>
      </c>
      <c r="Y498" s="62"/>
      <c r="Z498" s="177" t="s">
        <v>894</v>
      </c>
      <c r="AA498" s="80" t="s">
        <v>1539</v>
      </c>
      <c r="AB498" s="3"/>
      <c r="AC498" s="4"/>
      <c r="AD498" s="5"/>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6"/>
      <c r="CE498" s="7"/>
      <c r="CF498" s="6"/>
      <c r="CG498" s="7"/>
      <c r="CH498" s="6"/>
      <c r="CI498" s="7"/>
      <c r="CJ498" s="8">
        <f t="shared" si="62"/>
        <v>0</v>
      </c>
      <c r="CK498" s="9"/>
      <c r="CL498" s="10"/>
      <c r="CM498" s="11"/>
      <c r="CN498" s="12"/>
      <c r="CO498" s="28"/>
      <c r="CP498" s="12"/>
      <c r="CQ498" s="9"/>
      <c r="CR498" s="10"/>
      <c r="CS498" s="68"/>
      <c r="EC498" s="344" t="str">
        <f t="shared" si="57"/>
        <v>RISARALDA_SANTUARIO</v>
      </c>
      <c r="ED498" s="341"/>
      <c r="EE498" s="341" t="s">
        <v>3139</v>
      </c>
      <c r="EF498" s="349" t="s">
        <v>4802</v>
      </c>
      <c r="EG498" s="341" t="s">
        <v>3697</v>
      </c>
      <c r="EH498" s="341" t="s">
        <v>4818</v>
      </c>
      <c r="EI498" s="341" t="str">
        <f t="shared" si="64"/>
        <v>Cundinamarca_Choconta</v>
      </c>
    </row>
    <row r="499" spans="1:139" ht="38.25">
      <c r="A499" s="228">
        <v>40302</v>
      </c>
      <c r="B499" s="102" t="s">
        <v>1998</v>
      </c>
      <c r="C499" s="102" t="s">
        <v>1011</v>
      </c>
      <c r="D499" s="206" t="s">
        <v>1878</v>
      </c>
      <c r="E499" s="320" t="s">
        <v>4064</v>
      </c>
      <c r="F499" s="320"/>
      <c r="G499" s="265">
        <v>1</v>
      </c>
      <c r="H499" s="71"/>
      <c r="I499" s="71"/>
      <c r="J499" s="71"/>
      <c r="K499" s="71"/>
      <c r="L499" s="1"/>
      <c r="M499" s="73">
        <f t="shared" si="58"/>
        <v>0</v>
      </c>
      <c r="N499" s="73">
        <f t="shared" si="59"/>
        <v>0</v>
      </c>
      <c r="O499" s="73">
        <f t="shared" si="60"/>
        <v>0</v>
      </c>
      <c r="P499" s="73">
        <f t="shared" si="61"/>
        <v>0</v>
      </c>
      <c r="Q499" s="73"/>
      <c r="R499" s="73">
        <v>0</v>
      </c>
      <c r="S499" s="75">
        <f t="shared" si="63"/>
        <v>0</v>
      </c>
      <c r="T499" s="77">
        <v>0</v>
      </c>
      <c r="U499" s="66">
        <v>40302</v>
      </c>
      <c r="V499" s="79"/>
      <c r="W499" s="66" t="s">
        <v>1585</v>
      </c>
      <c r="X499" s="24" t="s">
        <v>1586</v>
      </c>
      <c r="Y499" s="62"/>
      <c r="Z499" s="177" t="s">
        <v>894</v>
      </c>
      <c r="AA499" s="80" t="s">
        <v>508</v>
      </c>
      <c r="AB499" s="3"/>
      <c r="AC499" s="4"/>
      <c r="AD499" s="5"/>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6"/>
      <c r="CE499" s="7"/>
      <c r="CF499" s="6"/>
      <c r="CG499" s="7"/>
      <c r="CH499" s="6"/>
      <c r="CI499" s="7"/>
      <c r="CJ499" s="8">
        <f t="shared" si="62"/>
        <v>0</v>
      </c>
      <c r="CK499" s="9"/>
      <c r="CL499" s="10"/>
      <c r="CM499" s="11"/>
      <c r="CN499" s="12"/>
      <c r="CO499" s="28"/>
      <c r="CP499" s="12"/>
      <c r="CQ499" s="9"/>
      <c r="CR499" s="10"/>
      <c r="CS499" s="68"/>
      <c r="EC499" s="344" t="str">
        <f t="shared" si="57"/>
        <v>SANTANDER_BUCARAMANGA</v>
      </c>
      <c r="ED499" s="341"/>
      <c r="EE499" s="341" t="s">
        <v>3139</v>
      </c>
      <c r="EF499" s="349" t="s">
        <v>4802</v>
      </c>
      <c r="EG499" s="341" t="s">
        <v>3698</v>
      </c>
      <c r="EH499" s="341" t="s">
        <v>4819</v>
      </c>
      <c r="EI499" s="341" t="str">
        <f t="shared" si="64"/>
        <v>Cundinamarca_Cogua</v>
      </c>
    </row>
    <row r="500" spans="1:139" ht="25.5">
      <c r="A500" s="228">
        <v>40302</v>
      </c>
      <c r="B500" s="102" t="s">
        <v>2400</v>
      </c>
      <c r="C500" s="102" t="s">
        <v>1363</v>
      </c>
      <c r="D500" s="206" t="s">
        <v>1878</v>
      </c>
      <c r="E500" s="320" t="s">
        <v>4209</v>
      </c>
      <c r="F500" s="320"/>
      <c r="G500" s="210"/>
      <c r="H500" s="71"/>
      <c r="I500" s="71"/>
      <c r="J500" s="71"/>
      <c r="K500" s="71"/>
      <c r="L500" s="1"/>
      <c r="M500" s="73">
        <f t="shared" si="58"/>
        <v>0</v>
      </c>
      <c r="N500" s="73">
        <f t="shared" si="59"/>
        <v>0</v>
      </c>
      <c r="O500" s="73">
        <f t="shared" si="60"/>
        <v>0</v>
      </c>
      <c r="P500" s="73">
        <f t="shared" si="61"/>
        <v>0</v>
      </c>
      <c r="Q500" s="73"/>
      <c r="R500" s="73">
        <v>0</v>
      </c>
      <c r="S500" s="75">
        <f t="shared" si="63"/>
        <v>0</v>
      </c>
      <c r="T500" s="77">
        <v>0</v>
      </c>
      <c r="U500" s="66">
        <v>40302</v>
      </c>
      <c r="V500" s="79"/>
      <c r="W500" s="66" t="s">
        <v>1585</v>
      </c>
      <c r="X500" s="24" t="s">
        <v>1586</v>
      </c>
      <c r="Y500" s="62"/>
      <c r="Z500" s="177" t="s">
        <v>894</v>
      </c>
      <c r="AA500" s="80" t="s">
        <v>2040</v>
      </c>
      <c r="AB500" s="3"/>
      <c r="AC500" s="4"/>
      <c r="AD500" s="5"/>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6"/>
      <c r="CE500" s="7"/>
      <c r="CF500" s="6"/>
      <c r="CG500" s="7"/>
      <c r="CH500" s="6"/>
      <c r="CI500" s="7"/>
      <c r="CJ500" s="8">
        <f t="shared" si="62"/>
        <v>0</v>
      </c>
      <c r="CK500" s="9"/>
      <c r="CL500" s="10"/>
      <c r="CM500" s="11"/>
      <c r="CN500" s="12"/>
      <c r="CO500" s="28"/>
      <c r="CP500" s="12"/>
      <c r="CQ500" s="9"/>
      <c r="CR500" s="10"/>
      <c r="CS500" s="68"/>
      <c r="EC500" s="344" t="str">
        <f t="shared" ref="EC500:EC559" si="65">B500&amp;"_"&amp;C500</f>
        <v>TOLIMA_PLANADAS</v>
      </c>
      <c r="ED500" s="341"/>
      <c r="EE500" s="341" t="s">
        <v>3139</v>
      </c>
      <c r="EF500" s="349" t="s">
        <v>4802</v>
      </c>
      <c r="EG500" s="341" t="s">
        <v>3699</v>
      </c>
      <c r="EH500" s="341" t="s">
        <v>4820</v>
      </c>
      <c r="EI500" s="341" t="str">
        <f t="shared" si="64"/>
        <v>Cundinamarca_Cota</v>
      </c>
    </row>
    <row r="501" spans="1:139" ht="48">
      <c r="A501" s="228">
        <v>40302</v>
      </c>
      <c r="B501" s="102" t="s">
        <v>1088</v>
      </c>
      <c r="C501" s="102" t="s">
        <v>3204</v>
      </c>
      <c r="D501" s="206" t="s">
        <v>1201</v>
      </c>
      <c r="E501" s="320" t="s">
        <v>4224</v>
      </c>
      <c r="F501" s="320"/>
      <c r="G501" s="210"/>
      <c r="H501" s="71"/>
      <c r="I501" s="71"/>
      <c r="J501" s="71">
        <f>1000*5</f>
        <v>5000</v>
      </c>
      <c r="K501" s="71">
        <v>1000</v>
      </c>
      <c r="L501" s="1"/>
      <c r="M501" s="73">
        <f t="shared" si="58"/>
        <v>0</v>
      </c>
      <c r="N501" s="73">
        <f t="shared" si="59"/>
        <v>0</v>
      </c>
      <c r="O501" s="73">
        <f t="shared" si="60"/>
        <v>0</v>
      </c>
      <c r="P501" s="73">
        <f t="shared" si="61"/>
        <v>0</v>
      </c>
      <c r="Q501" s="73"/>
      <c r="R501" s="73">
        <v>0</v>
      </c>
      <c r="S501" s="75">
        <f t="shared" si="63"/>
        <v>0</v>
      </c>
      <c r="T501" s="77">
        <v>0</v>
      </c>
      <c r="U501" s="66">
        <v>40302</v>
      </c>
      <c r="V501" s="79"/>
      <c r="W501" s="66" t="s">
        <v>1585</v>
      </c>
      <c r="X501" s="24" t="s">
        <v>1586</v>
      </c>
      <c r="Y501" s="62"/>
      <c r="Z501" s="177" t="s">
        <v>894</v>
      </c>
      <c r="AA501" s="80" t="s">
        <v>1650</v>
      </c>
      <c r="AB501" s="3"/>
      <c r="AC501" s="4"/>
      <c r="AD501" s="5"/>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6"/>
      <c r="CE501" s="7"/>
      <c r="CF501" s="6"/>
      <c r="CG501" s="7"/>
      <c r="CH501" s="6"/>
      <c r="CI501" s="7"/>
      <c r="CJ501" s="8">
        <f t="shared" si="62"/>
        <v>0</v>
      </c>
      <c r="CK501" s="9"/>
      <c r="CL501" s="10"/>
      <c r="CM501" s="11"/>
      <c r="CN501" s="12"/>
      <c r="CO501" s="28"/>
      <c r="CP501" s="12"/>
      <c r="CQ501" s="9"/>
      <c r="CR501" s="10"/>
      <c r="CS501" s="68"/>
      <c r="EC501" s="344" t="str">
        <f t="shared" si="65"/>
        <v>VALLE DEL CAUCA_CALI</v>
      </c>
      <c r="ED501" s="341"/>
      <c r="EE501" s="341" t="s">
        <v>3139</v>
      </c>
      <c r="EF501" s="349" t="s">
        <v>4802</v>
      </c>
      <c r="EG501" s="341" t="s">
        <v>3700</v>
      </c>
      <c r="EH501" s="341" t="s">
        <v>4821</v>
      </c>
      <c r="EI501" s="341" t="str">
        <f t="shared" si="64"/>
        <v>Cundinamarca_Cucunuba</v>
      </c>
    </row>
    <row r="502" spans="1:139" ht="38.25">
      <c r="A502" s="228">
        <v>40302.368055555555</v>
      </c>
      <c r="B502" s="205" t="s">
        <v>2298</v>
      </c>
      <c r="C502" s="205" t="s">
        <v>1610</v>
      </c>
      <c r="D502" s="207" t="s">
        <v>1878</v>
      </c>
      <c r="E502" s="323"/>
      <c r="F502" s="323"/>
      <c r="G502" s="204"/>
      <c r="H502" s="151"/>
      <c r="I502" s="151"/>
      <c r="J502" s="151">
        <v>19</v>
      </c>
      <c r="K502" s="409">
        <v>5</v>
      </c>
      <c r="L502" s="1"/>
      <c r="M502" s="73">
        <f t="shared" si="58"/>
        <v>0</v>
      </c>
      <c r="N502" s="73">
        <f t="shared" si="59"/>
        <v>0</v>
      </c>
      <c r="O502" s="73">
        <f t="shared" si="60"/>
        <v>0</v>
      </c>
      <c r="P502" s="73">
        <f t="shared" si="61"/>
        <v>0</v>
      </c>
      <c r="Q502" s="73"/>
      <c r="R502" s="73">
        <v>0</v>
      </c>
      <c r="S502" s="75">
        <f t="shared" si="63"/>
        <v>0</v>
      </c>
      <c r="T502" s="77">
        <v>0</v>
      </c>
      <c r="U502" s="296">
        <v>40624</v>
      </c>
      <c r="V502" s="297"/>
      <c r="W502" s="296" t="s">
        <v>1585</v>
      </c>
      <c r="X502" s="298" t="s">
        <v>1586</v>
      </c>
      <c r="Y502" s="299"/>
      <c r="Z502" s="300" t="s">
        <v>894</v>
      </c>
      <c r="AA502" s="414" t="s">
        <v>5406</v>
      </c>
      <c r="AB502" s="152"/>
      <c r="AC502" s="153"/>
      <c r="AD502" s="154"/>
      <c r="AE502" s="153"/>
      <c r="AF502" s="153"/>
      <c r="AG502" s="153"/>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c r="BI502" s="153"/>
      <c r="BJ502" s="153"/>
      <c r="BK502" s="153"/>
      <c r="BL502" s="153"/>
      <c r="BM502" s="153"/>
      <c r="BN502" s="153"/>
      <c r="BO502" s="153"/>
      <c r="BP502" s="153"/>
      <c r="BQ502" s="153"/>
      <c r="BR502" s="153"/>
      <c r="BS502" s="153"/>
      <c r="BT502" s="153"/>
      <c r="BU502" s="153"/>
      <c r="BV502" s="153"/>
      <c r="BW502" s="153"/>
      <c r="BX502" s="153"/>
      <c r="BY502" s="153"/>
      <c r="BZ502" s="153"/>
      <c r="CA502" s="153"/>
      <c r="CB502" s="153"/>
      <c r="CC502" s="153"/>
      <c r="CD502" s="155"/>
      <c r="CE502" s="156"/>
      <c r="CF502" s="155"/>
      <c r="CG502" s="156"/>
      <c r="CH502" s="155"/>
      <c r="CI502" s="156"/>
      <c r="CJ502" s="157">
        <f t="shared" si="62"/>
        <v>0</v>
      </c>
      <c r="CK502" s="158"/>
      <c r="CL502" s="159"/>
      <c r="CM502" s="160"/>
      <c r="CN502" s="161"/>
      <c r="CO502" s="162"/>
      <c r="CP502" s="161"/>
      <c r="CQ502" s="158"/>
      <c r="CR502" s="159"/>
      <c r="CS502" s="68"/>
      <c r="CT502" s="163"/>
      <c r="EC502" s="344" t="str">
        <f t="shared" si="65"/>
        <v>BOGOTA D.C._BOGOTA</v>
      </c>
      <c r="ED502" s="341"/>
      <c r="EE502" s="341" t="s">
        <v>3139</v>
      </c>
      <c r="EF502" s="349" t="s">
        <v>4802</v>
      </c>
      <c r="EG502" s="341" t="s">
        <v>3701</v>
      </c>
      <c r="EH502" s="341" t="s">
        <v>4822</v>
      </c>
      <c r="EI502" s="341" t="str">
        <f t="shared" si="64"/>
        <v>Cundinamarca_El Colegio</v>
      </c>
    </row>
    <row r="503" spans="1:139" ht="38.25">
      <c r="A503" s="228">
        <v>40303</v>
      </c>
      <c r="B503" s="102" t="s">
        <v>2298</v>
      </c>
      <c r="C503" s="102" t="s">
        <v>1610</v>
      </c>
      <c r="D503" s="206" t="s">
        <v>1316</v>
      </c>
      <c r="E503" s="320" t="s">
        <v>3375</v>
      </c>
      <c r="F503" s="320"/>
      <c r="G503" s="210"/>
      <c r="H503" s="71"/>
      <c r="I503" s="71"/>
      <c r="J503" s="71">
        <v>5</v>
      </c>
      <c r="K503" s="71">
        <v>1</v>
      </c>
      <c r="L503" s="1"/>
      <c r="M503" s="73">
        <f t="shared" si="58"/>
        <v>0</v>
      </c>
      <c r="N503" s="73">
        <f t="shared" si="59"/>
        <v>0</v>
      </c>
      <c r="O503" s="73">
        <f t="shared" si="60"/>
        <v>0</v>
      </c>
      <c r="P503" s="73">
        <f t="shared" si="61"/>
        <v>0</v>
      </c>
      <c r="Q503" s="73"/>
      <c r="R503" s="73">
        <v>0</v>
      </c>
      <c r="S503" s="75">
        <f t="shared" si="63"/>
        <v>0</v>
      </c>
      <c r="T503" s="77">
        <v>0</v>
      </c>
      <c r="U503" s="66">
        <v>40304</v>
      </c>
      <c r="V503" s="79"/>
      <c r="W503" s="66" t="s">
        <v>1585</v>
      </c>
      <c r="X503" s="24" t="s">
        <v>1586</v>
      </c>
      <c r="Y503" s="62"/>
      <c r="Z503" s="177" t="s">
        <v>894</v>
      </c>
      <c r="AA503" s="80" t="s">
        <v>897</v>
      </c>
      <c r="AB503" s="3"/>
      <c r="AC503" s="4"/>
      <c r="AD503" s="5"/>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6"/>
      <c r="CE503" s="7"/>
      <c r="CF503" s="6"/>
      <c r="CG503" s="7"/>
      <c r="CH503" s="6"/>
      <c r="CI503" s="7"/>
      <c r="CJ503" s="8">
        <f t="shared" si="62"/>
        <v>0</v>
      </c>
      <c r="CK503" s="9"/>
      <c r="CL503" s="10"/>
      <c r="CM503" s="11"/>
      <c r="CN503" s="12"/>
      <c r="CO503" s="28"/>
      <c r="CP503" s="12"/>
      <c r="CQ503" s="9"/>
      <c r="CR503" s="10"/>
      <c r="CS503" s="68"/>
      <c r="EC503" s="344" t="str">
        <f t="shared" si="65"/>
        <v>BOGOTA D.C._BOGOTA</v>
      </c>
      <c r="ED503" s="341"/>
      <c r="EE503" s="341" t="s">
        <v>3139</v>
      </c>
      <c r="EF503" s="349" t="s">
        <v>4802</v>
      </c>
      <c r="EG503" s="341" t="s">
        <v>3702</v>
      </c>
      <c r="EH503" s="341" t="s">
        <v>4531</v>
      </c>
      <c r="EI503" s="341" t="str">
        <f t="shared" si="64"/>
        <v>Cundinamarca_El Peñon</v>
      </c>
    </row>
    <row r="504" spans="1:139" ht="38.25">
      <c r="A504" s="228">
        <v>40303</v>
      </c>
      <c r="B504" s="102" t="s">
        <v>2298</v>
      </c>
      <c r="C504" s="102" t="s">
        <v>1610</v>
      </c>
      <c r="D504" s="206" t="s">
        <v>1316</v>
      </c>
      <c r="E504" s="320" t="s">
        <v>3375</v>
      </c>
      <c r="F504" s="320"/>
      <c r="G504" s="210"/>
      <c r="H504" s="71"/>
      <c r="I504" s="71"/>
      <c r="J504" s="71">
        <v>12</v>
      </c>
      <c r="K504" s="71">
        <v>2</v>
      </c>
      <c r="L504" s="1"/>
      <c r="M504" s="73">
        <f t="shared" si="58"/>
        <v>0</v>
      </c>
      <c r="N504" s="73">
        <f t="shared" si="59"/>
        <v>0</v>
      </c>
      <c r="O504" s="73">
        <f t="shared" si="60"/>
        <v>0</v>
      </c>
      <c r="P504" s="73">
        <f t="shared" si="61"/>
        <v>0</v>
      </c>
      <c r="Q504" s="73"/>
      <c r="R504" s="73">
        <v>0</v>
      </c>
      <c r="S504" s="75">
        <f t="shared" si="63"/>
        <v>0</v>
      </c>
      <c r="T504" s="77">
        <v>0</v>
      </c>
      <c r="U504" s="66">
        <v>40304</v>
      </c>
      <c r="V504" s="79"/>
      <c r="W504" s="66" t="s">
        <v>1585</v>
      </c>
      <c r="X504" s="24" t="s">
        <v>1586</v>
      </c>
      <c r="Y504" s="62"/>
      <c r="Z504" s="177" t="s">
        <v>894</v>
      </c>
      <c r="AA504" s="80" t="s">
        <v>898</v>
      </c>
      <c r="AB504" s="3"/>
      <c r="AC504" s="4"/>
      <c r="AD504" s="5"/>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6"/>
      <c r="CE504" s="7"/>
      <c r="CF504" s="6"/>
      <c r="CG504" s="7"/>
      <c r="CH504" s="6"/>
      <c r="CI504" s="7"/>
      <c r="CJ504" s="8">
        <f t="shared" si="62"/>
        <v>0</v>
      </c>
      <c r="CK504" s="9"/>
      <c r="CL504" s="10"/>
      <c r="CM504" s="11"/>
      <c r="CN504" s="12"/>
      <c r="CO504" s="28"/>
      <c r="CP504" s="12"/>
      <c r="CQ504" s="9"/>
      <c r="CR504" s="10"/>
      <c r="CS504" s="68"/>
      <c r="EC504" s="344" t="str">
        <f t="shared" si="65"/>
        <v>BOGOTA D.C._BOGOTA</v>
      </c>
      <c r="ED504" s="341"/>
      <c r="EE504" s="341" t="s">
        <v>3139</v>
      </c>
      <c r="EF504" s="349" t="s">
        <v>4802</v>
      </c>
      <c r="EG504" s="341" t="s">
        <v>3703</v>
      </c>
      <c r="EH504" s="341" t="s">
        <v>4823</v>
      </c>
      <c r="EI504" s="341" t="str">
        <f t="shared" si="64"/>
        <v>Cundinamarca_El Rosal</v>
      </c>
    </row>
    <row r="505" spans="1:139" ht="48">
      <c r="A505" s="228">
        <v>40303</v>
      </c>
      <c r="B505" s="102" t="s">
        <v>1996</v>
      </c>
      <c r="C505" s="102" t="s">
        <v>940</v>
      </c>
      <c r="D505" s="206" t="s">
        <v>1201</v>
      </c>
      <c r="E505" s="320" t="s">
        <v>3796</v>
      </c>
      <c r="F505" s="320"/>
      <c r="G505" s="210"/>
      <c r="H505" s="71"/>
      <c r="I505" s="71"/>
      <c r="J505" s="71">
        <v>1943</v>
      </c>
      <c r="K505" s="71">
        <v>281</v>
      </c>
      <c r="L505" s="1">
        <v>40417</v>
      </c>
      <c r="M505" s="73">
        <f t="shared" si="58"/>
        <v>0</v>
      </c>
      <c r="N505" s="73">
        <f t="shared" si="59"/>
        <v>0</v>
      </c>
      <c r="O505" s="73">
        <f t="shared" si="60"/>
        <v>0</v>
      </c>
      <c r="P505" s="73">
        <f t="shared" si="61"/>
        <v>0</v>
      </c>
      <c r="Q505" s="73"/>
      <c r="R505" s="73">
        <v>60050000</v>
      </c>
      <c r="S505" s="75">
        <f t="shared" si="63"/>
        <v>60050000</v>
      </c>
      <c r="T505" s="77">
        <v>0</v>
      </c>
      <c r="U505" s="66">
        <v>40338</v>
      </c>
      <c r="V505" s="79">
        <v>98121</v>
      </c>
      <c r="W505" s="66" t="s">
        <v>1606</v>
      </c>
      <c r="X505" s="24" t="s">
        <v>1607</v>
      </c>
      <c r="Y505" s="62"/>
      <c r="Z505" s="177" t="s">
        <v>2580</v>
      </c>
      <c r="AA505" s="92" t="s">
        <v>336</v>
      </c>
      <c r="AB505" s="3"/>
      <c r="AC505" s="4"/>
      <c r="AD505" s="5"/>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6"/>
      <c r="CE505" s="7"/>
      <c r="CF505" s="6"/>
      <c r="CG505" s="7"/>
      <c r="CH505" s="6"/>
      <c r="CI505" s="7"/>
      <c r="CJ505" s="8">
        <f t="shared" si="62"/>
        <v>0</v>
      </c>
      <c r="CK505" s="9"/>
      <c r="CL505" s="10"/>
      <c r="CM505" s="11"/>
      <c r="CN505" s="12"/>
      <c r="CO505" s="28"/>
      <c r="CP505" s="12"/>
      <c r="CQ505" s="9"/>
      <c r="CR505" s="10"/>
      <c r="CS505" s="68">
        <v>2</v>
      </c>
      <c r="EC505" s="344" t="str">
        <f t="shared" si="65"/>
        <v>CHOCO_ATRATO</v>
      </c>
      <c r="ED505" s="341"/>
      <c r="EE505" s="341" t="s">
        <v>3139</v>
      </c>
      <c r="EF505" s="349" t="s">
        <v>4802</v>
      </c>
      <c r="EG505" s="341" t="s">
        <v>3704</v>
      </c>
      <c r="EH505" s="341" t="s">
        <v>4824</v>
      </c>
      <c r="EI505" s="341" t="str">
        <f t="shared" si="64"/>
        <v>Cundinamarca_Facatativa</v>
      </c>
    </row>
    <row r="506" spans="1:139" ht="72">
      <c r="A506" s="228">
        <v>40303</v>
      </c>
      <c r="B506" s="102" t="s">
        <v>1604</v>
      </c>
      <c r="C506" s="102" t="s">
        <v>2351</v>
      </c>
      <c r="D506" s="206" t="s">
        <v>1201</v>
      </c>
      <c r="E506" s="320" t="s">
        <v>3764</v>
      </c>
      <c r="F506" s="320"/>
      <c r="G506" s="210"/>
      <c r="H506" s="71"/>
      <c r="I506" s="71"/>
      <c r="J506" s="71">
        <v>240</v>
      </c>
      <c r="K506" s="71">
        <v>60</v>
      </c>
      <c r="L506" s="1"/>
      <c r="M506" s="73">
        <f t="shared" si="58"/>
        <v>0</v>
      </c>
      <c r="N506" s="73">
        <f t="shared" si="59"/>
        <v>0</v>
      </c>
      <c r="O506" s="73">
        <f t="shared" si="60"/>
        <v>0</v>
      </c>
      <c r="P506" s="73">
        <f t="shared" si="61"/>
        <v>0</v>
      </c>
      <c r="Q506" s="73"/>
      <c r="R506" s="73">
        <v>0</v>
      </c>
      <c r="S506" s="75">
        <f t="shared" si="63"/>
        <v>0</v>
      </c>
      <c r="T506" s="77">
        <v>0</v>
      </c>
      <c r="U506" s="66">
        <v>40304</v>
      </c>
      <c r="V506" s="79"/>
      <c r="W506" s="66" t="s">
        <v>1585</v>
      </c>
      <c r="X506" s="24" t="s">
        <v>1586</v>
      </c>
      <c r="Y506" s="62"/>
      <c r="Z506" s="177" t="s">
        <v>894</v>
      </c>
      <c r="AA506" s="80" t="s">
        <v>1181</v>
      </c>
      <c r="AB506" s="3"/>
      <c r="AC506" s="4"/>
      <c r="AD506" s="5"/>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6"/>
      <c r="CE506" s="7"/>
      <c r="CF506" s="6"/>
      <c r="CG506" s="7"/>
      <c r="CH506" s="6"/>
      <c r="CI506" s="7"/>
      <c r="CJ506" s="8">
        <f t="shared" si="62"/>
        <v>0</v>
      </c>
      <c r="CK506" s="9"/>
      <c r="CL506" s="10"/>
      <c r="CM506" s="11"/>
      <c r="CN506" s="12"/>
      <c r="CO506" s="28"/>
      <c r="CP506" s="12"/>
      <c r="CQ506" s="9"/>
      <c r="CR506" s="10"/>
      <c r="CS506" s="68"/>
      <c r="EC506" s="344" t="str">
        <f t="shared" si="65"/>
        <v>CUNDINAMARCA_SOACHA</v>
      </c>
      <c r="ED506" s="341"/>
      <c r="EE506" s="341" t="s">
        <v>3139</v>
      </c>
      <c r="EF506" s="349" t="s">
        <v>4802</v>
      </c>
      <c r="EG506" s="341" t="s">
        <v>3705</v>
      </c>
      <c r="EH506" s="341" t="s">
        <v>4825</v>
      </c>
      <c r="EI506" s="341" t="str">
        <f t="shared" si="64"/>
        <v>Cundinamarca_Fomeque</v>
      </c>
    </row>
    <row r="507" spans="1:139" ht="36">
      <c r="A507" s="228">
        <v>40303</v>
      </c>
      <c r="B507" s="102" t="s">
        <v>396</v>
      </c>
      <c r="C507" s="102" t="s">
        <v>1899</v>
      </c>
      <c r="D507" s="206" t="s">
        <v>1201</v>
      </c>
      <c r="E507" s="320" t="s">
        <v>3905</v>
      </c>
      <c r="F507" s="320"/>
      <c r="G507" s="210"/>
      <c r="H507" s="71"/>
      <c r="I507" s="71"/>
      <c r="J507" s="71">
        <f>23*5</f>
        <v>115</v>
      </c>
      <c r="K507" s="71">
        <f>385-362</f>
        <v>23</v>
      </c>
      <c r="L507" s="1"/>
      <c r="M507" s="73">
        <f t="shared" si="58"/>
        <v>0</v>
      </c>
      <c r="N507" s="73">
        <f t="shared" si="59"/>
        <v>0</v>
      </c>
      <c r="O507" s="73">
        <f t="shared" si="60"/>
        <v>0</v>
      </c>
      <c r="P507" s="73">
        <f t="shared" si="61"/>
        <v>0</v>
      </c>
      <c r="Q507" s="73"/>
      <c r="R507" s="73">
        <v>0</v>
      </c>
      <c r="S507" s="75">
        <f t="shared" si="63"/>
        <v>0</v>
      </c>
      <c r="T507" s="77">
        <v>0</v>
      </c>
      <c r="U507" s="66">
        <v>40304</v>
      </c>
      <c r="V507" s="79"/>
      <c r="W507" s="66" t="s">
        <v>1585</v>
      </c>
      <c r="X507" s="24" t="s">
        <v>1586</v>
      </c>
      <c r="Y507" s="62"/>
      <c r="Z507" s="177" t="s">
        <v>894</v>
      </c>
      <c r="AA507" s="80" t="s">
        <v>883</v>
      </c>
      <c r="AB507" s="3"/>
      <c r="AC507" s="4"/>
      <c r="AD507" s="5"/>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6"/>
      <c r="CE507" s="7"/>
      <c r="CF507" s="6"/>
      <c r="CG507" s="7"/>
      <c r="CH507" s="6"/>
      <c r="CI507" s="7"/>
      <c r="CJ507" s="8">
        <f t="shared" si="62"/>
        <v>0</v>
      </c>
      <c r="CK507" s="9"/>
      <c r="CL507" s="10"/>
      <c r="CM507" s="11"/>
      <c r="CN507" s="12"/>
      <c r="CO507" s="28"/>
      <c r="CP507" s="12"/>
      <c r="CQ507" s="9"/>
      <c r="CR507" s="10"/>
      <c r="CS507" s="68"/>
      <c r="EC507" s="344" t="str">
        <f t="shared" si="65"/>
        <v>META_VILLAVICENCIO</v>
      </c>
      <c r="ED507" s="341"/>
      <c r="EE507" s="341" t="s">
        <v>3139</v>
      </c>
      <c r="EF507" s="349" t="s">
        <v>4802</v>
      </c>
      <c r="EG507" s="341" t="s">
        <v>3706</v>
      </c>
      <c r="EH507" s="341" t="s">
        <v>4826</v>
      </c>
      <c r="EI507" s="341" t="str">
        <f t="shared" si="64"/>
        <v>Cundinamarca_Fosca</v>
      </c>
    </row>
    <row r="508" spans="1:139" ht="33.75">
      <c r="A508" s="228">
        <v>40303</v>
      </c>
      <c r="B508" s="102" t="s">
        <v>1998</v>
      </c>
      <c r="C508" s="102" t="s">
        <v>1615</v>
      </c>
      <c r="D508" s="206" t="s">
        <v>1201</v>
      </c>
      <c r="E508" s="320" t="s">
        <v>4072</v>
      </c>
      <c r="F508" s="320"/>
      <c r="G508" s="265"/>
      <c r="H508" s="71"/>
      <c r="I508" s="71"/>
      <c r="J508" s="71">
        <v>225</v>
      </c>
      <c r="K508" s="71">
        <v>45</v>
      </c>
      <c r="L508" s="1">
        <v>40389</v>
      </c>
      <c r="M508" s="73">
        <f t="shared" si="58"/>
        <v>0</v>
      </c>
      <c r="N508" s="73">
        <f t="shared" si="59"/>
        <v>4250000</v>
      </c>
      <c r="O508" s="73">
        <f t="shared" si="60"/>
        <v>0</v>
      </c>
      <c r="P508" s="73">
        <f t="shared" si="61"/>
        <v>0</v>
      </c>
      <c r="Q508" s="73"/>
      <c r="R508" s="73">
        <v>0</v>
      </c>
      <c r="S508" s="75">
        <f t="shared" si="63"/>
        <v>4250000</v>
      </c>
      <c r="T508" s="77">
        <v>0</v>
      </c>
      <c r="U508" s="66">
        <v>40353</v>
      </c>
      <c r="V508" s="79">
        <v>30750</v>
      </c>
      <c r="W508" s="66" t="s">
        <v>1606</v>
      </c>
      <c r="X508" s="24" t="s">
        <v>1607</v>
      </c>
      <c r="Y508" s="62">
        <v>220</v>
      </c>
      <c r="Z508" s="177" t="s">
        <v>577</v>
      </c>
      <c r="AA508" s="80" t="s">
        <v>647</v>
      </c>
      <c r="AB508" s="3"/>
      <c r="AC508" s="4"/>
      <c r="AD508" s="5"/>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6"/>
      <c r="CE508" s="7"/>
      <c r="CF508" s="6"/>
      <c r="CG508" s="7"/>
      <c r="CH508" s="6"/>
      <c r="CI508" s="7"/>
      <c r="CJ508" s="8">
        <f t="shared" si="62"/>
        <v>0</v>
      </c>
      <c r="CK508" s="9"/>
      <c r="CL508" s="10"/>
      <c r="CM508" s="11">
        <v>50</v>
      </c>
      <c r="CN508" s="12">
        <f>50*85000</f>
        <v>4250000</v>
      </c>
      <c r="CO508" s="28"/>
      <c r="CP508" s="12"/>
      <c r="CQ508" s="9"/>
      <c r="CR508" s="10"/>
      <c r="CS508" s="68"/>
      <c r="EC508" s="344" t="str">
        <f t="shared" si="65"/>
        <v>SANTANDER_BOLIVAR</v>
      </c>
      <c r="ED508" s="341"/>
      <c r="EE508" s="341" t="s">
        <v>3139</v>
      </c>
      <c r="EF508" s="349" t="s">
        <v>4802</v>
      </c>
      <c r="EG508" s="341" t="s">
        <v>3707</v>
      </c>
      <c r="EH508" s="341" t="s">
        <v>4827</v>
      </c>
      <c r="EI508" s="341" t="str">
        <f t="shared" si="64"/>
        <v>Cundinamarca_Funza</v>
      </c>
    </row>
    <row r="509" spans="1:139" ht="33.75">
      <c r="A509" s="228">
        <v>40303</v>
      </c>
      <c r="B509" s="102" t="s">
        <v>1998</v>
      </c>
      <c r="C509" s="102" t="s">
        <v>908</v>
      </c>
      <c r="D509" s="206" t="s">
        <v>1201</v>
      </c>
      <c r="E509" s="320" t="s">
        <v>4076</v>
      </c>
      <c r="F509" s="320"/>
      <c r="G509" s="265"/>
      <c r="H509" s="71"/>
      <c r="I509" s="71"/>
      <c r="J509" s="71">
        <v>150</v>
      </c>
      <c r="K509" s="71">
        <v>30</v>
      </c>
      <c r="L509" s="1">
        <v>40389</v>
      </c>
      <c r="M509" s="73">
        <f t="shared" si="58"/>
        <v>0</v>
      </c>
      <c r="N509" s="73">
        <f t="shared" si="59"/>
        <v>2550000</v>
      </c>
      <c r="O509" s="73">
        <f t="shared" si="60"/>
        <v>0</v>
      </c>
      <c r="P509" s="73">
        <f t="shared" si="61"/>
        <v>0</v>
      </c>
      <c r="Q509" s="73"/>
      <c r="R509" s="73">
        <v>0</v>
      </c>
      <c r="S509" s="75">
        <f t="shared" si="63"/>
        <v>2550000</v>
      </c>
      <c r="T509" s="77">
        <v>0</v>
      </c>
      <c r="U509" s="66">
        <v>40353</v>
      </c>
      <c r="V509" s="79">
        <v>30750</v>
      </c>
      <c r="W509" s="66" t="s">
        <v>1606</v>
      </c>
      <c r="X509" s="24" t="s">
        <v>1607</v>
      </c>
      <c r="Y509" s="62">
        <v>220</v>
      </c>
      <c r="Z509" s="177" t="s">
        <v>577</v>
      </c>
      <c r="AA509" s="80" t="s">
        <v>647</v>
      </c>
      <c r="AB509" s="3"/>
      <c r="AC509" s="4"/>
      <c r="AD509" s="5"/>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6"/>
      <c r="CE509" s="7"/>
      <c r="CF509" s="6"/>
      <c r="CG509" s="7"/>
      <c r="CH509" s="6"/>
      <c r="CI509" s="7"/>
      <c r="CJ509" s="8">
        <f t="shared" si="62"/>
        <v>0</v>
      </c>
      <c r="CK509" s="9"/>
      <c r="CL509" s="10"/>
      <c r="CM509" s="11">
        <v>30</v>
      </c>
      <c r="CN509" s="12">
        <f>30*85000</f>
        <v>2550000</v>
      </c>
      <c r="CO509" s="28"/>
      <c r="CP509" s="12"/>
      <c r="CQ509" s="9"/>
      <c r="CR509" s="10"/>
      <c r="CS509" s="68"/>
      <c r="EC509" s="344" t="str">
        <f t="shared" si="65"/>
        <v>SANTANDER_CARCASI</v>
      </c>
      <c r="ED509" s="341"/>
      <c r="EE509" s="341" t="s">
        <v>3139</v>
      </c>
      <c r="EF509" s="349" t="s">
        <v>4802</v>
      </c>
      <c r="EG509" s="341" t="s">
        <v>3708</v>
      </c>
      <c r="EH509" s="341" t="s">
        <v>4828</v>
      </c>
      <c r="EI509" s="341" t="str">
        <f t="shared" si="64"/>
        <v>Cundinamarca_Fuquene</v>
      </c>
    </row>
    <row r="510" spans="1:139" ht="38.25">
      <c r="A510" s="228">
        <v>40303</v>
      </c>
      <c r="B510" s="102" t="s">
        <v>1998</v>
      </c>
      <c r="C510" s="102" t="s">
        <v>1730</v>
      </c>
      <c r="D510" s="206" t="s">
        <v>1201</v>
      </c>
      <c r="E510" s="320" t="s">
        <v>4080</v>
      </c>
      <c r="F510" s="320"/>
      <c r="G510" s="265">
        <v>1</v>
      </c>
      <c r="H510" s="71"/>
      <c r="I510" s="71"/>
      <c r="J510" s="71">
        <f>60*5</f>
        <v>300</v>
      </c>
      <c r="K510" s="71">
        <v>60</v>
      </c>
      <c r="L510" s="1">
        <v>40389</v>
      </c>
      <c r="M510" s="73">
        <f t="shared" si="58"/>
        <v>0</v>
      </c>
      <c r="N510" s="73">
        <f t="shared" si="59"/>
        <v>2550000</v>
      </c>
      <c r="O510" s="73">
        <f t="shared" si="60"/>
        <v>0</v>
      </c>
      <c r="P510" s="73">
        <f t="shared" si="61"/>
        <v>0</v>
      </c>
      <c r="Q510" s="73"/>
      <c r="R510" s="73">
        <v>0</v>
      </c>
      <c r="S510" s="75">
        <f t="shared" si="63"/>
        <v>2550000</v>
      </c>
      <c r="T510" s="77">
        <v>0</v>
      </c>
      <c r="U510" s="66">
        <v>40353</v>
      </c>
      <c r="V510" s="79">
        <v>30750</v>
      </c>
      <c r="W510" s="66" t="s">
        <v>1606</v>
      </c>
      <c r="X510" s="24" t="s">
        <v>1607</v>
      </c>
      <c r="Y510" s="62">
        <v>220</v>
      </c>
      <c r="Z510" s="177" t="s">
        <v>577</v>
      </c>
      <c r="AA510" s="80" t="s">
        <v>647</v>
      </c>
      <c r="AB510" s="3"/>
      <c r="AC510" s="4"/>
      <c r="AD510" s="5"/>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6"/>
      <c r="CE510" s="7"/>
      <c r="CF510" s="6"/>
      <c r="CG510" s="7"/>
      <c r="CH510" s="6"/>
      <c r="CI510" s="7"/>
      <c r="CJ510" s="8">
        <f t="shared" si="62"/>
        <v>0</v>
      </c>
      <c r="CK510" s="9"/>
      <c r="CL510" s="10"/>
      <c r="CM510" s="11">
        <v>30</v>
      </c>
      <c r="CN510" s="12">
        <f>30*85000</f>
        <v>2550000</v>
      </c>
      <c r="CO510" s="28"/>
      <c r="CP510" s="12"/>
      <c r="CQ510" s="9"/>
      <c r="CR510" s="10"/>
      <c r="CS510" s="68"/>
      <c r="EC510" s="344" t="str">
        <f t="shared" si="65"/>
        <v>SANTANDER_CHARTA</v>
      </c>
      <c r="ED510" s="341"/>
      <c r="EE510" s="341" t="s">
        <v>3139</v>
      </c>
      <c r="EF510" s="349" t="s">
        <v>4802</v>
      </c>
      <c r="EG510" s="341" t="s">
        <v>3709</v>
      </c>
      <c r="EH510" s="341" t="s">
        <v>4829</v>
      </c>
      <c r="EI510" s="341" t="str">
        <f t="shared" si="64"/>
        <v>Cundinamarca_Fusagasuga</v>
      </c>
    </row>
    <row r="511" spans="1:139" ht="72">
      <c r="A511" s="228">
        <v>40303</v>
      </c>
      <c r="B511" s="102" t="s">
        <v>1998</v>
      </c>
      <c r="C511" s="102" t="s">
        <v>2383</v>
      </c>
      <c r="D511" s="206" t="s">
        <v>1201</v>
      </c>
      <c r="E511" s="320" t="s">
        <v>4083</v>
      </c>
      <c r="F511" s="320"/>
      <c r="G511" s="265"/>
      <c r="H511" s="71"/>
      <c r="I511" s="71"/>
      <c r="J511" s="71">
        <f>804*5</f>
        <v>4020</v>
      </c>
      <c r="K511" s="71">
        <v>804</v>
      </c>
      <c r="L511" s="1">
        <v>40389</v>
      </c>
      <c r="M511" s="73">
        <f t="shared" si="58"/>
        <v>0</v>
      </c>
      <c r="N511" s="73">
        <f t="shared" si="59"/>
        <v>10200000</v>
      </c>
      <c r="O511" s="73">
        <f t="shared" si="60"/>
        <v>0</v>
      </c>
      <c r="P511" s="73">
        <f t="shared" si="61"/>
        <v>0</v>
      </c>
      <c r="Q511" s="73"/>
      <c r="R511" s="73">
        <v>0</v>
      </c>
      <c r="S511" s="75">
        <f t="shared" si="63"/>
        <v>10200000</v>
      </c>
      <c r="T511" s="77">
        <v>0</v>
      </c>
      <c r="U511" s="66">
        <v>40353</v>
      </c>
      <c r="V511" s="79">
        <v>30750</v>
      </c>
      <c r="W511" s="66" t="s">
        <v>1606</v>
      </c>
      <c r="X511" s="24" t="s">
        <v>1607</v>
      </c>
      <c r="Y511" s="62">
        <v>220</v>
      </c>
      <c r="Z511" s="177" t="s">
        <v>577</v>
      </c>
      <c r="AA511" s="80" t="s">
        <v>2384</v>
      </c>
      <c r="AB511" s="3"/>
      <c r="AC511" s="4"/>
      <c r="AD511" s="5"/>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6"/>
      <c r="CE511" s="7"/>
      <c r="CF511" s="6"/>
      <c r="CG511" s="7"/>
      <c r="CH511" s="6"/>
      <c r="CI511" s="7"/>
      <c r="CJ511" s="8">
        <f t="shared" si="62"/>
        <v>0</v>
      </c>
      <c r="CK511" s="9"/>
      <c r="CL511" s="10"/>
      <c r="CM511" s="11">
        <v>120</v>
      </c>
      <c r="CN511" s="12">
        <f>120*85000</f>
        <v>10200000</v>
      </c>
      <c r="CO511" s="28"/>
      <c r="CP511" s="12"/>
      <c r="CQ511" s="9"/>
      <c r="CR511" s="10"/>
      <c r="CS511" s="68"/>
      <c r="EC511" s="344" t="str">
        <f t="shared" si="65"/>
        <v>SANTANDER_CIMITARRA</v>
      </c>
      <c r="ED511" s="341"/>
      <c r="EE511" s="341" t="s">
        <v>3139</v>
      </c>
      <c r="EF511" s="349" t="s">
        <v>4802</v>
      </c>
      <c r="EG511" s="341" t="s">
        <v>3710</v>
      </c>
      <c r="EH511" s="341" t="s">
        <v>4830</v>
      </c>
      <c r="EI511" s="341" t="str">
        <f t="shared" si="64"/>
        <v>Cundinamarca_Gachala</v>
      </c>
    </row>
    <row r="512" spans="1:139" ht="38.25">
      <c r="A512" s="228">
        <v>40303</v>
      </c>
      <c r="B512" s="102" t="s">
        <v>1998</v>
      </c>
      <c r="C512" s="102" t="s">
        <v>905</v>
      </c>
      <c r="D512" s="206" t="s">
        <v>1201</v>
      </c>
      <c r="E512" s="320" t="s">
        <v>4086</v>
      </c>
      <c r="F512" s="320"/>
      <c r="G512" s="265"/>
      <c r="H512" s="71"/>
      <c r="I512" s="71"/>
      <c r="J512" s="71">
        <v>300</v>
      </c>
      <c r="K512" s="71">
        <v>60</v>
      </c>
      <c r="L512" s="1">
        <v>40389</v>
      </c>
      <c r="M512" s="73">
        <f t="shared" si="58"/>
        <v>0</v>
      </c>
      <c r="N512" s="73">
        <f t="shared" si="59"/>
        <v>5100000</v>
      </c>
      <c r="O512" s="73">
        <f t="shared" si="60"/>
        <v>0</v>
      </c>
      <c r="P512" s="73">
        <f t="shared" si="61"/>
        <v>0</v>
      </c>
      <c r="Q512" s="73"/>
      <c r="R512" s="73">
        <v>0</v>
      </c>
      <c r="S512" s="75">
        <f t="shared" si="63"/>
        <v>5100000</v>
      </c>
      <c r="T512" s="77">
        <v>0</v>
      </c>
      <c r="U512" s="66">
        <v>40353</v>
      </c>
      <c r="V512" s="79">
        <v>30750</v>
      </c>
      <c r="W512" s="66" t="s">
        <v>1606</v>
      </c>
      <c r="X512" s="24" t="s">
        <v>1607</v>
      </c>
      <c r="Y512" s="62">
        <v>220</v>
      </c>
      <c r="Z512" s="177" t="s">
        <v>577</v>
      </c>
      <c r="AA512" s="80" t="s">
        <v>647</v>
      </c>
      <c r="AB512" s="3"/>
      <c r="AC512" s="4"/>
      <c r="AD512" s="5"/>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6"/>
      <c r="CE512" s="7"/>
      <c r="CF512" s="6"/>
      <c r="CG512" s="7"/>
      <c r="CH512" s="6"/>
      <c r="CI512" s="7"/>
      <c r="CJ512" s="8">
        <f t="shared" si="62"/>
        <v>0</v>
      </c>
      <c r="CK512" s="9"/>
      <c r="CL512" s="10"/>
      <c r="CM512" s="11">
        <v>60</v>
      </c>
      <c r="CN512" s="12">
        <f>60*85000</f>
        <v>5100000</v>
      </c>
      <c r="CO512" s="28"/>
      <c r="CP512" s="12"/>
      <c r="CQ512" s="9"/>
      <c r="CR512" s="10"/>
      <c r="CS512" s="68"/>
      <c r="EC512" s="344" t="str">
        <f t="shared" si="65"/>
        <v>SANTANDER_CONTRATACION</v>
      </c>
      <c r="ED512" s="341"/>
      <c r="EE512" s="341" t="s">
        <v>3139</v>
      </c>
      <c r="EF512" s="349" t="s">
        <v>4802</v>
      </c>
      <c r="EG512" s="341" t="s">
        <v>3711</v>
      </c>
      <c r="EH512" s="341" t="s">
        <v>4831</v>
      </c>
      <c r="EI512" s="341" t="str">
        <f t="shared" si="64"/>
        <v>Cundinamarca_Gachancipa</v>
      </c>
    </row>
    <row r="513" spans="1:139" ht="33.75">
      <c r="A513" s="228">
        <v>40303</v>
      </c>
      <c r="B513" s="102" t="s">
        <v>1998</v>
      </c>
      <c r="C513" s="102" t="s">
        <v>1405</v>
      </c>
      <c r="D513" s="206" t="s">
        <v>1201</v>
      </c>
      <c r="E513" s="320" t="s">
        <v>4088</v>
      </c>
      <c r="F513" s="320"/>
      <c r="G513" s="265"/>
      <c r="H513" s="71"/>
      <c r="I513" s="71"/>
      <c r="J513" s="71">
        <v>300</v>
      </c>
      <c r="K513" s="71">
        <v>50</v>
      </c>
      <c r="L513" s="1">
        <v>40389</v>
      </c>
      <c r="M513" s="73">
        <f t="shared" si="58"/>
        <v>0</v>
      </c>
      <c r="N513" s="73">
        <f t="shared" si="59"/>
        <v>4250000</v>
      </c>
      <c r="O513" s="73">
        <f t="shared" si="60"/>
        <v>0</v>
      </c>
      <c r="P513" s="73">
        <f t="shared" si="61"/>
        <v>0</v>
      </c>
      <c r="Q513" s="73"/>
      <c r="R513" s="73">
        <v>0</v>
      </c>
      <c r="S513" s="75">
        <f t="shared" si="63"/>
        <v>4250000</v>
      </c>
      <c r="T513" s="77">
        <v>0</v>
      </c>
      <c r="U513" s="66">
        <v>40353</v>
      </c>
      <c r="V513" s="79">
        <v>30750</v>
      </c>
      <c r="W513" s="66" t="s">
        <v>1606</v>
      </c>
      <c r="X513" s="24" t="s">
        <v>1607</v>
      </c>
      <c r="Y513" s="62">
        <v>220</v>
      </c>
      <c r="Z513" s="177" t="s">
        <v>577</v>
      </c>
      <c r="AA513" s="80" t="s">
        <v>647</v>
      </c>
      <c r="AB513" s="3"/>
      <c r="AC513" s="4"/>
      <c r="AD513" s="5"/>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6"/>
      <c r="CE513" s="7"/>
      <c r="CF513" s="6"/>
      <c r="CG513" s="7"/>
      <c r="CH513" s="6"/>
      <c r="CI513" s="7"/>
      <c r="CJ513" s="8">
        <f t="shared" si="62"/>
        <v>0</v>
      </c>
      <c r="CK513" s="9"/>
      <c r="CL513" s="10"/>
      <c r="CM513" s="11">
        <v>50</v>
      </c>
      <c r="CN513" s="12">
        <f>50*85000</f>
        <v>4250000</v>
      </c>
      <c r="CO513" s="28"/>
      <c r="CP513" s="12"/>
      <c r="CQ513" s="9"/>
      <c r="CR513" s="10"/>
      <c r="CS513" s="68"/>
      <c r="EC513" s="344" t="str">
        <f t="shared" si="65"/>
        <v>SANTANDER_CURITI</v>
      </c>
      <c r="ED513" s="341"/>
      <c r="EE513" s="341" t="s">
        <v>3139</v>
      </c>
      <c r="EF513" s="349" t="s">
        <v>4802</v>
      </c>
      <c r="EG513" s="341" t="s">
        <v>3713</v>
      </c>
      <c r="EH513" s="341" t="s">
        <v>4832</v>
      </c>
      <c r="EI513" s="341" t="str">
        <f t="shared" si="64"/>
        <v>Cundinamarca_Girardot</v>
      </c>
    </row>
    <row r="514" spans="1:139" ht="63.75">
      <c r="A514" s="228">
        <v>40303</v>
      </c>
      <c r="B514" s="102" t="s">
        <v>1998</v>
      </c>
      <c r="C514" s="102" t="s">
        <v>1732</v>
      </c>
      <c r="D514" s="206" t="s">
        <v>1201</v>
      </c>
      <c r="E514" s="320" t="s">
        <v>4089</v>
      </c>
      <c r="F514" s="320"/>
      <c r="G514" s="265"/>
      <c r="H514" s="71"/>
      <c r="I514" s="71"/>
      <c r="J514" s="71">
        <f>25*5</f>
        <v>125</v>
      </c>
      <c r="K514" s="71">
        <v>25</v>
      </c>
      <c r="L514" s="1">
        <v>40389</v>
      </c>
      <c r="M514" s="73">
        <f t="shared" si="58"/>
        <v>0</v>
      </c>
      <c r="N514" s="73">
        <f t="shared" si="59"/>
        <v>8500000</v>
      </c>
      <c r="O514" s="73">
        <f t="shared" si="60"/>
        <v>0</v>
      </c>
      <c r="P514" s="73">
        <f t="shared" si="61"/>
        <v>0</v>
      </c>
      <c r="Q514" s="73"/>
      <c r="R514" s="73">
        <v>0</v>
      </c>
      <c r="S514" s="75">
        <f t="shared" si="63"/>
        <v>8500000</v>
      </c>
      <c r="T514" s="77">
        <v>0</v>
      </c>
      <c r="U514" s="66">
        <v>40353</v>
      </c>
      <c r="V514" s="79">
        <v>30750</v>
      </c>
      <c r="W514" s="66" t="s">
        <v>1606</v>
      </c>
      <c r="X514" s="24" t="s">
        <v>1607</v>
      </c>
      <c r="Y514" s="62">
        <v>220</v>
      </c>
      <c r="Z514" s="177" t="s">
        <v>577</v>
      </c>
      <c r="AA514" s="80" t="s">
        <v>647</v>
      </c>
      <c r="AB514" s="3"/>
      <c r="AC514" s="4"/>
      <c r="AD514" s="5"/>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6"/>
      <c r="CE514" s="7"/>
      <c r="CF514" s="6"/>
      <c r="CG514" s="7"/>
      <c r="CH514" s="6"/>
      <c r="CI514" s="7"/>
      <c r="CJ514" s="8">
        <f t="shared" si="62"/>
        <v>0</v>
      </c>
      <c r="CK514" s="9"/>
      <c r="CL514" s="10"/>
      <c r="CM514" s="11">
        <v>100</v>
      </c>
      <c r="CN514" s="12">
        <f>100*85000</f>
        <v>8500000</v>
      </c>
      <c r="CO514" s="28"/>
      <c r="CP514" s="12"/>
      <c r="CQ514" s="9"/>
      <c r="CR514" s="10"/>
      <c r="CS514" s="68"/>
      <c r="EC514" s="344" t="str">
        <f t="shared" si="65"/>
        <v>SANTANDER_EL CARMEN DE CHUCURI</v>
      </c>
      <c r="ED514" s="341"/>
      <c r="EE514" s="341" t="s">
        <v>3139</v>
      </c>
      <c r="EF514" s="349" t="s">
        <v>4802</v>
      </c>
      <c r="EG514" s="341" t="s">
        <v>3714</v>
      </c>
      <c r="EH514" s="341" t="s">
        <v>4422</v>
      </c>
      <c r="EI514" s="341" t="str">
        <f t="shared" si="64"/>
        <v>Cundinamarca_Granada</v>
      </c>
    </row>
    <row r="515" spans="1:139" ht="38.25">
      <c r="A515" s="228">
        <v>40303</v>
      </c>
      <c r="B515" s="102" t="s">
        <v>1998</v>
      </c>
      <c r="C515" s="102" t="s">
        <v>1731</v>
      </c>
      <c r="D515" s="206" t="s">
        <v>1201</v>
      </c>
      <c r="E515" s="320" t="s">
        <v>4115</v>
      </c>
      <c r="F515" s="320"/>
      <c r="G515" s="265"/>
      <c r="H515" s="71"/>
      <c r="I515" s="71"/>
      <c r="J515" s="71">
        <v>150</v>
      </c>
      <c r="K515" s="71">
        <v>30</v>
      </c>
      <c r="L515" s="1">
        <v>40389</v>
      </c>
      <c r="M515" s="73">
        <f t="shared" ref="M515:M578" si="66">CJ515</f>
        <v>0</v>
      </c>
      <c r="N515" s="73">
        <f t="shared" ref="N515:N578" si="67">CN515</f>
        <v>4250000</v>
      </c>
      <c r="O515" s="73">
        <f t="shared" ref="O515:O578" si="68">CP515+CR515</f>
        <v>0</v>
      </c>
      <c r="P515" s="73">
        <f t="shared" ref="P515:P578" si="69">CL515</f>
        <v>0</v>
      </c>
      <c r="Q515" s="73"/>
      <c r="R515" s="73">
        <v>0</v>
      </c>
      <c r="S515" s="75">
        <f t="shared" si="63"/>
        <v>4250000</v>
      </c>
      <c r="T515" s="77">
        <v>0</v>
      </c>
      <c r="U515" s="66">
        <v>40353</v>
      </c>
      <c r="V515" s="79">
        <v>30750</v>
      </c>
      <c r="W515" s="66" t="s">
        <v>1606</v>
      </c>
      <c r="X515" s="24" t="s">
        <v>1607</v>
      </c>
      <c r="Y515" s="62">
        <v>220</v>
      </c>
      <c r="Z515" s="177" t="s">
        <v>577</v>
      </c>
      <c r="AA515" s="80" t="s">
        <v>647</v>
      </c>
      <c r="AB515" s="3"/>
      <c r="AC515" s="4"/>
      <c r="AD515" s="5"/>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6"/>
      <c r="CE515" s="7"/>
      <c r="CF515" s="6"/>
      <c r="CG515" s="7"/>
      <c r="CH515" s="6"/>
      <c r="CI515" s="7"/>
      <c r="CJ515" s="8">
        <f t="shared" ref="CJ515:CJ578" si="70">AC515+AE515+AG515+AI515+AK515+AM515+AO515+AQ515+AS515+AU515+AW515+AY515+BA515+BC515+BE515+BG515+BI515+BK515+BM515+BO515+BQ515+BS515+BU515+BW515+BY515+CA515+CC515+CE515+CG515+CI515</f>
        <v>0</v>
      </c>
      <c r="CK515" s="9"/>
      <c r="CL515" s="10"/>
      <c r="CM515" s="11">
        <v>50</v>
      </c>
      <c r="CN515" s="12">
        <f>50*85000</f>
        <v>4250000</v>
      </c>
      <c r="CO515" s="28"/>
      <c r="CP515" s="12"/>
      <c r="CQ515" s="9"/>
      <c r="CR515" s="10"/>
      <c r="CS515" s="68"/>
      <c r="EC515" s="344" t="str">
        <f t="shared" si="65"/>
        <v>SANTANDER_MATANZA</v>
      </c>
      <c r="ED515" s="341"/>
      <c r="EE515" s="341" t="s">
        <v>3139</v>
      </c>
      <c r="EF515" s="349" t="s">
        <v>4802</v>
      </c>
      <c r="EG515" s="341" t="s">
        <v>3715</v>
      </c>
      <c r="EH515" s="341" t="s">
        <v>4833</v>
      </c>
      <c r="EI515" s="341" t="str">
        <f t="shared" si="64"/>
        <v>Cundinamarca_Guacheta</v>
      </c>
    </row>
    <row r="516" spans="1:139" ht="38.25">
      <c r="A516" s="228">
        <v>40303</v>
      </c>
      <c r="B516" s="102" t="s">
        <v>1998</v>
      </c>
      <c r="C516" s="102" t="s">
        <v>2589</v>
      </c>
      <c r="D516" s="206" t="s">
        <v>1878</v>
      </c>
      <c r="E516" s="320" t="s">
        <v>4118</v>
      </c>
      <c r="F516" s="320"/>
      <c r="G516" s="265"/>
      <c r="H516" s="71"/>
      <c r="I516" s="71"/>
      <c r="J516" s="71">
        <f>50*5</f>
        <v>250</v>
      </c>
      <c r="K516" s="71">
        <v>50</v>
      </c>
      <c r="L516" s="1">
        <v>40389</v>
      </c>
      <c r="M516" s="73">
        <f t="shared" si="66"/>
        <v>0</v>
      </c>
      <c r="N516" s="73">
        <f t="shared" si="67"/>
        <v>4250000</v>
      </c>
      <c r="O516" s="73">
        <f t="shared" si="68"/>
        <v>0</v>
      </c>
      <c r="P516" s="73">
        <f t="shared" si="69"/>
        <v>0</v>
      </c>
      <c r="Q516" s="73"/>
      <c r="R516" s="73">
        <v>0</v>
      </c>
      <c r="S516" s="75">
        <f t="shared" si="63"/>
        <v>4250000</v>
      </c>
      <c r="T516" s="77">
        <v>0</v>
      </c>
      <c r="U516" s="66">
        <v>40353</v>
      </c>
      <c r="V516" s="79">
        <v>30750</v>
      </c>
      <c r="W516" s="66" t="s">
        <v>1606</v>
      </c>
      <c r="X516" s="24" t="s">
        <v>1607</v>
      </c>
      <c r="Y516" s="62">
        <v>220</v>
      </c>
      <c r="Z516" s="177" t="s">
        <v>577</v>
      </c>
      <c r="AA516" s="80" t="s">
        <v>647</v>
      </c>
      <c r="AB516" s="3"/>
      <c r="AC516" s="4"/>
      <c r="AD516" s="5"/>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6"/>
      <c r="CE516" s="7"/>
      <c r="CF516" s="6"/>
      <c r="CG516" s="7"/>
      <c r="CH516" s="6"/>
      <c r="CI516" s="7"/>
      <c r="CJ516" s="8">
        <f t="shared" si="70"/>
        <v>0</v>
      </c>
      <c r="CK516" s="9"/>
      <c r="CL516" s="10"/>
      <c r="CM516" s="11">
        <v>50</v>
      </c>
      <c r="CN516" s="12">
        <f>50*85000</f>
        <v>4250000</v>
      </c>
      <c r="CO516" s="28"/>
      <c r="CP516" s="12"/>
      <c r="CQ516" s="9"/>
      <c r="CR516" s="10"/>
      <c r="CS516" s="68"/>
      <c r="EC516" s="344" t="str">
        <f t="shared" si="65"/>
        <v>SANTANDER_OCAMONTE</v>
      </c>
      <c r="ED516" s="341"/>
      <c r="EE516" s="341" t="s">
        <v>3139</v>
      </c>
      <c r="EF516" s="349" t="s">
        <v>4802</v>
      </c>
      <c r="EG516" s="341" t="s">
        <v>3716</v>
      </c>
      <c r="EH516" s="341" t="s">
        <v>4834</v>
      </c>
      <c r="EI516" s="341" t="str">
        <f t="shared" si="64"/>
        <v>Cundinamarca_Guaduas</v>
      </c>
    </row>
    <row r="517" spans="1:139" ht="51">
      <c r="A517" s="228">
        <v>40303</v>
      </c>
      <c r="B517" s="102" t="s">
        <v>1998</v>
      </c>
      <c r="C517" s="102" t="s">
        <v>3190</v>
      </c>
      <c r="D517" s="206" t="s">
        <v>1201</v>
      </c>
      <c r="E517" s="320" t="s">
        <v>4135</v>
      </c>
      <c r="F517" s="320"/>
      <c r="G517" s="265"/>
      <c r="H517" s="71"/>
      <c r="I517" s="71"/>
      <c r="J517" s="71">
        <v>400</v>
      </c>
      <c r="K517" s="71">
        <v>80</v>
      </c>
      <c r="L517" s="1">
        <v>40389</v>
      </c>
      <c r="M517" s="73">
        <f t="shared" si="66"/>
        <v>0</v>
      </c>
      <c r="N517" s="73">
        <f t="shared" si="67"/>
        <v>2550000</v>
      </c>
      <c r="O517" s="73">
        <f t="shared" si="68"/>
        <v>0</v>
      </c>
      <c r="P517" s="73">
        <f t="shared" si="69"/>
        <v>0</v>
      </c>
      <c r="Q517" s="73"/>
      <c r="R517" s="73">
        <v>0</v>
      </c>
      <c r="S517" s="75">
        <f t="shared" si="63"/>
        <v>2550000</v>
      </c>
      <c r="T517" s="77">
        <v>0</v>
      </c>
      <c r="U517" s="66">
        <v>40353</v>
      </c>
      <c r="V517" s="79">
        <v>30750</v>
      </c>
      <c r="W517" s="66" t="s">
        <v>1606</v>
      </c>
      <c r="X517" s="24" t="s">
        <v>1607</v>
      </c>
      <c r="Y517" s="62">
        <v>220</v>
      </c>
      <c r="Z517" s="177" t="s">
        <v>577</v>
      </c>
      <c r="AA517" s="80" t="s">
        <v>647</v>
      </c>
      <c r="AB517" s="3"/>
      <c r="AC517" s="4"/>
      <c r="AD517" s="5"/>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6"/>
      <c r="CE517" s="7"/>
      <c r="CF517" s="6"/>
      <c r="CG517" s="7"/>
      <c r="CH517" s="6"/>
      <c r="CI517" s="7"/>
      <c r="CJ517" s="8">
        <f t="shared" si="70"/>
        <v>0</v>
      </c>
      <c r="CK517" s="9"/>
      <c r="CL517" s="10"/>
      <c r="CM517" s="11">
        <v>30</v>
      </c>
      <c r="CN517" s="12">
        <f>30*85000</f>
        <v>2550000</v>
      </c>
      <c r="CO517" s="28"/>
      <c r="CP517" s="12"/>
      <c r="CQ517" s="9"/>
      <c r="CR517" s="10"/>
      <c r="CS517" s="68"/>
      <c r="EC517" s="344" t="str">
        <f t="shared" si="65"/>
        <v>SANTANDER_SAN JOSE DE MIRANDA</v>
      </c>
      <c r="ED517" s="341"/>
      <c r="EE517" s="341" t="s">
        <v>3139</v>
      </c>
      <c r="EF517" s="349" t="s">
        <v>4802</v>
      </c>
      <c r="EG517" s="341" t="s">
        <v>3717</v>
      </c>
      <c r="EH517" s="341" t="s">
        <v>4835</v>
      </c>
      <c r="EI517" s="341" t="str">
        <f t="shared" si="64"/>
        <v>Cundinamarca_Guasca</v>
      </c>
    </row>
    <row r="518" spans="1:139" ht="63.75">
      <c r="A518" s="228">
        <v>40303</v>
      </c>
      <c r="B518" s="102" t="s">
        <v>1998</v>
      </c>
      <c r="C518" s="102" t="s">
        <v>906</v>
      </c>
      <c r="D518" s="206" t="s">
        <v>1201</v>
      </c>
      <c r="E518" s="320" t="s">
        <v>4137</v>
      </c>
      <c r="F518" s="320"/>
      <c r="G518" s="265"/>
      <c r="H518" s="71"/>
      <c r="I518" s="71"/>
      <c r="J518" s="71">
        <f>2648-324</f>
        <v>2324</v>
      </c>
      <c r="K518" s="71">
        <v>500</v>
      </c>
      <c r="L518" s="1">
        <v>40389</v>
      </c>
      <c r="M518" s="73">
        <f t="shared" si="66"/>
        <v>0</v>
      </c>
      <c r="N518" s="73">
        <f t="shared" si="67"/>
        <v>8500000</v>
      </c>
      <c r="O518" s="73">
        <f t="shared" si="68"/>
        <v>0</v>
      </c>
      <c r="P518" s="73">
        <f t="shared" si="69"/>
        <v>0</v>
      </c>
      <c r="Q518" s="73"/>
      <c r="R518" s="73">
        <v>0</v>
      </c>
      <c r="S518" s="75">
        <f t="shared" si="63"/>
        <v>8500000</v>
      </c>
      <c r="T518" s="77">
        <v>0</v>
      </c>
      <c r="U518" s="66">
        <v>40353</v>
      </c>
      <c r="V518" s="79">
        <v>30750</v>
      </c>
      <c r="W518" s="66" t="s">
        <v>1606</v>
      </c>
      <c r="X518" s="24" t="s">
        <v>1607</v>
      </c>
      <c r="Y518" s="62">
        <v>220</v>
      </c>
      <c r="Z518" s="177" t="s">
        <v>577</v>
      </c>
      <c r="AA518" s="80" t="s">
        <v>647</v>
      </c>
      <c r="AB518" s="3"/>
      <c r="AC518" s="4"/>
      <c r="AD518" s="5"/>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6"/>
      <c r="CE518" s="7"/>
      <c r="CF518" s="6"/>
      <c r="CG518" s="7"/>
      <c r="CH518" s="6"/>
      <c r="CI518" s="7"/>
      <c r="CJ518" s="8">
        <f t="shared" si="70"/>
        <v>0</v>
      </c>
      <c r="CK518" s="9"/>
      <c r="CL518" s="10"/>
      <c r="CM518" s="11">
        <v>100</v>
      </c>
      <c r="CN518" s="12">
        <f>100*85000</f>
        <v>8500000</v>
      </c>
      <c r="CO518" s="28"/>
      <c r="CP518" s="12"/>
      <c r="CQ518" s="9"/>
      <c r="CR518" s="10"/>
      <c r="CS518" s="68"/>
      <c r="EC518" s="344" t="str">
        <f t="shared" si="65"/>
        <v>SANTANDER_SAN VICENTE DE CHUCURI</v>
      </c>
      <c r="ED518" s="341"/>
      <c r="EE518" s="341" t="s">
        <v>3139</v>
      </c>
      <c r="EF518" s="349" t="s">
        <v>4802</v>
      </c>
      <c r="EG518" s="341" t="s">
        <v>3718</v>
      </c>
      <c r="EH518" s="341" t="s">
        <v>4836</v>
      </c>
      <c r="EI518" s="341" t="str">
        <f t="shared" si="64"/>
        <v>Cundinamarca_Guataqui</v>
      </c>
    </row>
    <row r="519" spans="1:139" ht="38.25">
      <c r="A519" s="228">
        <v>40303</v>
      </c>
      <c r="B519" s="102" t="s">
        <v>1998</v>
      </c>
      <c r="C519" s="102" t="s">
        <v>907</v>
      </c>
      <c r="D519" s="206" t="s">
        <v>1201</v>
      </c>
      <c r="E519" s="320" t="s">
        <v>4140</v>
      </c>
      <c r="F519" s="320"/>
      <c r="G519" s="265"/>
      <c r="H519" s="71"/>
      <c r="I519" s="71"/>
      <c r="J519" s="71">
        <v>400</v>
      </c>
      <c r="K519" s="71">
        <v>80</v>
      </c>
      <c r="L519" s="1">
        <v>40389</v>
      </c>
      <c r="M519" s="73">
        <f t="shared" si="66"/>
        <v>0</v>
      </c>
      <c r="N519" s="73">
        <f t="shared" si="67"/>
        <v>6800000</v>
      </c>
      <c r="O519" s="73">
        <f t="shared" si="68"/>
        <v>0</v>
      </c>
      <c r="P519" s="73">
        <f t="shared" si="69"/>
        <v>0</v>
      </c>
      <c r="Q519" s="73"/>
      <c r="R519" s="73">
        <v>0</v>
      </c>
      <c r="S519" s="75">
        <f t="shared" si="63"/>
        <v>6800000</v>
      </c>
      <c r="T519" s="77">
        <v>0</v>
      </c>
      <c r="U519" s="66">
        <v>40353</v>
      </c>
      <c r="V519" s="79">
        <v>30750</v>
      </c>
      <c r="W519" s="66" t="s">
        <v>1606</v>
      </c>
      <c r="X519" s="24" t="s">
        <v>1607</v>
      </c>
      <c r="Y519" s="62">
        <v>220</v>
      </c>
      <c r="Z519" s="177" t="s">
        <v>577</v>
      </c>
      <c r="AA519" s="80" t="s">
        <v>647</v>
      </c>
      <c r="AB519" s="3"/>
      <c r="AC519" s="4"/>
      <c r="AD519" s="5"/>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6"/>
      <c r="CE519" s="7"/>
      <c r="CF519" s="6"/>
      <c r="CG519" s="7"/>
      <c r="CH519" s="6"/>
      <c r="CI519" s="7"/>
      <c r="CJ519" s="8">
        <f t="shared" si="70"/>
        <v>0</v>
      </c>
      <c r="CK519" s="9"/>
      <c r="CL519" s="10"/>
      <c r="CM519" s="11">
        <v>80</v>
      </c>
      <c r="CN519" s="12">
        <f>80*85000</f>
        <v>6800000</v>
      </c>
      <c r="CO519" s="28"/>
      <c r="CP519" s="12"/>
      <c r="CQ519" s="9"/>
      <c r="CR519" s="10"/>
      <c r="CS519" s="68"/>
      <c r="EC519" s="344" t="str">
        <f t="shared" si="65"/>
        <v>SANTANDER_SIMACOTA</v>
      </c>
      <c r="ED519" s="341"/>
      <c r="EE519" s="341" t="s">
        <v>3139</v>
      </c>
      <c r="EF519" s="349" t="s">
        <v>4802</v>
      </c>
      <c r="EG519" s="341" t="s">
        <v>3719</v>
      </c>
      <c r="EH519" s="341" t="s">
        <v>4837</v>
      </c>
      <c r="EI519" s="341" t="str">
        <f t="shared" si="64"/>
        <v>Cundinamarca_Guatavita</v>
      </c>
    </row>
    <row r="520" spans="1:139" ht="38.25">
      <c r="A520" s="228">
        <v>40304</v>
      </c>
      <c r="B520" s="102" t="s">
        <v>1314</v>
      </c>
      <c r="C520" s="102" t="s">
        <v>1180</v>
      </c>
      <c r="D520" s="206" t="s">
        <v>1923</v>
      </c>
      <c r="E520" s="320" t="s">
        <v>3621</v>
      </c>
      <c r="F520" s="320"/>
      <c r="G520" s="210">
        <v>1</v>
      </c>
      <c r="H520" s="71"/>
      <c r="I520" s="71"/>
      <c r="J520" s="71"/>
      <c r="K520" s="71"/>
      <c r="L520" s="1"/>
      <c r="M520" s="73">
        <f t="shared" si="66"/>
        <v>0</v>
      </c>
      <c r="N520" s="73">
        <f t="shared" si="67"/>
        <v>0</v>
      </c>
      <c r="O520" s="73">
        <f t="shared" si="68"/>
        <v>0</v>
      </c>
      <c r="P520" s="73">
        <f t="shared" si="69"/>
        <v>0</v>
      </c>
      <c r="Q520" s="73"/>
      <c r="R520" s="73">
        <v>0</v>
      </c>
      <c r="S520" s="75">
        <f t="shared" si="63"/>
        <v>0</v>
      </c>
      <c r="T520" s="77">
        <v>0</v>
      </c>
      <c r="U520" s="66">
        <v>40306</v>
      </c>
      <c r="V520" s="79"/>
      <c r="W520" s="66" t="s">
        <v>1585</v>
      </c>
      <c r="X520" s="24" t="s">
        <v>1586</v>
      </c>
      <c r="Y520" s="62"/>
      <c r="Z520" s="177" t="s">
        <v>894</v>
      </c>
      <c r="AA520" s="80" t="s">
        <v>1380</v>
      </c>
      <c r="AB520" s="3"/>
      <c r="AC520" s="4"/>
      <c r="AD520" s="5"/>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6"/>
      <c r="CE520" s="7"/>
      <c r="CF520" s="6"/>
      <c r="CG520" s="7"/>
      <c r="CH520" s="6"/>
      <c r="CI520" s="7"/>
      <c r="CJ520" s="8">
        <f t="shared" si="70"/>
        <v>0</v>
      </c>
      <c r="CK520" s="9"/>
      <c r="CL520" s="10"/>
      <c r="CM520" s="11"/>
      <c r="CN520" s="12"/>
      <c r="CO520" s="28"/>
      <c r="CP520" s="12"/>
      <c r="CQ520" s="9"/>
      <c r="CR520" s="10"/>
      <c r="CS520" s="68"/>
      <c r="EC520" s="344" t="str">
        <f t="shared" si="65"/>
        <v>CAUCA_SUAREZ</v>
      </c>
      <c r="ED520" s="341"/>
      <c r="EE520" s="341" t="s">
        <v>3139</v>
      </c>
      <c r="EF520" s="349" t="s">
        <v>4802</v>
      </c>
      <c r="EG520" s="341" t="s">
        <v>3720</v>
      </c>
      <c r="EH520" s="341" t="s">
        <v>4838</v>
      </c>
      <c r="EI520" s="341" t="str">
        <f t="shared" si="64"/>
        <v>Cundinamarca_Guayabal de Siquima</v>
      </c>
    </row>
    <row r="521" spans="1:139" ht="72">
      <c r="A521" s="228">
        <v>40304</v>
      </c>
      <c r="B521" s="102" t="s">
        <v>1604</v>
      </c>
      <c r="C521" s="102" t="s">
        <v>1182</v>
      </c>
      <c r="D521" s="206" t="s">
        <v>1878</v>
      </c>
      <c r="E521" s="320" t="s">
        <v>3722</v>
      </c>
      <c r="F521" s="320"/>
      <c r="G521" s="210"/>
      <c r="H521" s="71"/>
      <c r="I521" s="71"/>
      <c r="J521" s="71">
        <f>20*5</f>
        <v>100</v>
      </c>
      <c r="K521" s="71">
        <v>20</v>
      </c>
      <c r="L521" s="1">
        <v>40504</v>
      </c>
      <c r="M521" s="73">
        <f t="shared" si="66"/>
        <v>0</v>
      </c>
      <c r="N521" s="73">
        <f t="shared" si="67"/>
        <v>0</v>
      </c>
      <c r="O521" s="73">
        <f t="shared" si="68"/>
        <v>0</v>
      </c>
      <c r="P521" s="73">
        <f t="shared" si="69"/>
        <v>0</v>
      </c>
      <c r="Q521" s="73"/>
      <c r="R521" s="73">
        <v>222814963</v>
      </c>
      <c r="S521" s="75">
        <f t="shared" ref="S521:S584" si="71">M521+N521+O521+P521+Q521+R521</f>
        <v>222814963</v>
      </c>
      <c r="T521" s="77">
        <v>0</v>
      </c>
      <c r="U521" s="66">
        <v>40306</v>
      </c>
      <c r="V521" s="79"/>
      <c r="W521" s="66" t="s">
        <v>1606</v>
      </c>
      <c r="X521" s="24" t="s">
        <v>1607</v>
      </c>
      <c r="Y521" s="62">
        <v>40725</v>
      </c>
      <c r="Z521" s="177" t="s">
        <v>1224</v>
      </c>
      <c r="AA521" s="80" t="s">
        <v>35</v>
      </c>
      <c r="AB521" s="3"/>
      <c r="AC521" s="4"/>
      <c r="AD521" s="5"/>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6"/>
      <c r="CE521" s="7"/>
      <c r="CF521" s="6"/>
      <c r="CG521" s="7"/>
      <c r="CH521" s="6"/>
      <c r="CI521" s="7"/>
      <c r="CJ521" s="8">
        <f t="shared" si="70"/>
        <v>0</v>
      </c>
      <c r="CK521" s="9"/>
      <c r="CL521" s="10"/>
      <c r="CM521" s="11"/>
      <c r="CN521" s="12"/>
      <c r="CO521" s="28"/>
      <c r="CP521" s="12"/>
      <c r="CQ521" s="9"/>
      <c r="CR521" s="10"/>
      <c r="CS521" s="68">
        <v>8</v>
      </c>
      <c r="EC521" s="344" t="str">
        <f t="shared" si="65"/>
        <v>CUNDINAMARCA_GUTIERREZ</v>
      </c>
      <c r="ED521" s="341"/>
      <c r="EE521" s="341" t="s">
        <v>3139</v>
      </c>
      <c r="EF521" s="349" t="s">
        <v>4802</v>
      </c>
      <c r="EG521" s="341" t="s">
        <v>3721</v>
      </c>
      <c r="EH521" s="341" t="s">
        <v>4839</v>
      </c>
      <c r="EI521" s="341" t="str">
        <f t="shared" si="64"/>
        <v>Cundinamarca_Guayabetal</v>
      </c>
    </row>
    <row r="522" spans="1:139" ht="38.25">
      <c r="A522" s="228">
        <v>40304</v>
      </c>
      <c r="B522" s="102" t="s">
        <v>1604</v>
      </c>
      <c r="C522" s="102" t="s">
        <v>1235</v>
      </c>
      <c r="D522" s="206" t="s">
        <v>1201</v>
      </c>
      <c r="E522" s="320" t="s">
        <v>3763</v>
      </c>
      <c r="F522" s="320"/>
      <c r="G522" s="210"/>
      <c r="H522" s="71"/>
      <c r="I522" s="71"/>
      <c r="J522" s="71">
        <v>100</v>
      </c>
      <c r="K522" s="71">
        <v>20</v>
      </c>
      <c r="L522" s="1"/>
      <c r="M522" s="73">
        <f t="shared" si="66"/>
        <v>0</v>
      </c>
      <c r="N522" s="73">
        <f t="shared" si="67"/>
        <v>0</v>
      </c>
      <c r="O522" s="73">
        <f t="shared" si="68"/>
        <v>0</v>
      </c>
      <c r="P522" s="73">
        <f t="shared" si="69"/>
        <v>0</v>
      </c>
      <c r="Q522" s="73"/>
      <c r="R522" s="73">
        <v>0</v>
      </c>
      <c r="S522" s="75">
        <f t="shared" si="71"/>
        <v>0</v>
      </c>
      <c r="T522" s="77">
        <v>0</v>
      </c>
      <c r="U522" s="66">
        <v>40304</v>
      </c>
      <c r="V522" s="79"/>
      <c r="W522" s="66" t="s">
        <v>1585</v>
      </c>
      <c r="X522" s="24" t="s">
        <v>1586</v>
      </c>
      <c r="Y522" s="62"/>
      <c r="Z522" s="177" t="s">
        <v>894</v>
      </c>
      <c r="AA522" s="80" t="s">
        <v>882</v>
      </c>
      <c r="AB522" s="3"/>
      <c r="AC522" s="4"/>
      <c r="AD522" s="5"/>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6"/>
      <c r="CE522" s="7"/>
      <c r="CF522" s="6"/>
      <c r="CG522" s="7"/>
      <c r="CH522" s="6"/>
      <c r="CI522" s="7"/>
      <c r="CJ522" s="8">
        <f t="shared" si="70"/>
        <v>0</v>
      </c>
      <c r="CK522" s="9"/>
      <c r="CL522" s="10"/>
      <c r="CM522" s="11"/>
      <c r="CN522" s="12"/>
      <c r="CO522" s="28"/>
      <c r="CP522" s="12"/>
      <c r="CQ522" s="9"/>
      <c r="CR522" s="10"/>
      <c r="CS522" s="68"/>
      <c r="EC522" s="344" t="str">
        <f t="shared" si="65"/>
        <v>CUNDINAMARCA_SIMIJACA</v>
      </c>
      <c r="ED522" s="341"/>
      <c r="EE522" s="341" t="s">
        <v>3139</v>
      </c>
      <c r="EF522" s="349" t="s">
        <v>4802</v>
      </c>
      <c r="EG522" s="341" t="s">
        <v>3722</v>
      </c>
      <c r="EH522" s="341" t="s">
        <v>4840</v>
      </c>
      <c r="EI522" s="341" t="str">
        <f t="shared" si="64"/>
        <v>Cundinamarca_Gutierrez</v>
      </c>
    </row>
    <row r="523" spans="1:139" ht="38.25">
      <c r="A523" s="228">
        <v>40304</v>
      </c>
      <c r="B523" s="102" t="s">
        <v>1604</v>
      </c>
      <c r="C523" s="102" t="s">
        <v>960</v>
      </c>
      <c r="D523" s="206" t="s">
        <v>1878</v>
      </c>
      <c r="E523" s="320" t="s">
        <v>3792</v>
      </c>
      <c r="F523" s="320"/>
      <c r="G523" s="210"/>
      <c r="H523" s="71"/>
      <c r="I523" s="71"/>
      <c r="J523" s="71"/>
      <c r="K523" s="71"/>
      <c r="L523" s="1"/>
      <c r="M523" s="73">
        <f t="shared" si="66"/>
        <v>0</v>
      </c>
      <c r="N523" s="73">
        <f t="shared" si="67"/>
        <v>0</v>
      </c>
      <c r="O523" s="73">
        <f t="shared" si="68"/>
        <v>0</v>
      </c>
      <c r="P523" s="73">
        <f t="shared" si="69"/>
        <v>0</v>
      </c>
      <c r="Q523" s="73"/>
      <c r="R523" s="73">
        <v>0</v>
      </c>
      <c r="S523" s="75">
        <f t="shared" si="71"/>
        <v>0</v>
      </c>
      <c r="T523" s="77">
        <v>0</v>
      </c>
      <c r="U523" s="66">
        <v>40306</v>
      </c>
      <c r="V523" s="79"/>
      <c r="W523" s="66" t="s">
        <v>1585</v>
      </c>
      <c r="X523" s="24" t="s">
        <v>1586</v>
      </c>
      <c r="Y523" s="62"/>
      <c r="Z523" s="177" t="s">
        <v>894</v>
      </c>
      <c r="AA523" s="80" t="s">
        <v>1183</v>
      </c>
      <c r="AB523" s="3"/>
      <c r="AC523" s="4"/>
      <c r="AD523" s="5"/>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6"/>
      <c r="CE523" s="7"/>
      <c r="CF523" s="6"/>
      <c r="CG523" s="7"/>
      <c r="CH523" s="6"/>
      <c r="CI523" s="7"/>
      <c r="CJ523" s="8">
        <f t="shared" si="70"/>
        <v>0</v>
      </c>
      <c r="CK523" s="9"/>
      <c r="CL523" s="10"/>
      <c r="CM523" s="11"/>
      <c r="CN523" s="12"/>
      <c r="CO523" s="28"/>
      <c r="CP523" s="12"/>
      <c r="CQ523" s="9"/>
      <c r="CR523" s="10"/>
      <c r="CS523" s="68"/>
      <c r="EC523" s="344" t="str">
        <f t="shared" si="65"/>
        <v>CUNDINAMARCA_ZIPAQUIRA</v>
      </c>
      <c r="ED523" s="341"/>
      <c r="EE523" s="341" t="s">
        <v>3139</v>
      </c>
      <c r="EF523" s="349" t="s">
        <v>4802</v>
      </c>
      <c r="EG523" s="341" t="s">
        <v>3723</v>
      </c>
      <c r="EH523" s="341" t="s">
        <v>4841</v>
      </c>
      <c r="EI523" s="341" t="str">
        <f t="shared" si="64"/>
        <v>Cundinamarca_Jerusalen</v>
      </c>
    </row>
    <row r="524" spans="1:139" ht="25.5">
      <c r="A524" s="228">
        <v>40304</v>
      </c>
      <c r="B524" s="102" t="s">
        <v>962</v>
      </c>
      <c r="C524" s="102" t="s">
        <v>944</v>
      </c>
      <c r="D524" s="206" t="s">
        <v>1201</v>
      </c>
      <c r="E524" s="320" t="s">
        <v>3826</v>
      </c>
      <c r="F524" s="320"/>
      <c r="G524" s="210"/>
      <c r="H524" s="71"/>
      <c r="I524" s="71"/>
      <c r="J524" s="71">
        <v>275</v>
      </c>
      <c r="K524" s="71">
        <v>55</v>
      </c>
      <c r="L524" s="1"/>
      <c r="M524" s="73">
        <f t="shared" si="66"/>
        <v>0</v>
      </c>
      <c r="N524" s="73">
        <f t="shared" si="67"/>
        <v>0</v>
      </c>
      <c r="O524" s="73">
        <f t="shared" si="68"/>
        <v>0</v>
      </c>
      <c r="P524" s="73">
        <f t="shared" si="69"/>
        <v>0</v>
      </c>
      <c r="Q524" s="73"/>
      <c r="R524" s="73">
        <v>0</v>
      </c>
      <c r="S524" s="75">
        <f t="shared" si="71"/>
        <v>0</v>
      </c>
      <c r="T524" s="77">
        <v>0</v>
      </c>
      <c r="U524" s="66">
        <v>40306</v>
      </c>
      <c r="V524" s="79"/>
      <c r="W524" s="66" t="s">
        <v>1585</v>
      </c>
      <c r="X524" s="24" t="s">
        <v>1586</v>
      </c>
      <c r="Y524" s="62"/>
      <c r="Z524" s="177" t="s">
        <v>894</v>
      </c>
      <c r="AA524" s="80" t="s">
        <v>1179</v>
      </c>
      <c r="AB524" s="3"/>
      <c r="AC524" s="4"/>
      <c r="AD524" s="5"/>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6"/>
      <c r="CE524" s="7"/>
      <c r="CF524" s="6"/>
      <c r="CG524" s="7"/>
      <c r="CH524" s="6"/>
      <c r="CI524" s="7"/>
      <c r="CJ524" s="8">
        <f t="shared" si="70"/>
        <v>0</v>
      </c>
      <c r="CK524" s="9"/>
      <c r="CL524" s="10"/>
      <c r="CM524" s="11"/>
      <c r="CN524" s="12"/>
      <c r="CO524" s="28"/>
      <c r="CP524" s="12"/>
      <c r="CQ524" s="9"/>
      <c r="CR524" s="10"/>
      <c r="CS524" s="68"/>
      <c r="EC524" s="344" t="str">
        <f t="shared" si="65"/>
        <v>HUILA_AIPE</v>
      </c>
      <c r="ED524" s="341"/>
      <c r="EE524" s="341" t="s">
        <v>3139</v>
      </c>
      <c r="EF524" s="349" t="s">
        <v>4802</v>
      </c>
      <c r="EG524" s="341" t="s">
        <v>3724</v>
      </c>
      <c r="EH524" s="341" t="s">
        <v>4842</v>
      </c>
      <c r="EI524" s="341" t="str">
        <f t="shared" si="64"/>
        <v>Cundinamarca_Junin</v>
      </c>
    </row>
    <row r="525" spans="1:139" ht="38.25">
      <c r="A525" s="228">
        <v>40305</v>
      </c>
      <c r="B525" s="102" t="s">
        <v>2400</v>
      </c>
      <c r="C525" s="102" t="s">
        <v>1180</v>
      </c>
      <c r="D525" s="206" t="s">
        <v>1201</v>
      </c>
      <c r="E525" s="320" t="s">
        <v>4219</v>
      </c>
      <c r="F525" s="320"/>
      <c r="G525" s="210"/>
      <c r="H525" s="71"/>
      <c r="I525" s="71"/>
      <c r="J525" s="71">
        <f>80*5</f>
        <v>400</v>
      </c>
      <c r="K525" s="71">
        <v>80</v>
      </c>
      <c r="L525" s="1"/>
      <c r="M525" s="73">
        <f t="shared" si="66"/>
        <v>0</v>
      </c>
      <c r="N525" s="73">
        <f t="shared" si="67"/>
        <v>0</v>
      </c>
      <c r="O525" s="73">
        <f t="shared" si="68"/>
        <v>0</v>
      </c>
      <c r="P525" s="73">
        <f t="shared" si="69"/>
        <v>0</v>
      </c>
      <c r="Q525" s="73"/>
      <c r="R525" s="73">
        <v>0</v>
      </c>
      <c r="S525" s="75">
        <f t="shared" si="71"/>
        <v>0</v>
      </c>
      <c r="T525" s="77">
        <v>0</v>
      </c>
      <c r="U525" s="66">
        <v>40330</v>
      </c>
      <c r="V525" s="79">
        <v>97944</v>
      </c>
      <c r="W525" s="66" t="s">
        <v>1585</v>
      </c>
      <c r="X525" s="24" t="s">
        <v>1586</v>
      </c>
      <c r="Y525" s="62"/>
      <c r="Z525" s="177" t="s">
        <v>894</v>
      </c>
      <c r="AA525" s="80" t="s">
        <v>2722</v>
      </c>
      <c r="AB525" s="3"/>
      <c r="AC525" s="4"/>
      <c r="AD525" s="5"/>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6"/>
      <c r="CE525" s="7"/>
      <c r="CF525" s="6"/>
      <c r="CG525" s="7"/>
      <c r="CH525" s="6"/>
      <c r="CI525" s="7"/>
      <c r="CJ525" s="8">
        <f t="shared" si="70"/>
        <v>0</v>
      </c>
      <c r="CK525" s="9"/>
      <c r="CL525" s="10"/>
      <c r="CM525" s="11"/>
      <c r="CN525" s="12"/>
      <c r="CO525" s="28"/>
      <c r="CP525" s="12"/>
      <c r="CQ525" s="9"/>
      <c r="CR525" s="10"/>
      <c r="CS525" s="68"/>
      <c r="EC525" s="344" t="str">
        <f t="shared" si="65"/>
        <v>TOLIMA_SUAREZ</v>
      </c>
      <c r="ED525" s="341"/>
      <c r="EE525" s="341" t="s">
        <v>3139</v>
      </c>
      <c r="EF525" s="349" t="s">
        <v>4802</v>
      </c>
      <c r="EG525" s="341" t="s">
        <v>3725</v>
      </c>
      <c r="EH525" s="341" t="s">
        <v>4843</v>
      </c>
      <c r="EI525" s="341" t="str">
        <f t="shared" si="64"/>
        <v>Cundinamarca_La Calera</v>
      </c>
    </row>
    <row r="526" spans="1:139" ht="25.5">
      <c r="A526" s="228">
        <v>40307</v>
      </c>
      <c r="B526" s="102" t="s">
        <v>1972</v>
      </c>
      <c r="C526" s="102" t="s">
        <v>1571</v>
      </c>
      <c r="D526" s="206" t="s">
        <v>1923</v>
      </c>
      <c r="E526" s="320" t="s">
        <v>3246</v>
      </c>
      <c r="F526" s="320"/>
      <c r="G526" s="210">
        <v>1</v>
      </c>
      <c r="H526" s="71">
        <v>8</v>
      </c>
      <c r="I526" s="71"/>
      <c r="J526" s="71"/>
      <c r="K526" s="71"/>
      <c r="L526" s="1"/>
      <c r="M526" s="73">
        <f t="shared" si="66"/>
        <v>0</v>
      </c>
      <c r="N526" s="73">
        <f t="shared" si="67"/>
        <v>0</v>
      </c>
      <c r="O526" s="73">
        <f t="shared" si="68"/>
        <v>0</v>
      </c>
      <c r="P526" s="73">
        <f t="shared" si="69"/>
        <v>0</v>
      </c>
      <c r="Q526" s="73"/>
      <c r="R526" s="73">
        <v>0</v>
      </c>
      <c r="S526" s="75">
        <f t="shared" si="71"/>
        <v>0</v>
      </c>
      <c r="T526" s="77">
        <v>0</v>
      </c>
      <c r="U526" s="66">
        <v>40316</v>
      </c>
      <c r="V526" s="79"/>
      <c r="W526" s="66" t="s">
        <v>1585</v>
      </c>
      <c r="X526" s="24" t="s">
        <v>1586</v>
      </c>
      <c r="Y526" s="62"/>
      <c r="Z526" s="177" t="s">
        <v>894</v>
      </c>
      <c r="AA526" s="80" t="s">
        <v>843</v>
      </c>
      <c r="AB526" s="3"/>
      <c r="AC526" s="4"/>
      <c r="AD526" s="5"/>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6"/>
      <c r="CE526" s="7"/>
      <c r="CF526" s="6"/>
      <c r="CG526" s="7"/>
      <c r="CH526" s="6"/>
      <c r="CI526" s="7"/>
      <c r="CJ526" s="8">
        <f t="shared" si="70"/>
        <v>0</v>
      </c>
      <c r="CK526" s="9"/>
      <c r="CL526" s="10"/>
      <c r="CM526" s="11"/>
      <c r="CN526" s="12"/>
      <c r="CO526" s="28"/>
      <c r="CP526" s="12"/>
      <c r="CQ526" s="9"/>
      <c r="CR526" s="10"/>
      <c r="CS526" s="68"/>
      <c r="EC526" s="344" t="str">
        <f t="shared" si="65"/>
        <v>ANTIOQUIA_BETANIA</v>
      </c>
      <c r="ED526" s="341"/>
      <c r="EE526" s="341" t="s">
        <v>3139</v>
      </c>
      <c r="EF526" s="349" t="s">
        <v>4802</v>
      </c>
      <c r="EG526" s="341" t="s">
        <v>3726</v>
      </c>
      <c r="EH526" s="341" t="s">
        <v>4844</v>
      </c>
      <c r="EI526" s="341" t="str">
        <f t="shared" si="64"/>
        <v>Cundinamarca_La Mesa</v>
      </c>
    </row>
    <row r="527" spans="1:139" ht="38.25">
      <c r="A527" s="228">
        <v>40307</v>
      </c>
      <c r="B527" s="102" t="s">
        <v>1612</v>
      </c>
      <c r="C527" s="102" t="s">
        <v>1613</v>
      </c>
      <c r="D527" s="206" t="s">
        <v>1316</v>
      </c>
      <c r="E527" s="320" t="s">
        <v>4038</v>
      </c>
      <c r="F527" s="320"/>
      <c r="G527" s="210"/>
      <c r="H527" s="71"/>
      <c r="I527" s="71"/>
      <c r="J527" s="71"/>
      <c r="K527" s="71"/>
      <c r="L527" s="1"/>
      <c r="M527" s="73">
        <f t="shared" si="66"/>
        <v>0</v>
      </c>
      <c r="N527" s="73">
        <f t="shared" si="67"/>
        <v>0</v>
      </c>
      <c r="O527" s="73">
        <f t="shared" si="68"/>
        <v>0</v>
      </c>
      <c r="P527" s="73">
        <f t="shared" si="69"/>
        <v>0</v>
      </c>
      <c r="Q527" s="73"/>
      <c r="R527" s="73">
        <v>0</v>
      </c>
      <c r="S527" s="75">
        <f t="shared" si="71"/>
        <v>0</v>
      </c>
      <c r="T527" s="77">
        <v>0</v>
      </c>
      <c r="U527" s="66">
        <v>40309</v>
      </c>
      <c r="V527" s="79"/>
      <c r="W527" s="66" t="s">
        <v>1585</v>
      </c>
      <c r="X527" s="24" t="s">
        <v>1586</v>
      </c>
      <c r="Y527" s="62"/>
      <c r="Z527" s="177" t="s">
        <v>894</v>
      </c>
      <c r="AA527" s="80" t="s">
        <v>1382</v>
      </c>
      <c r="AB527" s="3"/>
      <c r="AC527" s="4"/>
      <c r="AD527" s="5"/>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6"/>
      <c r="CE527" s="7"/>
      <c r="CF527" s="6"/>
      <c r="CG527" s="7"/>
      <c r="CH527" s="6"/>
      <c r="CI527" s="7"/>
      <c r="CJ527" s="8">
        <f t="shared" si="70"/>
        <v>0</v>
      </c>
      <c r="CK527" s="9"/>
      <c r="CL527" s="10"/>
      <c r="CM527" s="11"/>
      <c r="CN527" s="12"/>
      <c r="CO527" s="28"/>
      <c r="CP527" s="12"/>
      <c r="CQ527" s="9"/>
      <c r="CR527" s="10"/>
      <c r="CS527" s="68"/>
      <c r="EC527" s="344" t="str">
        <f t="shared" si="65"/>
        <v>QUINDIO_ARMENIA</v>
      </c>
      <c r="ED527" s="341"/>
      <c r="EE527" s="341" t="s">
        <v>3139</v>
      </c>
      <c r="EF527" s="349" t="s">
        <v>4802</v>
      </c>
      <c r="EG527" s="341" t="s">
        <v>3727</v>
      </c>
      <c r="EH527" s="341" t="s">
        <v>4845</v>
      </c>
      <c r="EI527" s="341" t="str">
        <f t="shared" si="64"/>
        <v>Cundinamarca_La Palma</v>
      </c>
    </row>
    <row r="528" spans="1:139" ht="36">
      <c r="A528" s="228">
        <v>40307</v>
      </c>
      <c r="B528" s="102" t="s">
        <v>1612</v>
      </c>
      <c r="C528" s="102" t="s">
        <v>1593</v>
      </c>
      <c r="D528" s="206" t="s">
        <v>2606</v>
      </c>
      <c r="E528" s="320" t="s">
        <v>4045</v>
      </c>
      <c r="F528" s="320"/>
      <c r="G528" s="210">
        <v>1</v>
      </c>
      <c r="H528" s="71"/>
      <c r="I528" s="71"/>
      <c r="J528" s="71"/>
      <c r="K528" s="71"/>
      <c r="L528" s="1"/>
      <c r="M528" s="73">
        <f t="shared" si="66"/>
        <v>0</v>
      </c>
      <c r="N528" s="73">
        <f t="shared" si="67"/>
        <v>0</v>
      </c>
      <c r="O528" s="73">
        <f t="shared" si="68"/>
        <v>0</v>
      </c>
      <c r="P528" s="73">
        <f t="shared" si="69"/>
        <v>0</v>
      </c>
      <c r="Q528" s="73"/>
      <c r="R528" s="73">
        <v>0</v>
      </c>
      <c r="S528" s="75">
        <f t="shared" si="71"/>
        <v>0</v>
      </c>
      <c r="T528" s="77">
        <v>0</v>
      </c>
      <c r="U528" s="66">
        <v>40309</v>
      </c>
      <c r="V528" s="79"/>
      <c r="W528" s="66" t="s">
        <v>1585</v>
      </c>
      <c r="X528" s="24" t="s">
        <v>1586</v>
      </c>
      <c r="Y528" s="62"/>
      <c r="Z528" s="177" t="s">
        <v>894</v>
      </c>
      <c r="AA528" s="80" t="s">
        <v>980</v>
      </c>
      <c r="AB528" s="3"/>
      <c r="AC528" s="4"/>
      <c r="AD528" s="5"/>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6"/>
      <c r="CE528" s="7"/>
      <c r="CF528" s="6"/>
      <c r="CG528" s="7"/>
      <c r="CH528" s="6"/>
      <c r="CI528" s="7"/>
      <c r="CJ528" s="8">
        <f t="shared" si="70"/>
        <v>0</v>
      </c>
      <c r="CK528" s="9"/>
      <c r="CL528" s="10"/>
      <c r="CM528" s="11"/>
      <c r="CN528" s="12"/>
      <c r="CO528" s="28"/>
      <c r="CP528" s="12"/>
      <c r="CQ528" s="9"/>
      <c r="CR528" s="10"/>
      <c r="CS528" s="68"/>
      <c r="EC528" s="344" t="str">
        <f t="shared" si="65"/>
        <v>QUINDIO_LA TEBAIDA</v>
      </c>
      <c r="ED528" s="341"/>
      <c r="EE528" s="341" t="s">
        <v>3139</v>
      </c>
      <c r="EF528" s="349" t="s">
        <v>4802</v>
      </c>
      <c r="EG528" s="341" t="s">
        <v>3728</v>
      </c>
      <c r="EH528" s="341" t="s">
        <v>4846</v>
      </c>
      <c r="EI528" s="341" t="str">
        <f t="shared" si="64"/>
        <v>Cundinamarca_La Peña</v>
      </c>
    </row>
    <row r="529" spans="1:139" ht="48">
      <c r="A529" s="228">
        <v>40308</v>
      </c>
      <c r="B529" s="102" t="s">
        <v>1551</v>
      </c>
      <c r="C529" s="102" t="s">
        <v>1590</v>
      </c>
      <c r="D529" s="206" t="s">
        <v>1316</v>
      </c>
      <c r="E529" s="320" t="s">
        <v>3352</v>
      </c>
      <c r="F529" s="320"/>
      <c r="G529" s="210"/>
      <c r="H529" s="71"/>
      <c r="I529" s="71"/>
      <c r="J529" s="71"/>
      <c r="K529" s="71"/>
      <c r="L529" s="1"/>
      <c r="M529" s="73">
        <f t="shared" si="66"/>
        <v>0</v>
      </c>
      <c r="N529" s="73">
        <f t="shared" si="67"/>
        <v>0</v>
      </c>
      <c r="O529" s="73">
        <f t="shared" si="68"/>
        <v>0</v>
      </c>
      <c r="P529" s="73">
        <f t="shared" si="69"/>
        <v>0</v>
      </c>
      <c r="Q529" s="73"/>
      <c r="R529" s="73">
        <v>0</v>
      </c>
      <c r="S529" s="75">
        <f t="shared" si="71"/>
        <v>0</v>
      </c>
      <c r="T529" s="77">
        <v>0</v>
      </c>
      <c r="U529" s="66">
        <v>40309</v>
      </c>
      <c r="V529" s="79"/>
      <c r="W529" s="66" t="s">
        <v>1585</v>
      </c>
      <c r="X529" s="24" t="s">
        <v>1586</v>
      </c>
      <c r="Y529" s="62"/>
      <c r="Z529" s="177" t="s">
        <v>894</v>
      </c>
      <c r="AA529" s="80" t="s">
        <v>1381</v>
      </c>
      <c r="AB529" s="3"/>
      <c r="AC529" s="4"/>
      <c r="AD529" s="5"/>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6"/>
      <c r="CE529" s="7"/>
      <c r="CF529" s="6"/>
      <c r="CG529" s="7"/>
      <c r="CH529" s="6"/>
      <c r="CI529" s="7"/>
      <c r="CJ529" s="8">
        <f t="shared" si="70"/>
        <v>0</v>
      </c>
      <c r="CK529" s="9"/>
      <c r="CL529" s="10"/>
      <c r="CM529" s="11"/>
      <c r="CN529" s="12"/>
      <c r="CO529" s="28"/>
      <c r="CP529" s="12"/>
      <c r="CQ529" s="9"/>
      <c r="CR529" s="10"/>
      <c r="CS529" s="68"/>
      <c r="EC529" s="344" t="str">
        <f t="shared" si="65"/>
        <v>ATLANTICO_BARRANQUILLA</v>
      </c>
      <c r="ED529" s="341"/>
      <c r="EE529" s="341" t="s">
        <v>3139</v>
      </c>
      <c r="EF529" s="349" t="s">
        <v>4802</v>
      </c>
      <c r="EG529" s="341" t="s">
        <v>3729</v>
      </c>
      <c r="EH529" s="341" t="s">
        <v>4735</v>
      </c>
      <c r="EI529" s="341" t="str">
        <f t="shared" si="64"/>
        <v>Cundinamarca_La Vega</v>
      </c>
    </row>
    <row r="530" spans="1:139" ht="51">
      <c r="A530" s="228">
        <v>40308</v>
      </c>
      <c r="B530" s="102" t="s">
        <v>965</v>
      </c>
      <c r="C530" s="102" t="s">
        <v>978</v>
      </c>
      <c r="D530" s="206" t="s">
        <v>1902</v>
      </c>
      <c r="E530" s="320" t="s">
        <v>4008</v>
      </c>
      <c r="F530" s="320"/>
      <c r="G530" s="210">
        <v>1</v>
      </c>
      <c r="H530" s="71"/>
      <c r="I530" s="71"/>
      <c r="J530" s="71"/>
      <c r="K530" s="71"/>
      <c r="L530" s="1"/>
      <c r="M530" s="73">
        <f t="shared" si="66"/>
        <v>0</v>
      </c>
      <c r="N530" s="73">
        <f t="shared" si="67"/>
        <v>0</v>
      </c>
      <c r="O530" s="73">
        <f t="shared" si="68"/>
        <v>0</v>
      </c>
      <c r="P530" s="73">
        <f t="shared" si="69"/>
        <v>0</v>
      </c>
      <c r="Q530" s="73"/>
      <c r="R530" s="73">
        <v>0</v>
      </c>
      <c r="S530" s="75">
        <f t="shared" si="71"/>
        <v>0</v>
      </c>
      <c r="T530" s="77">
        <v>0</v>
      </c>
      <c r="U530" s="66">
        <v>40309</v>
      </c>
      <c r="V530" s="79"/>
      <c r="W530" s="66" t="s">
        <v>1585</v>
      </c>
      <c r="X530" s="24" t="s">
        <v>1586</v>
      </c>
      <c r="Y530" s="62"/>
      <c r="Z530" s="177" t="s">
        <v>894</v>
      </c>
      <c r="AA530" s="80" t="s">
        <v>979</v>
      </c>
      <c r="AB530" s="3"/>
      <c r="AC530" s="4"/>
      <c r="AD530" s="5"/>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6"/>
      <c r="CE530" s="7"/>
      <c r="CF530" s="6"/>
      <c r="CG530" s="7"/>
      <c r="CH530" s="6"/>
      <c r="CI530" s="7"/>
      <c r="CJ530" s="8">
        <f t="shared" si="70"/>
        <v>0</v>
      </c>
      <c r="CK530" s="9"/>
      <c r="CL530" s="10"/>
      <c r="CM530" s="11"/>
      <c r="CN530" s="12"/>
      <c r="CO530" s="28"/>
      <c r="CP530" s="12"/>
      <c r="CQ530" s="9"/>
      <c r="CR530" s="10"/>
      <c r="CS530" s="68"/>
      <c r="EC530" s="344" t="str">
        <f t="shared" si="65"/>
        <v>NORTE DE SANTANDER_CUCUTILLA</v>
      </c>
      <c r="ED530" s="341"/>
      <c r="EE530" s="341" t="s">
        <v>3139</v>
      </c>
      <c r="EF530" s="349" t="s">
        <v>4802</v>
      </c>
      <c r="EG530" s="341" t="s">
        <v>3730</v>
      </c>
      <c r="EH530" s="341" t="s">
        <v>4847</v>
      </c>
      <c r="EI530" s="341" t="str">
        <f t="shared" si="64"/>
        <v>Cundinamarca_Lenguazaque</v>
      </c>
    </row>
    <row r="531" spans="1:139" ht="25.5">
      <c r="A531" s="228">
        <v>40308</v>
      </c>
      <c r="B531" s="205" t="s">
        <v>1609</v>
      </c>
      <c r="C531" s="205" t="s">
        <v>2372</v>
      </c>
      <c r="D531" s="207" t="s">
        <v>1878</v>
      </c>
      <c r="E531" s="323"/>
      <c r="F531" s="323"/>
      <c r="G531" s="204"/>
      <c r="H531" s="151"/>
      <c r="I531" s="151"/>
      <c r="J531" s="151">
        <v>40</v>
      </c>
      <c r="K531" s="151">
        <v>8</v>
      </c>
      <c r="L531" s="1"/>
      <c r="M531" s="73">
        <f t="shared" si="66"/>
        <v>0</v>
      </c>
      <c r="N531" s="73">
        <f t="shared" si="67"/>
        <v>0</v>
      </c>
      <c r="O531" s="73">
        <f t="shared" si="68"/>
        <v>0</v>
      </c>
      <c r="P531" s="73">
        <f t="shared" si="69"/>
        <v>0</v>
      </c>
      <c r="Q531" s="73"/>
      <c r="R531" s="73">
        <v>0</v>
      </c>
      <c r="S531" s="75">
        <f t="shared" si="71"/>
        <v>0</v>
      </c>
      <c r="T531" s="77">
        <v>0</v>
      </c>
      <c r="U531" s="66">
        <v>40624</v>
      </c>
      <c r="V531" s="79"/>
      <c r="W531" s="66" t="s">
        <v>1585</v>
      </c>
      <c r="X531" s="24" t="s">
        <v>1586</v>
      </c>
      <c r="Y531" s="62"/>
      <c r="Z531" s="169" t="s">
        <v>894</v>
      </c>
      <c r="AA531" s="166" t="s">
        <v>155</v>
      </c>
      <c r="AB531" s="152"/>
      <c r="AC531" s="153"/>
      <c r="AD531" s="154"/>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53"/>
      <c r="BM531" s="153"/>
      <c r="BN531" s="153"/>
      <c r="BO531" s="153"/>
      <c r="BP531" s="153"/>
      <c r="BQ531" s="153"/>
      <c r="BR531" s="153"/>
      <c r="BS531" s="153"/>
      <c r="BT531" s="153"/>
      <c r="BU531" s="153"/>
      <c r="BV531" s="153"/>
      <c r="BW531" s="153"/>
      <c r="BX531" s="153"/>
      <c r="BY531" s="153"/>
      <c r="BZ531" s="153"/>
      <c r="CA531" s="153"/>
      <c r="CB531" s="153"/>
      <c r="CC531" s="153"/>
      <c r="CD531" s="155"/>
      <c r="CE531" s="156"/>
      <c r="CF531" s="155"/>
      <c r="CG531" s="156"/>
      <c r="CH531" s="155"/>
      <c r="CI531" s="156"/>
      <c r="CJ531" s="157">
        <f t="shared" si="70"/>
        <v>0</v>
      </c>
      <c r="CK531" s="158"/>
      <c r="CL531" s="159"/>
      <c r="CM531" s="160"/>
      <c r="CN531" s="161"/>
      <c r="CO531" s="162"/>
      <c r="CP531" s="161"/>
      <c r="CQ531" s="158"/>
      <c r="CR531" s="159"/>
      <c r="CS531" s="68"/>
      <c r="CT531" s="163"/>
      <c r="EC531" s="344" t="str">
        <f t="shared" si="65"/>
        <v>RISARALDA_APIA</v>
      </c>
      <c r="ED531" s="341"/>
      <c r="EE531" s="341" t="s">
        <v>3139</v>
      </c>
      <c r="EF531" s="349" t="s">
        <v>4802</v>
      </c>
      <c r="EG531" s="341" t="s">
        <v>3731</v>
      </c>
      <c r="EH531" s="341" t="s">
        <v>4848</v>
      </c>
      <c r="EI531" s="341" t="str">
        <f t="shared" si="64"/>
        <v>Cundinamarca_Macheta</v>
      </c>
    </row>
    <row r="532" spans="1:139" ht="45">
      <c r="A532" s="228">
        <v>40308</v>
      </c>
      <c r="B532" s="102" t="s">
        <v>2400</v>
      </c>
      <c r="C532" s="102" t="s">
        <v>1363</v>
      </c>
      <c r="D532" s="206" t="s">
        <v>1878</v>
      </c>
      <c r="E532" s="320" t="s">
        <v>4209</v>
      </c>
      <c r="F532" s="320"/>
      <c r="G532" s="210"/>
      <c r="H532" s="71"/>
      <c r="I532" s="71"/>
      <c r="J532" s="71">
        <v>1229</v>
      </c>
      <c r="K532" s="71">
        <v>273</v>
      </c>
      <c r="L532" s="1">
        <v>40354</v>
      </c>
      <c r="M532" s="73">
        <f t="shared" si="66"/>
        <v>6001000</v>
      </c>
      <c r="N532" s="73">
        <f t="shared" si="67"/>
        <v>1445000</v>
      </c>
      <c r="O532" s="73">
        <f t="shared" si="68"/>
        <v>0</v>
      </c>
      <c r="P532" s="73">
        <f t="shared" si="69"/>
        <v>0</v>
      </c>
      <c r="Q532" s="73"/>
      <c r="R532" s="73">
        <v>0</v>
      </c>
      <c r="S532" s="75">
        <f t="shared" si="71"/>
        <v>7446000</v>
      </c>
      <c r="T532" s="77">
        <v>0</v>
      </c>
      <c r="U532" s="66">
        <v>40330</v>
      </c>
      <c r="V532" s="79">
        <v>97944</v>
      </c>
      <c r="W532" s="66" t="s">
        <v>1606</v>
      </c>
      <c r="X532" s="24" t="s">
        <v>1607</v>
      </c>
      <c r="Y532" s="83" t="s">
        <v>2448</v>
      </c>
      <c r="Z532" s="177" t="s">
        <v>2580</v>
      </c>
      <c r="AA532" s="80" t="s">
        <v>1383</v>
      </c>
      <c r="AB532" s="3"/>
      <c r="AC532" s="4"/>
      <c r="AD532" s="5"/>
      <c r="AE532" s="4"/>
      <c r="AF532" s="4"/>
      <c r="AG532" s="4"/>
      <c r="AH532" s="4"/>
      <c r="AI532" s="4"/>
      <c r="AJ532" s="4"/>
      <c r="AK532" s="4"/>
      <c r="AL532" s="4"/>
      <c r="AM532" s="4"/>
      <c r="AN532" s="4">
        <v>85</v>
      </c>
      <c r="AO532" s="4">
        <f>85*56000</f>
        <v>4760000</v>
      </c>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6">
        <v>17</v>
      </c>
      <c r="CE532" s="7">
        <f>17*37000</f>
        <v>629000</v>
      </c>
      <c r="CF532" s="6">
        <v>17</v>
      </c>
      <c r="CG532" s="7">
        <f>17*36000</f>
        <v>612000</v>
      </c>
      <c r="CH532" s="6"/>
      <c r="CI532" s="7"/>
      <c r="CJ532" s="8">
        <f t="shared" si="70"/>
        <v>6001000</v>
      </c>
      <c r="CK532" s="9"/>
      <c r="CL532" s="10"/>
      <c r="CM532" s="11">
        <v>17</v>
      </c>
      <c r="CN532" s="12">
        <f>17*85000</f>
        <v>1445000</v>
      </c>
      <c r="CO532" s="28"/>
      <c r="CP532" s="12"/>
      <c r="CQ532" s="9"/>
      <c r="CR532" s="10"/>
      <c r="CS532" s="68"/>
      <c r="EC532" s="344" t="str">
        <f t="shared" si="65"/>
        <v>TOLIMA_PLANADAS</v>
      </c>
      <c r="ED532" s="341"/>
      <c r="EE532" s="341" t="s">
        <v>3139</v>
      </c>
      <c r="EF532" s="349" t="s">
        <v>4802</v>
      </c>
      <c r="EG532" s="341" t="s">
        <v>3732</v>
      </c>
      <c r="EH532" s="341" t="s">
        <v>4849</v>
      </c>
      <c r="EI532" s="341" t="str">
        <f t="shared" ref="EI532:EI589" si="72">EF532&amp;"_"&amp;EH532</f>
        <v>Cundinamarca_Madrid</v>
      </c>
    </row>
    <row r="533" spans="1:139" s="399" customFormat="1" ht="45">
      <c r="A533" s="228">
        <v>40308</v>
      </c>
      <c r="B533" s="102" t="s">
        <v>1088</v>
      </c>
      <c r="C533" s="102" t="s">
        <v>2743</v>
      </c>
      <c r="D533" s="206" t="s">
        <v>2606</v>
      </c>
      <c r="E533" s="320" t="s">
        <v>4226</v>
      </c>
      <c r="F533" s="320"/>
      <c r="G533" s="210"/>
      <c r="H533" s="71"/>
      <c r="I533" s="71"/>
      <c r="J533" s="71">
        <f>15*5</f>
        <v>75</v>
      </c>
      <c r="K533" s="71">
        <v>15</v>
      </c>
      <c r="L533" s="1">
        <v>40330</v>
      </c>
      <c r="M533" s="73">
        <f t="shared" si="66"/>
        <v>1680000</v>
      </c>
      <c r="N533" s="73">
        <f t="shared" si="67"/>
        <v>1275000</v>
      </c>
      <c r="O533" s="73">
        <f t="shared" si="68"/>
        <v>3132000</v>
      </c>
      <c r="P533" s="73">
        <f t="shared" si="69"/>
        <v>0</v>
      </c>
      <c r="Q533" s="73"/>
      <c r="R533" s="73">
        <v>0</v>
      </c>
      <c r="S533" s="75">
        <f t="shared" si="71"/>
        <v>6087000</v>
      </c>
      <c r="T533" s="77">
        <v>0</v>
      </c>
      <c r="U533" s="66">
        <v>40317</v>
      </c>
      <c r="V533" s="79">
        <v>97589</v>
      </c>
      <c r="W533" s="66" t="s">
        <v>1606</v>
      </c>
      <c r="X533" s="24" t="s">
        <v>1607</v>
      </c>
      <c r="Y533" s="83" t="s">
        <v>2450</v>
      </c>
      <c r="Z533" s="177" t="s">
        <v>2580</v>
      </c>
      <c r="AA533" s="80" t="s">
        <v>2744</v>
      </c>
      <c r="AB533" s="3"/>
      <c r="AC533" s="4"/>
      <c r="AD533" s="5"/>
      <c r="AE533" s="4"/>
      <c r="AF533" s="4"/>
      <c r="AG533" s="4"/>
      <c r="AH533" s="4"/>
      <c r="AI533" s="4"/>
      <c r="AJ533" s="4"/>
      <c r="AK533" s="4"/>
      <c r="AL533" s="4"/>
      <c r="AM533" s="4"/>
      <c r="AN533" s="4">
        <v>30</v>
      </c>
      <c r="AO533" s="4">
        <f>30*56000</f>
        <v>1680000</v>
      </c>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6"/>
      <c r="CE533" s="7"/>
      <c r="CF533" s="6"/>
      <c r="CG533" s="7"/>
      <c r="CH533" s="6"/>
      <c r="CI533" s="7"/>
      <c r="CJ533" s="8">
        <f t="shared" si="70"/>
        <v>1680000</v>
      </c>
      <c r="CK533" s="9"/>
      <c r="CL533" s="10"/>
      <c r="CM533" s="11">
        <v>15</v>
      </c>
      <c r="CN533" s="12">
        <f>15*85000</f>
        <v>1275000</v>
      </c>
      <c r="CO533" s="28"/>
      <c r="CP533" s="12"/>
      <c r="CQ533" s="9">
        <v>150</v>
      </c>
      <c r="CR533" s="10">
        <f>150*18792+600*522</f>
        <v>3132000</v>
      </c>
      <c r="CS533" s="68"/>
      <c r="CT533" s="22"/>
      <c r="EC533" s="400" t="str">
        <f t="shared" si="65"/>
        <v>VALLE DEL CAUCA_ANDALUCIA</v>
      </c>
      <c r="ED533" s="401"/>
      <c r="EE533" s="401" t="s">
        <v>3139</v>
      </c>
      <c r="EF533" s="402" t="s">
        <v>4802</v>
      </c>
      <c r="EG533" s="401" t="s">
        <v>3733</v>
      </c>
      <c r="EH533" s="401" t="s">
        <v>4850</v>
      </c>
      <c r="EI533" s="401" t="str">
        <f t="shared" si="72"/>
        <v>Cundinamarca_Manta</v>
      </c>
    </row>
    <row r="534" spans="1:139" ht="36">
      <c r="A534" s="228">
        <v>40309</v>
      </c>
      <c r="B534" s="102" t="s">
        <v>1617</v>
      </c>
      <c r="C534" s="102" t="s">
        <v>1985</v>
      </c>
      <c r="D534" s="206" t="s">
        <v>1201</v>
      </c>
      <c r="E534" s="320" t="s">
        <v>4278</v>
      </c>
      <c r="F534" s="320"/>
      <c r="G534" s="210"/>
      <c r="H534" s="71"/>
      <c r="I534" s="71"/>
      <c r="J534" s="71">
        <v>456</v>
      </c>
      <c r="K534" s="71">
        <v>114</v>
      </c>
      <c r="L534" s="1"/>
      <c r="M534" s="73">
        <f t="shared" si="66"/>
        <v>0</v>
      </c>
      <c r="N534" s="73">
        <f t="shared" si="67"/>
        <v>0</v>
      </c>
      <c r="O534" s="73">
        <f t="shared" si="68"/>
        <v>0</v>
      </c>
      <c r="P534" s="73">
        <f t="shared" si="69"/>
        <v>0</v>
      </c>
      <c r="Q534" s="73"/>
      <c r="R534" s="73">
        <v>0</v>
      </c>
      <c r="S534" s="75">
        <f t="shared" si="71"/>
        <v>0</v>
      </c>
      <c r="T534" s="77">
        <v>0</v>
      </c>
      <c r="U534" s="66">
        <v>40312</v>
      </c>
      <c r="V534" s="79"/>
      <c r="W534" s="66" t="s">
        <v>1585</v>
      </c>
      <c r="X534" s="24" t="s">
        <v>1586</v>
      </c>
      <c r="Y534" s="62"/>
      <c r="Z534" s="177" t="s">
        <v>894</v>
      </c>
      <c r="AA534" s="80" t="s">
        <v>1986</v>
      </c>
      <c r="AB534" s="3"/>
      <c r="AC534" s="4"/>
      <c r="AD534" s="5"/>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6"/>
      <c r="CE534" s="7"/>
      <c r="CF534" s="6"/>
      <c r="CG534" s="7"/>
      <c r="CH534" s="6"/>
      <c r="CI534" s="7"/>
      <c r="CJ534" s="8">
        <f t="shared" si="70"/>
        <v>0</v>
      </c>
      <c r="CK534" s="9"/>
      <c r="CL534" s="10"/>
      <c r="CM534" s="11"/>
      <c r="CN534" s="12"/>
      <c r="CO534" s="28"/>
      <c r="CP534" s="12"/>
      <c r="CQ534" s="9"/>
      <c r="CR534" s="10"/>
      <c r="CS534" s="68"/>
      <c r="EC534" s="344" t="str">
        <f t="shared" si="65"/>
        <v>CASANARE_MANI</v>
      </c>
      <c r="ED534" s="341"/>
      <c r="EE534" s="341" t="s">
        <v>3139</v>
      </c>
      <c r="EF534" s="349" t="s">
        <v>4802</v>
      </c>
      <c r="EG534" s="341" t="s">
        <v>3734</v>
      </c>
      <c r="EH534" s="341" t="s">
        <v>4851</v>
      </c>
      <c r="EI534" s="341" t="str">
        <f t="shared" si="72"/>
        <v>Cundinamarca_Medina</v>
      </c>
    </row>
    <row r="535" spans="1:139" ht="38.25">
      <c r="A535" s="228">
        <v>40309</v>
      </c>
      <c r="B535" s="102" t="s">
        <v>1617</v>
      </c>
      <c r="C535" s="102" t="s">
        <v>1985</v>
      </c>
      <c r="D535" s="206" t="s">
        <v>1201</v>
      </c>
      <c r="E535" s="320" t="s">
        <v>4278</v>
      </c>
      <c r="F535" s="320"/>
      <c r="G535" s="210"/>
      <c r="H535" s="71"/>
      <c r="I535" s="71"/>
      <c r="J535" s="71">
        <f>595-456-102</f>
        <v>37</v>
      </c>
      <c r="K535" s="71">
        <v>15</v>
      </c>
      <c r="L535" s="1"/>
      <c r="M535" s="73">
        <f t="shared" si="66"/>
        <v>0</v>
      </c>
      <c r="N535" s="73">
        <f t="shared" si="67"/>
        <v>0</v>
      </c>
      <c r="O535" s="73">
        <f t="shared" si="68"/>
        <v>0</v>
      </c>
      <c r="P535" s="73">
        <f t="shared" si="69"/>
        <v>0</v>
      </c>
      <c r="Q535" s="73"/>
      <c r="R535" s="73">
        <v>0</v>
      </c>
      <c r="S535" s="75">
        <f t="shared" si="71"/>
        <v>0</v>
      </c>
      <c r="T535" s="77">
        <v>0</v>
      </c>
      <c r="U535" s="66">
        <v>40312</v>
      </c>
      <c r="V535" s="79"/>
      <c r="W535" s="66" t="s">
        <v>1585</v>
      </c>
      <c r="X535" s="24" t="s">
        <v>1586</v>
      </c>
      <c r="Y535" s="62"/>
      <c r="Z535" s="177" t="s">
        <v>894</v>
      </c>
      <c r="AA535" s="80" t="s">
        <v>745</v>
      </c>
      <c r="AB535" s="3"/>
      <c r="AC535" s="4"/>
      <c r="AD535" s="5"/>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6"/>
      <c r="CE535" s="7"/>
      <c r="CF535" s="6"/>
      <c r="CG535" s="7"/>
      <c r="CH535" s="6"/>
      <c r="CI535" s="7"/>
      <c r="CJ535" s="8">
        <f t="shared" si="70"/>
        <v>0</v>
      </c>
      <c r="CK535" s="9"/>
      <c r="CL535" s="10"/>
      <c r="CM535" s="11"/>
      <c r="CN535" s="12"/>
      <c r="CO535" s="28"/>
      <c r="CP535" s="12"/>
      <c r="CQ535" s="9"/>
      <c r="CR535" s="10"/>
      <c r="CS535" s="68"/>
      <c r="EC535" s="344" t="str">
        <f t="shared" si="65"/>
        <v>CASANARE_MANI</v>
      </c>
      <c r="ED535" s="341"/>
      <c r="EE535" s="341" t="s">
        <v>3139</v>
      </c>
      <c r="EF535" s="349" t="s">
        <v>4802</v>
      </c>
      <c r="EG535" s="341" t="s">
        <v>3735</v>
      </c>
      <c r="EH535" s="341" t="s">
        <v>4852</v>
      </c>
      <c r="EI535" s="341" t="str">
        <f t="shared" si="72"/>
        <v>Cundinamarca_Mosquera</v>
      </c>
    </row>
    <row r="536" spans="1:139" ht="36">
      <c r="A536" s="228">
        <v>40309</v>
      </c>
      <c r="B536" s="102" t="s">
        <v>1617</v>
      </c>
      <c r="C536" s="102" t="s">
        <v>1983</v>
      </c>
      <c r="D536" s="206" t="s">
        <v>1201</v>
      </c>
      <c r="E536" s="320" t="s">
        <v>4283</v>
      </c>
      <c r="F536" s="320"/>
      <c r="G536" s="210"/>
      <c r="H536" s="71"/>
      <c r="I536" s="71"/>
      <c r="J536" s="71">
        <f>60*5</f>
        <v>300</v>
      </c>
      <c r="K536" s="71">
        <v>60</v>
      </c>
      <c r="L536" s="1"/>
      <c r="M536" s="73">
        <f t="shared" si="66"/>
        <v>0</v>
      </c>
      <c r="N536" s="73">
        <f t="shared" si="67"/>
        <v>0</v>
      </c>
      <c r="O536" s="73">
        <f t="shared" si="68"/>
        <v>0</v>
      </c>
      <c r="P536" s="73">
        <f t="shared" si="69"/>
        <v>0</v>
      </c>
      <c r="Q536" s="73"/>
      <c r="R536" s="73">
        <v>0</v>
      </c>
      <c r="S536" s="75">
        <f t="shared" si="71"/>
        <v>0</v>
      </c>
      <c r="T536" s="77">
        <v>0</v>
      </c>
      <c r="U536" s="66">
        <v>40312</v>
      </c>
      <c r="V536" s="79"/>
      <c r="W536" s="66" t="s">
        <v>1585</v>
      </c>
      <c r="X536" s="24" t="s">
        <v>1586</v>
      </c>
      <c r="Y536" s="62"/>
      <c r="Z536" s="177" t="s">
        <v>894</v>
      </c>
      <c r="AA536" s="80" t="s">
        <v>1984</v>
      </c>
      <c r="AB536" s="3"/>
      <c r="AC536" s="4"/>
      <c r="AD536" s="5"/>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6"/>
      <c r="CE536" s="7"/>
      <c r="CF536" s="6"/>
      <c r="CG536" s="7"/>
      <c r="CH536" s="6"/>
      <c r="CI536" s="7"/>
      <c r="CJ536" s="8">
        <f t="shared" si="70"/>
        <v>0</v>
      </c>
      <c r="CK536" s="9"/>
      <c r="CL536" s="10"/>
      <c r="CM536" s="11"/>
      <c r="CN536" s="12"/>
      <c r="CO536" s="28"/>
      <c r="CP536" s="12"/>
      <c r="CQ536" s="9"/>
      <c r="CR536" s="10"/>
      <c r="CS536" s="68"/>
      <c r="EC536" s="344" t="str">
        <f t="shared" si="65"/>
        <v>CASANARE_PORE</v>
      </c>
      <c r="ED536" s="341"/>
      <c r="EE536" s="341" t="s">
        <v>3139</v>
      </c>
      <c r="EF536" s="349" t="s">
        <v>4802</v>
      </c>
      <c r="EG536" s="341" t="s">
        <v>3736</v>
      </c>
      <c r="EH536" s="341" t="s">
        <v>3172</v>
      </c>
      <c r="EI536" s="341" t="str">
        <f t="shared" si="72"/>
        <v>Cundinamarca_Nariño</v>
      </c>
    </row>
    <row r="537" spans="1:139" ht="38.25">
      <c r="A537" s="228">
        <v>40309</v>
      </c>
      <c r="B537" s="205" t="s">
        <v>1609</v>
      </c>
      <c r="C537" s="205" t="s">
        <v>2372</v>
      </c>
      <c r="D537" s="207" t="s">
        <v>2606</v>
      </c>
      <c r="E537" s="323"/>
      <c r="F537" s="323"/>
      <c r="G537" s="204"/>
      <c r="H537" s="151"/>
      <c r="I537" s="151"/>
      <c r="J537" s="151">
        <v>170</v>
      </c>
      <c r="K537" s="151">
        <v>34</v>
      </c>
      <c r="L537" s="1"/>
      <c r="M537" s="73">
        <f t="shared" si="66"/>
        <v>0</v>
      </c>
      <c r="N537" s="73">
        <f t="shared" si="67"/>
        <v>0</v>
      </c>
      <c r="O537" s="73">
        <f t="shared" si="68"/>
        <v>0</v>
      </c>
      <c r="P537" s="73">
        <f t="shared" si="69"/>
        <v>0</v>
      </c>
      <c r="Q537" s="73"/>
      <c r="R537" s="73">
        <v>0</v>
      </c>
      <c r="S537" s="75">
        <f t="shared" si="71"/>
        <v>0</v>
      </c>
      <c r="T537" s="77">
        <v>0</v>
      </c>
      <c r="U537" s="66">
        <v>40624</v>
      </c>
      <c r="V537" s="79"/>
      <c r="W537" s="66" t="s">
        <v>1585</v>
      </c>
      <c r="X537" s="24" t="s">
        <v>1586</v>
      </c>
      <c r="Y537" s="62"/>
      <c r="Z537" s="169" t="s">
        <v>894</v>
      </c>
      <c r="AA537" s="166" t="s">
        <v>155</v>
      </c>
      <c r="AB537" s="152"/>
      <c r="AC537" s="153"/>
      <c r="AD537" s="154"/>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53"/>
      <c r="BP537" s="153"/>
      <c r="BQ537" s="153"/>
      <c r="BR537" s="153"/>
      <c r="BS537" s="153"/>
      <c r="BT537" s="153"/>
      <c r="BU537" s="153"/>
      <c r="BV537" s="153"/>
      <c r="BW537" s="153"/>
      <c r="BX537" s="153"/>
      <c r="BY537" s="153"/>
      <c r="BZ537" s="153"/>
      <c r="CA537" s="153"/>
      <c r="CB537" s="153"/>
      <c r="CC537" s="153"/>
      <c r="CD537" s="155"/>
      <c r="CE537" s="156"/>
      <c r="CF537" s="155"/>
      <c r="CG537" s="156"/>
      <c r="CH537" s="155"/>
      <c r="CI537" s="156"/>
      <c r="CJ537" s="157">
        <f t="shared" si="70"/>
        <v>0</v>
      </c>
      <c r="CK537" s="158"/>
      <c r="CL537" s="159"/>
      <c r="CM537" s="160"/>
      <c r="CN537" s="161"/>
      <c r="CO537" s="162"/>
      <c r="CP537" s="161"/>
      <c r="CQ537" s="158"/>
      <c r="CR537" s="159"/>
      <c r="CS537" s="68"/>
      <c r="CT537" s="163"/>
      <c r="EC537" s="344" t="str">
        <f t="shared" si="65"/>
        <v>RISARALDA_APIA</v>
      </c>
      <c r="ED537" s="341"/>
      <c r="EE537" s="341" t="s">
        <v>3139</v>
      </c>
      <c r="EF537" s="349" t="s">
        <v>4802</v>
      </c>
      <c r="EG537" s="341" t="s">
        <v>3737</v>
      </c>
      <c r="EH537" s="341" t="s">
        <v>4853</v>
      </c>
      <c r="EI537" s="341" t="str">
        <f t="shared" si="72"/>
        <v>Cundinamarca_Nemocon</v>
      </c>
    </row>
    <row r="538" spans="1:139" ht="51">
      <c r="A538" s="228">
        <v>40309</v>
      </c>
      <c r="B538" s="102" t="s">
        <v>1088</v>
      </c>
      <c r="C538" s="102" t="s">
        <v>1544</v>
      </c>
      <c r="D538" s="206" t="s">
        <v>2606</v>
      </c>
      <c r="E538" s="320" t="s">
        <v>4230</v>
      </c>
      <c r="F538" s="320"/>
      <c r="G538" s="210"/>
      <c r="H538" s="71"/>
      <c r="I538" s="71"/>
      <c r="J538" s="71">
        <v>1000</v>
      </c>
      <c r="K538" s="71">
        <v>200</v>
      </c>
      <c r="L538" s="1">
        <v>40330</v>
      </c>
      <c r="M538" s="73">
        <f t="shared" si="66"/>
        <v>22400000</v>
      </c>
      <c r="N538" s="73">
        <f t="shared" si="67"/>
        <v>17000000</v>
      </c>
      <c r="O538" s="73">
        <f t="shared" si="68"/>
        <v>20880000</v>
      </c>
      <c r="P538" s="73">
        <f t="shared" si="69"/>
        <v>0</v>
      </c>
      <c r="Q538" s="73"/>
      <c r="R538" s="73">
        <v>0</v>
      </c>
      <c r="S538" s="75">
        <f t="shared" si="71"/>
        <v>60280000</v>
      </c>
      <c r="T538" s="77">
        <v>0</v>
      </c>
      <c r="U538" s="66">
        <v>40317</v>
      </c>
      <c r="V538" s="79">
        <v>97589</v>
      </c>
      <c r="W538" s="66" t="s">
        <v>1606</v>
      </c>
      <c r="X538" s="24" t="s">
        <v>1607</v>
      </c>
      <c r="Y538" s="83" t="s">
        <v>2450</v>
      </c>
      <c r="Z538" s="177" t="s">
        <v>2580</v>
      </c>
      <c r="AA538" s="80" t="s">
        <v>402</v>
      </c>
      <c r="AB538" s="3"/>
      <c r="AC538" s="4"/>
      <c r="AD538" s="5"/>
      <c r="AE538" s="4"/>
      <c r="AF538" s="4"/>
      <c r="AG538" s="4"/>
      <c r="AH538" s="4"/>
      <c r="AI538" s="4"/>
      <c r="AJ538" s="4"/>
      <c r="AK538" s="4"/>
      <c r="AL538" s="4"/>
      <c r="AM538" s="4"/>
      <c r="AN538" s="4">
        <v>400</v>
      </c>
      <c r="AO538" s="4">
        <f>400*56000</f>
        <v>22400000</v>
      </c>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6"/>
      <c r="CE538" s="7"/>
      <c r="CF538" s="6"/>
      <c r="CG538" s="7"/>
      <c r="CH538" s="6"/>
      <c r="CI538" s="7"/>
      <c r="CJ538" s="8">
        <f t="shared" si="70"/>
        <v>22400000</v>
      </c>
      <c r="CK538" s="9"/>
      <c r="CL538" s="10"/>
      <c r="CM538" s="11">
        <v>200</v>
      </c>
      <c r="CN538" s="12">
        <f>200*85000</f>
        <v>17000000</v>
      </c>
      <c r="CO538" s="28"/>
      <c r="CP538" s="12"/>
      <c r="CQ538" s="9">
        <v>1000</v>
      </c>
      <c r="CR538" s="10">
        <f>1000*18792+4000*522</f>
        <v>20880000</v>
      </c>
      <c r="CS538" s="68"/>
      <c r="EC538" s="344" t="str">
        <f t="shared" si="65"/>
        <v>VALLE DEL CAUCA_BUENAVENTURA</v>
      </c>
      <c r="ED538" s="341"/>
      <c r="EE538" s="341" t="s">
        <v>3139</v>
      </c>
      <c r="EF538" s="349" t="s">
        <v>4802</v>
      </c>
      <c r="EG538" s="341" t="s">
        <v>3738</v>
      </c>
      <c r="EH538" s="341" t="s">
        <v>4854</v>
      </c>
      <c r="EI538" s="341" t="str">
        <f t="shared" si="72"/>
        <v>Cundinamarca_Nilo</v>
      </c>
    </row>
    <row r="539" spans="1:139" ht="38.25">
      <c r="A539" s="228">
        <v>40309</v>
      </c>
      <c r="B539" s="102" t="s">
        <v>1088</v>
      </c>
      <c r="C539" s="102" t="s">
        <v>689</v>
      </c>
      <c r="D539" s="206" t="s">
        <v>2606</v>
      </c>
      <c r="E539" s="320" t="s">
        <v>4261</v>
      </c>
      <c r="F539" s="320"/>
      <c r="G539" s="210"/>
      <c r="H539" s="71"/>
      <c r="I539" s="71"/>
      <c r="J539" s="71">
        <v>25</v>
      </c>
      <c r="K539" s="71">
        <v>5</v>
      </c>
      <c r="L539" s="1"/>
      <c r="M539" s="73">
        <f t="shared" si="66"/>
        <v>0</v>
      </c>
      <c r="N539" s="73">
        <f t="shared" si="67"/>
        <v>0</v>
      </c>
      <c r="O539" s="73">
        <f t="shared" si="68"/>
        <v>0</v>
      </c>
      <c r="P539" s="73">
        <f t="shared" si="69"/>
        <v>0</v>
      </c>
      <c r="Q539" s="73"/>
      <c r="R539" s="73">
        <v>0</v>
      </c>
      <c r="S539" s="75">
        <f t="shared" si="71"/>
        <v>0</v>
      </c>
      <c r="T539" s="77">
        <v>0</v>
      </c>
      <c r="U539" s="66">
        <v>40389</v>
      </c>
      <c r="V539" s="79">
        <v>38013</v>
      </c>
      <c r="W539" s="66" t="s">
        <v>1585</v>
      </c>
      <c r="X539" s="24" t="s">
        <v>1586</v>
      </c>
      <c r="Y539" s="62"/>
      <c r="Z539" s="177" t="s">
        <v>894</v>
      </c>
      <c r="AA539" s="80" t="s">
        <v>902</v>
      </c>
      <c r="AB539" s="3"/>
      <c r="AC539" s="4"/>
      <c r="AD539" s="5"/>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6"/>
      <c r="CE539" s="7"/>
      <c r="CF539" s="6"/>
      <c r="CG539" s="7"/>
      <c r="CH539" s="6"/>
      <c r="CI539" s="7"/>
      <c r="CJ539" s="8">
        <f t="shared" si="70"/>
        <v>0</v>
      </c>
      <c r="CK539" s="9"/>
      <c r="CL539" s="10"/>
      <c r="CM539" s="11"/>
      <c r="CN539" s="12"/>
      <c r="CO539" s="28"/>
      <c r="CP539" s="12"/>
      <c r="CQ539" s="9"/>
      <c r="CR539" s="10"/>
      <c r="CS539" s="68"/>
      <c r="EC539" s="344" t="str">
        <f t="shared" si="65"/>
        <v>VALLE DEL CAUCA_VERSALLES</v>
      </c>
      <c r="ED539" s="341"/>
      <c r="EE539" s="341" t="s">
        <v>3139</v>
      </c>
      <c r="EF539" s="349" t="s">
        <v>4802</v>
      </c>
      <c r="EG539" s="341" t="s">
        <v>3739</v>
      </c>
      <c r="EH539" s="341" t="s">
        <v>4855</v>
      </c>
      <c r="EI539" s="341" t="str">
        <f t="shared" si="72"/>
        <v>Cundinamarca_Nimaima</v>
      </c>
    </row>
    <row r="540" spans="1:139" ht="38.25">
      <c r="A540" s="228">
        <v>40310</v>
      </c>
      <c r="B540" s="102" t="s">
        <v>1617</v>
      </c>
      <c r="C540" s="102" t="s">
        <v>401</v>
      </c>
      <c r="D540" s="206" t="s">
        <v>1201</v>
      </c>
      <c r="E540" s="320" t="s">
        <v>4276</v>
      </c>
      <c r="F540" s="320"/>
      <c r="G540" s="210"/>
      <c r="H540" s="71"/>
      <c r="I540" s="71"/>
      <c r="J540" s="71">
        <v>25</v>
      </c>
      <c r="K540" s="71">
        <v>5</v>
      </c>
      <c r="L540" s="1"/>
      <c r="M540" s="73">
        <f t="shared" si="66"/>
        <v>0</v>
      </c>
      <c r="N540" s="73">
        <f t="shared" si="67"/>
        <v>0</v>
      </c>
      <c r="O540" s="73">
        <f t="shared" si="68"/>
        <v>0</v>
      </c>
      <c r="P540" s="73">
        <f t="shared" si="69"/>
        <v>0</v>
      </c>
      <c r="Q540" s="73"/>
      <c r="R540" s="73">
        <v>0</v>
      </c>
      <c r="S540" s="75">
        <f t="shared" si="71"/>
        <v>0</v>
      </c>
      <c r="T540" s="77">
        <v>0</v>
      </c>
      <c r="U540" s="66">
        <v>40312</v>
      </c>
      <c r="V540" s="79"/>
      <c r="W540" s="66" t="s">
        <v>1585</v>
      </c>
      <c r="X540" s="24" t="s">
        <v>1586</v>
      </c>
      <c r="Y540" s="62"/>
      <c r="Z540" s="177" t="s">
        <v>894</v>
      </c>
      <c r="AA540" s="80" t="s">
        <v>1989</v>
      </c>
      <c r="AB540" s="3"/>
      <c r="AC540" s="4"/>
      <c r="AD540" s="5"/>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6"/>
      <c r="CE540" s="7"/>
      <c r="CF540" s="6"/>
      <c r="CG540" s="7"/>
      <c r="CH540" s="6"/>
      <c r="CI540" s="7"/>
      <c r="CJ540" s="8">
        <f t="shared" si="70"/>
        <v>0</v>
      </c>
      <c r="CK540" s="9"/>
      <c r="CL540" s="10"/>
      <c r="CM540" s="11"/>
      <c r="CN540" s="12"/>
      <c r="CO540" s="28"/>
      <c r="CP540" s="12"/>
      <c r="CQ540" s="9"/>
      <c r="CR540" s="10"/>
      <c r="CS540" s="68"/>
      <c r="EC540" s="344" t="str">
        <f t="shared" si="65"/>
        <v>CASANARE_HATO COROZAL</v>
      </c>
      <c r="ED540" s="341"/>
      <c r="EE540" s="341" t="s">
        <v>3139</v>
      </c>
      <c r="EF540" s="349" t="s">
        <v>4802</v>
      </c>
      <c r="EG540" s="341" t="s">
        <v>3740</v>
      </c>
      <c r="EH540" s="341" t="s">
        <v>4856</v>
      </c>
      <c r="EI540" s="341" t="str">
        <f t="shared" si="72"/>
        <v>Cundinamarca_Nocaima</v>
      </c>
    </row>
    <row r="541" spans="1:139" ht="25.5">
      <c r="A541" s="228">
        <v>40310</v>
      </c>
      <c r="B541" s="102" t="s">
        <v>1617</v>
      </c>
      <c r="C541" s="102" t="s">
        <v>1987</v>
      </c>
      <c r="D541" s="206" t="s">
        <v>1201</v>
      </c>
      <c r="E541" s="320" t="s">
        <v>4273</v>
      </c>
      <c r="F541" s="320"/>
      <c r="G541" s="210"/>
      <c r="H541" s="71"/>
      <c r="I541" s="71"/>
      <c r="J541" s="71">
        <v>5</v>
      </c>
      <c r="K541" s="71">
        <v>1</v>
      </c>
      <c r="L541" s="1"/>
      <c r="M541" s="73">
        <f t="shared" si="66"/>
        <v>0</v>
      </c>
      <c r="N541" s="73">
        <f t="shared" si="67"/>
        <v>0</v>
      </c>
      <c r="O541" s="73">
        <f t="shared" si="68"/>
        <v>0</v>
      </c>
      <c r="P541" s="73">
        <f t="shared" si="69"/>
        <v>0</v>
      </c>
      <c r="Q541" s="73"/>
      <c r="R541" s="73">
        <v>0</v>
      </c>
      <c r="S541" s="75">
        <f t="shared" si="71"/>
        <v>0</v>
      </c>
      <c r="T541" s="77">
        <v>0</v>
      </c>
      <c r="U541" s="66">
        <v>40312</v>
      </c>
      <c r="V541" s="79"/>
      <c r="W541" s="66" t="s">
        <v>1585</v>
      </c>
      <c r="X541" s="24" t="s">
        <v>1586</v>
      </c>
      <c r="Y541" s="62"/>
      <c r="Z541" s="177" t="s">
        <v>894</v>
      </c>
      <c r="AA541" s="80" t="s">
        <v>1988</v>
      </c>
      <c r="AB541" s="3"/>
      <c r="AC541" s="4"/>
      <c r="AD541" s="5"/>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6"/>
      <c r="CE541" s="7"/>
      <c r="CF541" s="6"/>
      <c r="CG541" s="7"/>
      <c r="CH541" s="6"/>
      <c r="CI541" s="7"/>
      <c r="CJ541" s="8">
        <f t="shared" si="70"/>
        <v>0</v>
      </c>
      <c r="CK541" s="9"/>
      <c r="CL541" s="10"/>
      <c r="CM541" s="11"/>
      <c r="CN541" s="12"/>
      <c r="CO541" s="28"/>
      <c r="CP541" s="12"/>
      <c r="CQ541" s="9"/>
      <c r="CR541" s="10"/>
      <c r="CS541" s="68"/>
      <c r="EC541" s="344" t="str">
        <f t="shared" si="65"/>
        <v>CASANARE_YOPAL</v>
      </c>
      <c r="ED541" s="341"/>
      <c r="EE541" s="341" t="s">
        <v>3139</v>
      </c>
      <c r="EF541" s="349" t="s">
        <v>4802</v>
      </c>
      <c r="EG541" s="341" t="s">
        <v>3741</v>
      </c>
      <c r="EH541" s="341" t="s">
        <v>4487</v>
      </c>
      <c r="EI541" s="341" t="str">
        <f t="shared" si="72"/>
        <v>Cundinamarca_Venecia</v>
      </c>
    </row>
    <row r="542" spans="1:139" ht="38.25">
      <c r="A542" s="288">
        <v>40310</v>
      </c>
      <c r="B542" s="380" t="s">
        <v>1996</v>
      </c>
      <c r="C542" s="380" t="s">
        <v>1891</v>
      </c>
      <c r="D542" s="381" t="s">
        <v>1316</v>
      </c>
      <c r="E542" s="382" t="s">
        <v>3812</v>
      </c>
      <c r="F542" s="382"/>
      <c r="G542" s="383"/>
      <c r="H542" s="384"/>
      <c r="I542" s="384"/>
      <c r="J542" s="384">
        <v>7</v>
      </c>
      <c r="K542" s="384">
        <v>1</v>
      </c>
      <c r="L542" s="292"/>
      <c r="M542" s="293">
        <f t="shared" si="66"/>
        <v>0</v>
      </c>
      <c r="N542" s="293">
        <f t="shared" si="67"/>
        <v>0</v>
      </c>
      <c r="O542" s="293">
        <f t="shared" si="68"/>
        <v>0</v>
      </c>
      <c r="P542" s="293">
        <f t="shared" si="69"/>
        <v>0</v>
      </c>
      <c r="Q542" s="293"/>
      <c r="R542" s="293">
        <v>0</v>
      </c>
      <c r="S542" s="294">
        <f t="shared" si="71"/>
        <v>0</v>
      </c>
      <c r="T542" s="295">
        <v>0</v>
      </c>
      <c r="U542" s="296">
        <v>40311</v>
      </c>
      <c r="V542" s="297"/>
      <c r="W542" s="296" t="s">
        <v>1585</v>
      </c>
      <c r="X542" s="298" t="s">
        <v>1586</v>
      </c>
      <c r="Y542" s="299"/>
      <c r="Z542" s="385" t="s">
        <v>894</v>
      </c>
      <c r="AA542" s="386" t="s">
        <v>1775</v>
      </c>
      <c r="AB542" s="387"/>
      <c r="AC542" s="388"/>
      <c r="AD542" s="389"/>
      <c r="AE542" s="388"/>
      <c r="AF542" s="388"/>
      <c r="AG542" s="388"/>
      <c r="AH542" s="388"/>
      <c r="AI542" s="388"/>
      <c r="AJ542" s="388"/>
      <c r="AK542" s="388"/>
      <c r="AL542" s="388"/>
      <c r="AM542" s="388"/>
      <c r="AN542" s="388"/>
      <c r="AO542" s="388"/>
      <c r="AP542" s="388"/>
      <c r="AQ542" s="388"/>
      <c r="AR542" s="388"/>
      <c r="AS542" s="388"/>
      <c r="AT542" s="388"/>
      <c r="AU542" s="388"/>
      <c r="AV542" s="388"/>
      <c r="AW542" s="388"/>
      <c r="AX542" s="388"/>
      <c r="AY542" s="388"/>
      <c r="AZ542" s="388"/>
      <c r="BA542" s="388"/>
      <c r="BB542" s="388"/>
      <c r="BC542" s="388"/>
      <c r="BD542" s="388"/>
      <c r="BE542" s="388"/>
      <c r="BF542" s="388"/>
      <c r="BG542" s="388"/>
      <c r="BH542" s="388"/>
      <c r="BI542" s="388"/>
      <c r="BJ542" s="388"/>
      <c r="BK542" s="388"/>
      <c r="BL542" s="388"/>
      <c r="BM542" s="388"/>
      <c r="BN542" s="388"/>
      <c r="BO542" s="388"/>
      <c r="BP542" s="388"/>
      <c r="BQ542" s="388"/>
      <c r="BR542" s="388"/>
      <c r="BS542" s="388"/>
      <c r="BT542" s="388"/>
      <c r="BU542" s="388"/>
      <c r="BV542" s="388"/>
      <c r="BW542" s="388"/>
      <c r="BX542" s="388"/>
      <c r="BY542" s="388"/>
      <c r="BZ542" s="388"/>
      <c r="CA542" s="388"/>
      <c r="CB542" s="388"/>
      <c r="CC542" s="388"/>
      <c r="CD542" s="390"/>
      <c r="CE542" s="391"/>
      <c r="CF542" s="390"/>
      <c r="CG542" s="391"/>
      <c r="CH542" s="390"/>
      <c r="CI542" s="391"/>
      <c r="CJ542" s="392">
        <f t="shared" si="70"/>
        <v>0</v>
      </c>
      <c r="CK542" s="393"/>
      <c r="CL542" s="394"/>
      <c r="CM542" s="395"/>
      <c r="CN542" s="396"/>
      <c r="CO542" s="397"/>
      <c r="CP542" s="396"/>
      <c r="CQ542" s="393"/>
      <c r="CR542" s="394"/>
      <c r="CS542" s="313"/>
      <c r="CT542" s="398"/>
      <c r="EC542" s="344" t="str">
        <f t="shared" si="65"/>
        <v>CHOCO_MEDIO SAN JUAN</v>
      </c>
      <c r="ED542" s="341"/>
      <c r="EE542" s="341" t="s">
        <v>3139</v>
      </c>
      <c r="EF542" s="349" t="s">
        <v>4802</v>
      </c>
      <c r="EG542" s="341" t="s">
        <v>3742</v>
      </c>
      <c r="EH542" s="341" t="s">
        <v>4857</v>
      </c>
      <c r="EI542" s="341" t="str">
        <f t="shared" si="72"/>
        <v>Cundinamarca_Pacho</v>
      </c>
    </row>
    <row r="543" spans="1:139" ht="36">
      <c r="A543" s="228">
        <v>40310</v>
      </c>
      <c r="B543" s="102" t="s">
        <v>1609</v>
      </c>
      <c r="C543" s="102" t="s">
        <v>2596</v>
      </c>
      <c r="D543" s="206" t="s">
        <v>1201</v>
      </c>
      <c r="E543" s="320" t="s">
        <v>4056</v>
      </c>
      <c r="F543" s="320"/>
      <c r="G543" s="210"/>
      <c r="H543" s="71"/>
      <c r="I543" s="71"/>
      <c r="J543" s="71"/>
      <c r="K543" s="71"/>
      <c r="L543" s="1"/>
      <c r="M543" s="73">
        <f t="shared" si="66"/>
        <v>0</v>
      </c>
      <c r="N543" s="73">
        <f t="shared" si="67"/>
        <v>0</v>
      </c>
      <c r="O543" s="73">
        <f t="shared" si="68"/>
        <v>0</v>
      </c>
      <c r="P543" s="73">
        <f t="shared" si="69"/>
        <v>0</v>
      </c>
      <c r="Q543" s="73"/>
      <c r="R543" s="73">
        <v>0</v>
      </c>
      <c r="S543" s="75">
        <f t="shared" si="71"/>
        <v>0</v>
      </c>
      <c r="T543" s="77">
        <v>0</v>
      </c>
      <c r="U543" s="66">
        <v>40311</v>
      </c>
      <c r="V543" s="79"/>
      <c r="W543" s="66" t="s">
        <v>1585</v>
      </c>
      <c r="X543" s="24" t="s">
        <v>1586</v>
      </c>
      <c r="Y543" s="62"/>
      <c r="Z543" s="177" t="s">
        <v>894</v>
      </c>
      <c r="AA543" s="80" t="s">
        <v>2597</v>
      </c>
      <c r="AB543" s="3"/>
      <c r="AC543" s="4"/>
      <c r="AD543" s="5"/>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6"/>
      <c r="CE543" s="7"/>
      <c r="CF543" s="6"/>
      <c r="CG543" s="7"/>
      <c r="CH543" s="6"/>
      <c r="CI543" s="7"/>
      <c r="CJ543" s="8">
        <f t="shared" si="70"/>
        <v>0</v>
      </c>
      <c r="CK543" s="9"/>
      <c r="CL543" s="10"/>
      <c r="CM543" s="11"/>
      <c r="CN543" s="12"/>
      <c r="CO543" s="28"/>
      <c r="CP543" s="12"/>
      <c r="CQ543" s="9"/>
      <c r="CR543" s="10"/>
      <c r="CS543" s="68"/>
      <c r="EC543" s="344" t="str">
        <f t="shared" si="65"/>
        <v>RISARALDA_LA CELIA</v>
      </c>
      <c r="ED543" s="341"/>
      <c r="EE543" s="341" t="s">
        <v>3139</v>
      </c>
      <c r="EF543" s="349" t="s">
        <v>4802</v>
      </c>
      <c r="EG543" s="341" t="s">
        <v>3743</v>
      </c>
      <c r="EH543" s="341" t="s">
        <v>4858</v>
      </c>
      <c r="EI543" s="341" t="str">
        <f t="shared" si="72"/>
        <v>Cundinamarca_Paime</v>
      </c>
    </row>
    <row r="544" spans="1:139" ht="25.5">
      <c r="A544" s="228">
        <v>40310</v>
      </c>
      <c r="B544" s="205" t="s">
        <v>1609</v>
      </c>
      <c r="C544" s="205" t="s">
        <v>2596</v>
      </c>
      <c r="D544" s="207" t="s">
        <v>1878</v>
      </c>
      <c r="E544" s="323"/>
      <c r="F544" s="323"/>
      <c r="G544" s="204"/>
      <c r="H544" s="151"/>
      <c r="I544" s="151"/>
      <c r="J544" s="151">
        <v>45</v>
      </c>
      <c r="K544" s="175">
        <v>9</v>
      </c>
      <c r="L544" s="1"/>
      <c r="M544" s="73">
        <f t="shared" si="66"/>
        <v>0</v>
      </c>
      <c r="N544" s="73">
        <f t="shared" si="67"/>
        <v>0</v>
      </c>
      <c r="O544" s="73">
        <f t="shared" si="68"/>
        <v>0</v>
      </c>
      <c r="P544" s="73">
        <f t="shared" si="69"/>
        <v>0</v>
      </c>
      <c r="Q544" s="73"/>
      <c r="R544" s="73">
        <v>0</v>
      </c>
      <c r="S544" s="75">
        <f t="shared" si="71"/>
        <v>0</v>
      </c>
      <c r="T544" s="77">
        <v>0</v>
      </c>
      <c r="U544" s="66">
        <v>40624</v>
      </c>
      <c r="V544" s="79"/>
      <c r="W544" s="66" t="s">
        <v>1585</v>
      </c>
      <c r="X544" s="24" t="s">
        <v>1586</v>
      </c>
      <c r="Y544" s="62"/>
      <c r="Z544" s="169" t="s">
        <v>894</v>
      </c>
      <c r="AA544" s="166" t="s">
        <v>155</v>
      </c>
      <c r="AB544" s="152"/>
      <c r="AC544" s="153"/>
      <c r="AD544" s="154"/>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c r="BI544" s="153"/>
      <c r="BJ544" s="153"/>
      <c r="BK544" s="153"/>
      <c r="BL544" s="153"/>
      <c r="BM544" s="153"/>
      <c r="BN544" s="153"/>
      <c r="BO544" s="153"/>
      <c r="BP544" s="153"/>
      <c r="BQ544" s="153"/>
      <c r="BR544" s="153"/>
      <c r="BS544" s="153"/>
      <c r="BT544" s="153"/>
      <c r="BU544" s="153"/>
      <c r="BV544" s="153"/>
      <c r="BW544" s="153"/>
      <c r="BX544" s="153"/>
      <c r="BY544" s="153"/>
      <c r="BZ544" s="153"/>
      <c r="CA544" s="153"/>
      <c r="CB544" s="153"/>
      <c r="CC544" s="153"/>
      <c r="CD544" s="155"/>
      <c r="CE544" s="156"/>
      <c r="CF544" s="155"/>
      <c r="CG544" s="156"/>
      <c r="CH544" s="155"/>
      <c r="CI544" s="156"/>
      <c r="CJ544" s="157">
        <f t="shared" si="70"/>
        <v>0</v>
      </c>
      <c r="CK544" s="158"/>
      <c r="CL544" s="159"/>
      <c r="CM544" s="160"/>
      <c r="CN544" s="161"/>
      <c r="CO544" s="162"/>
      <c r="CP544" s="161"/>
      <c r="CQ544" s="158"/>
      <c r="CR544" s="159"/>
      <c r="CS544" s="68"/>
      <c r="CT544" s="163"/>
      <c r="EC544" s="344" t="str">
        <f t="shared" si="65"/>
        <v>RISARALDA_LA CELIA</v>
      </c>
      <c r="ED544" s="341"/>
      <c r="EE544" s="341" t="s">
        <v>3139</v>
      </c>
      <c r="EF544" s="349" t="s">
        <v>4802</v>
      </c>
      <c r="EG544" s="341" t="s">
        <v>3744</v>
      </c>
      <c r="EH544" s="341" t="s">
        <v>4859</v>
      </c>
      <c r="EI544" s="341" t="str">
        <f t="shared" si="72"/>
        <v>Cundinamarca_Pandi</v>
      </c>
    </row>
    <row r="545" spans="1:139" ht="38.25">
      <c r="A545" s="228">
        <v>40310</v>
      </c>
      <c r="B545" s="102" t="s">
        <v>1088</v>
      </c>
      <c r="C545" s="102" t="s">
        <v>2003</v>
      </c>
      <c r="D545" s="206" t="s">
        <v>2606</v>
      </c>
      <c r="E545" s="320" t="s">
        <v>4228</v>
      </c>
      <c r="F545" s="320"/>
      <c r="G545" s="210"/>
      <c r="H545" s="71"/>
      <c r="I545" s="71"/>
      <c r="J545" s="71">
        <f>25*5</f>
        <v>125</v>
      </c>
      <c r="K545" s="71">
        <v>25</v>
      </c>
      <c r="L545" s="1">
        <v>40330</v>
      </c>
      <c r="M545" s="73">
        <f t="shared" si="66"/>
        <v>2800000</v>
      </c>
      <c r="N545" s="73">
        <f t="shared" si="67"/>
        <v>2125000</v>
      </c>
      <c r="O545" s="73">
        <f t="shared" si="68"/>
        <v>5220000</v>
      </c>
      <c r="P545" s="73">
        <f t="shared" si="69"/>
        <v>0</v>
      </c>
      <c r="Q545" s="73"/>
      <c r="R545" s="73">
        <v>0</v>
      </c>
      <c r="S545" s="75">
        <f t="shared" si="71"/>
        <v>10145000</v>
      </c>
      <c r="T545" s="77">
        <v>0</v>
      </c>
      <c r="U545" s="66">
        <v>40311</v>
      </c>
      <c r="V545" s="79">
        <v>97589</v>
      </c>
      <c r="W545" s="66" t="s">
        <v>1606</v>
      </c>
      <c r="X545" s="24" t="s">
        <v>1607</v>
      </c>
      <c r="Y545" s="83" t="s">
        <v>2451</v>
      </c>
      <c r="Z545" s="177" t="s">
        <v>1435</v>
      </c>
      <c r="AA545" s="80" t="s">
        <v>2749</v>
      </c>
      <c r="AB545" s="3"/>
      <c r="AC545" s="4"/>
      <c r="AD545" s="5"/>
      <c r="AE545" s="4"/>
      <c r="AF545" s="4"/>
      <c r="AG545" s="4"/>
      <c r="AH545" s="4"/>
      <c r="AI545" s="4"/>
      <c r="AJ545" s="4"/>
      <c r="AK545" s="4"/>
      <c r="AL545" s="4"/>
      <c r="AM545" s="4"/>
      <c r="AN545" s="4">
        <v>50</v>
      </c>
      <c r="AO545" s="4">
        <f>50*56000</f>
        <v>2800000</v>
      </c>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6"/>
      <c r="CE545" s="7"/>
      <c r="CF545" s="6"/>
      <c r="CG545" s="7"/>
      <c r="CH545" s="6"/>
      <c r="CI545" s="7"/>
      <c r="CJ545" s="8">
        <f t="shared" si="70"/>
        <v>2800000</v>
      </c>
      <c r="CK545" s="9"/>
      <c r="CL545" s="10"/>
      <c r="CM545" s="11">
        <v>25</v>
      </c>
      <c r="CN545" s="12">
        <f>25*85000</f>
        <v>2125000</v>
      </c>
      <c r="CO545" s="28"/>
      <c r="CP545" s="12"/>
      <c r="CQ545" s="9">
        <v>250</v>
      </c>
      <c r="CR545" s="10">
        <f>250*18792+1000*522</f>
        <v>5220000</v>
      </c>
      <c r="CS545" s="68"/>
      <c r="EC545" s="344" t="str">
        <f t="shared" si="65"/>
        <v>VALLE DEL CAUCA_ARGELIA</v>
      </c>
      <c r="ED545" s="341"/>
      <c r="EE545" s="341" t="s">
        <v>3139</v>
      </c>
      <c r="EF545" s="349" t="s">
        <v>4802</v>
      </c>
      <c r="EG545" s="341" t="s">
        <v>3745</v>
      </c>
      <c r="EH545" s="341" t="s">
        <v>4860</v>
      </c>
      <c r="EI545" s="341" t="str">
        <f t="shared" si="72"/>
        <v>Cundinamarca_Paratebueno</v>
      </c>
    </row>
    <row r="546" spans="1:139" ht="51">
      <c r="A546" s="228">
        <v>40310</v>
      </c>
      <c r="B546" s="102" t="s">
        <v>1088</v>
      </c>
      <c r="C546" s="102" t="s">
        <v>1246</v>
      </c>
      <c r="D546" s="206" t="s">
        <v>2606</v>
      </c>
      <c r="E546" s="320" t="s">
        <v>4232</v>
      </c>
      <c r="F546" s="320"/>
      <c r="G546" s="210"/>
      <c r="H546" s="71"/>
      <c r="I546" s="71"/>
      <c r="J546" s="71">
        <f>120*5</f>
        <v>600</v>
      </c>
      <c r="K546" s="71">
        <v>120</v>
      </c>
      <c r="L546" s="1">
        <v>40330</v>
      </c>
      <c r="M546" s="73">
        <f t="shared" si="66"/>
        <v>13440000</v>
      </c>
      <c r="N546" s="73">
        <f t="shared" si="67"/>
        <v>10200000</v>
      </c>
      <c r="O546" s="73">
        <f t="shared" si="68"/>
        <v>12528000</v>
      </c>
      <c r="P546" s="73">
        <f t="shared" si="69"/>
        <v>0</v>
      </c>
      <c r="Q546" s="73"/>
      <c r="R546" s="73">
        <v>0</v>
      </c>
      <c r="S546" s="75">
        <f t="shared" si="71"/>
        <v>36168000</v>
      </c>
      <c r="T546" s="77">
        <v>0</v>
      </c>
      <c r="U546" s="66">
        <v>40311</v>
      </c>
      <c r="V546" s="79">
        <v>97589</v>
      </c>
      <c r="W546" s="66" t="s">
        <v>1606</v>
      </c>
      <c r="X546" s="24" t="s">
        <v>1607</v>
      </c>
      <c r="Y546" s="83" t="s">
        <v>2450</v>
      </c>
      <c r="Z546" s="177" t="s">
        <v>1435</v>
      </c>
      <c r="AA546" s="80" t="s">
        <v>2746</v>
      </c>
      <c r="AB546" s="3"/>
      <c r="AC546" s="4"/>
      <c r="AD546" s="5"/>
      <c r="AE546" s="4"/>
      <c r="AF546" s="4"/>
      <c r="AG546" s="4"/>
      <c r="AH546" s="4"/>
      <c r="AI546" s="4"/>
      <c r="AJ546" s="4"/>
      <c r="AK546" s="4"/>
      <c r="AL546" s="4"/>
      <c r="AM546" s="4"/>
      <c r="AN546" s="4">
        <v>240</v>
      </c>
      <c r="AO546" s="4">
        <f>240*56000</f>
        <v>13440000</v>
      </c>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6"/>
      <c r="CE546" s="7"/>
      <c r="CF546" s="6"/>
      <c r="CG546" s="7"/>
      <c r="CH546" s="6"/>
      <c r="CI546" s="7"/>
      <c r="CJ546" s="8">
        <f t="shared" si="70"/>
        <v>13440000</v>
      </c>
      <c r="CK546" s="9"/>
      <c r="CL546" s="10"/>
      <c r="CM546" s="11">
        <v>120</v>
      </c>
      <c r="CN546" s="12">
        <f>120*85000</f>
        <v>10200000</v>
      </c>
      <c r="CO546" s="28"/>
      <c r="CP546" s="12"/>
      <c r="CQ546" s="9">
        <v>600</v>
      </c>
      <c r="CR546" s="10">
        <f>600*18792+2400*522</f>
        <v>12528000</v>
      </c>
      <c r="CS546" s="68"/>
      <c r="EC546" s="344" t="str">
        <f t="shared" si="65"/>
        <v>VALLE DEL CAUCA_BUGALAGRANDE</v>
      </c>
      <c r="ED546" s="341"/>
      <c r="EE546" s="341" t="s">
        <v>3139</v>
      </c>
      <c r="EF546" s="349" t="s">
        <v>4802</v>
      </c>
      <c r="EG546" s="341" t="s">
        <v>3746</v>
      </c>
      <c r="EH546" s="341" t="s">
        <v>4861</v>
      </c>
      <c r="EI546" s="341" t="str">
        <f t="shared" si="72"/>
        <v>Cundinamarca_Pasca</v>
      </c>
    </row>
    <row r="547" spans="1:139" ht="38.25">
      <c r="A547" s="228">
        <v>40310</v>
      </c>
      <c r="B547" s="102" t="s">
        <v>1088</v>
      </c>
      <c r="C547" s="102" t="s">
        <v>1227</v>
      </c>
      <c r="D547" s="206" t="s">
        <v>1878</v>
      </c>
      <c r="E547" s="320" t="s">
        <v>4238</v>
      </c>
      <c r="F547" s="320"/>
      <c r="G547" s="210"/>
      <c r="H547" s="71"/>
      <c r="I547" s="71"/>
      <c r="J547" s="71"/>
      <c r="K547" s="71"/>
      <c r="L547" s="1"/>
      <c r="M547" s="73">
        <f t="shared" si="66"/>
        <v>0</v>
      </c>
      <c r="N547" s="73">
        <f t="shared" si="67"/>
        <v>0</v>
      </c>
      <c r="O547" s="73">
        <f t="shared" si="68"/>
        <v>0</v>
      </c>
      <c r="P547" s="73">
        <f t="shared" si="69"/>
        <v>0</v>
      </c>
      <c r="Q547" s="73"/>
      <c r="R547" s="73">
        <v>0</v>
      </c>
      <c r="S547" s="75">
        <f t="shared" si="71"/>
        <v>0</v>
      </c>
      <c r="T547" s="77">
        <v>0</v>
      </c>
      <c r="U547" s="66">
        <v>40311</v>
      </c>
      <c r="V547" s="79"/>
      <c r="W547" s="66" t="s">
        <v>1585</v>
      </c>
      <c r="X547" s="24" t="s">
        <v>1586</v>
      </c>
      <c r="Y547" s="62"/>
      <c r="Z547" s="177" t="s">
        <v>894</v>
      </c>
      <c r="AA547" s="80" t="s">
        <v>2595</v>
      </c>
      <c r="AB547" s="3"/>
      <c r="AC547" s="4"/>
      <c r="AD547" s="5"/>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6"/>
      <c r="CE547" s="7"/>
      <c r="CF547" s="6"/>
      <c r="CG547" s="7"/>
      <c r="CH547" s="6"/>
      <c r="CI547" s="7"/>
      <c r="CJ547" s="8">
        <f t="shared" si="70"/>
        <v>0</v>
      </c>
      <c r="CK547" s="9"/>
      <c r="CL547" s="10"/>
      <c r="CM547" s="11"/>
      <c r="CN547" s="12"/>
      <c r="CO547" s="28"/>
      <c r="CP547" s="12"/>
      <c r="CQ547" s="9"/>
      <c r="CR547" s="10"/>
      <c r="CS547" s="68"/>
      <c r="EC547" s="344" t="str">
        <f t="shared" si="65"/>
        <v>VALLE DEL CAUCA_EL AGUILA</v>
      </c>
      <c r="ED547" s="341"/>
      <c r="EE547" s="341" t="s">
        <v>3139</v>
      </c>
      <c r="EF547" s="349" t="s">
        <v>4802</v>
      </c>
      <c r="EG547" s="341" t="s">
        <v>3747</v>
      </c>
      <c r="EH547" s="341" t="s">
        <v>4862</v>
      </c>
      <c r="EI547" s="341" t="str">
        <f t="shared" si="72"/>
        <v>Cundinamarca_Puerto Salgar</v>
      </c>
    </row>
    <row r="548" spans="1:139" ht="45">
      <c r="A548" s="228">
        <v>40310</v>
      </c>
      <c r="B548" s="102" t="s">
        <v>1088</v>
      </c>
      <c r="C548" s="102" t="s">
        <v>2747</v>
      </c>
      <c r="D548" s="206" t="s">
        <v>2606</v>
      </c>
      <c r="E548" s="320" t="s">
        <v>4240</v>
      </c>
      <c r="F548" s="320"/>
      <c r="G548" s="210"/>
      <c r="H548" s="71"/>
      <c r="I548" s="71"/>
      <c r="J548" s="71">
        <f>200*5</f>
        <v>1000</v>
      </c>
      <c r="K548" s="71">
        <v>200</v>
      </c>
      <c r="L548" s="1">
        <v>40330</v>
      </c>
      <c r="M548" s="73">
        <f t="shared" si="66"/>
        <v>2240000</v>
      </c>
      <c r="N548" s="73">
        <f t="shared" si="67"/>
        <v>1700000</v>
      </c>
      <c r="O548" s="73">
        <f t="shared" si="68"/>
        <v>4176000</v>
      </c>
      <c r="P548" s="73">
        <f t="shared" si="69"/>
        <v>0</v>
      </c>
      <c r="Q548" s="73"/>
      <c r="R548" s="73">
        <v>0</v>
      </c>
      <c r="S548" s="75">
        <f t="shared" si="71"/>
        <v>8116000</v>
      </c>
      <c r="T548" s="77">
        <v>0</v>
      </c>
      <c r="U548" s="66">
        <v>40317</v>
      </c>
      <c r="V548" s="79">
        <v>97589</v>
      </c>
      <c r="W548" s="66" t="s">
        <v>1606</v>
      </c>
      <c r="X548" s="24" t="s">
        <v>1607</v>
      </c>
      <c r="Y548" s="83" t="s">
        <v>2450</v>
      </c>
      <c r="Z548" s="177" t="s">
        <v>2580</v>
      </c>
      <c r="AA548" s="80" t="s">
        <v>2748</v>
      </c>
      <c r="AB548" s="3"/>
      <c r="AC548" s="4"/>
      <c r="AD548" s="5"/>
      <c r="AE548" s="4"/>
      <c r="AF548" s="4"/>
      <c r="AG548" s="4"/>
      <c r="AH548" s="4"/>
      <c r="AI548" s="4"/>
      <c r="AJ548" s="4"/>
      <c r="AK548" s="4"/>
      <c r="AL548" s="4"/>
      <c r="AM548" s="4"/>
      <c r="AN548" s="4">
        <v>40</v>
      </c>
      <c r="AO548" s="4">
        <f>40*56000</f>
        <v>2240000</v>
      </c>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6"/>
      <c r="CE548" s="7"/>
      <c r="CF548" s="6"/>
      <c r="CG548" s="7"/>
      <c r="CH548" s="6"/>
      <c r="CI548" s="7"/>
      <c r="CJ548" s="8">
        <f t="shared" si="70"/>
        <v>2240000</v>
      </c>
      <c r="CK548" s="9"/>
      <c r="CL548" s="10"/>
      <c r="CM548" s="11">
        <v>20</v>
      </c>
      <c r="CN548" s="12">
        <f>20*85000</f>
        <v>1700000</v>
      </c>
      <c r="CO548" s="28"/>
      <c r="CP548" s="12"/>
      <c r="CQ548" s="9">
        <v>200</v>
      </c>
      <c r="CR548" s="10">
        <f>200*18792+800*522</f>
        <v>4176000</v>
      </c>
      <c r="CS548" s="68"/>
      <c r="EC548" s="344" t="str">
        <f t="shared" si="65"/>
        <v>VALLE DEL CAUCA_EL CERRITO</v>
      </c>
      <c r="ED548" s="341"/>
      <c r="EE548" s="341" t="s">
        <v>3139</v>
      </c>
      <c r="EF548" s="349" t="s">
        <v>4802</v>
      </c>
      <c r="EG548" s="341" t="s">
        <v>3748</v>
      </c>
      <c r="EH548" s="341" t="s">
        <v>4863</v>
      </c>
      <c r="EI548" s="341" t="str">
        <f t="shared" si="72"/>
        <v>Cundinamarca_Puli</v>
      </c>
    </row>
    <row r="549" spans="1:139" ht="48">
      <c r="A549" s="228">
        <v>40310</v>
      </c>
      <c r="B549" s="102" t="s">
        <v>1088</v>
      </c>
      <c r="C549" s="102" t="s">
        <v>994</v>
      </c>
      <c r="D549" s="206" t="s">
        <v>2606</v>
      </c>
      <c r="E549" s="320" t="s">
        <v>4250</v>
      </c>
      <c r="F549" s="320"/>
      <c r="G549" s="210"/>
      <c r="H549" s="71"/>
      <c r="I549" s="71"/>
      <c r="J549" s="71">
        <f>310*5</f>
        <v>1550</v>
      </c>
      <c r="K549" s="71">
        <v>310</v>
      </c>
      <c r="L549" s="1">
        <v>40330</v>
      </c>
      <c r="M549" s="73">
        <f t="shared" si="66"/>
        <v>33600000</v>
      </c>
      <c r="N549" s="73">
        <f t="shared" si="67"/>
        <v>25500000</v>
      </c>
      <c r="O549" s="73">
        <f t="shared" si="68"/>
        <v>31320000</v>
      </c>
      <c r="P549" s="73">
        <f t="shared" si="69"/>
        <v>0</v>
      </c>
      <c r="Q549" s="73"/>
      <c r="R549" s="73">
        <v>0</v>
      </c>
      <c r="S549" s="75">
        <f t="shared" si="71"/>
        <v>90420000</v>
      </c>
      <c r="T549" s="77">
        <v>0</v>
      </c>
      <c r="U549" s="66">
        <v>40310</v>
      </c>
      <c r="V549" s="79">
        <v>97589</v>
      </c>
      <c r="W549" s="66" t="s">
        <v>1606</v>
      </c>
      <c r="X549" s="24" t="s">
        <v>1607</v>
      </c>
      <c r="Y549" s="83" t="s">
        <v>2450</v>
      </c>
      <c r="Z549" s="177" t="s">
        <v>1435</v>
      </c>
      <c r="AA549" s="80" t="s">
        <v>2745</v>
      </c>
      <c r="AB549" s="3"/>
      <c r="AC549" s="4"/>
      <c r="AD549" s="5"/>
      <c r="AE549" s="4"/>
      <c r="AF549" s="4"/>
      <c r="AG549" s="4"/>
      <c r="AH549" s="4"/>
      <c r="AI549" s="4"/>
      <c r="AJ549" s="4"/>
      <c r="AK549" s="4"/>
      <c r="AL549" s="4"/>
      <c r="AM549" s="4"/>
      <c r="AN549" s="4">
        <v>600</v>
      </c>
      <c r="AO549" s="4">
        <f>600*56000</f>
        <v>33600000</v>
      </c>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6"/>
      <c r="CE549" s="7"/>
      <c r="CF549" s="6"/>
      <c r="CG549" s="7"/>
      <c r="CH549" s="6"/>
      <c r="CI549" s="7"/>
      <c r="CJ549" s="8">
        <f t="shared" si="70"/>
        <v>33600000</v>
      </c>
      <c r="CK549" s="9"/>
      <c r="CL549" s="10"/>
      <c r="CM549" s="11">
        <v>300</v>
      </c>
      <c r="CN549" s="12">
        <f>300*85000</f>
        <v>25500000</v>
      </c>
      <c r="CO549" s="28"/>
      <c r="CP549" s="12"/>
      <c r="CQ549" s="9">
        <v>1500</v>
      </c>
      <c r="CR549" s="10">
        <f>1500*18792+6000*522</f>
        <v>31320000</v>
      </c>
      <c r="CS549" s="68"/>
      <c r="EC549" s="344" t="str">
        <f t="shared" si="65"/>
        <v>VALLE DEL CAUCA_PALMIRA</v>
      </c>
      <c r="ED549" s="341"/>
      <c r="EE549" s="341" t="s">
        <v>3139</v>
      </c>
      <c r="EF549" s="349" t="s">
        <v>4802</v>
      </c>
      <c r="EG549" s="341" t="s">
        <v>3749</v>
      </c>
      <c r="EH549" s="341" t="s">
        <v>4864</v>
      </c>
      <c r="EI549" s="341" t="str">
        <f t="shared" si="72"/>
        <v>Cundinamarca_Quebradanegra</v>
      </c>
    </row>
    <row r="550" spans="1:139" ht="96">
      <c r="A550" s="228">
        <v>40311</v>
      </c>
      <c r="B550" s="102" t="s">
        <v>1609</v>
      </c>
      <c r="C550" s="102" t="s">
        <v>742</v>
      </c>
      <c r="D550" s="206" t="s">
        <v>1902</v>
      </c>
      <c r="E550" s="320" t="s">
        <v>4052</v>
      </c>
      <c r="F550" s="320"/>
      <c r="G550" s="210"/>
      <c r="H550" s="71"/>
      <c r="I550" s="71"/>
      <c r="J550" s="71"/>
      <c r="K550" s="71"/>
      <c r="L550" s="1">
        <v>40318</v>
      </c>
      <c r="M550" s="73">
        <f t="shared" si="66"/>
        <v>0</v>
      </c>
      <c r="N550" s="73">
        <f t="shared" si="67"/>
        <v>0</v>
      </c>
      <c r="O550" s="73">
        <f t="shared" si="68"/>
        <v>0</v>
      </c>
      <c r="P550" s="73">
        <f t="shared" si="69"/>
        <v>0</v>
      </c>
      <c r="Q550" s="73"/>
      <c r="R550" s="73">
        <v>50000000</v>
      </c>
      <c r="S550" s="75">
        <f t="shared" si="71"/>
        <v>50000000</v>
      </c>
      <c r="T550" s="77">
        <v>0</v>
      </c>
      <c r="U550" s="66">
        <v>40316</v>
      </c>
      <c r="V550" s="79">
        <v>97586</v>
      </c>
      <c r="W550" s="66" t="s">
        <v>1606</v>
      </c>
      <c r="X550" s="24" t="s">
        <v>1607</v>
      </c>
      <c r="Y550" s="62">
        <v>246</v>
      </c>
      <c r="Z550" s="177" t="s">
        <v>1435</v>
      </c>
      <c r="AA550" s="80" t="s">
        <v>1404</v>
      </c>
      <c r="AB550" s="3"/>
      <c r="AC550" s="4"/>
      <c r="AD550" s="5"/>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6"/>
      <c r="CE550" s="7"/>
      <c r="CF550" s="6"/>
      <c r="CG550" s="7"/>
      <c r="CH550" s="6"/>
      <c r="CI550" s="7"/>
      <c r="CJ550" s="8">
        <f t="shared" si="70"/>
        <v>0</v>
      </c>
      <c r="CK550" s="9"/>
      <c r="CL550" s="10"/>
      <c r="CM550" s="11"/>
      <c r="CN550" s="12"/>
      <c r="CO550" s="28"/>
      <c r="CP550" s="12"/>
      <c r="CQ550" s="9"/>
      <c r="CR550" s="10"/>
      <c r="CS550" s="68">
        <v>4</v>
      </c>
      <c r="EC550" s="344" t="str">
        <f t="shared" si="65"/>
        <v>RISARALDA_BALBOA</v>
      </c>
      <c r="ED550" s="341"/>
      <c r="EE550" s="341" t="s">
        <v>3139</v>
      </c>
      <c r="EF550" s="349" t="s">
        <v>4802</v>
      </c>
      <c r="EG550" s="341" t="s">
        <v>3750</v>
      </c>
      <c r="EH550" s="341" t="s">
        <v>4865</v>
      </c>
      <c r="EI550" s="341" t="str">
        <f t="shared" si="72"/>
        <v>Cundinamarca_Quetame</v>
      </c>
    </row>
    <row r="551" spans="1:139" ht="51">
      <c r="A551" s="228">
        <v>40311</v>
      </c>
      <c r="B551" s="102" t="s">
        <v>1572</v>
      </c>
      <c r="C551" s="102" t="s">
        <v>1990</v>
      </c>
      <c r="D551" s="206" t="s">
        <v>1316</v>
      </c>
      <c r="E551" s="320" t="s">
        <v>4306</v>
      </c>
      <c r="F551" s="320"/>
      <c r="G551" s="210"/>
      <c r="H551" s="71"/>
      <c r="I551" s="71"/>
      <c r="J551" s="71">
        <v>12</v>
      </c>
      <c r="K551" s="71">
        <v>3</v>
      </c>
      <c r="L551" s="1"/>
      <c r="M551" s="73">
        <f t="shared" si="66"/>
        <v>0</v>
      </c>
      <c r="N551" s="73">
        <f t="shared" si="67"/>
        <v>0</v>
      </c>
      <c r="O551" s="73">
        <f t="shared" si="68"/>
        <v>0</v>
      </c>
      <c r="P551" s="73">
        <f t="shared" si="69"/>
        <v>0</v>
      </c>
      <c r="Q551" s="73"/>
      <c r="R551" s="73">
        <v>0</v>
      </c>
      <c r="S551" s="75">
        <f t="shared" si="71"/>
        <v>0</v>
      </c>
      <c r="T551" s="77">
        <v>0</v>
      </c>
      <c r="U551" s="66">
        <v>40312</v>
      </c>
      <c r="V551" s="79"/>
      <c r="W551" s="66" t="s">
        <v>1585</v>
      </c>
      <c r="X551" s="24" t="s">
        <v>1586</v>
      </c>
      <c r="Y551" s="62"/>
      <c r="Z551" s="177" t="s">
        <v>894</v>
      </c>
      <c r="AA551" s="80" t="s">
        <v>1574</v>
      </c>
      <c r="AB551" s="3"/>
      <c r="AC551" s="4"/>
      <c r="AD551" s="5"/>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6"/>
      <c r="CE551" s="7"/>
      <c r="CF551" s="6"/>
      <c r="CG551" s="7"/>
      <c r="CH551" s="6"/>
      <c r="CI551" s="7"/>
      <c r="CJ551" s="8">
        <f t="shared" si="70"/>
        <v>0</v>
      </c>
      <c r="CK551" s="9"/>
      <c r="CL551" s="10"/>
      <c r="CM551" s="11"/>
      <c r="CN551" s="12"/>
      <c r="CO551" s="28"/>
      <c r="CP551" s="12"/>
      <c r="CQ551" s="9"/>
      <c r="CR551" s="10"/>
      <c r="CS551" s="68"/>
      <c r="EC551" s="344" t="str">
        <f t="shared" si="65"/>
        <v>SAN ANDRES_PROVIDENCIA</v>
      </c>
      <c r="ED551" s="341"/>
      <c r="EE551" s="341" t="s">
        <v>3139</v>
      </c>
      <c r="EF551" s="349" t="s">
        <v>4802</v>
      </c>
      <c r="EG551" s="341" t="s">
        <v>3751</v>
      </c>
      <c r="EH551" s="341" t="s">
        <v>4866</v>
      </c>
      <c r="EI551" s="341" t="str">
        <f t="shared" si="72"/>
        <v>Cundinamarca_Quipile</v>
      </c>
    </row>
    <row r="552" spans="1:139" ht="38.25">
      <c r="A552" s="228">
        <v>40311</v>
      </c>
      <c r="B552" s="102" t="s">
        <v>1998</v>
      </c>
      <c r="C552" s="102" t="s">
        <v>2797</v>
      </c>
      <c r="D552" s="206" t="s">
        <v>1878</v>
      </c>
      <c r="E552" s="320" t="s">
        <v>4128</v>
      </c>
      <c r="F552" s="320"/>
      <c r="G552" s="265">
        <v>2</v>
      </c>
      <c r="H552" s="71"/>
      <c r="I552" s="71"/>
      <c r="J552" s="71"/>
      <c r="K552" s="71"/>
      <c r="L552" s="1"/>
      <c r="M552" s="73">
        <f t="shared" si="66"/>
        <v>0</v>
      </c>
      <c r="N552" s="73">
        <f t="shared" si="67"/>
        <v>0</v>
      </c>
      <c r="O552" s="73">
        <f t="shared" si="68"/>
        <v>0</v>
      </c>
      <c r="P552" s="73">
        <f t="shared" si="69"/>
        <v>0</v>
      </c>
      <c r="Q552" s="73"/>
      <c r="R552" s="73">
        <v>0</v>
      </c>
      <c r="S552" s="75">
        <f t="shared" si="71"/>
        <v>0</v>
      </c>
      <c r="T552" s="77">
        <v>0</v>
      </c>
      <c r="U552" s="66">
        <v>40312</v>
      </c>
      <c r="V552" s="79"/>
      <c r="W552" s="66" t="s">
        <v>1606</v>
      </c>
      <c r="X552" s="24" t="s">
        <v>1607</v>
      </c>
      <c r="Y552" s="62"/>
      <c r="Z552" s="198" t="s">
        <v>822</v>
      </c>
      <c r="AA552" s="80" t="s">
        <v>1991</v>
      </c>
      <c r="AB552" s="3"/>
      <c r="AC552" s="4"/>
      <c r="AD552" s="5"/>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6"/>
      <c r="CE552" s="7"/>
      <c r="CF552" s="6"/>
      <c r="CG552" s="7"/>
      <c r="CH552" s="6"/>
      <c r="CI552" s="7"/>
      <c r="CJ552" s="8">
        <f t="shared" si="70"/>
        <v>0</v>
      </c>
      <c r="CK552" s="9"/>
      <c r="CL552" s="10"/>
      <c r="CM552" s="11"/>
      <c r="CN552" s="12"/>
      <c r="CO552" s="28"/>
      <c r="CP552" s="12"/>
      <c r="CQ552" s="9"/>
      <c r="CR552" s="10"/>
      <c r="CS552" s="68"/>
      <c r="EC552" s="344" t="str">
        <f t="shared" si="65"/>
        <v>SANTANDER_PUERTO WILCHES</v>
      </c>
      <c r="ED552" s="341"/>
      <c r="EE552" s="341" t="s">
        <v>3139</v>
      </c>
      <c r="EF552" s="349" t="s">
        <v>4802</v>
      </c>
      <c r="EG552" s="341" t="s">
        <v>3752</v>
      </c>
      <c r="EH552" s="341" t="s">
        <v>4867</v>
      </c>
      <c r="EI552" s="341" t="str">
        <f t="shared" si="72"/>
        <v>Cundinamarca_Apulo</v>
      </c>
    </row>
    <row r="553" spans="1:139" ht="38.25">
      <c r="A553" s="228">
        <v>40312</v>
      </c>
      <c r="B553" s="102" t="s">
        <v>1295</v>
      </c>
      <c r="C553" s="102" t="s">
        <v>1605</v>
      </c>
      <c r="D553" s="206" t="s">
        <v>1201</v>
      </c>
      <c r="E553" s="320" t="s">
        <v>3136</v>
      </c>
      <c r="F553" s="320"/>
      <c r="G553" s="210"/>
      <c r="H553" s="71"/>
      <c r="I553" s="71"/>
      <c r="J553" s="71"/>
      <c r="K553" s="71"/>
      <c r="L553" s="1">
        <v>40358</v>
      </c>
      <c r="M553" s="73">
        <f t="shared" si="66"/>
        <v>0</v>
      </c>
      <c r="N553" s="73">
        <f t="shared" si="67"/>
        <v>0</v>
      </c>
      <c r="O553" s="73">
        <f t="shared" si="68"/>
        <v>0</v>
      </c>
      <c r="P553" s="73">
        <f t="shared" si="69"/>
        <v>89958000</v>
      </c>
      <c r="Q553" s="73"/>
      <c r="R553" s="73">
        <v>0</v>
      </c>
      <c r="S553" s="75">
        <f t="shared" si="71"/>
        <v>89958000</v>
      </c>
      <c r="T553" s="77">
        <v>0</v>
      </c>
      <c r="U553" s="66">
        <v>40312</v>
      </c>
      <c r="V553" s="79">
        <v>97734</v>
      </c>
      <c r="W553" s="66" t="s">
        <v>1606</v>
      </c>
      <c r="X553" s="24" t="s">
        <v>1607</v>
      </c>
      <c r="Y553" s="83" t="s">
        <v>2396</v>
      </c>
      <c r="Z553" s="177" t="s">
        <v>2445</v>
      </c>
      <c r="AA553" s="80" t="s">
        <v>2446</v>
      </c>
      <c r="AB553" s="3"/>
      <c r="AC553" s="4"/>
      <c r="AD553" s="5"/>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6"/>
      <c r="CE553" s="7"/>
      <c r="CF553" s="6"/>
      <c r="CG553" s="7"/>
      <c r="CH553" s="6"/>
      <c r="CI553" s="7"/>
      <c r="CJ553" s="8">
        <f t="shared" si="70"/>
        <v>0</v>
      </c>
      <c r="CK553" s="9">
        <f>50000+50000</f>
        <v>100000</v>
      </c>
      <c r="CL553" s="10">
        <f>50000*900.16+50000*899</f>
        <v>89958000</v>
      </c>
      <c r="CM553" s="11"/>
      <c r="CN553" s="12"/>
      <c r="CO553" s="28"/>
      <c r="CP553" s="12"/>
      <c r="CQ553" s="9"/>
      <c r="CR553" s="10"/>
      <c r="CS553" s="68"/>
      <c r="EC553" s="344" t="str">
        <f t="shared" si="65"/>
        <v>CORDOBA_DEPARTAMENTO</v>
      </c>
      <c r="ED553" s="341"/>
      <c r="EE553" s="341" t="s">
        <v>3139</v>
      </c>
      <c r="EF553" s="349" t="s">
        <v>4802</v>
      </c>
      <c r="EG553" s="341" t="s">
        <v>3753</v>
      </c>
      <c r="EH553" s="341" t="s">
        <v>4868</v>
      </c>
      <c r="EI553" s="341" t="str">
        <f t="shared" si="72"/>
        <v>Cundinamarca_Ricaurte</v>
      </c>
    </row>
    <row r="554" spans="1:139" ht="63.75">
      <c r="A554" s="228">
        <v>40312</v>
      </c>
      <c r="B554" s="205" t="s">
        <v>962</v>
      </c>
      <c r="C554" s="205" t="s">
        <v>84</v>
      </c>
      <c r="D554" s="207" t="s">
        <v>1201</v>
      </c>
      <c r="E554" s="323" t="s">
        <v>3844</v>
      </c>
      <c r="F554" s="323"/>
      <c r="G554" s="204"/>
      <c r="H554" s="151"/>
      <c r="I554" s="151"/>
      <c r="J554" s="151">
        <v>500</v>
      </c>
      <c r="K554" s="151">
        <v>100</v>
      </c>
      <c r="L554" s="1"/>
      <c r="M554" s="73">
        <f t="shared" si="66"/>
        <v>0</v>
      </c>
      <c r="N554" s="73">
        <f t="shared" si="67"/>
        <v>0</v>
      </c>
      <c r="O554" s="73">
        <f t="shared" si="68"/>
        <v>0</v>
      </c>
      <c r="P554" s="73">
        <f t="shared" si="69"/>
        <v>0</v>
      </c>
      <c r="Q554" s="73"/>
      <c r="R554" s="73">
        <v>0</v>
      </c>
      <c r="S554" s="75">
        <f t="shared" si="71"/>
        <v>0</v>
      </c>
      <c r="T554" s="77">
        <v>0</v>
      </c>
      <c r="U554" s="66">
        <v>40581</v>
      </c>
      <c r="V554" s="79"/>
      <c r="W554" s="66" t="s">
        <v>1585</v>
      </c>
      <c r="X554" s="24" t="s">
        <v>1586</v>
      </c>
      <c r="Y554" s="62"/>
      <c r="Z554" s="169" t="s">
        <v>894</v>
      </c>
      <c r="AA554" s="166" t="s">
        <v>54</v>
      </c>
      <c r="AB554" s="152"/>
      <c r="AC554" s="153"/>
      <c r="AD554" s="154"/>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c r="BI554" s="153"/>
      <c r="BJ554" s="153"/>
      <c r="BK554" s="153"/>
      <c r="BL554" s="153"/>
      <c r="BM554" s="153"/>
      <c r="BN554" s="153"/>
      <c r="BO554" s="153"/>
      <c r="BP554" s="153"/>
      <c r="BQ554" s="153"/>
      <c r="BR554" s="153"/>
      <c r="BS554" s="153"/>
      <c r="BT554" s="153"/>
      <c r="BU554" s="153"/>
      <c r="BV554" s="153"/>
      <c r="BW554" s="153"/>
      <c r="BX554" s="153"/>
      <c r="BY554" s="153"/>
      <c r="BZ554" s="153"/>
      <c r="CA554" s="153"/>
      <c r="CB554" s="153"/>
      <c r="CC554" s="153"/>
      <c r="CD554" s="155"/>
      <c r="CE554" s="156"/>
      <c r="CF554" s="155"/>
      <c r="CG554" s="156"/>
      <c r="CH554" s="155"/>
      <c r="CI554" s="156"/>
      <c r="CJ554" s="157">
        <f t="shared" si="70"/>
        <v>0</v>
      </c>
      <c r="CK554" s="158"/>
      <c r="CL554" s="159"/>
      <c r="CM554" s="160"/>
      <c r="CN554" s="161"/>
      <c r="CO554" s="162"/>
      <c r="CP554" s="161"/>
      <c r="CQ554" s="158"/>
      <c r="CR554" s="159"/>
      <c r="CS554" s="68"/>
      <c r="CT554" s="163"/>
      <c r="EC554" s="344" t="str">
        <f t="shared" si="65"/>
        <v>HUILA_PALERMO</v>
      </c>
      <c r="ED554" s="341"/>
      <c r="EE554" s="341" t="s">
        <v>3139</v>
      </c>
      <c r="EF554" s="349" t="s">
        <v>4802</v>
      </c>
      <c r="EG554" s="341" t="s">
        <v>3754</v>
      </c>
      <c r="EH554" s="341" t="s">
        <v>4869</v>
      </c>
      <c r="EI554" s="341" t="str">
        <f t="shared" si="72"/>
        <v>Cundinamarca_San Antonio del Tequendama</v>
      </c>
    </row>
    <row r="555" spans="1:139" ht="60">
      <c r="A555" s="228">
        <v>40315</v>
      </c>
      <c r="B555" s="102" t="s">
        <v>1604</v>
      </c>
      <c r="C555" s="102" t="s">
        <v>2293</v>
      </c>
      <c r="D555" s="206" t="s">
        <v>2606</v>
      </c>
      <c r="E555" s="320" t="s">
        <v>3757</v>
      </c>
      <c r="F555" s="320"/>
      <c r="G555" s="210"/>
      <c r="H555" s="71"/>
      <c r="I555" s="71"/>
      <c r="J555" s="71">
        <f>36*3</f>
        <v>108</v>
      </c>
      <c r="K555" s="71">
        <v>36</v>
      </c>
      <c r="L555" s="1"/>
      <c r="M555" s="73">
        <f t="shared" si="66"/>
        <v>0</v>
      </c>
      <c r="N555" s="73">
        <f t="shared" si="67"/>
        <v>0</v>
      </c>
      <c r="O555" s="73">
        <f t="shared" si="68"/>
        <v>0</v>
      </c>
      <c r="P555" s="73">
        <f t="shared" si="69"/>
        <v>0</v>
      </c>
      <c r="Q555" s="73"/>
      <c r="R555" s="73">
        <v>0</v>
      </c>
      <c r="S555" s="75">
        <f t="shared" si="71"/>
        <v>0</v>
      </c>
      <c r="T555" s="77">
        <v>0</v>
      </c>
      <c r="U555" s="66">
        <v>40372</v>
      </c>
      <c r="V555" s="79">
        <v>34172</v>
      </c>
      <c r="W555" s="66" t="s">
        <v>1606</v>
      </c>
      <c r="X555" s="24" t="s">
        <v>1586</v>
      </c>
      <c r="Y555" s="62"/>
      <c r="Z555" s="177" t="s">
        <v>52</v>
      </c>
      <c r="AA555" s="80" t="s">
        <v>1376</v>
      </c>
      <c r="AB555" s="3"/>
      <c r="AC555" s="4"/>
      <c r="AD555" s="5"/>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6"/>
      <c r="CE555" s="7"/>
      <c r="CF555" s="6"/>
      <c r="CG555" s="7"/>
      <c r="CH555" s="6"/>
      <c r="CI555" s="7"/>
      <c r="CJ555" s="8">
        <f t="shared" si="70"/>
        <v>0</v>
      </c>
      <c r="CK555" s="9"/>
      <c r="CL555" s="10"/>
      <c r="CM555" s="11"/>
      <c r="CN555" s="12"/>
      <c r="CO555" s="28"/>
      <c r="CP555" s="12"/>
      <c r="CQ555" s="9"/>
      <c r="CR555" s="10"/>
      <c r="CS555" s="68"/>
      <c r="EC555" s="344" t="str">
        <f t="shared" si="65"/>
        <v>CUNDINAMARCA_SAN FRANCISCO</v>
      </c>
      <c r="ED555" s="341"/>
      <c r="EE555" s="341" t="s">
        <v>3139</v>
      </c>
      <c r="EF555" s="349" t="s">
        <v>4802</v>
      </c>
      <c r="EG555" s="341" t="s">
        <v>3755</v>
      </c>
      <c r="EH555" s="341" t="s">
        <v>4870</v>
      </c>
      <c r="EI555" s="341" t="str">
        <f t="shared" si="72"/>
        <v>Cundinamarca_San Bernardo</v>
      </c>
    </row>
    <row r="556" spans="1:139" ht="38.25">
      <c r="A556" s="228">
        <v>40315.576388888891</v>
      </c>
      <c r="B556" s="205" t="s">
        <v>2298</v>
      </c>
      <c r="C556" s="205" t="s">
        <v>1610</v>
      </c>
      <c r="D556" s="207" t="s">
        <v>1201</v>
      </c>
      <c r="E556" s="323"/>
      <c r="F556" s="323"/>
      <c r="G556" s="204"/>
      <c r="H556" s="151"/>
      <c r="I556" s="151"/>
      <c r="J556" s="151"/>
      <c r="K556" s="409"/>
      <c r="L556" s="1"/>
      <c r="M556" s="73">
        <f t="shared" si="66"/>
        <v>0</v>
      </c>
      <c r="N556" s="73">
        <f t="shared" si="67"/>
        <v>0</v>
      </c>
      <c r="O556" s="73">
        <f t="shared" si="68"/>
        <v>0</v>
      </c>
      <c r="P556" s="73">
        <f t="shared" si="69"/>
        <v>0</v>
      </c>
      <c r="Q556" s="73"/>
      <c r="R556" s="73">
        <v>0</v>
      </c>
      <c r="S556" s="75">
        <f t="shared" si="71"/>
        <v>0</v>
      </c>
      <c r="T556" s="77">
        <v>0</v>
      </c>
      <c r="U556" s="296">
        <v>40624</v>
      </c>
      <c r="V556" s="297"/>
      <c r="W556" s="296" t="s">
        <v>1585</v>
      </c>
      <c r="X556" s="298" t="s">
        <v>1586</v>
      </c>
      <c r="Y556" s="299"/>
      <c r="Z556" s="300" t="s">
        <v>894</v>
      </c>
      <c r="AA556" s="414" t="s">
        <v>5407</v>
      </c>
      <c r="AB556" s="152"/>
      <c r="AC556" s="153"/>
      <c r="AD556" s="154"/>
      <c r="AE556" s="153"/>
      <c r="AF556" s="153"/>
      <c r="AG556" s="153"/>
      <c r="AH556" s="153"/>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c r="BI556" s="153"/>
      <c r="BJ556" s="153"/>
      <c r="BK556" s="153"/>
      <c r="BL556" s="153"/>
      <c r="BM556" s="153"/>
      <c r="BN556" s="153"/>
      <c r="BO556" s="153"/>
      <c r="BP556" s="153"/>
      <c r="BQ556" s="153"/>
      <c r="BR556" s="153"/>
      <c r="BS556" s="153"/>
      <c r="BT556" s="153"/>
      <c r="BU556" s="153"/>
      <c r="BV556" s="153"/>
      <c r="BW556" s="153"/>
      <c r="BX556" s="153"/>
      <c r="BY556" s="153"/>
      <c r="BZ556" s="153"/>
      <c r="CA556" s="153"/>
      <c r="CB556" s="153"/>
      <c r="CC556" s="153"/>
      <c r="CD556" s="155"/>
      <c r="CE556" s="156"/>
      <c r="CF556" s="155"/>
      <c r="CG556" s="156"/>
      <c r="CH556" s="155"/>
      <c r="CI556" s="156"/>
      <c r="CJ556" s="157">
        <f t="shared" si="70"/>
        <v>0</v>
      </c>
      <c r="CK556" s="158"/>
      <c r="CL556" s="159"/>
      <c r="CM556" s="160"/>
      <c r="CN556" s="161"/>
      <c r="CO556" s="162"/>
      <c r="CP556" s="161"/>
      <c r="CQ556" s="158"/>
      <c r="CR556" s="159"/>
      <c r="CS556" s="68"/>
      <c r="CT556" s="163"/>
      <c r="EC556" s="344" t="str">
        <f t="shared" si="65"/>
        <v>BOGOTA D.C._BOGOTA</v>
      </c>
      <c r="ED556" s="341"/>
      <c r="EE556" s="341" t="s">
        <v>3139</v>
      </c>
      <c r="EF556" s="349" t="s">
        <v>4802</v>
      </c>
      <c r="EG556" s="341" t="s">
        <v>3756</v>
      </c>
      <c r="EH556" s="341" t="s">
        <v>4871</v>
      </c>
      <c r="EI556" s="341" t="str">
        <f t="shared" si="72"/>
        <v>Cundinamarca_San Cayetano</v>
      </c>
    </row>
    <row r="557" spans="1:139" ht="38.25">
      <c r="A557" s="228">
        <v>40316</v>
      </c>
      <c r="B557" s="102" t="s">
        <v>2298</v>
      </c>
      <c r="C557" s="102" t="s">
        <v>1610</v>
      </c>
      <c r="D557" s="206" t="s">
        <v>1316</v>
      </c>
      <c r="E557" s="320" t="s">
        <v>3375</v>
      </c>
      <c r="F557" s="320"/>
      <c r="G557" s="210"/>
      <c r="H557" s="71">
        <v>1</v>
      </c>
      <c r="I557" s="71"/>
      <c r="J557" s="71">
        <v>10</v>
      </c>
      <c r="K557" s="71">
        <v>2</v>
      </c>
      <c r="L557" s="1"/>
      <c r="M557" s="73">
        <f t="shared" si="66"/>
        <v>0</v>
      </c>
      <c r="N557" s="73">
        <f t="shared" si="67"/>
        <v>0</v>
      </c>
      <c r="O557" s="73">
        <f t="shared" si="68"/>
        <v>0</v>
      </c>
      <c r="P557" s="73">
        <f t="shared" si="69"/>
        <v>0</v>
      </c>
      <c r="Q557" s="73"/>
      <c r="R557" s="73">
        <v>0</v>
      </c>
      <c r="S557" s="75">
        <f t="shared" si="71"/>
        <v>0</v>
      </c>
      <c r="T557" s="77">
        <v>0</v>
      </c>
      <c r="U557" s="66">
        <v>40318</v>
      </c>
      <c r="V557" s="79"/>
      <c r="W557" s="66" t="s">
        <v>1585</v>
      </c>
      <c r="X557" s="24" t="s">
        <v>1586</v>
      </c>
      <c r="Y557" s="62"/>
      <c r="Z557" s="177" t="s">
        <v>894</v>
      </c>
      <c r="AA557" s="80" t="s">
        <v>2608</v>
      </c>
      <c r="AB557" s="3"/>
      <c r="AC557" s="4"/>
      <c r="AD557" s="5"/>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6"/>
      <c r="CE557" s="7"/>
      <c r="CF557" s="6"/>
      <c r="CG557" s="7"/>
      <c r="CH557" s="6"/>
      <c r="CI557" s="7"/>
      <c r="CJ557" s="8">
        <f t="shared" si="70"/>
        <v>0</v>
      </c>
      <c r="CK557" s="9"/>
      <c r="CL557" s="10"/>
      <c r="CM557" s="11"/>
      <c r="CN557" s="12"/>
      <c r="CO557" s="28"/>
      <c r="CP557" s="12"/>
      <c r="CQ557" s="9"/>
      <c r="CR557" s="10"/>
      <c r="CS557" s="68"/>
      <c r="EC557" s="344" t="str">
        <f t="shared" si="65"/>
        <v>BOGOTA D.C._BOGOTA</v>
      </c>
      <c r="ED557" s="341"/>
      <c r="EE557" s="341" t="s">
        <v>3139</v>
      </c>
      <c r="EF557" s="349" t="s">
        <v>4802</v>
      </c>
      <c r="EG557" s="341" t="s">
        <v>3759</v>
      </c>
      <c r="EH557" s="341" t="s">
        <v>4872</v>
      </c>
      <c r="EI557" s="341" t="str">
        <f t="shared" si="72"/>
        <v>Cundinamarca_Sasaima</v>
      </c>
    </row>
    <row r="558" spans="1:139" ht="45">
      <c r="A558" s="228">
        <v>40316</v>
      </c>
      <c r="B558" s="102" t="s">
        <v>2704</v>
      </c>
      <c r="C558" s="102" t="s">
        <v>299</v>
      </c>
      <c r="D558" s="206" t="s">
        <v>1201</v>
      </c>
      <c r="E558" s="320" t="s">
        <v>3583</v>
      </c>
      <c r="F558" s="320"/>
      <c r="G558" s="210"/>
      <c r="H558" s="71"/>
      <c r="I558" s="71"/>
      <c r="J558" s="71">
        <f>35*5</f>
        <v>175</v>
      </c>
      <c r="K558" s="71">
        <v>35</v>
      </c>
      <c r="L558" s="1">
        <v>40386</v>
      </c>
      <c r="M558" s="73">
        <f t="shared" si="66"/>
        <v>10692500</v>
      </c>
      <c r="N558" s="73">
        <f t="shared" si="67"/>
        <v>5950000</v>
      </c>
      <c r="O558" s="73">
        <f t="shared" si="68"/>
        <v>0</v>
      </c>
      <c r="P558" s="73">
        <f t="shared" si="69"/>
        <v>0</v>
      </c>
      <c r="Q558" s="73"/>
      <c r="R558" s="73">
        <v>0</v>
      </c>
      <c r="S558" s="75">
        <f t="shared" si="71"/>
        <v>16642500</v>
      </c>
      <c r="T558" s="77">
        <v>0</v>
      </c>
      <c r="U558" s="66">
        <v>40329</v>
      </c>
      <c r="V558" s="79">
        <v>97905</v>
      </c>
      <c r="W558" s="66" t="s">
        <v>1606</v>
      </c>
      <c r="X558" s="24" t="s">
        <v>1607</v>
      </c>
      <c r="Y558" s="62">
        <v>218</v>
      </c>
      <c r="Z558" s="177" t="s">
        <v>2580</v>
      </c>
      <c r="AA558" s="80" t="s">
        <v>647</v>
      </c>
      <c r="AB558" s="3"/>
      <c r="AC558" s="4"/>
      <c r="AD558" s="5"/>
      <c r="AE558" s="4"/>
      <c r="AF558" s="4"/>
      <c r="AG558" s="4"/>
      <c r="AH558" s="4"/>
      <c r="AI558" s="4"/>
      <c r="AJ558" s="4"/>
      <c r="AK558" s="4"/>
      <c r="AL558" s="4"/>
      <c r="AM558" s="4"/>
      <c r="AN558" s="4"/>
      <c r="AO558" s="4"/>
      <c r="AP558" s="4">
        <v>105</v>
      </c>
      <c r="AQ558" s="4">
        <f>105*56000</f>
        <v>5880000</v>
      </c>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v>105</v>
      </c>
      <c r="BY558" s="4">
        <f>105*21000</f>
        <v>2205000</v>
      </c>
      <c r="BZ558" s="4"/>
      <c r="CA558" s="4"/>
      <c r="CB558" s="4"/>
      <c r="CC558" s="4"/>
      <c r="CD558" s="6">
        <v>35</v>
      </c>
      <c r="CE558" s="7">
        <f>35*38500</f>
        <v>1347500</v>
      </c>
      <c r="CF558" s="6">
        <v>35</v>
      </c>
      <c r="CG558" s="7">
        <f>35*36000</f>
        <v>1260000</v>
      </c>
      <c r="CH558" s="6"/>
      <c r="CI558" s="7"/>
      <c r="CJ558" s="8">
        <f t="shared" si="70"/>
        <v>10692500</v>
      </c>
      <c r="CK558" s="9"/>
      <c r="CL558" s="10"/>
      <c r="CM558" s="11">
        <v>70</v>
      </c>
      <c r="CN558" s="12">
        <f>70*85000</f>
        <v>5950000</v>
      </c>
      <c r="CO558" s="28"/>
      <c r="CP558" s="12"/>
      <c r="CQ558" s="9"/>
      <c r="CR558" s="10"/>
      <c r="CS558" s="68"/>
      <c r="CT558" s="22">
        <v>1085</v>
      </c>
      <c r="EC558" s="344" t="str">
        <f t="shared" si="65"/>
        <v>CAQUETA_SOLANO</v>
      </c>
      <c r="ED558" s="341"/>
      <c r="EE558" s="341" t="s">
        <v>3139</v>
      </c>
      <c r="EF558" s="349" t="s">
        <v>4802</v>
      </c>
      <c r="EG558" s="341" t="s">
        <v>3760</v>
      </c>
      <c r="EH558" s="341" t="s">
        <v>4873</v>
      </c>
      <c r="EI558" s="341" t="str">
        <f t="shared" si="72"/>
        <v>Cundinamarca_Sesquile</v>
      </c>
    </row>
    <row r="559" spans="1:139" ht="38.25">
      <c r="A559" s="228">
        <v>40316</v>
      </c>
      <c r="B559" s="102" t="s">
        <v>1196</v>
      </c>
      <c r="C559" s="102" t="s">
        <v>2609</v>
      </c>
      <c r="D559" s="206" t="s">
        <v>1316</v>
      </c>
      <c r="E559" s="320" t="s">
        <v>4299</v>
      </c>
      <c r="F559" s="320"/>
      <c r="G559" s="210"/>
      <c r="H559" s="71"/>
      <c r="I559" s="71"/>
      <c r="J559" s="71"/>
      <c r="K559" s="71"/>
      <c r="L559" s="1"/>
      <c r="M559" s="73">
        <f t="shared" si="66"/>
        <v>0</v>
      </c>
      <c r="N559" s="73">
        <f t="shared" si="67"/>
        <v>0</v>
      </c>
      <c r="O559" s="73">
        <f t="shared" si="68"/>
        <v>0</v>
      </c>
      <c r="P559" s="73">
        <f t="shared" si="69"/>
        <v>0</v>
      </c>
      <c r="Q559" s="73"/>
      <c r="R559" s="73">
        <v>0</v>
      </c>
      <c r="S559" s="75">
        <f t="shared" si="71"/>
        <v>0</v>
      </c>
      <c r="T559" s="77">
        <v>0</v>
      </c>
      <c r="U559" s="66">
        <v>40318</v>
      </c>
      <c r="V559" s="79"/>
      <c r="W559" s="66" t="s">
        <v>1585</v>
      </c>
      <c r="X559" s="24" t="s">
        <v>1586</v>
      </c>
      <c r="Y559" s="62"/>
      <c r="Z559" s="177" t="s">
        <v>894</v>
      </c>
      <c r="AA559" s="80" t="s">
        <v>2610</v>
      </c>
      <c r="AB559" s="3"/>
      <c r="AC559" s="4"/>
      <c r="AD559" s="5"/>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6"/>
      <c r="CE559" s="7"/>
      <c r="CF559" s="6"/>
      <c r="CG559" s="7"/>
      <c r="CH559" s="6"/>
      <c r="CI559" s="7"/>
      <c r="CJ559" s="8">
        <f t="shared" si="70"/>
        <v>0</v>
      </c>
      <c r="CK559" s="9"/>
      <c r="CL559" s="10"/>
      <c r="CM559" s="11"/>
      <c r="CN559" s="12"/>
      <c r="CO559" s="28"/>
      <c r="CP559" s="12"/>
      <c r="CQ559" s="9"/>
      <c r="CR559" s="10"/>
      <c r="CS559" s="68"/>
      <c r="EC559" s="344" t="str">
        <f t="shared" si="65"/>
        <v>PUTUMAYO_SIBUNDOY</v>
      </c>
      <c r="ED559" s="341"/>
      <c r="EE559" s="341" t="s">
        <v>3139</v>
      </c>
      <c r="EF559" s="349" t="s">
        <v>4802</v>
      </c>
      <c r="EG559" s="341" t="s">
        <v>3761</v>
      </c>
      <c r="EH559" s="341" t="s">
        <v>4874</v>
      </c>
      <c r="EI559" s="341" t="str">
        <f t="shared" si="72"/>
        <v>Cundinamarca_Sibate</v>
      </c>
    </row>
    <row r="560" spans="1:139" ht="51">
      <c r="A560" s="228">
        <v>40316</v>
      </c>
      <c r="B560" s="102" t="s">
        <v>1572</v>
      </c>
      <c r="C560" s="102" t="s">
        <v>1572</v>
      </c>
      <c r="D560" s="206" t="s">
        <v>1316</v>
      </c>
      <c r="E560" s="320" t="s">
        <v>4305</v>
      </c>
      <c r="F560" s="320"/>
      <c r="G560" s="210">
        <v>2</v>
      </c>
      <c r="H560" s="71"/>
      <c r="I560" s="71"/>
      <c r="J560" s="71">
        <v>5</v>
      </c>
      <c r="K560" s="71">
        <v>1</v>
      </c>
      <c r="L560" s="1"/>
      <c r="M560" s="73">
        <f t="shared" si="66"/>
        <v>0</v>
      </c>
      <c r="N560" s="73">
        <f t="shared" si="67"/>
        <v>0</v>
      </c>
      <c r="O560" s="73">
        <f t="shared" si="68"/>
        <v>0</v>
      </c>
      <c r="P560" s="73">
        <f t="shared" si="69"/>
        <v>0</v>
      </c>
      <c r="Q560" s="73"/>
      <c r="R560" s="73">
        <v>0</v>
      </c>
      <c r="S560" s="75">
        <f t="shared" si="71"/>
        <v>0</v>
      </c>
      <c r="T560" s="77">
        <v>0</v>
      </c>
      <c r="U560" s="66">
        <v>40316</v>
      </c>
      <c r="V560" s="79"/>
      <c r="W560" s="66" t="s">
        <v>1585</v>
      </c>
      <c r="X560" s="24" t="s">
        <v>1586</v>
      </c>
      <c r="Y560" s="62"/>
      <c r="Z560" s="177" t="s">
        <v>894</v>
      </c>
      <c r="AA560" s="80" t="s">
        <v>1573</v>
      </c>
      <c r="AB560" s="3"/>
      <c r="AC560" s="4"/>
      <c r="AD560" s="5"/>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6"/>
      <c r="CE560" s="7"/>
      <c r="CF560" s="6"/>
      <c r="CG560" s="7"/>
      <c r="CH560" s="6"/>
      <c r="CI560" s="7"/>
      <c r="CJ560" s="8">
        <f t="shared" si="70"/>
        <v>0</v>
      </c>
      <c r="CK560" s="9"/>
      <c r="CL560" s="10"/>
      <c r="CM560" s="11"/>
      <c r="CN560" s="12"/>
      <c r="CO560" s="28"/>
      <c r="CP560" s="12"/>
      <c r="CQ560" s="9"/>
      <c r="CR560" s="10"/>
      <c r="CS560" s="68"/>
      <c r="EC560" s="344" t="str">
        <f t="shared" ref="EC560:EC618" si="73">B560&amp;"_"&amp;C560</f>
        <v>SAN ANDRES_SAN ANDRES</v>
      </c>
      <c r="ED560" s="341"/>
      <c r="EE560" s="341" t="s">
        <v>3139</v>
      </c>
      <c r="EF560" s="349" t="s">
        <v>4802</v>
      </c>
      <c r="EG560" s="341" t="s">
        <v>3762</v>
      </c>
      <c r="EH560" s="341" t="s">
        <v>4875</v>
      </c>
      <c r="EI560" s="341" t="str">
        <f t="shared" si="72"/>
        <v>Cundinamarca_Silvania</v>
      </c>
    </row>
    <row r="561" spans="1:139" ht="25.5">
      <c r="A561" s="228">
        <v>40317</v>
      </c>
      <c r="B561" s="102" t="s">
        <v>1609</v>
      </c>
      <c r="C561" s="102" t="s">
        <v>2004</v>
      </c>
      <c r="D561" s="206" t="s">
        <v>1878</v>
      </c>
      <c r="E561" s="320" t="s">
        <v>4050</v>
      </c>
      <c r="F561" s="320"/>
      <c r="G561" s="210"/>
      <c r="H561" s="71"/>
      <c r="I561" s="71">
        <v>1</v>
      </c>
      <c r="J561" s="71"/>
      <c r="K561" s="71"/>
      <c r="L561" s="1"/>
      <c r="M561" s="73">
        <f t="shared" si="66"/>
        <v>0</v>
      </c>
      <c r="N561" s="73">
        <f t="shared" si="67"/>
        <v>0</v>
      </c>
      <c r="O561" s="73">
        <f t="shared" si="68"/>
        <v>0</v>
      </c>
      <c r="P561" s="73">
        <f t="shared" si="69"/>
        <v>0</v>
      </c>
      <c r="Q561" s="73"/>
      <c r="R561" s="73">
        <v>0</v>
      </c>
      <c r="S561" s="75">
        <f t="shared" si="71"/>
        <v>0</v>
      </c>
      <c r="T561" s="77">
        <v>0</v>
      </c>
      <c r="U561" s="66">
        <v>40318</v>
      </c>
      <c r="V561" s="79"/>
      <c r="W561" s="66" t="s">
        <v>1585</v>
      </c>
      <c r="X561" s="24" t="s">
        <v>1586</v>
      </c>
      <c r="Y561" s="62"/>
      <c r="Z561" s="177" t="s">
        <v>894</v>
      </c>
      <c r="AA561" s="80" t="s">
        <v>741</v>
      </c>
      <c r="AB561" s="3"/>
      <c r="AC561" s="4"/>
      <c r="AD561" s="5"/>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6"/>
      <c r="CE561" s="7"/>
      <c r="CF561" s="6"/>
      <c r="CG561" s="7"/>
      <c r="CH561" s="6"/>
      <c r="CI561" s="7"/>
      <c r="CJ561" s="8">
        <f t="shared" si="70"/>
        <v>0</v>
      </c>
      <c r="CK561" s="9"/>
      <c r="CL561" s="10"/>
      <c r="CM561" s="11"/>
      <c r="CN561" s="12"/>
      <c r="CO561" s="28"/>
      <c r="CP561" s="12"/>
      <c r="CQ561" s="9"/>
      <c r="CR561" s="10"/>
      <c r="CS561" s="68"/>
      <c r="EC561" s="344" t="str">
        <f t="shared" si="73"/>
        <v>RISARALDA_PEREIRA</v>
      </c>
      <c r="ED561" s="341"/>
      <c r="EE561" s="341" t="s">
        <v>3139</v>
      </c>
      <c r="EF561" s="349" t="s">
        <v>4802</v>
      </c>
      <c r="EG561" s="341" t="s">
        <v>3763</v>
      </c>
      <c r="EH561" s="341" t="s">
        <v>4876</v>
      </c>
      <c r="EI561" s="341" t="str">
        <f t="shared" si="72"/>
        <v>Cundinamarca_Simijaca</v>
      </c>
    </row>
    <row r="562" spans="1:139" ht="38.25">
      <c r="A562" s="228">
        <v>40318</v>
      </c>
      <c r="B562" s="102" t="s">
        <v>1972</v>
      </c>
      <c r="C562" s="102" t="s">
        <v>552</v>
      </c>
      <c r="D562" s="206" t="s">
        <v>1923</v>
      </c>
      <c r="E562" s="320" t="s">
        <v>3249</v>
      </c>
      <c r="F562" s="320"/>
      <c r="G562" s="210">
        <v>1</v>
      </c>
      <c r="H562" s="71">
        <v>1</v>
      </c>
      <c r="I562" s="71"/>
      <c r="J562" s="71"/>
      <c r="K562" s="71"/>
      <c r="L562" s="1"/>
      <c r="M562" s="73">
        <f t="shared" si="66"/>
        <v>0</v>
      </c>
      <c r="N562" s="73">
        <f t="shared" si="67"/>
        <v>0</v>
      </c>
      <c r="O562" s="73">
        <f t="shared" si="68"/>
        <v>0</v>
      </c>
      <c r="P562" s="73">
        <f t="shared" si="69"/>
        <v>0</v>
      </c>
      <c r="Q562" s="73"/>
      <c r="R562" s="73">
        <v>0</v>
      </c>
      <c r="S562" s="75">
        <f t="shared" si="71"/>
        <v>0</v>
      </c>
      <c r="T562" s="77">
        <v>0</v>
      </c>
      <c r="U562" s="66">
        <v>40322</v>
      </c>
      <c r="V562" s="79"/>
      <c r="W562" s="66" t="s">
        <v>1585</v>
      </c>
      <c r="X562" s="24" t="s">
        <v>1586</v>
      </c>
      <c r="Y562" s="62"/>
      <c r="Z562" s="177" t="s">
        <v>894</v>
      </c>
      <c r="AA562" s="80" t="s">
        <v>553</v>
      </c>
      <c r="AB562" s="3"/>
      <c r="AC562" s="4"/>
      <c r="AD562" s="5"/>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6"/>
      <c r="CE562" s="7"/>
      <c r="CF562" s="6"/>
      <c r="CG562" s="7"/>
      <c r="CH562" s="6"/>
      <c r="CI562" s="7"/>
      <c r="CJ562" s="8">
        <f t="shared" si="70"/>
        <v>0</v>
      </c>
      <c r="CK562" s="9"/>
      <c r="CL562" s="10"/>
      <c r="CM562" s="11"/>
      <c r="CN562" s="12"/>
      <c r="CO562" s="28"/>
      <c r="CP562" s="12"/>
      <c r="CQ562" s="9"/>
      <c r="CR562" s="10"/>
      <c r="CS562" s="68"/>
      <c r="EC562" s="344" t="str">
        <f t="shared" si="73"/>
        <v>ANTIOQUIA_BRICEÑO</v>
      </c>
      <c r="ED562" s="341"/>
      <c r="EE562" s="341" t="s">
        <v>3139</v>
      </c>
      <c r="EF562" s="349" t="s">
        <v>4802</v>
      </c>
      <c r="EG562" s="341" t="s">
        <v>3766</v>
      </c>
      <c r="EH562" s="341" t="s">
        <v>4877</v>
      </c>
      <c r="EI562" s="341" t="str">
        <f t="shared" si="72"/>
        <v>Cundinamarca_Subachoque</v>
      </c>
    </row>
    <row r="563" spans="1:139" ht="45">
      <c r="A563" s="228">
        <v>40318</v>
      </c>
      <c r="B563" s="102" t="s">
        <v>1314</v>
      </c>
      <c r="C563" s="102" t="s">
        <v>1774</v>
      </c>
      <c r="D563" s="206" t="s">
        <v>1201</v>
      </c>
      <c r="E563" s="320" t="s">
        <v>3611</v>
      </c>
      <c r="F563" s="320"/>
      <c r="G563" s="210"/>
      <c r="H563" s="71"/>
      <c r="I563" s="71"/>
      <c r="J563" s="71">
        <f>96*5</f>
        <v>480</v>
      </c>
      <c r="K563" s="71">
        <f>244-148</f>
        <v>96</v>
      </c>
      <c r="L563" s="1">
        <v>40333</v>
      </c>
      <c r="M563" s="73">
        <f t="shared" si="66"/>
        <v>23000000</v>
      </c>
      <c r="N563" s="73">
        <f t="shared" si="67"/>
        <v>34000000</v>
      </c>
      <c r="O563" s="73">
        <f t="shared" si="68"/>
        <v>0</v>
      </c>
      <c r="P563" s="73">
        <f t="shared" si="69"/>
        <v>0</v>
      </c>
      <c r="Q563" s="73"/>
      <c r="R563" s="73">
        <v>0</v>
      </c>
      <c r="S563" s="75">
        <f t="shared" si="71"/>
        <v>57000000</v>
      </c>
      <c r="T563" s="77">
        <v>0</v>
      </c>
      <c r="U563" s="66">
        <v>40318</v>
      </c>
      <c r="V563" s="79">
        <v>97636</v>
      </c>
      <c r="W563" s="66" t="s">
        <v>1606</v>
      </c>
      <c r="X563" s="24" t="s">
        <v>1607</v>
      </c>
      <c r="Y563" s="62">
        <v>140</v>
      </c>
      <c r="Z563" s="177" t="s">
        <v>2580</v>
      </c>
      <c r="AA563" s="80" t="s">
        <v>1364</v>
      </c>
      <c r="AB563" s="3"/>
      <c r="AC563" s="4"/>
      <c r="AD563" s="5"/>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v>400</v>
      </c>
      <c r="BY563" s="4">
        <f>400*21000</f>
        <v>8400000</v>
      </c>
      <c r="BZ563" s="4"/>
      <c r="CA563" s="4"/>
      <c r="CB563" s="4"/>
      <c r="CC563" s="4"/>
      <c r="CD563" s="6">
        <v>200</v>
      </c>
      <c r="CE563" s="7">
        <f>200*37000</f>
        <v>7400000</v>
      </c>
      <c r="CF563" s="6">
        <v>200</v>
      </c>
      <c r="CG563" s="7">
        <f>200*36000</f>
        <v>7200000</v>
      </c>
      <c r="CH563" s="6"/>
      <c r="CI563" s="7"/>
      <c r="CJ563" s="8">
        <f t="shared" si="70"/>
        <v>23000000</v>
      </c>
      <c r="CK563" s="9"/>
      <c r="CL563" s="10"/>
      <c r="CM563" s="11">
        <v>400</v>
      </c>
      <c r="CN563" s="12">
        <f>400*85000</f>
        <v>34000000</v>
      </c>
      <c r="CO563" s="28"/>
      <c r="CP563" s="12"/>
      <c r="CQ563" s="9"/>
      <c r="CR563" s="10"/>
      <c r="CS563" s="68"/>
      <c r="EC563" s="344" t="str">
        <f t="shared" si="73"/>
        <v>CAUCA_PIAMONTE</v>
      </c>
      <c r="ED563" s="341"/>
      <c r="EE563" s="341" t="s">
        <v>3139</v>
      </c>
      <c r="EF563" s="349" t="s">
        <v>4802</v>
      </c>
      <c r="EG563" s="341" t="s">
        <v>3767</v>
      </c>
      <c r="EH563" s="341" t="s">
        <v>4878</v>
      </c>
      <c r="EI563" s="341" t="str">
        <f t="shared" si="72"/>
        <v>Cundinamarca_Suesca</v>
      </c>
    </row>
    <row r="564" spans="1:139" ht="25.5">
      <c r="A564" s="228">
        <v>40319</v>
      </c>
      <c r="B564" s="102" t="s">
        <v>1192</v>
      </c>
      <c r="C564" s="102" t="s">
        <v>852</v>
      </c>
      <c r="D564" s="206" t="s">
        <v>1201</v>
      </c>
      <c r="E564" s="320" t="s">
        <v>3435</v>
      </c>
      <c r="F564" s="320"/>
      <c r="G564" s="210"/>
      <c r="H564" s="71"/>
      <c r="I564" s="71"/>
      <c r="J564" s="71">
        <f>86*5</f>
        <v>430</v>
      </c>
      <c r="K564" s="71">
        <v>86</v>
      </c>
      <c r="L564" s="1"/>
      <c r="M564" s="73">
        <f t="shared" si="66"/>
        <v>0</v>
      </c>
      <c r="N564" s="73">
        <f t="shared" si="67"/>
        <v>0</v>
      </c>
      <c r="O564" s="73">
        <f t="shared" si="68"/>
        <v>0</v>
      </c>
      <c r="P564" s="73">
        <f t="shared" si="69"/>
        <v>0</v>
      </c>
      <c r="Q564" s="73"/>
      <c r="R564" s="73">
        <v>0</v>
      </c>
      <c r="S564" s="75">
        <f t="shared" si="71"/>
        <v>0</v>
      </c>
      <c r="T564" s="77">
        <v>0</v>
      </c>
      <c r="U564" s="66">
        <v>40322</v>
      </c>
      <c r="V564" s="79"/>
      <c r="W564" s="66" t="s">
        <v>1585</v>
      </c>
      <c r="X564" s="24" t="s">
        <v>1586</v>
      </c>
      <c r="Y564" s="62"/>
      <c r="Z564" s="177" t="s">
        <v>894</v>
      </c>
      <c r="AA564" s="80" t="s">
        <v>1763</v>
      </c>
      <c r="AB564" s="3"/>
      <c r="AC564" s="4"/>
      <c r="AD564" s="5"/>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6"/>
      <c r="CE564" s="7"/>
      <c r="CF564" s="6"/>
      <c r="CG564" s="7"/>
      <c r="CH564" s="6"/>
      <c r="CI564" s="7"/>
      <c r="CJ564" s="8">
        <f t="shared" si="70"/>
        <v>0</v>
      </c>
      <c r="CK564" s="9"/>
      <c r="CL564" s="10"/>
      <c r="CM564" s="11"/>
      <c r="CN564" s="12"/>
      <c r="CO564" s="28"/>
      <c r="CP564" s="12"/>
      <c r="CQ564" s="9"/>
      <c r="CR564" s="10"/>
      <c r="CS564" s="68"/>
      <c r="EC564" s="344" t="str">
        <f t="shared" si="73"/>
        <v>BOYACA_CERINZA</v>
      </c>
      <c r="ED564" s="341"/>
      <c r="EE564" s="341" t="s">
        <v>3139</v>
      </c>
      <c r="EF564" s="349" t="s">
        <v>4802</v>
      </c>
      <c r="EG564" s="341" t="s">
        <v>3768</v>
      </c>
      <c r="EH564" s="341" t="s">
        <v>4879</v>
      </c>
      <c r="EI564" s="341" t="str">
        <f t="shared" si="72"/>
        <v>Cundinamarca_Supata</v>
      </c>
    </row>
    <row r="565" spans="1:139" ht="25.5">
      <c r="A565" s="228">
        <v>40319</v>
      </c>
      <c r="B565" s="102" t="s">
        <v>1192</v>
      </c>
      <c r="C565" s="102" t="s">
        <v>1918</v>
      </c>
      <c r="D565" s="206" t="s">
        <v>1923</v>
      </c>
      <c r="E565" s="320" t="s">
        <v>3452</v>
      </c>
      <c r="F565" s="320"/>
      <c r="G565" s="210"/>
      <c r="H565" s="71">
        <v>3</v>
      </c>
      <c r="I565" s="71"/>
      <c r="J565" s="71"/>
      <c r="K565" s="71"/>
      <c r="L565" s="1"/>
      <c r="M565" s="73">
        <f t="shared" si="66"/>
        <v>0</v>
      </c>
      <c r="N565" s="73">
        <f t="shared" si="67"/>
        <v>0</v>
      </c>
      <c r="O565" s="73">
        <f t="shared" si="68"/>
        <v>0</v>
      </c>
      <c r="P565" s="73">
        <f t="shared" si="69"/>
        <v>0</v>
      </c>
      <c r="Q565" s="73"/>
      <c r="R565" s="73">
        <v>0</v>
      </c>
      <c r="S565" s="75">
        <f t="shared" si="71"/>
        <v>0</v>
      </c>
      <c r="T565" s="77">
        <v>0</v>
      </c>
      <c r="U565" s="66">
        <v>40322</v>
      </c>
      <c r="V565" s="79"/>
      <c r="W565" s="66" t="s">
        <v>1585</v>
      </c>
      <c r="X565" s="24" t="s">
        <v>1586</v>
      </c>
      <c r="Y565" s="62"/>
      <c r="Z565" s="177" t="s">
        <v>894</v>
      </c>
      <c r="AA565" s="80" t="s">
        <v>851</v>
      </c>
      <c r="AB565" s="3"/>
      <c r="AC565" s="4"/>
      <c r="AD565" s="5"/>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6"/>
      <c r="CE565" s="7"/>
      <c r="CF565" s="6"/>
      <c r="CG565" s="7"/>
      <c r="CH565" s="6"/>
      <c r="CI565" s="7"/>
      <c r="CJ565" s="8">
        <f t="shared" si="70"/>
        <v>0</v>
      </c>
      <c r="CK565" s="9"/>
      <c r="CL565" s="10"/>
      <c r="CM565" s="11"/>
      <c r="CN565" s="12"/>
      <c r="CO565" s="28"/>
      <c r="CP565" s="12"/>
      <c r="CQ565" s="9"/>
      <c r="CR565" s="10"/>
      <c r="CS565" s="68"/>
      <c r="EC565" s="344" t="str">
        <f t="shared" si="73"/>
        <v>BOYACA_DUITAMA</v>
      </c>
      <c r="ED565" s="341"/>
      <c r="EE565" s="341" t="s">
        <v>3139</v>
      </c>
      <c r="EF565" s="349" t="s">
        <v>4802</v>
      </c>
      <c r="EG565" s="341" t="s">
        <v>3769</v>
      </c>
      <c r="EH565" s="341" t="s">
        <v>4880</v>
      </c>
      <c r="EI565" s="341" t="str">
        <f t="shared" si="72"/>
        <v>Cundinamarca_Susa</v>
      </c>
    </row>
    <row r="566" spans="1:139" ht="45">
      <c r="A566" s="228">
        <v>40320</v>
      </c>
      <c r="B566" s="102" t="s">
        <v>1615</v>
      </c>
      <c r="C566" s="102" t="s">
        <v>1562</v>
      </c>
      <c r="D566" s="206" t="s">
        <v>2606</v>
      </c>
      <c r="E566" s="320" t="s">
        <v>3392</v>
      </c>
      <c r="F566" s="320"/>
      <c r="G566" s="210"/>
      <c r="H566" s="71"/>
      <c r="I566" s="71"/>
      <c r="J566" s="71">
        <f>44*5</f>
        <v>220</v>
      </c>
      <c r="K566" s="71">
        <v>44</v>
      </c>
      <c r="L566" s="1">
        <v>40368</v>
      </c>
      <c r="M566" s="73">
        <f t="shared" si="66"/>
        <v>0</v>
      </c>
      <c r="N566" s="73">
        <f t="shared" si="67"/>
        <v>0</v>
      </c>
      <c r="O566" s="73">
        <f t="shared" si="68"/>
        <v>21269704</v>
      </c>
      <c r="P566" s="73">
        <f t="shared" si="69"/>
        <v>0</v>
      </c>
      <c r="Q566" s="73"/>
      <c r="R566" s="73">
        <v>0</v>
      </c>
      <c r="S566" s="75">
        <f t="shared" si="71"/>
        <v>21269704</v>
      </c>
      <c r="T566" s="77">
        <v>0</v>
      </c>
      <c r="U566" s="1">
        <v>40347</v>
      </c>
      <c r="V566" s="79">
        <v>98360</v>
      </c>
      <c r="W566" s="66" t="s">
        <v>1606</v>
      </c>
      <c r="X566" s="24" t="s">
        <v>1607</v>
      </c>
      <c r="Y566" s="62">
        <v>194</v>
      </c>
      <c r="Z566" s="177" t="s">
        <v>2580</v>
      </c>
      <c r="AA566" s="87" t="s">
        <v>937</v>
      </c>
      <c r="AB566" s="3"/>
      <c r="AC566" s="4"/>
      <c r="AD566" s="5"/>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6"/>
      <c r="CE566" s="7"/>
      <c r="CF566" s="6"/>
      <c r="CG566" s="7"/>
      <c r="CH566" s="6"/>
      <c r="CI566" s="7"/>
      <c r="CJ566" s="8">
        <f t="shared" si="70"/>
        <v>0</v>
      </c>
      <c r="CK566" s="9"/>
      <c r="CL566" s="10"/>
      <c r="CM566" s="11"/>
      <c r="CN566" s="12"/>
      <c r="CO566" s="28"/>
      <c r="CP566" s="12"/>
      <c r="CQ566" s="9">
        <v>883</v>
      </c>
      <c r="CR566" s="10">
        <f>883*22000+5298*348</f>
        <v>21269704</v>
      </c>
      <c r="CS566" s="68"/>
      <c r="EC566" s="344" t="str">
        <f t="shared" si="73"/>
        <v>BOLIVAR_MAGANGUE</v>
      </c>
      <c r="ED566" s="341"/>
      <c r="EE566" s="341" t="s">
        <v>3139</v>
      </c>
      <c r="EF566" s="349" t="s">
        <v>4802</v>
      </c>
      <c r="EG566" s="341" t="s">
        <v>3770</v>
      </c>
      <c r="EH566" s="341" t="s">
        <v>4881</v>
      </c>
      <c r="EI566" s="341" t="str">
        <f t="shared" si="72"/>
        <v>Cundinamarca_Sutatausa</v>
      </c>
    </row>
    <row r="567" spans="1:139" ht="84">
      <c r="A567" s="228">
        <v>40320</v>
      </c>
      <c r="B567" s="102" t="s">
        <v>2704</v>
      </c>
      <c r="C567" s="102" t="s">
        <v>1158</v>
      </c>
      <c r="D567" s="206" t="s">
        <v>1201</v>
      </c>
      <c r="E567" s="320" t="s">
        <v>3570</v>
      </c>
      <c r="F567" s="320"/>
      <c r="G567" s="210">
        <v>1</v>
      </c>
      <c r="H567" s="71">
        <v>7</v>
      </c>
      <c r="I567" s="71"/>
      <c r="J567" s="71">
        <f>2931*5</f>
        <v>14655</v>
      </c>
      <c r="K567" s="71">
        <f>3016-50-20-15</f>
        <v>2931</v>
      </c>
      <c r="L567" s="1">
        <v>40330</v>
      </c>
      <c r="M567" s="73">
        <f t="shared" si="66"/>
        <v>478950720</v>
      </c>
      <c r="N567" s="73">
        <f t="shared" si="67"/>
        <v>255000000</v>
      </c>
      <c r="O567" s="73">
        <f t="shared" si="68"/>
        <v>0</v>
      </c>
      <c r="P567" s="73">
        <f t="shared" si="69"/>
        <v>0</v>
      </c>
      <c r="Q567" s="73"/>
      <c r="R567" s="73">
        <v>194373600</v>
      </c>
      <c r="S567" s="75">
        <f t="shared" si="71"/>
        <v>928324320</v>
      </c>
      <c r="T567" s="77">
        <v>0</v>
      </c>
      <c r="U567" s="66">
        <v>40320</v>
      </c>
      <c r="V567" s="89" t="s">
        <v>641</v>
      </c>
      <c r="W567" s="66" t="s">
        <v>1606</v>
      </c>
      <c r="X567" s="24" t="s">
        <v>1607</v>
      </c>
      <c r="Y567" s="83" t="s">
        <v>854</v>
      </c>
      <c r="Z567" s="177" t="s">
        <v>2580</v>
      </c>
      <c r="AA567" s="80" t="s">
        <v>640</v>
      </c>
      <c r="AB567" s="3"/>
      <c r="AC567" s="4"/>
      <c r="AD567" s="5"/>
      <c r="AE567" s="4"/>
      <c r="AF567" s="4"/>
      <c r="AG567" s="4"/>
      <c r="AH567" s="4"/>
      <c r="AI567" s="4"/>
      <c r="AJ567" s="4"/>
      <c r="AK567" s="4"/>
      <c r="AL567" s="4"/>
      <c r="AM567" s="4"/>
      <c r="AN567" s="4">
        <v>1069</v>
      </c>
      <c r="AO567" s="4">
        <f>1069*56000</f>
        <v>59864000</v>
      </c>
      <c r="AP567" s="4">
        <f>1000+1431</f>
        <v>2431</v>
      </c>
      <c r="AQ567" s="4">
        <f>1000*56000+1431*56000</f>
        <v>136136000</v>
      </c>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f>1000+2000</f>
        <v>3000</v>
      </c>
      <c r="BY567" s="4">
        <f>1000*21000+2000*21500</f>
        <v>64000000</v>
      </c>
      <c r="BZ567" s="4"/>
      <c r="CA567" s="4"/>
      <c r="CB567" s="4"/>
      <c r="CC567" s="4"/>
      <c r="CD567" s="6">
        <f>2000+1000</f>
        <v>3000</v>
      </c>
      <c r="CE567" s="7">
        <f>2000*36999.36+1000*36952</f>
        <v>110950720</v>
      </c>
      <c r="CF567" s="6">
        <f>1000+2000</f>
        <v>3000</v>
      </c>
      <c r="CG567" s="7">
        <f>1000*36000+2000*36000</f>
        <v>108000000</v>
      </c>
      <c r="CH567" s="6"/>
      <c r="CI567" s="7"/>
      <c r="CJ567" s="8">
        <f t="shared" si="70"/>
        <v>478950720</v>
      </c>
      <c r="CK567" s="9"/>
      <c r="CL567" s="10"/>
      <c r="CM567" s="11">
        <f>1000+1000+1000</f>
        <v>3000</v>
      </c>
      <c r="CN567" s="12">
        <f>1000*85000+1000*85000+1000*85000</f>
        <v>255000000</v>
      </c>
      <c r="CO567" s="28"/>
      <c r="CP567" s="12"/>
      <c r="CQ567" s="9"/>
      <c r="CR567" s="10"/>
      <c r="CS567" s="68">
        <v>4</v>
      </c>
      <c r="CT567" s="22">
        <v>1062</v>
      </c>
      <c r="EC567" s="344" t="str">
        <f t="shared" si="73"/>
        <v>CAQUETA_FLORENCIA</v>
      </c>
      <c r="ED567" s="341"/>
      <c r="EE567" s="341" t="s">
        <v>3139</v>
      </c>
      <c r="EF567" s="349" t="s">
        <v>4802</v>
      </c>
      <c r="EG567" s="341" t="s">
        <v>3771</v>
      </c>
      <c r="EH567" s="341" t="s">
        <v>4882</v>
      </c>
      <c r="EI567" s="341" t="str">
        <f t="shared" si="72"/>
        <v>Cundinamarca_Tabio</v>
      </c>
    </row>
    <row r="568" spans="1:139" ht="48">
      <c r="A568" s="228">
        <v>40321</v>
      </c>
      <c r="B568" s="102" t="s">
        <v>2704</v>
      </c>
      <c r="C568" s="102" t="s">
        <v>2419</v>
      </c>
      <c r="D568" s="206" t="s">
        <v>1201</v>
      </c>
      <c r="E568" s="320" t="s">
        <v>3580</v>
      </c>
      <c r="F568" s="320"/>
      <c r="G568" s="210"/>
      <c r="H568" s="71"/>
      <c r="I568" s="71"/>
      <c r="J568" s="71"/>
      <c r="K568" s="71"/>
      <c r="L568" s="1"/>
      <c r="M568" s="73">
        <f t="shared" si="66"/>
        <v>0</v>
      </c>
      <c r="N568" s="73">
        <f t="shared" si="67"/>
        <v>0</v>
      </c>
      <c r="O568" s="73">
        <f t="shared" si="68"/>
        <v>0</v>
      </c>
      <c r="P568" s="73">
        <f t="shared" si="69"/>
        <v>0</v>
      </c>
      <c r="Q568" s="73"/>
      <c r="R568" s="73">
        <v>0</v>
      </c>
      <c r="S568" s="75">
        <f t="shared" si="71"/>
        <v>0</v>
      </c>
      <c r="T568" s="77">
        <v>0</v>
      </c>
      <c r="U568" s="66">
        <v>40323</v>
      </c>
      <c r="V568" s="79"/>
      <c r="W568" s="66" t="s">
        <v>1585</v>
      </c>
      <c r="X568" s="24" t="s">
        <v>1586</v>
      </c>
      <c r="Y568" s="62"/>
      <c r="Z568" s="177" t="s">
        <v>894</v>
      </c>
      <c r="AA568" s="80" t="s">
        <v>2602</v>
      </c>
      <c r="AB568" s="3"/>
      <c r="AC568" s="4"/>
      <c r="AD568" s="5"/>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6"/>
      <c r="CE568" s="7"/>
      <c r="CF568" s="6"/>
      <c r="CG568" s="7"/>
      <c r="CH568" s="6"/>
      <c r="CI568" s="7"/>
      <c r="CJ568" s="8">
        <f t="shared" si="70"/>
        <v>0</v>
      </c>
      <c r="CK568" s="9"/>
      <c r="CL568" s="10"/>
      <c r="CM568" s="11"/>
      <c r="CN568" s="12"/>
      <c r="CO568" s="28"/>
      <c r="CP568" s="12"/>
      <c r="CQ568" s="9"/>
      <c r="CR568" s="10"/>
      <c r="CS568" s="68"/>
      <c r="EC568" s="344" t="str">
        <f t="shared" si="73"/>
        <v>CAQUETA_PUERTO RICO</v>
      </c>
      <c r="ED568" s="341"/>
      <c r="EE568" s="341" t="s">
        <v>3139</v>
      </c>
      <c r="EF568" s="349" t="s">
        <v>4802</v>
      </c>
      <c r="EG568" s="341" t="s">
        <v>3772</v>
      </c>
      <c r="EH568" s="341" t="s">
        <v>4883</v>
      </c>
      <c r="EI568" s="341" t="str">
        <f t="shared" si="72"/>
        <v>Cundinamarca_Tausa</v>
      </c>
    </row>
    <row r="569" spans="1:139" ht="33.75">
      <c r="A569" s="228">
        <v>40321</v>
      </c>
      <c r="B569" s="102" t="s">
        <v>1998</v>
      </c>
      <c r="C569" s="102" t="s">
        <v>1765</v>
      </c>
      <c r="D569" s="206" t="s">
        <v>1878</v>
      </c>
      <c r="E569" s="320" t="s">
        <v>4081</v>
      </c>
      <c r="F569" s="320"/>
      <c r="G569" s="265">
        <v>1</v>
      </c>
      <c r="H569" s="71"/>
      <c r="I569" s="71"/>
      <c r="J569" s="71">
        <v>794</v>
      </c>
      <c r="K569" s="71">
        <v>204</v>
      </c>
      <c r="L569" s="1">
        <v>40389</v>
      </c>
      <c r="M569" s="73">
        <f t="shared" si="66"/>
        <v>0</v>
      </c>
      <c r="N569" s="73">
        <f t="shared" si="67"/>
        <v>5100000</v>
      </c>
      <c r="O569" s="73">
        <f t="shared" si="68"/>
        <v>0</v>
      </c>
      <c r="P569" s="73">
        <f t="shared" si="69"/>
        <v>0</v>
      </c>
      <c r="Q569" s="73"/>
      <c r="R569" s="73">
        <v>0</v>
      </c>
      <c r="S569" s="75">
        <f t="shared" si="71"/>
        <v>5100000</v>
      </c>
      <c r="T569" s="77">
        <v>0</v>
      </c>
      <c r="U569" s="66">
        <v>40353</v>
      </c>
      <c r="V569" s="79">
        <v>30750</v>
      </c>
      <c r="W569" s="66" t="s">
        <v>1606</v>
      </c>
      <c r="X569" s="24" t="s">
        <v>1607</v>
      </c>
      <c r="Y569" s="62">
        <v>220</v>
      </c>
      <c r="Z569" s="177" t="s">
        <v>577</v>
      </c>
      <c r="AA569" s="80" t="s">
        <v>1766</v>
      </c>
      <c r="AB569" s="3"/>
      <c r="AC569" s="4"/>
      <c r="AD569" s="5"/>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6"/>
      <c r="CE569" s="7"/>
      <c r="CF569" s="6"/>
      <c r="CG569" s="7"/>
      <c r="CH569" s="6"/>
      <c r="CI569" s="7"/>
      <c r="CJ569" s="8">
        <f t="shared" si="70"/>
        <v>0</v>
      </c>
      <c r="CK569" s="9"/>
      <c r="CL569" s="10"/>
      <c r="CM569" s="11">
        <v>60</v>
      </c>
      <c r="CN569" s="12">
        <f>60*85000</f>
        <v>5100000</v>
      </c>
      <c r="CO569" s="28"/>
      <c r="CP569" s="12"/>
      <c r="CQ569" s="9"/>
      <c r="CR569" s="10"/>
      <c r="CS569" s="68"/>
      <c r="EC569" s="344" t="str">
        <f t="shared" si="73"/>
        <v>SANTANDER_CHIMA</v>
      </c>
      <c r="ED569" s="341"/>
      <c r="EE569" s="341" t="s">
        <v>3139</v>
      </c>
      <c r="EF569" s="349" t="s">
        <v>4802</v>
      </c>
      <c r="EG569" s="341" t="s">
        <v>3773</v>
      </c>
      <c r="EH569" s="341" t="s">
        <v>4884</v>
      </c>
      <c r="EI569" s="341" t="str">
        <f t="shared" si="72"/>
        <v>Cundinamarca_Tena</v>
      </c>
    </row>
    <row r="570" spans="1:139" ht="38.25">
      <c r="A570" s="228">
        <v>40321</v>
      </c>
      <c r="B570" s="102" t="s">
        <v>1998</v>
      </c>
      <c r="C570" s="102" t="s">
        <v>1764</v>
      </c>
      <c r="D570" s="206" t="s">
        <v>1878</v>
      </c>
      <c r="E570" s="320" t="s">
        <v>4106</v>
      </c>
      <c r="F570" s="320"/>
      <c r="G570" s="265"/>
      <c r="H570" s="71"/>
      <c r="I570" s="71"/>
      <c r="J570" s="71">
        <f>120*5</f>
        <v>600</v>
      </c>
      <c r="K570" s="71">
        <v>120</v>
      </c>
      <c r="L570" s="1">
        <v>40389</v>
      </c>
      <c r="M570" s="73">
        <f t="shared" si="66"/>
        <v>0</v>
      </c>
      <c r="N570" s="73">
        <f t="shared" si="67"/>
        <v>6800000</v>
      </c>
      <c r="O570" s="73">
        <f t="shared" si="68"/>
        <v>0</v>
      </c>
      <c r="P570" s="73">
        <f t="shared" si="69"/>
        <v>0</v>
      </c>
      <c r="Q570" s="73"/>
      <c r="R570" s="73">
        <v>0</v>
      </c>
      <c r="S570" s="75">
        <f t="shared" si="71"/>
        <v>6800000</v>
      </c>
      <c r="T570" s="77">
        <v>0</v>
      </c>
      <c r="U570" s="66">
        <v>40353</v>
      </c>
      <c r="V570" s="79">
        <v>30750</v>
      </c>
      <c r="W570" s="66" t="s">
        <v>1606</v>
      </c>
      <c r="X570" s="24" t="s">
        <v>1607</v>
      </c>
      <c r="Y570" s="62">
        <v>220</v>
      </c>
      <c r="Z570" s="177" t="s">
        <v>577</v>
      </c>
      <c r="AA570" s="92" t="s">
        <v>1773</v>
      </c>
      <c r="AB570" s="3"/>
      <c r="AC570" s="4"/>
      <c r="AD570" s="5"/>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6"/>
      <c r="CE570" s="7"/>
      <c r="CF570" s="6"/>
      <c r="CG570" s="7"/>
      <c r="CH570" s="6"/>
      <c r="CI570" s="7"/>
      <c r="CJ570" s="8">
        <f t="shared" si="70"/>
        <v>0</v>
      </c>
      <c r="CK570" s="9"/>
      <c r="CL570" s="10"/>
      <c r="CM570" s="11">
        <v>80</v>
      </c>
      <c r="CN570" s="12">
        <f>80*85000</f>
        <v>6800000</v>
      </c>
      <c r="CO570" s="28"/>
      <c r="CP570" s="12"/>
      <c r="CQ570" s="9"/>
      <c r="CR570" s="10"/>
      <c r="CS570" s="68"/>
      <c r="EC570" s="344" t="str">
        <f t="shared" si="73"/>
        <v>SANTANDER_JESUS MARIA</v>
      </c>
      <c r="ED570" s="341"/>
      <c r="EE570" s="341" t="s">
        <v>3139</v>
      </c>
      <c r="EF570" s="349" t="s">
        <v>4802</v>
      </c>
      <c r="EG570" s="341" t="s">
        <v>3774</v>
      </c>
      <c r="EH570" s="341" t="s">
        <v>4885</v>
      </c>
      <c r="EI570" s="341" t="str">
        <f t="shared" si="72"/>
        <v>Cundinamarca_Tenjo</v>
      </c>
    </row>
    <row r="571" spans="1:139" ht="36">
      <c r="A571" s="228">
        <v>40321</v>
      </c>
      <c r="B571" s="102" t="s">
        <v>1998</v>
      </c>
      <c r="C571" s="102" t="s">
        <v>1943</v>
      </c>
      <c r="D571" s="206" t="s">
        <v>1878</v>
      </c>
      <c r="E571" s="320" t="s">
        <v>4143</v>
      </c>
      <c r="F571" s="320"/>
      <c r="G571" s="265"/>
      <c r="H571" s="71"/>
      <c r="I571" s="71"/>
      <c r="J571" s="71">
        <v>222</v>
      </c>
      <c r="K571" s="71">
        <v>49</v>
      </c>
      <c r="L571" s="1">
        <v>40389</v>
      </c>
      <c r="M571" s="73">
        <f t="shared" si="66"/>
        <v>0</v>
      </c>
      <c r="N571" s="73">
        <f t="shared" si="67"/>
        <v>6800000</v>
      </c>
      <c r="O571" s="73">
        <f t="shared" si="68"/>
        <v>0</v>
      </c>
      <c r="P571" s="73">
        <f t="shared" si="69"/>
        <v>0</v>
      </c>
      <c r="Q571" s="73"/>
      <c r="R571" s="73">
        <v>0</v>
      </c>
      <c r="S571" s="75">
        <f t="shared" si="71"/>
        <v>6800000</v>
      </c>
      <c r="T571" s="77">
        <v>0</v>
      </c>
      <c r="U571" s="66">
        <v>40353</v>
      </c>
      <c r="V571" s="79">
        <v>30750</v>
      </c>
      <c r="W571" s="66" t="s">
        <v>1606</v>
      </c>
      <c r="X571" s="24" t="s">
        <v>1607</v>
      </c>
      <c r="Y571" s="62">
        <v>220</v>
      </c>
      <c r="Z571" s="177" t="s">
        <v>577</v>
      </c>
      <c r="AA571" s="80" t="s">
        <v>507</v>
      </c>
      <c r="AB571" s="3"/>
      <c r="AC571" s="4"/>
      <c r="AD571" s="5"/>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6"/>
      <c r="CE571" s="7"/>
      <c r="CF571" s="6"/>
      <c r="CG571" s="7"/>
      <c r="CH571" s="6"/>
      <c r="CI571" s="7"/>
      <c r="CJ571" s="8">
        <f t="shared" si="70"/>
        <v>0</v>
      </c>
      <c r="CK571" s="9"/>
      <c r="CL571" s="10"/>
      <c r="CM571" s="11">
        <v>80</v>
      </c>
      <c r="CN571" s="12">
        <f>80*85000</f>
        <v>6800000</v>
      </c>
      <c r="CO571" s="28"/>
      <c r="CP571" s="12"/>
      <c r="CQ571" s="9"/>
      <c r="CR571" s="10"/>
      <c r="CS571" s="68"/>
      <c r="EC571" s="344" t="str">
        <f t="shared" si="73"/>
        <v>SANTANDER_SUCRE</v>
      </c>
      <c r="ED571" s="341"/>
      <c r="EE571" s="341" t="s">
        <v>3139</v>
      </c>
      <c r="EF571" s="349" t="s">
        <v>4802</v>
      </c>
      <c r="EG571" s="341" t="s">
        <v>3775</v>
      </c>
      <c r="EH571" s="341" t="s">
        <v>4886</v>
      </c>
      <c r="EI571" s="341" t="str">
        <f t="shared" si="72"/>
        <v>Cundinamarca_Tibacuy</v>
      </c>
    </row>
    <row r="572" spans="1:139" ht="149.25" customHeight="1">
      <c r="A572" s="228">
        <v>40321.581250000003</v>
      </c>
      <c r="B572" s="205" t="s">
        <v>2298</v>
      </c>
      <c r="C572" s="205" t="s">
        <v>1610</v>
      </c>
      <c r="D572" s="207" t="s">
        <v>1878</v>
      </c>
      <c r="E572" s="323"/>
      <c r="F572" s="323"/>
      <c r="G572" s="204"/>
      <c r="H572" s="151"/>
      <c r="I572" s="151"/>
      <c r="J572" s="151">
        <v>57</v>
      </c>
      <c r="K572" s="409">
        <v>17</v>
      </c>
      <c r="L572" s="1"/>
      <c r="M572" s="73">
        <f t="shared" si="66"/>
        <v>0</v>
      </c>
      <c r="N572" s="73">
        <f t="shared" si="67"/>
        <v>0</v>
      </c>
      <c r="O572" s="73">
        <f t="shared" si="68"/>
        <v>0</v>
      </c>
      <c r="P572" s="73">
        <f t="shared" si="69"/>
        <v>0</v>
      </c>
      <c r="Q572" s="73"/>
      <c r="R572" s="73">
        <v>0</v>
      </c>
      <c r="S572" s="75">
        <f t="shared" si="71"/>
        <v>0</v>
      </c>
      <c r="T572" s="77">
        <v>0</v>
      </c>
      <c r="U572" s="292">
        <v>40624</v>
      </c>
      <c r="V572" s="297"/>
      <c r="W572" s="296" t="s">
        <v>1585</v>
      </c>
      <c r="X572" s="298" t="s">
        <v>1586</v>
      </c>
      <c r="Y572" s="299"/>
      <c r="Z572" s="300" t="s">
        <v>894</v>
      </c>
      <c r="AA572" s="414" t="s">
        <v>5408</v>
      </c>
      <c r="AB572" s="152"/>
      <c r="AC572" s="153"/>
      <c r="AD572" s="154"/>
      <c r="AE572" s="153"/>
      <c r="AF572" s="153"/>
      <c r="AG572" s="153"/>
      <c r="AH572" s="153"/>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c r="BI572" s="153"/>
      <c r="BJ572" s="153"/>
      <c r="BK572" s="153"/>
      <c r="BL572" s="153"/>
      <c r="BM572" s="153"/>
      <c r="BN572" s="153"/>
      <c r="BO572" s="153"/>
      <c r="BP572" s="153"/>
      <c r="BQ572" s="153"/>
      <c r="BR572" s="153"/>
      <c r="BS572" s="153"/>
      <c r="BT572" s="153"/>
      <c r="BU572" s="153"/>
      <c r="BV572" s="153"/>
      <c r="BW572" s="153"/>
      <c r="BX572" s="153"/>
      <c r="BY572" s="153"/>
      <c r="BZ572" s="153"/>
      <c r="CA572" s="153"/>
      <c r="CB572" s="153"/>
      <c r="CC572" s="153"/>
      <c r="CD572" s="155"/>
      <c r="CE572" s="156"/>
      <c r="CF572" s="155"/>
      <c r="CG572" s="156"/>
      <c r="CH572" s="155"/>
      <c r="CI572" s="156"/>
      <c r="CJ572" s="157">
        <f t="shared" si="70"/>
        <v>0</v>
      </c>
      <c r="CK572" s="158"/>
      <c r="CL572" s="159"/>
      <c r="CM572" s="160"/>
      <c r="CN572" s="161"/>
      <c r="CO572" s="162"/>
      <c r="CP572" s="161"/>
      <c r="CQ572" s="158"/>
      <c r="CR572" s="159"/>
      <c r="CS572" s="68"/>
      <c r="CT572" s="163"/>
      <c r="EC572" s="344" t="str">
        <f t="shared" si="73"/>
        <v>BOGOTA D.C._BOGOTA</v>
      </c>
      <c r="ED572" s="341"/>
      <c r="EE572" s="341" t="s">
        <v>3139</v>
      </c>
      <c r="EF572" s="349" t="s">
        <v>4802</v>
      </c>
      <c r="EG572" s="341" t="s">
        <v>3776</v>
      </c>
      <c r="EH572" s="341" t="s">
        <v>4887</v>
      </c>
      <c r="EI572" s="341" t="str">
        <f t="shared" si="72"/>
        <v>Cundinamarca_Tibirita</v>
      </c>
    </row>
    <row r="573" spans="1:139" ht="25.5">
      <c r="A573" s="235">
        <v>40322</v>
      </c>
      <c r="B573" s="224" t="s">
        <v>1972</v>
      </c>
      <c r="C573" s="224" t="s">
        <v>2598</v>
      </c>
      <c r="D573" s="236" t="s">
        <v>2606</v>
      </c>
      <c r="E573" s="324" t="s">
        <v>3281</v>
      </c>
      <c r="F573" s="324"/>
      <c r="G573" s="210"/>
      <c r="H573" s="71"/>
      <c r="I573" s="71"/>
      <c r="J573" s="71">
        <v>500</v>
      </c>
      <c r="K573" s="71">
        <v>100</v>
      </c>
      <c r="L573" s="1"/>
      <c r="M573" s="73">
        <f t="shared" si="66"/>
        <v>0</v>
      </c>
      <c r="N573" s="73">
        <f t="shared" si="67"/>
        <v>0</v>
      </c>
      <c r="O573" s="73">
        <f t="shared" si="68"/>
        <v>0</v>
      </c>
      <c r="P573" s="73">
        <f t="shared" si="69"/>
        <v>0</v>
      </c>
      <c r="Q573" s="73"/>
      <c r="R573" s="73">
        <v>0</v>
      </c>
      <c r="S573" s="75">
        <f t="shared" si="71"/>
        <v>0</v>
      </c>
      <c r="T573" s="77">
        <v>0</v>
      </c>
      <c r="U573" s="66">
        <v>40323</v>
      </c>
      <c r="V573" s="79"/>
      <c r="W573" s="66" t="s">
        <v>1585</v>
      </c>
      <c r="X573" s="24" t="s">
        <v>1586</v>
      </c>
      <c r="Y573" s="62"/>
      <c r="Z573" s="177" t="s">
        <v>894</v>
      </c>
      <c r="AA573" s="80" t="s">
        <v>1022</v>
      </c>
      <c r="AB573" s="3"/>
      <c r="AC573" s="4"/>
      <c r="AD573" s="5"/>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6"/>
      <c r="CE573" s="7"/>
      <c r="CF573" s="6"/>
      <c r="CG573" s="7"/>
      <c r="CH573" s="6"/>
      <c r="CI573" s="7"/>
      <c r="CJ573" s="8">
        <f t="shared" si="70"/>
        <v>0</v>
      </c>
      <c r="CK573" s="9"/>
      <c r="CL573" s="10"/>
      <c r="CM573" s="11"/>
      <c r="CN573" s="12"/>
      <c r="CO573" s="28"/>
      <c r="CP573" s="12"/>
      <c r="CQ573" s="9"/>
      <c r="CR573" s="10"/>
      <c r="CS573" s="68"/>
      <c r="EC573" s="344" t="str">
        <f t="shared" si="73"/>
        <v>ANTIOQUIA_GUARNE</v>
      </c>
      <c r="ED573" s="341"/>
      <c r="EE573" s="341" t="s">
        <v>3139</v>
      </c>
      <c r="EF573" s="349" t="s">
        <v>4802</v>
      </c>
      <c r="EG573" s="341" t="s">
        <v>3777</v>
      </c>
      <c r="EH573" s="341" t="s">
        <v>4888</v>
      </c>
      <c r="EI573" s="341" t="str">
        <f t="shared" si="72"/>
        <v>Cundinamarca_Tocaima</v>
      </c>
    </row>
    <row r="574" spans="1:139" ht="51">
      <c r="A574" s="228">
        <v>40322</v>
      </c>
      <c r="B574" s="102" t="s">
        <v>1615</v>
      </c>
      <c r="C574" s="102" t="s">
        <v>1560</v>
      </c>
      <c r="D574" s="206" t="s">
        <v>1244</v>
      </c>
      <c r="E574" s="320" t="s">
        <v>3403</v>
      </c>
      <c r="F574" s="320"/>
      <c r="G574" s="210"/>
      <c r="H574" s="71"/>
      <c r="I574" s="71"/>
      <c r="J574" s="71"/>
      <c r="K574" s="71"/>
      <c r="L574" s="1"/>
      <c r="M574" s="73">
        <f t="shared" si="66"/>
        <v>0</v>
      </c>
      <c r="N574" s="73">
        <f t="shared" si="67"/>
        <v>0</v>
      </c>
      <c r="O574" s="73">
        <f t="shared" si="68"/>
        <v>0</v>
      </c>
      <c r="P574" s="73">
        <f t="shared" si="69"/>
        <v>0</v>
      </c>
      <c r="Q574" s="73"/>
      <c r="R574" s="73">
        <v>0</v>
      </c>
      <c r="S574" s="75">
        <f t="shared" si="71"/>
        <v>0</v>
      </c>
      <c r="T574" s="77">
        <v>0</v>
      </c>
      <c r="U574" s="66">
        <v>40323</v>
      </c>
      <c r="V574" s="79"/>
      <c r="W574" s="66" t="s">
        <v>1585</v>
      </c>
      <c r="X574" s="24" t="s">
        <v>1586</v>
      </c>
      <c r="Y574" s="62"/>
      <c r="Z574" s="177" t="s">
        <v>894</v>
      </c>
      <c r="AA574" s="80" t="s">
        <v>1981</v>
      </c>
      <c r="AB574" s="3"/>
      <c r="AC574" s="4"/>
      <c r="AD574" s="5"/>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6"/>
      <c r="CE574" s="7"/>
      <c r="CF574" s="6"/>
      <c r="CG574" s="7"/>
      <c r="CH574" s="6"/>
      <c r="CI574" s="7"/>
      <c r="CJ574" s="8">
        <f t="shared" si="70"/>
        <v>0</v>
      </c>
      <c r="CK574" s="9"/>
      <c r="CL574" s="10"/>
      <c r="CM574" s="11"/>
      <c r="CN574" s="12"/>
      <c r="CO574" s="28"/>
      <c r="CP574" s="12"/>
      <c r="CQ574" s="9"/>
      <c r="CR574" s="10"/>
      <c r="CS574" s="68"/>
      <c r="EC574" s="344" t="str">
        <f t="shared" si="73"/>
        <v>BOLIVAR_SAN ESTANISLAO</v>
      </c>
      <c r="ED574" s="341"/>
      <c r="EE574" s="341" t="s">
        <v>3139</v>
      </c>
      <c r="EF574" s="349" t="s">
        <v>4802</v>
      </c>
      <c r="EG574" s="341" t="s">
        <v>3778</v>
      </c>
      <c r="EH574" s="341" t="s">
        <v>4889</v>
      </c>
      <c r="EI574" s="341" t="str">
        <f t="shared" si="72"/>
        <v>Cundinamarca_Tocancipa</v>
      </c>
    </row>
    <row r="575" spans="1:139" ht="36">
      <c r="A575" s="228">
        <v>40322</v>
      </c>
      <c r="B575" s="102" t="s">
        <v>1192</v>
      </c>
      <c r="C575" s="102" t="s">
        <v>1934</v>
      </c>
      <c r="D575" s="206" t="s">
        <v>2391</v>
      </c>
      <c r="E575" s="320" t="s">
        <v>3486</v>
      </c>
      <c r="F575" s="320"/>
      <c r="G575" s="210">
        <v>1</v>
      </c>
      <c r="H575" s="71"/>
      <c r="I575" s="71"/>
      <c r="J575" s="71"/>
      <c r="K575" s="71"/>
      <c r="L575" s="1"/>
      <c r="M575" s="73">
        <f t="shared" si="66"/>
        <v>0</v>
      </c>
      <c r="N575" s="73">
        <f t="shared" si="67"/>
        <v>0</v>
      </c>
      <c r="O575" s="73">
        <f t="shared" si="68"/>
        <v>0</v>
      </c>
      <c r="P575" s="73">
        <f t="shared" si="69"/>
        <v>0</v>
      </c>
      <c r="Q575" s="73"/>
      <c r="R575" s="73">
        <v>0</v>
      </c>
      <c r="S575" s="75">
        <f t="shared" si="71"/>
        <v>0</v>
      </c>
      <c r="T575" s="77">
        <v>0</v>
      </c>
      <c r="U575" s="66">
        <v>40323</v>
      </c>
      <c r="V575" s="79"/>
      <c r="W575" s="66" t="s">
        <v>1585</v>
      </c>
      <c r="X575" s="24" t="s">
        <v>1586</v>
      </c>
      <c r="Y575" s="62"/>
      <c r="Z575" s="177" t="s">
        <v>894</v>
      </c>
      <c r="AA575" s="80" t="s">
        <v>2601</v>
      </c>
      <c r="AB575" s="3"/>
      <c r="AC575" s="4"/>
      <c r="AD575" s="5"/>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6"/>
      <c r="CE575" s="7"/>
      <c r="CF575" s="6"/>
      <c r="CG575" s="7"/>
      <c r="CH575" s="6"/>
      <c r="CI575" s="7"/>
      <c r="CJ575" s="8">
        <f t="shared" si="70"/>
        <v>0</v>
      </c>
      <c r="CK575" s="9"/>
      <c r="CL575" s="10"/>
      <c r="CM575" s="11"/>
      <c r="CN575" s="12"/>
      <c r="CO575" s="28"/>
      <c r="CP575" s="12"/>
      <c r="CQ575" s="9"/>
      <c r="CR575" s="10"/>
      <c r="CS575" s="68"/>
      <c r="EC575" s="344" t="str">
        <f t="shared" si="73"/>
        <v>BOYACA_PAIPA</v>
      </c>
      <c r="ED575" s="341"/>
      <c r="EE575" s="341" t="s">
        <v>3139</v>
      </c>
      <c r="EF575" s="349" t="s">
        <v>4802</v>
      </c>
      <c r="EG575" s="341" t="s">
        <v>3779</v>
      </c>
      <c r="EH575" s="341" t="s">
        <v>4890</v>
      </c>
      <c r="EI575" s="341" t="str">
        <f t="shared" si="72"/>
        <v>Cundinamarca_Topaipi</v>
      </c>
    </row>
    <row r="576" spans="1:139" ht="25.5">
      <c r="A576" s="228">
        <v>40322</v>
      </c>
      <c r="B576" s="102" t="s">
        <v>2704</v>
      </c>
      <c r="C576" s="102" t="s">
        <v>1979</v>
      </c>
      <c r="D576" s="206" t="s">
        <v>1201</v>
      </c>
      <c r="E576" s="320" t="s">
        <v>3578</v>
      </c>
      <c r="F576" s="320"/>
      <c r="G576" s="210"/>
      <c r="H576" s="71"/>
      <c r="I576" s="71"/>
      <c r="J576" s="71">
        <f>138*5</f>
        <v>690</v>
      </c>
      <c r="K576" s="71">
        <v>138</v>
      </c>
      <c r="L576" s="1"/>
      <c r="M576" s="73">
        <f t="shared" si="66"/>
        <v>0</v>
      </c>
      <c r="N576" s="73">
        <f t="shared" si="67"/>
        <v>0</v>
      </c>
      <c r="O576" s="73">
        <f t="shared" si="68"/>
        <v>0</v>
      </c>
      <c r="P576" s="73">
        <f t="shared" si="69"/>
        <v>0</v>
      </c>
      <c r="Q576" s="73"/>
      <c r="R576" s="73">
        <v>0</v>
      </c>
      <c r="S576" s="75">
        <f t="shared" si="71"/>
        <v>0</v>
      </c>
      <c r="T576" s="77">
        <v>0</v>
      </c>
      <c r="U576" s="66">
        <v>40323</v>
      </c>
      <c r="V576" s="79"/>
      <c r="W576" s="66" t="s">
        <v>1585</v>
      </c>
      <c r="X576" s="24" t="s">
        <v>1586</v>
      </c>
      <c r="Y576" s="62"/>
      <c r="Z576" s="177" t="s">
        <v>894</v>
      </c>
      <c r="AA576" s="80" t="s">
        <v>1980</v>
      </c>
      <c r="AB576" s="3"/>
      <c r="AC576" s="4"/>
      <c r="AD576" s="5"/>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6"/>
      <c r="CE576" s="7"/>
      <c r="CF576" s="6"/>
      <c r="CG576" s="7"/>
      <c r="CH576" s="6"/>
      <c r="CI576" s="7"/>
      <c r="CJ576" s="8">
        <f t="shared" si="70"/>
        <v>0</v>
      </c>
      <c r="CK576" s="9"/>
      <c r="CL576" s="10"/>
      <c r="CM576" s="11"/>
      <c r="CN576" s="12"/>
      <c r="CO576" s="28"/>
      <c r="CP576" s="12"/>
      <c r="CQ576" s="9"/>
      <c r="CR576" s="10"/>
      <c r="CS576" s="68"/>
      <c r="EC576" s="344" t="str">
        <f t="shared" si="73"/>
        <v>CAQUETA_MILAN</v>
      </c>
      <c r="ED576" s="341"/>
      <c r="EE576" s="341" t="s">
        <v>3139</v>
      </c>
      <c r="EF576" s="349" t="s">
        <v>4802</v>
      </c>
      <c r="EG576" s="341" t="s">
        <v>3780</v>
      </c>
      <c r="EH576" s="341" t="s">
        <v>4891</v>
      </c>
      <c r="EI576" s="341" t="str">
        <f t="shared" si="72"/>
        <v>Cundinamarca_Ubala</v>
      </c>
    </row>
    <row r="577" spans="1:139" ht="36">
      <c r="A577" s="228">
        <v>40322</v>
      </c>
      <c r="B577" s="102" t="s">
        <v>1314</v>
      </c>
      <c r="C577" s="102" t="s">
        <v>1315</v>
      </c>
      <c r="D577" s="206" t="s">
        <v>2606</v>
      </c>
      <c r="E577" s="320" t="s">
        <v>3586</v>
      </c>
      <c r="F577" s="320"/>
      <c r="G577" s="210"/>
      <c r="H577" s="71"/>
      <c r="I577" s="71"/>
      <c r="J577" s="71">
        <v>340</v>
      </c>
      <c r="K577" s="71">
        <v>68</v>
      </c>
      <c r="L577" s="1">
        <v>40448</v>
      </c>
      <c r="M577" s="73">
        <f t="shared" si="66"/>
        <v>13525000</v>
      </c>
      <c r="N577" s="73">
        <f t="shared" si="67"/>
        <v>0</v>
      </c>
      <c r="O577" s="73">
        <f t="shared" si="68"/>
        <v>24480600</v>
      </c>
      <c r="P577" s="73">
        <f t="shared" si="69"/>
        <v>0</v>
      </c>
      <c r="Q577" s="73"/>
      <c r="R577" s="73">
        <v>0</v>
      </c>
      <c r="S577" s="75">
        <f t="shared" si="71"/>
        <v>38005600</v>
      </c>
      <c r="T577" s="77">
        <v>0</v>
      </c>
      <c r="U577" s="66">
        <v>40323</v>
      </c>
      <c r="V577" s="79">
        <v>31295</v>
      </c>
      <c r="W577" s="66" t="s">
        <v>1606</v>
      </c>
      <c r="X577" s="24" t="s">
        <v>1607</v>
      </c>
      <c r="Y577" s="62"/>
      <c r="Z577" s="177" t="s">
        <v>1625</v>
      </c>
      <c r="AA577" s="80" t="s">
        <v>1023</v>
      </c>
      <c r="AB577" s="3"/>
      <c r="AC577" s="4"/>
      <c r="AD577" s="5"/>
      <c r="AE577" s="4"/>
      <c r="AF577" s="4"/>
      <c r="AG577" s="4"/>
      <c r="AH577" s="4"/>
      <c r="AI577" s="4"/>
      <c r="AJ577" s="4"/>
      <c r="AK577" s="4"/>
      <c r="AL577" s="4"/>
      <c r="AM577" s="4"/>
      <c r="AN577" s="4">
        <v>100</v>
      </c>
      <c r="AO577" s="4">
        <f>100*56000</f>
        <v>5600000</v>
      </c>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v>200</v>
      </c>
      <c r="BY577" s="4">
        <f>200*21000</f>
        <v>4200000</v>
      </c>
      <c r="BZ577" s="4"/>
      <c r="CA577" s="4"/>
      <c r="CB577" s="4"/>
      <c r="CC577" s="4"/>
      <c r="CD577" s="6">
        <v>50</v>
      </c>
      <c r="CE577" s="7">
        <f>50*38500</f>
        <v>1925000</v>
      </c>
      <c r="CF577" s="6">
        <v>50</v>
      </c>
      <c r="CG577" s="7">
        <f>50*36000</f>
        <v>1800000</v>
      </c>
      <c r="CH577" s="6"/>
      <c r="CI577" s="7"/>
      <c r="CJ577" s="8">
        <f t="shared" si="70"/>
        <v>13525000</v>
      </c>
      <c r="CK577" s="9"/>
      <c r="CL577" s="10"/>
      <c r="CM577" s="11"/>
      <c r="CN577" s="12"/>
      <c r="CO577" s="28"/>
      <c r="CP577" s="12"/>
      <c r="CQ577" s="9">
        <f>400+600</f>
        <v>1000</v>
      </c>
      <c r="CR577" s="10">
        <f>400*23652+600*25033</f>
        <v>24480600</v>
      </c>
      <c r="CS577" s="68"/>
      <c r="EC577" s="344" t="str">
        <f t="shared" si="73"/>
        <v>CAUCA_POPAYAN</v>
      </c>
      <c r="ED577" s="341"/>
      <c r="EE577" s="341" t="s">
        <v>3139</v>
      </c>
      <c r="EF577" s="349" t="s">
        <v>4802</v>
      </c>
      <c r="EG577" s="341" t="s">
        <v>3781</v>
      </c>
      <c r="EH577" s="341" t="s">
        <v>4892</v>
      </c>
      <c r="EI577" s="341" t="str">
        <f t="shared" si="72"/>
        <v>Cundinamarca_Ubaque</v>
      </c>
    </row>
    <row r="578" spans="1:139" ht="51">
      <c r="A578" s="228">
        <v>40322</v>
      </c>
      <c r="B578" s="102" t="s">
        <v>1604</v>
      </c>
      <c r="C578" s="102" t="s">
        <v>1958</v>
      </c>
      <c r="D578" s="206" t="s">
        <v>2606</v>
      </c>
      <c r="E578" s="320" t="s">
        <v>3727</v>
      </c>
      <c r="F578" s="320"/>
      <c r="G578" s="210"/>
      <c r="H578" s="71"/>
      <c r="I578" s="71"/>
      <c r="J578" s="71">
        <v>146</v>
      </c>
      <c r="K578" s="71">
        <v>16</v>
      </c>
      <c r="L578" s="1"/>
      <c r="M578" s="73">
        <f t="shared" si="66"/>
        <v>0</v>
      </c>
      <c r="N578" s="73">
        <f t="shared" si="67"/>
        <v>0</v>
      </c>
      <c r="O578" s="73">
        <f t="shared" si="68"/>
        <v>0</v>
      </c>
      <c r="P578" s="73">
        <f t="shared" si="69"/>
        <v>0</v>
      </c>
      <c r="Q578" s="73"/>
      <c r="R578" s="73">
        <v>0</v>
      </c>
      <c r="S578" s="75">
        <f t="shared" si="71"/>
        <v>0</v>
      </c>
      <c r="T578" s="77">
        <v>0</v>
      </c>
      <c r="U578" s="66">
        <v>40324</v>
      </c>
      <c r="V578" s="79"/>
      <c r="W578" s="66" t="s">
        <v>1585</v>
      </c>
      <c r="X578" s="24" t="s">
        <v>1586</v>
      </c>
      <c r="Y578" s="62"/>
      <c r="Z578" s="177" t="s">
        <v>894</v>
      </c>
      <c r="AA578" s="80" t="s">
        <v>606</v>
      </c>
      <c r="AB578" s="3"/>
      <c r="AC578" s="4"/>
      <c r="AD578" s="5"/>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6"/>
      <c r="CE578" s="7"/>
      <c r="CF578" s="6"/>
      <c r="CG578" s="7"/>
      <c r="CH578" s="6"/>
      <c r="CI578" s="7"/>
      <c r="CJ578" s="8">
        <f t="shared" si="70"/>
        <v>0</v>
      </c>
      <c r="CK578" s="9"/>
      <c r="CL578" s="10"/>
      <c r="CM578" s="11"/>
      <c r="CN578" s="12"/>
      <c r="CO578" s="28"/>
      <c r="CP578" s="12"/>
      <c r="CQ578" s="9"/>
      <c r="CR578" s="10"/>
      <c r="CS578" s="68"/>
      <c r="EC578" s="344" t="str">
        <f t="shared" si="73"/>
        <v>CUNDINAMARCA_LA PALMA</v>
      </c>
      <c r="ED578" s="341"/>
      <c r="EE578" s="341" t="s">
        <v>3139</v>
      </c>
      <c r="EF578" s="349" t="s">
        <v>4802</v>
      </c>
      <c r="EG578" s="341" t="s">
        <v>3782</v>
      </c>
      <c r="EH578" s="341" t="s">
        <v>4893</v>
      </c>
      <c r="EI578" s="341" t="str">
        <f t="shared" si="72"/>
        <v>Cundinamarca_Villa de San Diego de Ubate</v>
      </c>
    </row>
    <row r="579" spans="1:139" ht="45">
      <c r="A579" s="228">
        <v>40322</v>
      </c>
      <c r="B579" s="102" t="s">
        <v>2400</v>
      </c>
      <c r="C579" s="102" t="s">
        <v>2364</v>
      </c>
      <c r="D579" s="206" t="s">
        <v>1201</v>
      </c>
      <c r="E579" s="320" t="s">
        <v>4185</v>
      </c>
      <c r="F579" s="320"/>
      <c r="G579" s="210"/>
      <c r="H579" s="71"/>
      <c r="I579" s="71"/>
      <c r="J579" s="71">
        <f>57*5</f>
        <v>285</v>
      </c>
      <c r="K579" s="71">
        <v>57</v>
      </c>
      <c r="L579" s="1">
        <v>40354</v>
      </c>
      <c r="M579" s="73">
        <f t="shared" ref="M579:M642" si="74">CJ579</f>
        <v>13737000</v>
      </c>
      <c r="N579" s="73">
        <f t="shared" ref="N579:N642" si="75">CN579</f>
        <v>4845000</v>
      </c>
      <c r="O579" s="73">
        <f t="shared" ref="O579:O642" si="76">CP579+CR579</f>
        <v>12044000</v>
      </c>
      <c r="P579" s="73">
        <f t="shared" ref="P579:P642" si="77">CL579</f>
        <v>0</v>
      </c>
      <c r="Q579" s="73"/>
      <c r="R579" s="73">
        <v>0</v>
      </c>
      <c r="S579" s="75">
        <f t="shared" si="71"/>
        <v>30626000</v>
      </c>
      <c r="T579" s="77">
        <v>0</v>
      </c>
      <c r="U579" s="66">
        <v>40330</v>
      </c>
      <c r="V579" s="79">
        <v>97944</v>
      </c>
      <c r="W579" s="66" t="s">
        <v>1606</v>
      </c>
      <c r="X579" s="24" t="s">
        <v>1607</v>
      </c>
      <c r="Y579" s="83" t="s">
        <v>2448</v>
      </c>
      <c r="Z579" s="177" t="s">
        <v>2580</v>
      </c>
      <c r="AA579" s="80" t="s">
        <v>2599</v>
      </c>
      <c r="AB579" s="3"/>
      <c r="AC579" s="4"/>
      <c r="AD579" s="5"/>
      <c r="AE579" s="4"/>
      <c r="AF579" s="4"/>
      <c r="AG579" s="4"/>
      <c r="AH579" s="4"/>
      <c r="AI579" s="4"/>
      <c r="AJ579" s="4"/>
      <c r="AK579" s="4"/>
      <c r="AL579" s="4"/>
      <c r="AM579" s="4"/>
      <c r="AN579" s="4">
        <v>171</v>
      </c>
      <c r="AO579" s="4">
        <f>171*56000</f>
        <v>9576000</v>
      </c>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6">
        <v>57</v>
      </c>
      <c r="CE579" s="7">
        <f>57*37000</f>
        <v>2109000</v>
      </c>
      <c r="CF579" s="6">
        <v>57</v>
      </c>
      <c r="CG579" s="7">
        <f>57*36000</f>
        <v>2052000</v>
      </c>
      <c r="CH579" s="6"/>
      <c r="CI579" s="7"/>
      <c r="CJ579" s="8">
        <f t="shared" ref="CJ579:CJ642" si="78">AC579+AE579+AG579+AI579+AK579+AM579+AO579+AQ579+AS579+AU579+AW579+AY579+BA579+BC579+BE579+BG579+BI579+BK579+BM579+BO579+BQ579+BS579+BU579+BW579+BY579+CA579+CC579+CE579+CG579+CI579</f>
        <v>13737000</v>
      </c>
      <c r="CK579" s="9"/>
      <c r="CL579" s="10"/>
      <c r="CM579" s="11">
        <v>57</v>
      </c>
      <c r="CN579" s="12">
        <f>57*85000</f>
        <v>4845000</v>
      </c>
      <c r="CO579" s="28"/>
      <c r="CP579" s="12"/>
      <c r="CQ579" s="9">
        <v>500</v>
      </c>
      <c r="CR579" s="10">
        <f>500*22000+3000*348</f>
        <v>12044000</v>
      </c>
      <c r="CS579" s="68"/>
      <c r="EC579" s="344" t="str">
        <f t="shared" si="73"/>
        <v>TOLIMA_CARMEN DE APICALA</v>
      </c>
      <c r="ED579" s="341"/>
      <c r="EE579" s="341" t="s">
        <v>3139</v>
      </c>
      <c r="EF579" s="349" t="s">
        <v>4802</v>
      </c>
      <c r="EG579" s="341" t="s">
        <v>3783</v>
      </c>
      <c r="EH579" s="341" t="s">
        <v>4894</v>
      </c>
      <c r="EI579" s="341" t="str">
        <f t="shared" si="72"/>
        <v>Cundinamarca_Une</v>
      </c>
    </row>
    <row r="580" spans="1:139" ht="72">
      <c r="A580" s="228">
        <v>40322</v>
      </c>
      <c r="B580" s="102" t="s">
        <v>2400</v>
      </c>
      <c r="C580" s="102" t="s">
        <v>2303</v>
      </c>
      <c r="D580" s="206" t="s">
        <v>1201</v>
      </c>
      <c r="E580" s="320" t="s">
        <v>4190</v>
      </c>
      <c r="F580" s="320"/>
      <c r="G580" s="210"/>
      <c r="H580" s="71"/>
      <c r="I580" s="71"/>
      <c r="J580" s="71">
        <v>3700</v>
      </c>
      <c r="K580" s="71">
        <v>740</v>
      </c>
      <c r="L580" s="1"/>
      <c r="M580" s="73">
        <f t="shared" si="74"/>
        <v>0</v>
      </c>
      <c r="N580" s="73">
        <f t="shared" si="75"/>
        <v>0</v>
      </c>
      <c r="O580" s="73">
        <f t="shared" si="76"/>
        <v>0</v>
      </c>
      <c r="P580" s="73">
        <f t="shared" si="77"/>
        <v>0</v>
      </c>
      <c r="Q580" s="73"/>
      <c r="R580" s="73">
        <v>0</v>
      </c>
      <c r="S580" s="75">
        <f t="shared" si="71"/>
        <v>0</v>
      </c>
      <c r="T580" s="77">
        <v>0</v>
      </c>
      <c r="U580" s="66">
        <v>40323</v>
      </c>
      <c r="V580" s="79"/>
      <c r="W580" s="66" t="s">
        <v>1585</v>
      </c>
      <c r="X580" s="24" t="s">
        <v>1586</v>
      </c>
      <c r="Y580" s="62"/>
      <c r="Z580" s="177" t="s">
        <v>894</v>
      </c>
      <c r="AA580" s="80" t="s">
        <v>2429</v>
      </c>
      <c r="AB580" s="3"/>
      <c r="AC580" s="4"/>
      <c r="AD580" s="5"/>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6"/>
      <c r="CE580" s="7"/>
      <c r="CF580" s="6"/>
      <c r="CG580" s="7"/>
      <c r="CH580" s="6"/>
      <c r="CI580" s="7"/>
      <c r="CJ580" s="8">
        <f t="shared" si="78"/>
        <v>0</v>
      </c>
      <c r="CK580" s="9"/>
      <c r="CL580" s="10"/>
      <c r="CM580" s="11"/>
      <c r="CN580" s="12"/>
      <c r="CO580" s="28"/>
      <c r="CP580" s="12"/>
      <c r="CQ580" s="9"/>
      <c r="CR580" s="10"/>
      <c r="CS580" s="68"/>
      <c r="EC580" s="344" t="str">
        <f t="shared" si="73"/>
        <v>TOLIMA_CUNDAY</v>
      </c>
      <c r="ED580" s="341"/>
      <c r="EE580" s="341" t="s">
        <v>3139</v>
      </c>
      <c r="EF580" s="349" t="s">
        <v>4802</v>
      </c>
      <c r="EG580" s="341" t="s">
        <v>3784</v>
      </c>
      <c r="EH580" s="341" t="s">
        <v>4895</v>
      </c>
      <c r="EI580" s="341" t="str">
        <f t="shared" si="72"/>
        <v>Cundinamarca_Vergara</v>
      </c>
    </row>
    <row r="581" spans="1:139" ht="45">
      <c r="A581" s="228">
        <v>40322</v>
      </c>
      <c r="B581" s="102" t="s">
        <v>2400</v>
      </c>
      <c r="C581" s="102" t="s">
        <v>2303</v>
      </c>
      <c r="D581" s="206" t="s">
        <v>1201</v>
      </c>
      <c r="E581" s="320" t="s">
        <v>4190</v>
      </c>
      <c r="F581" s="320"/>
      <c r="G581" s="210"/>
      <c r="H581" s="71"/>
      <c r="I581" s="71"/>
      <c r="J581" s="71">
        <f>59*5</f>
        <v>295</v>
      </c>
      <c r="K581" s="71">
        <v>59</v>
      </c>
      <c r="L581" s="1">
        <v>40354</v>
      </c>
      <c r="M581" s="73">
        <f t="shared" si="74"/>
        <v>10915000</v>
      </c>
      <c r="N581" s="73">
        <f t="shared" si="75"/>
        <v>5015000</v>
      </c>
      <c r="O581" s="73">
        <f t="shared" si="76"/>
        <v>12044000</v>
      </c>
      <c r="P581" s="73">
        <f t="shared" si="77"/>
        <v>0</v>
      </c>
      <c r="Q581" s="73"/>
      <c r="R581" s="73">
        <v>0</v>
      </c>
      <c r="S581" s="75">
        <f t="shared" si="71"/>
        <v>27974000</v>
      </c>
      <c r="T581" s="77">
        <v>0</v>
      </c>
      <c r="U581" s="66">
        <v>40330</v>
      </c>
      <c r="V581" s="79">
        <v>97944</v>
      </c>
      <c r="W581" s="66" t="s">
        <v>1606</v>
      </c>
      <c r="X581" s="24" t="s">
        <v>1607</v>
      </c>
      <c r="Y581" s="83" t="s">
        <v>2448</v>
      </c>
      <c r="Z581" s="177" t="s">
        <v>2580</v>
      </c>
      <c r="AA581" s="80" t="s">
        <v>1323</v>
      </c>
      <c r="AB581" s="3"/>
      <c r="AC581" s="4"/>
      <c r="AD581" s="5"/>
      <c r="AE581" s="4"/>
      <c r="AF581" s="4"/>
      <c r="AG581" s="4"/>
      <c r="AH581" s="4"/>
      <c r="AI581" s="4"/>
      <c r="AJ581" s="4"/>
      <c r="AK581" s="4"/>
      <c r="AL581" s="4"/>
      <c r="AM581" s="4"/>
      <c r="AN581" s="4">
        <v>118</v>
      </c>
      <c r="AO581" s="4">
        <f>118*56000</f>
        <v>6608000</v>
      </c>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6">
        <v>59</v>
      </c>
      <c r="CE581" s="7">
        <f>59*37000</f>
        <v>2183000</v>
      </c>
      <c r="CF581" s="6">
        <v>59</v>
      </c>
      <c r="CG581" s="7">
        <f>59*36000</f>
        <v>2124000</v>
      </c>
      <c r="CH581" s="6"/>
      <c r="CI581" s="7"/>
      <c r="CJ581" s="8">
        <f t="shared" si="78"/>
        <v>10915000</v>
      </c>
      <c r="CK581" s="9"/>
      <c r="CL581" s="10"/>
      <c r="CM581" s="11">
        <v>59</v>
      </c>
      <c r="CN581" s="12">
        <f>59*85000</f>
        <v>5015000</v>
      </c>
      <c r="CO581" s="28"/>
      <c r="CP581" s="12"/>
      <c r="CQ581" s="9">
        <v>500</v>
      </c>
      <c r="CR581" s="10">
        <f>500*22000+3000*348</f>
        <v>12044000</v>
      </c>
      <c r="CS581" s="68"/>
      <c r="EC581" s="344" t="str">
        <f t="shared" si="73"/>
        <v>TOLIMA_CUNDAY</v>
      </c>
      <c r="ED581" s="341"/>
      <c r="EE581" s="341" t="s">
        <v>3139</v>
      </c>
      <c r="EF581" s="349" t="s">
        <v>4802</v>
      </c>
      <c r="EG581" s="341" t="s">
        <v>3785</v>
      </c>
      <c r="EH581" s="341" t="s">
        <v>4896</v>
      </c>
      <c r="EI581" s="341" t="str">
        <f t="shared" si="72"/>
        <v>Cundinamarca_Viani</v>
      </c>
    </row>
    <row r="582" spans="1:139" ht="38.25">
      <c r="A582" s="228">
        <v>40322</v>
      </c>
      <c r="B582" s="102" t="s">
        <v>2400</v>
      </c>
      <c r="C582" s="102" t="s">
        <v>2362</v>
      </c>
      <c r="D582" s="206" t="s">
        <v>1201</v>
      </c>
      <c r="E582" s="320" t="s">
        <v>4203</v>
      </c>
      <c r="F582" s="320"/>
      <c r="G582" s="210"/>
      <c r="H582" s="71"/>
      <c r="I582" s="71"/>
      <c r="J582" s="71">
        <v>5</v>
      </c>
      <c r="K582" s="71">
        <v>1</v>
      </c>
      <c r="L582" s="1"/>
      <c r="M582" s="73">
        <f t="shared" si="74"/>
        <v>0</v>
      </c>
      <c r="N582" s="73">
        <f t="shared" si="75"/>
        <v>0</v>
      </c>
      <c r="O582" s="73">
        <f t="shared" si="76"/>
        <v>0</v>
      </c>
      <c r="P582" s="73">
        <f t="shared" si="77"/>
        <v>0</v>
      </c>
      <c r="Q582" s="73"/>
      <c r="R582" s="73">
        <v>0</v>
      </c>
      <c r="S582" s="75">
        <f t="shared" si="71"/>
        <v>0</v>
      </c>
      <c r="T582" s="77">
        <v>0</v>
      </c>
      <c r="U582" s="66">
        <v>40323</v>
      </c>
      <c r="V582" s="79"/>
      <c r="W582" s="66" t="s">
        <v>1585</v>
      </c>
      <c r="X582" s="24" t="s">
        <v>1586</v>
      </c>
      <c r="Y582" s="62"/>
      <c r="Z582" s="177" t="s">
        <v>894</v>
      </c>
      <c r="AA582" s="80" t="s">
        <v>2600</v>
      </c>
      <c r="AB582" s="3"/>
      <c r="AC582" s="4"/>
      <c r="AD582" s="5"/>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6"/>
      <c r="CE582" s="7"/>
      <c r="CF582" s="6"/>
      <c r="CG582" s="7"/>
      <c r="CH582" s="6"/>
      <c r="CI582" s="7"/>
      <c r="CJ582" s="8">
        <f t="shared" si="78"/>
        <v>0</v>
      </c>
      <c r="CK582" s="9"/>
      <c r="CL582" s="10"/>
      <c r="CM582" s="11"/>
      <c r="CN582" s="12"/>
      <c r="CO582" s="28"/>
      <c r="CP582" s="12"/>
      <c r="CQ582" s="9"/>
      <c r="CR582" s="10"/>
      <c r="CS582" s="68"/>
      <c r="EC582" s="344" t="str">
        <f t="shared" si="73"/>
        <v>TOLIMA_MELGAR</v>
      </c>
      <c r="ED582" s="341"/>
      <c r="EE582" s="341" t="s">
        <v>3139</v>
      </c>
      <c r="EF582" s="349" t="s">
        <v>4802</v>
      </c>
      <c r="EG582" s="341" t="s">
        <v>3787</v>
      </c>
      <c r="EH582" s="341" t="s">
        <v>4897</v>
      </c>
      <c r="EI582" s="341" t="str">
        <f t="shared" si="72"/>
        <v>Cundinamarca_Villapinzon</v>
      </c>
    </row>
    <row r="583" spans="1:139" ht="38.25">
      <c r="A583" s="228">
        <v>40322.711111111108</v>
      </c>
      <c r="B583" s="205" t="s">
        <v>2298</v>
      </c>
      <c r="C583" s="205" t="s">
        <v>1610</v>
      </c>
      <c r="D583" s="207" t="s">
        <v>2606</v>
      </c>
      <c r="E583" s="323"/>
      <c r="F583" s="323"/>
      <c r="G583" s="204">
        <v>1</v>
      </c>
      <c r="H583" s="151">
        <v>4</v>
      </c>
      <c r="I583" s="151"/>
      <c r="J583" s="151"/>
      <c r="K583" s="409"/>
      <c r="L583" s="1"/>
      <c r="M583" s="73">
        <f t="shared" si="74"/>
        <v>0</v>
      </c>
      <c r="N583" s="73">
        <f t="shared" si="75"/>
        <v>0</v>
      </c>
      <c r="O583" s="73">
        <f t="shared" si="76"/>
        <v>0</v>
      </c>
      <c r="P583" s="73">
        <f t="shared" si="77"/>
        <v>0</v>
      </c>
      <c r="Q583" s="73"/>
      <c r="R583" s="73">
        <v>0</v>
      </c>
      <c r="S583" s="75">
        <f t="shared" si="71"/>
        <v>0</v>
      </c>
      <c r="T583" s="77">
        <v>0</v>
      </c>
      <c r="U583" s="296">
        <v>40624</v>
      </c>
      <c r="V583" s="297"/>
      <c r="W583" s="296" t="s">
        <v>1585</v>
      </c>
      <c r="X583" s="298" t="s">
        <v>1586</v>
      </c>
      <c r="Y583" s="299"/>
      <c r="Z583" s="300" t="s">
        <v>894</v>
      </c>
      <c r="AA583" s="414" t="s">
        <v>5409</v>
      </c>
      <c r="AB583" s="152"/>
      <c r="AC583" s="153"/>
      <c r="AD583" s="154"/>
      <c r="AE583" s="153"/>
      <c r="AF583" s="153"/>
      <c r="AG583" s="153"/>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c r="BS583" s="153"/>
      <c r="BT583" s="153"/>
      <c r="BU583" s="153"/>
      <c r="BV583" s="153"/>
      <c r="BW583" s="153"/>
      <c r="BX583" s="153"/>
      <c r="BY583" s="153"/>
      <c r="BZ583" s="153"/>
      <c r="CA583" s="153"/>
      <c r="CB583" s="153"/>
      <c r="CC583" s="153"/>
      <c r="CD583" s="155"/>
      <c r="CE583" s="156"/>
      <c r="CF583" s="155"/>
      <c r="CG583" s="156"/>
      <c r="CH583" s="155"/>
      <c r="CI583" s="156"/>
      <c r="CJ583" s="157">
        <f t="shared" si="78"/>
        <v>0</v>
      </c>
      <c r="CK583" s="158"/>
      <c r="CL583" s="159"/>
      <c r="CM583" s="160"/>
      <c r="CN583" s="161"/>
      <c r="CO583" s="162"/>
      <c r="CP583" s="161"/>
      <c r="CQ583" s="158"/>
      <c r="CR583" s="159"/>
      <c r="CS583" s="68"/>
      <c r="CT583" s="163"/>
      <c r="EC583" s="344" t="str">
        <f t="shared" si="73"/>
        <v>BOGOTA D.C._BOGOTA</v>
      </c>
      <c r="ED583" s="341"/>
      <c r="EE583" s="341" t="s">
        <v>3139</v>
      </c>
      <c r="EF583" s="349" t="s">
        <v>4802</v>
      </c>
      <c r="EG583" s="341" t="s">
        <v>3788</v>
      </c>
      <c r="EH583" s="341" t="s">
        <v>4898</v>
      </c>
      <c r="EI583" s="341" t="str">
        <f t="shared" si="72"/>
        <v>Cundinamarca_Villeta</v>
      </c>
    </row>
    <row r="584" spans="1:139" ht="38.25">
      <c r="A584" s="228">
        <v>40322.770138888889</v>
      </c>
      <c r="B584" s="205" t="s">
        <v>2298</v>
      </c>
      <c r="C584" s="205" t="s">
        <v>1610</v>
      </c>
      <c r="D584" s="207" t="s">
        <v>1201</v>
      </c>
      <c r="E584" s="323"/>
      <c r="F584" s="323"/>
      <c r="G584" s="204"/>
      <c r="H584" s="151"/>
      <c r="I584" s="151"/>
      <c r="J584" s="151"/>
      <c r="K584" s="409"/>
      <c r="L584" s="1"/>
      <c r="M584" s="73">
        <f t="shared" si="74"/>
        <v>0</v>
      </c>
      <c r="N584" s="73">
        <f t="shared" si="75"/>
        <v>0</v>
      </c>
      <c r="O584" s="73">
        <f t="shared" si="76"/>
        <v>0</v>
      </c>
      <c r="P584" s="73">
        <f t="shared" si="77"/>
        <v>0</v>
      </c>
      <c r="Q584" s="73"/>
      <c r="R584" s="73">
        <v>0</v>
      </c>
      <c r="S584" s="75">
        <f t="shared" si="71"/>
        <v>0</v>
      </c>
      <c r="T584" s="77">
        <v>0</v>
      </c>
      <c r="U584" s="296">
        <v>40624</v>
      </c>
      <c r="V584" s="297"/>
      <c r="W584" s="296" t="s">
        <v>1585</v>
      </c>
      <c r="X584" s="298" t="s">
        <v>1586</v>
      </c>
      <c r="Y584" s="299"/>
      <c r="Z584" s="300" t="s">
        <v>894</v>
      </c>
      <c r="AA584" s="414" t="s">
        <v>5410</v>
      </c>
      <c r="AB584" s="152"/>
      <c r="AC584" s="153"/>
      <c r="AD584" s="154"/>
      <c r="AE584" s="153"/>
      <c r="AF584" s="153"/>
      <c r="AG584" s="153"/>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c r="BI584" s="153"/>
      <c r="BJ584" s="153"/>
      <c r="BK584" s="153"/>
      <c r="BL584" s="153"/>
      <c r="BM584" s="153"/>
      <c r="BN584" s="153"/>
      <c r="BO584" s="153"/>
      <c r="BP584" s="153"/>
      <c r="BQ584" s="153"/>
      <c r="BR584" s="153"/>
      <c r="BS584" s="153"/>
      <c r="BT584" s="153"/>
      <c r="BU584" s="153"/>
      <c r="BV584" s="153"/>
      <c r="BW584" s="153"/>
      <c r="BX584" s="153"/>
      <c r="BY584" s="153"/>
      <c r="BZ584" s="153"/>
      <c r="CA584" s="153"/>
      <c r="CB584" s="153"/>
      <c r="CC584" s="153"/>
      <c r="CD584" s="155"/>
      <c r="CE584" s="156"/>
      <c r="CF584" s="155"/>
      <c r="CG584" s="156"/>
      <c r="CH584" s="155"/>
      <c r="CI584" s="156"/>
      <c r="CJ584" s="157">
        <f t="shared" si="78"/>
        <v>0</v>
      </c>
      <c r="CK584" s="158"/>
      <c r="CL584" s="159"/>
      <c r="CM584" s="160"/>
      <c r="CN584" s="161"/>
      <c r="CO584" s="162"/>
      <c r="CP584" s="161"/>
      <c r="CQ584" s="158"/>
      <c r="CR584" s="159"/>
      <c r="CS584" s="68"/>
      <c r="CT584" s="163"/>
      <c r="EC584" s="344" t="str">
        <f t="shared" si="73"/>
        <v>BOGOTA D.C._BOGOTA</v>
      </c>
      <c r="ED584" s="341"/>
      <c r="EE584" s="341" t="s">
        <v>3139</v>
      </c>
      <c r="EF584" s="349" t="s">
        <v>4802</v>
      </c>
      <c r="EG584" s="341" t="s">
        <v>3789</v>
      </c>
      <c r="EH584" s="341" t="s">
        <v>4899</v>
      </c>
      <c r="EI584" s="341" t="str">
        <f t="shared" si="72"/>
        <v>Cundinamarca_Viota</v>
      </c>
    </row>
    <row r="585" spans="1:139" ht="60">
      <c r="A585" s="228">
        <v>40323</v>
      </c>
      <c r="B585" s="102" t="s">
        <v>607</v>
      </c>
      <c r="C585" s="102" t="s">
        <v>608</v>
      </c>
      <c r="D585" s="206" t="s">
        <v>1201</v>
      </c>
      <c r="E585" s="320" t="s">
        <v>4307</v>
      </c>
      <c r="F585" s="320"/>
      <c r="G585" s="210"/>
      <c r="H585" s="71"/>
      <c r="I585" s="71"/>
      <c r="J585" s="71">
        <f>400*5</f>
        <v>2000</v>
      </c>
      <c r="K585" s="71">
        <f>150+250</f>
        <v>400</v>
      </c>
      <c r="L585" s="1"/>
      <c r="M585" s="73">
        <f t="shared" si="74"/>
        <v>0</v>
      </c>
      <c r="N585" s="73">
        <f t="shared" si="75"/>
        <v>0</v>
      </c>
      <c r="O585" s="73">
        <f t="shared" si="76"/>
        <v>0</v>
      </c>
      <c r="P585" s="73">
        <f t="shared" si="77"/>
        <v>0</v>
      </c>
      <c r="Q585" s="73"/>
      <c r="R585" s="73">
        <v>0</v>
      </c>
      <c r="S585" s="75">
        <f t="shared" ref="S585:S648" si="79">M585+N585+O585+P585+Q585+R585</f>
        <v>0</v>
      </c>
      <c r="T585" s="77">
        <v>0</v>
      </c>
      <c r="U585" s="66">
        <v>40326</v>
      </c>
      <c r="V585" s="79"/>
      <c r="W585" s="66" t="s">
        <v>1585</v>
      </c>
      <c r="X585" s="24" t="s">
        <v>1586</v>
      </c>
      <c r="Y585" s="62"/>
      <c r="Z585" s="177" t="s">
        <v>894</v>
      </c>
      <c r="AA585" s="80" t="s">
        <v>2095</v>
      </c>
      <c r="AB585" s="3"/>
      <c r="AC585" s="4"/>
      <c r="AD585" s="5"/>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6"/>
      <c r="CE585" s="7"/>
      <c r="CF585" s="6"/>
      <c r="CG585" s="7"/>
      <c r="CH585" s="6"/>
      <c r="CI585" s="7"/>
      <c r="CJ585" s="8">
        <f t="shared" si="78"/>
        <v>0</v>
      </c>
      <c r="CK585" s="9"/>
      <c r="CL585" s="10"/>
      <c r="CM585" s="11"/>
      <c r="CN585" s="12"/>
      <c r="CO585" s="28"/>
      <c r="CP585" s="12"/>
      <c r="CQ585" s="9"/>
      <c r="CR585" s="10"/>
      <c r="CS585" s="68"/>
      <c r="EC585" s="344" t="str">
        <f t="shared" si="73"/>
        <v>AMAZONAS_LETICIA</v>
      </c>
      <c r="ED585" s="341"/>
      <c r="EE585" s="341" t="s">
        <v>3139</v>
      </c>
      <c r="EF585" s="349" t="s">
        <v>4802</v>
      </c>
      <c r="EG585" s="341" t="s">
        <v>3790</v>
      </c>
      <c r="EH585" s="341" t="s">
        <v>4900</v>
      </c>
      <c r="EI585" s="341" t="str">
        <f t="shared" si="72"/>
        <v>Cundinamarca_Yacopi</v>
      </c>
    </row>
    <row r="586" spans="1:139" ht="38.25">
      <c r="A586" s="228">
        <v>40323</v>
      </c>
      <c r="B586" s="102" t="s">
        <v>1615</v>
      </c>
      <c r="C586" s="102" t="s">
        <v>1564</v>
      </c>
      <c r="D586" s="206" t="s">
        <v>1923</v>
      </c>
      <c r="E586" s="320" t="s">
        <v>3382</v>
      </c>
      <c r="F586" s="320"/>
      <c r="G586" s="210">
        <v>3</v>
      </c>
      <c r="H586" s="71">
        <v>2</v>
      </c>
      <c r="I586" s="71"/>
      <c r="J586" s="71"/>
      <c r="K586" s="71"/>
      <c r="L586" s="1"/>
      <c r="M586" s="73">
        <f t="shared" si="74"/>
        <v>0</v>
      </c>
      <c r="N586" s="73">
        <f t="shared" si="75"/>
        <v>0</v>
      </c>
      <c r="O586" s="73">
        <f t="shared" si="76"/>
        <v>0</v>
      </c>
      <c r="P586" s="73">
        <f t="shared" si="77"/>
        <v>0</v>
      </c>
      <c r="Q586" s="73"/>
      <c r="R586" s="73">
        <v>0</v>
      </c>
      <c r="S586" s="75">
        <f t="shared" si="79"/>
        <v>0</v>
      </c>
      <c r="T586" s="77">
        <v>0</v>
      </c>
      <c r="U586" s="66">
        <v>40323</v>
      </c>
      <c r="V586" s="79"/>
      <c r="W586" s="66" t="s">
        <v>1585</v>
      </c>
      <c r="X586" s="24" t="s">
        <v>1586</v>
      </c>
      <c r="Y586" s="62"/>
      <c r="Z586" s="177" t="s">
        <v>894</v>
      </c>
      <c r="AA586" s="80" t="s">
        <v>1982</v>
      </c>
      <c r="AB586" s="3"/>
      <c r="AC586" s="4"/>
      <c r="AD586" s="5"/>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6"/>
      <c r="CE586" s="7"/>
      <c r="CF586" s="6"/>
      <c r="CG586" s="7"/>
      <c r="CH586" s="6"/>
      <c r="CI586" s="7"/>
      <c r="CJ586" s="8">
        <f t="shared" si="78"/>
        <v>0</v>
      </c>
      <c r="CK586" s="9"/>
      <c r="CL586" s="10"/>
      <c r="CM586" s="11"/>
      <c r="CN586" s="12"/>
      <c r="CO586" s="28"/>
      <c r="CP586" s="12"/>
      <c r="CQ586" s="9"/>
      <c r="CR586" s="10"/>
      <c r="CS586" s="68"/>
      <c r="EC586" s="344" t="str">
        <f t="shared" si="73"/>
        <v>BOLIVAR_BARRANCO DE LOBA</v>
      </c>
      <c r="ED586" s="341"/>
      <c r="EE586" s="341" t="s">
        <v>3139</v>
      </c>
      <c r="EF586" s="349" t="s">
        <v>4802</v>
      </c>
      <c r="EG586" s="341" t="s">
        <v>3791</v>
      </c>
      <c r="EH586" s="341" t="s">
        <v>4901</v>
      </c>
      <c r="EI586" s="341" t="str">
        <f t="shared" si="72"/>
        <v>Cundinamarca_Zipacon</v>
      </c>
    </row>
    <row r="587" spans="1:139" ht="25.5">
      <c r="A587" s="228">
        <v>40323</v>
      </c>
      <c r="B587" s="102" t="s">
        <v>1821</v>
      </c>
      <c r="C587" s="102" t="s">
        <v>1822</v>
      </c>
      <c r="D587" s="206" t="s">
        <v>1201</v>
      </c>
      <c r="E587" s="320" t="s">
        <v>3644</v>
      </c>
      <c r="F587" s="320"/>
      <c r="G587" s="210"/>
      <c r="H587" s="71"/>
      <c r="I587" s="71"/>
      <c r="J587" s="71">
        <f>446*5</f>
        <v>2230</v>
      </c>
      <c r="K587" s="71">
        <v>446</v>
      </c>
      <c r="L587" s="1">
        <v>40452</v>
      </c>
      <c r="M587" s="73">
        <f t="shared" si="74"/>
        <v>5400000</v>
      </c>
      <c r="N587" s="73">
        <f t="shared" si="75"/>
        <v>8500000</v>
      </c>
      <c r="O587" s="73">
        <f t="shared" si="76"/>
        <v>0</v>
      </c>
      <c r="P587" s="73">
        <f t="shared" si="77"/>
        <v>0</v>
      </c>
      <c r="Q587" s="73"/>
      <c r="R587" s="73">
        <v>0</v>
      </c>
      <c r="S587" s="75">
        <f t="shared" si="79"/>
        <v>13900000</v>
      </c>
      <c r="T587" s="77">
        <v>0</v>
      </c>
      <c r="U587" s="66">
        <v>40326</v>
      </c>
      <c r="V587" s="79">
        <v>50562</v>
      </c>
      <c r="W587" s="66" t="s">
        <v>1606</v>
      </c>
      <c r="X587" s="24" t="s">
        <v>1607</v>
      </c>
      <c r="Y587" s="62">
        <v>20729</v>
      </c>
      <c r="Z587" s="169" t="s">
        <v>1267</v>
      </c>
      <c r="AA587" s="80" t="s">
        <v>1754</v>
      </c>
      <c r="AB587" s="3"/>
      <c r="AC587" s="4"/>
      <c r="AD587" s="5"/>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v>100</v>
      </c>
      <c r="CC587" s="4">
        <f>100*18000</f>
        <v>1800000</v>
      </c>
      <c r="CD587" s="6"/>
      <c r="CE587" s="7"/>
      <c r="CF587" s="6">
        <v>100</v>
      </c>
      <c r="CG587" s="7">
        <f>100*36000</f>
        <v>3600000</v>
      </c>
      <c r="CH587" s="6"/>
      <c r="CI587" s="7"/>
      <c r="CJ587" s="8">
        <f t="shared" si="78"/>
        <v>5400000</v>
      </c>
      <c r="CK587" s="9"/>
      <c r="CL587" s="10"/>
      <c r="CM587" s="11">
        <v>100</v>
      </c>
      <c r="CN587" s="12">
        <f>100*85000</f>
        <v>8500000</v>
      </c>
      <c r="CO587" s="28"/>
      <c r="CP587" s="12"/>
      <c r="CQ587" s="9"/>
      <c r="CR587" s="10"/>
      <c r="CS587" s="68"/>
      <c r="EC587" s="344" t="str">
        <f t="shared" si="73"/>
        <v>CESAR_PAILITAS</v>
      </c>
      <c r="ED587" s="341"/>
      <c r="EE587" s="341" t="s">
        <v>3139</v>
      </c>
      <c r="EF587" s="349" t="s">
        <v>4802</v>
      </c>
      <c r="EG587" s="341" t="s">
        <v>3792</v>
      </c>
      <c r="EH587" s="341" t="s">
        <v>4902</v>
      </c>
      <c r="EI587" s="341" t="str">
        <f t="shared" si="72"/>
        <v>Cundinamarca_Zipaquira</v>
      </c>
    </row>
    <row r="588" spans="1:139" ht="180">
      <c r="A588" s="228">
        <v>40323</v>
      </c>
      <c r="B588" s="102" t="s">
        <v>1996</v>
      </c>
      <c r="C588" s="102" t="s">
        <v>938</v>
      </c>
      <c r="D588" s="206" t="s">
        <v>1201</v>
      </c>
      <c r="E588" s="320" t="s">
        <v>3821</v>
      </c>
      <c r="F588" s="320"/>
      <c r="G588" s="210"/>
      <c r="H588" s="71"/>
      <c r="I588" s="71"/>
      <c r="J588" s="71">
        <f>1015*5</f>
        <v>5075</v>
      </c>
      <c r="K588" s="71">
        <v>1015</v>
      </c>
      <c r="L588" s="1">
        <v>40374</v>
      </c>
      <c r="M588" s="73">
        <f t="shared" si="74"/>
        <v>0</v>
      </c>
      <c r="N588" s="73">
        <f t="shared" si="75"/>
        <v>87000000</v>
      </c>
      <c r="O588" s="73">
        <f t="shared" si="76"/>
        <v>0</v>
      </c>
      <c r="P588" s="73">
        <f t="shared" si="77"/>
        <v>0</v>
      </c>
      <c r="Q588" s="73"/>
      <c r="R588" s="73">
        <v>65000000</v>
      </c>
      <c r="S588" s="75">
        <f t="shared" si="79"/>
        <v>152000000</v>
      </c>
      <c r="T588" s="77">
        <v>0</v>
      </c>
      <c r="U588" s="66">
        <v>40330</v>
      </c>
      <c r="V588" s="79">
        <v>97967</v>
      </c>
      <c r="W588" s="66" t="s">
        <v>1606</v>
      </c>
      <c r="X588" s="24" t="s">
        <v>1607</v>
      </c>
      <c r="Y588" s="83" t="s">
        <v>1408</v>
      </c>
      <c r="Z588" s="177" t="s">
        <v>824</v>
      </c>
      <c r="AA588" s="261" t="s">
        <v>165</v>
      </c>
      <c r="AB588" s="3"/>
      <c r="AC588" s="4"/>
      <c r="AD588" s="5"/>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6"/>
      <c r="CE588" s="7"/>
      <c r="CF588" s="6"/>
      <c r="CG588" s="7"/>
      <c r="CH588" s="6"/>
      <c r="CI588" s="7"/>
      <c r="CJ588" s="8">
        <f t="shared" si="78"/>
        <v>0</v>
      </c>
      <c r="CK588" s="9"/>
      <c r="CL588" s="10"/>
      <c r="CM588" s="11">
        <v>1000</v>
      </c>
      <c r="CN588" s="12">
        <f>1000*87000</f>
        <v>87000000</v>
      </c>
      <c r="CO588" s="28"/>
      <c r="CP588" s="12"/>
      <c r="CQ588" s="9"/>
      <c r="CR588" s="10"/>
      <c r="CS588" s="68">
        <v>4</v>
      </c>
      <c r="EC588" s="344" t="str">
        <f t="shared" si="73"/>
        <v>CHOCO_UNGUIA</v>
      </c>
      <c r="ED588" s="341"/>
      <c r="EE588" s="341" t="s">
        <v>3150</v>
      </c>
      <c r="EF588" s="349" t="s">
        <v>3151</v>
      </c>
      <c r="EG588" s="341" t="s">
        <v>3793</v>
      </c>
      <c r="EH588" s="341" t="s">
        <v>4903</v>
      </c>
      <c r="EI588" s="341" t="str">
        <f t="shared" si="72"/>
        <v>Choco_Quibdo</v>
      </c>
    </row>
    <row r="589" spans="1:139" ht="38.25">
      <c r="A589" s="228">
        <v>40323</v>
      </c>
      <c r="B589" s="102" t="s">
        <v>1604</v>
      </c>
      <c r="C589" s="102" t="s">
        <v>960</v>
      </c>
      <c r="D589" s="206" t="s">
        <v>1201</v>
      </c>
      <c r="E589" s="320" t="s">
        <v>3792</v>
      </c>
      <c r="F589" s="320"/>
      <c r="G589" s="210"/>
      <c r="H589" s="71"/>
      <c r="I589" s="71"/>
      <c r="J589" s="71">
        <v>5</v>
      </c>
      <c r="K589" s="71">
        <v>1</v>
      </c>
      <c r="L589" s="1"/>
      <c r="M589" s="73">
        <f t="shared" si="74"/>
        <v>0</v>
      </c>
      <c r="N589" s="73">
        <f t="shared" si="75"/>
        <v>0</v>
      </c>
      <c r="O589" s="73">
        <f t="shared" si="76"/>
        <v>0</v>
      </c>
      <c r="P589" s="73">
        <f t="shared" si="77"/>
        <v>0</v>
      </c>
      <c r="Q589" s="73"/>
      <c r="R589" s="73">
        <v>0</v>
      </c>
      <c r="S589" s="75">
        <f t="shared" si="79"/>
        <v>0</v>
      </c>
      <c r="T589" s="77">
        <v>0</v>
      </c>
      <c r="U589" s="66">
        <v>40326</v>
      </c>
      <c r="V589" s="79"/>
      <c r="W589" s="66" t="s">
        <v>1585</v>
      </c>
      <c r="X589" s="24" t="s">
        <v>1586</v>
      </c>
      <c r="Y589" s="62"/>
      <c r="Z589" s="177" t="s">
        <v>894</v>
      </c>
      <c r="AA589" s="80" t="s">
        <v>609</v>
      </c>
      <c r="AB589" s="3"/>
      <c r="AC589" s="4"/>
      <c r="AD589" s="5"/>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6"/>
      <c r="CE589" s="7"/>
      <c r="CF589" s="6"/>
      <c r="CG589" s="7"/>
      <c r="CH589" s="6"/>
      <c r="CI589" s="7"/>
      <c r="CJ589" s="8">
        <f t="shared" si="78"/>
        <v>0</v>
      </c>
      <c r="CK589" s="9"/>
      <c r="CL589" s="10"/>
      <c r="CM589" s="11"/>
      <c r="CN589" s="12"/>
      <c r="CO589" s="28"/>
      <c r="CP589" s="12"/>
      <c r="CQ589" s="9"/>
      <c r="CR589" s="10"/>
      <c r="CS589" s="68"/>
      <c r="EC589" s="344" t="str">
        <f t="shared" si="73"/>
        <v>CUNDINAMARCA_ZIPAQUIRA</v>
      </c>
      <c r="ED589" s="341"/>
      <c r="EE589" s="341" t="s">
        <v>3150</v>
      </c>
      <c r="EF589" s="349" t="s">
        <v>3151</v>
      </c>
      <c r="EG589" s="341" t="s">
        <v>3794</v>
      </c>
      <c r="EH589" s="341" t="s">
        <v>4904</v>
      </c>
      <c r="EI589" s="341" t="str">
        <f t="shared" si="72"/>
        <v>Choco_Acandi</v>
      </c>
    </row>
    <row r="590" spans="1:139" ht="25.5">
      <c r="A590" s="228">
        <v>40323</v>
      </c>
      <c r="B590" s="205" t="s">
        <v>962</v>
      </c>
      <c r="C590" s="205" t="s">
        <v>85</v>
      </c>
      <c r="D590" s="207" t="s">
        <v>1201</v>
      </c>
      <c r="E590" s="323" t="s">
        <v>3825</v>
      </c>
      <c r="F590" s="323"/>
      <c r="G590" s="204"/>
      <c r="H590" s="151"/>
      <c r="I590" s="151"/>
      <c r="J590" s="151">
        <v>30</v>
      </c>
      <c r="K590" s="151">
        <v>9</v>
      </c>
      <c r="L590" s="1"/>
      <c r="M590" s="73">
        <f t="shared" si="74"/>
        <v>0</v>
      </c>
      <c r="N590" s="73">
        <f t="shared" si="75"/>
        <v>0</v>
      </c>
      <c r="O590" s="73">
        <f t="shared" si="76"/>
        <v>0</v>
      </c>
      <c r="P590" s="73">
        <f t="shared" si="77"/>
        <v>0</v>
      </c>
      <c r="Q590" s="73"/>
      <c r="R590" s="73">
        <v>0</v>
      </c>
      <c r="S590" s="75">
        <f t="shared" si="79"/>
        <v>0</v>
      </c>
      <c r="T590" s="77">
        <v>0</v>
      </c>
      <c r="U590" s="66">
        <v>40581</v>
      </c>
      <c r="V590" s="79"/>
      <c r="W590" s="66" t="s">
        <v>1585</v>
      </c>
      <c r="X590" s="24" t="s">
        <v>1586</v>
      </c>
      <c r="Y590" s="62"/>
      <c r="Z590" s="169" t="s">
        <v>894</v>
      </c>
      <c r="AA590" s="166" t="s">
        <v>54</v>
      </c>
      <c r="AB590" s="152"/>
      <c r="AC590" s="153"/>
      <c r="AD590" s="154"/>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c r="BS590" s="153"/>
      <c r="BT590" s="153"/>
      <c r="BU590" s="153"/>
      <c r="BV590" s="153"/>
      <c r="BW590" s="153"/>
      <c r="BX590" s="153"/>
      <c r="BY590" s="153"/>
      <c r="BZ590" s="153"/>
      <c r="CA590" s="153"/>
      <c r="CB590" s="153"/>
      <c r="CC590" s="153"/>
      <c r="CD590" s="155"/>
      <c r="CE590" s="156"/>
      <c r="CF590" s="155"/>
      <c r="CG590" s="156"/>
      <c r="CH590" s="155"/>
      <c r="CI590" s="156"/>
      <c r="CJ590" s="157">
        <f t="shared" si="78"/>
        <v>0</v>
      </c>
      <c r="CK590" s="158"/>
      <c r="CL590" s="159"/>
      <c r="CM590" s="160"/>
      <c r="CN590" s="161"/>
      <c r="CO590" s="162"/>
      <c r="CP590" s="161"/>
      <c r="CQ590" s="158"/>
      <c r="CR590" s="159"/>
      <c r="CS590" s="68"/>
      <c r="CT590" s="163"/>
      <c r="EC590" s="344" t="str">
        <f t="shared" si="73"/>
        <v>HUILA_AGRADO</v>
      </c>
      <c r="ED590" s="341"/>
      <c r="EE590" s="341" t="s">
        <v>3150</v>
      </c>
      <c r="EF590" s="349" t="s">
        <v>3151</v>
      </c>
      <c r="EG590" s="341" t="s">
        <v>3795</v>
      </c>
      <c r="EH590" s="341" t="s">
        <v>4905</v>
      </c>
      <c r="EI590" s="341" t="str">
        <f t="shared" ref="EI590:EI651" si="80">EF590&amp;"_"&amp;EH590</f>
        <v>Choco_Alto Baudo</v>
      </c>
    </row>
    <row r="591" spans="1:139" ht="45">
      <c r="A591" s="228">
        <v>40323</v>
      </c>
      <c r="B591" s="102" t="s">
        <v>1440</v>
      </c>
      <c r="C591" s="102" t="s">
        <v>1605</v>
      </c>
      <c r="D591" s="206" t="s">
        <v>1201</v>
      </c>
      <c r="E591" s="320" t="s">
        <v>3162</v>
      </c>
      <c r="F591" s="320"/>
      <c r="G591" s="210"/>
      <c r="H591" s="71"/>
      <c r="I591" s="71"/>
      <c r="J591" s="71"/>
      <c r="K591" s="71"/>
      <c r="L591" s="1">
        <v>40375</v>
      </c>
      <c r="M591" s="73">
        <f t="shared" si="74"/>
        <v>78550000</v>
      </c>
      <c r="N591" s="73">
        <f t="shared" si="75"/>
        <v>85000000</v>
      </c>
      <c r="O591" s="73">
        <f t="shared" si="76"/>
        <v>0</v>
      </c>
      <c r="P591" s="73">
        <f t="shared" si="77"/>
        <v>63336000</v>
      </c>
      <c r="Q591" s="73">
        <v>0</v>
      </c>
      <c r="R591" s="73">
        <v>0</v>
      </c>
      <c r="S591" s="75">
        <f t="shared" si="79"/>
        <v>226886000</v>
      </c>
      <c r="T591" s="77">
        <v>0</v>
      </c>
      <c r="U591" s="66">
        <v>40324</v>
      </c>
      <c r="V591" s="79">
        <v>97863</v>
      </c>
      <c r="W591" s="66" t="s">
        <v>1606</v>
      </c>
      <c r="X591" s="24" t="s">
        <v>1607</v>
      </c>
      <c r="Y591" s="83" t="s">
        <v>2752</v>
      </c>
      <c r="Z591" s="177" t="s">
        <v>2580</v>
      </c>
      <c r="AA591" s="80"/>
      <c r="AB591" s="3"/>
      <c r="AC591" s="4"/>
      <c r="AD591" s="5"/>
      <c r="AE591" s="4"/>
      <c r="AF591" s="4"/>
      <c r="AG591" s="4"/>
      <c r="AH591" s="4"/>
      <c r="AI591" s="4"/>
      <c r="AJ591" s="4"/>
      <c r="AK591" s="4"/>
      <c r="AL591" s="4"/>
      <c r="AM591" s="4"/>
      <c r="AN591" s="4"/>
      <c r="AO591" s="4"/>
      <c r="AP591" s="4"/>
      <c r="AQ591" s="4"/>
      <c r="AR591" s="4"/>
      <c r="AS591" s="4"/>
      <c r="AT591" s="4"/>
      <c r="AU591" s="4"/>
      <c r="AV591" s="4"/>
      <c r="AW591" s="4"/>
      <c r="AX591" s="4"/>
      <c r="AY591" s="4"/>
      <c r="AZ591" s="4">
        <v>500</v>
      </c>
      <c r="BA591" s="4">
        <f>500*25500</f>
        <v>12750000</v>
      </c>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6">
        <v>1000</v>
      </c>
      <c r="CE591" s="7">
        <f>1000*37000</f>
        <v>37000000</v>
      </c>
      <c r="CF591" s="6">
        <v>800</v>
      </c>
      <c r="CG591" s="7">
        <f>800*36000</f>
        <v>28800000</v>
      </c>
      <c r="CH591" s="6"/>
      <c r="CI591" s="7"/>
      <c r="CJ591" s="8">
        <f t="shared" si="78"/>
        <v>78550000</v>
      </c>
      <c r="CK591" s="9">
        <v>70000</v>
      </c>
      <c r="CL591" s="10">
        <f>70000*904.8</f>
        <v>63336000</v>
      </c>
      <c r="CM591" s="11">
        <v>1000</v>
      </c>
      <c r="CN591" s="12">
        <f>1000*85000</f>
        <v>85000000</v>
      </c>
      <c r="CO591" s="28"/>
      <c r="CP591" s="12"/>
      <c r="CQ591" s="9"/>
      <c r="CR591" s="10"/>
      <c r="CS591" s="68"/>
      <c r="CT591" s="22">
        <v>1125</v>
      </c>
      <c r="EC591" s="344" t="str">
        <f t="shared" si="73"/>
        <v>MAGDALENA_DEPARTAMENTO</v>
      </c>
      <c r="ED591" s="341"/>
      <c r="EE591" s="341" t="s">
        <v>3150</v>
      </c>
      <c r="EF591" s="349" t="s">
        <v>3151</v>
      </c>
      <c r="EG591" s="341" t="s">
        <v>3796</v>
      </c>
      <c r="EH591" s="341" t="s">
        <v>4906</v>
      </c>
      <c r="EI591" s="341" t="str">
        <f t="shared" si="80"/>
        <v>Choco_Atrato</v>
      </c>
    </row>
    <row r="592" spans="1:139" ht="38.25">
      <c r="A592" s="228">
        <v>40323</v>
      </c>
      <c r="B592" s="102" t="s">
        <v>965</v>
      </c>
      <c r="C592" s="102" t="s">
        <v>1743</v>
      </c>
      <c r="D592" s="206" t="s">
        <v>1201</v>
      </c>
      <c r="E592" s="320" t="s">
        <v>4022</v>
      </c>
      <c r="F592" s="320"/>
      <c r="G592" s="210"/>
      <c r="H592" s="71"/>
      <c r="I592" s="71"/>
      <c r="J592" s="71">
        <f>600-30</f>
        <v>570</v>
      </c>
      <c r="K592" s="71">
        <f>140-6</f>
        <v>134</v>
      </c>
      <c r="L592" s="1"/>
      <c r="M592" s="73">
        <f t="shared" si="74"/>
        <v>0</v>
      </c>
      <c r="N592" s="73">
        <f t="shared" si="75"/>
        <v>0</v>
      </c>
      <c r="O592" s="73">
        <f t="shared" si="76"/>
        <v>0</v>
      </c>
      <c r="P592" s="73">
        <f t="shared" si="77"/>
        <v>0</v>
      </c>
      <c r="Q592" s="73"/>
      <c r="R592" s="73">
        <v>0</v>
      </c>
      <c r="S592" s="75">
        <f t="shared" si="79"/>
        <v>0</v>
      </c>
      <c r="T592" s="77">
        <v>0</v>
      </c>
      <c r="U592" s="66">
        <v>40326</v>
      </c>
      <c r="V592" s="79"/>
      <c r="W592" s="66" t="s">
        <v>1585</v>
      </c>
      <c r="X592" s="24" t="s">
        <v>1586</v>
      </c>
      <c r="Y592" s="62"/>
      <c r="Z592" s="177" t="s">
        <v>894</v>
      </c>
      <c r="AA592" s="80" t="s">
        <v>1020</v>
      </c>
      <c r="AB592" s="3"/>
      <c r="AC592" s="4"/>
      <c r="AD592" s="5"/>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6"/>
      <c r="CE592" s="7"/>
      <c r="CF592" s="6"/>
      <c r="CG592" s="7"/>
      <c r="CH592" s="6"/>
      <c r="CI592" s="7"/>
      <c r="CJ592" s="8">
        <f t="shared" si="78"/>
        <v>0</v>
      </c>
      <c r="CK592" s="9"/>
      <c r="CL592" s="10"/>
      <c r="CM592" s="11"/>
      <c r="CN592" s="12"/>
      <c r="CO592" s="28"/>
      <c r="CP592" s="12"/>
      <c r="CQ592" s="9"/>
      <c r="CR592" s="10"/>
      <c r="CS592" s="68"/>
      <c r="EC592" s="344" t="str">
        <f t="shared" si="73"/>
        <v>NORTE DE SANTANDER_OCAÑA</v>
      </c>
      <c r="ED592" s="341"/>
      <c r="EE592" s="341" t="s">
        <v>3150</v>
      </c>
      <c r="EF592" s="349" t="s">
        <v>3151</v>
      </c>
      <c r="EG592" s="341" t="s">
        <v>3798</v>
      </c>
      <c r="EH592" s="341" t="s">
        <v>4907</v>
      </c>
      <c r="EI592" s="341" t="str">
        <f t="shared" si="80"/>
        <v>Choco_Bahia Solano</v>
      </c>
    </row>
    <row r="593" spans="1:139" ht="38.25">
      <c r="A593" s="228">
        <v>40324</v>
      </c>
      <c r="B593" s="102" t="s">
        <v>1551</v>
      </c>
      <c r="C593" s="102" t="s">
        <v>1590</v>
      </c>
      <c r="D593" s="206" t="s">
        <v>1878</v>
      </c>
      <c r="E593" s="320" t="s">
        <v>3352</v>
      </c>
      <c r="F593" s="320"/>
      <c r="G593" s="210"/>
      <c r="H593" s="71"/>
      <c r="I593" s="71"/>
      <c r="J593" s="71"/>
      <c r="K593" s="71"/>
      <c r="L593" s="1"/>
      <c r="M593" s="73">
        <f t="shared" si="74"/>
        <v>0</v>
      </c>
      <c r="N593" s="73">
        <f t="shared" si="75"/>
        <v>0</v>
      </c>
      <c r="O593" s="73">
        <f t="shared" si="76"/>
        <v>0</v>
      </c>
      <c r="P593" s="73">
        <f t="shared" si="77"/>
        <v>0</v>
      </c>
      <c r="Q593" s="73"/>
      <c r="R593" s="73">
        <v>0</v>
      </c>
      <c r="S593" s="75">
        <f t="shared" si="79"/>
        <v>0</v>
      </c>
      <c r="T593" s="77">
        <v>0</v>
      </c>
      <c r="U593" s="66">
        <v>40326</v>
      </c>
      <c r="V593" s="79"/>
      <c r="W593" s="66" t="s">
        <v>1585</v>
      </c>
      <c r="X593" s="24" t="s">
        <v>1586</v>
      </c>
      <c r="Y593" s="62"/>
      <c r="Z593" s="177" t="s">
        <v>894</v>
      </c>
      <c r="AA593" s="80" t="s">
        <v>1021</v>
      </c>
      <c r="AB593" s="3"/>
      <c r="AC593" s="4"/>
      <c r="AD593" s="5"/>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6"/>
      <c r="CE593" s="7"/>
      <c r="CF593" s="6"/>
      <c r="CG593" s="7"/>
      <c r="CH593" s="6"/>
      <c r="CI593" s="7"/>
      <c r="CJ593" s="8">
        <f t="shared" si="78"/>
        <v>0</v>
      </c>
      <c r="CK593" s="9"/>
      <c r="CL593" s="10"/>
      <c r="CM593" s="11"/>
      <c r="CN593" s="12"/>
      <c r="CO593" s="28"/>
      <c r="CP593" s="12"/>
      <c r="CQ593" s="9"/>
      <c r="CR593" s="10"/>
      <c r="CS593" s="68"/>
      <c r="EC593" s="344" t="str">
        <f t="shared" si="73"/>
        <v>ATLANTICO_BARRANQUILLA</v>
      </c>
      <c r="ED593" s="341"/>
      <c r="EE593" s="341" t="s">
        <v>3150</v>
      </c>
      <c r="EF593" s="349" t="s">
        <v>3151</v>
      </c>
      <c r="EG593" s="341" t="s">
        <v>3799</v>
      </c>
      <c r="EH593" s="341" t="s">
        <v>4908</v>
      </c>
      <c r="EI593" s="341" t="str">
        <f t="shared" si="80"/>
        <v>Choco_Bajo Baudo</v>
      </c>
    </row>
    <row r="594" spans="1:139" ht="38.25">
      <c r="A594" s="228">
        <v>40324</v>
      </c>
      <c r="B594" s="102" t="s">
        <v>4321</v>
      </c>
      <c r="C594" s="102" t="s">
        <v>1236</v>
      </c>
      <c r="D594" s="206" t="s">
        <v>1201</v>
      </c>
      <c r="E594" s="320" t="s">
        <v>3869</v>
      </c>
      <c r="F594" s="320"/>
      <c r="G594" s="210"/>
      <c r="H594" s="71"/>
      <c r="I594" s="71"/>
      <c r="J594" s="71">
        <v>130</v>
      </c>
      <c r="K594" s="71">
        <v>26</v>
      </c>
      <c r="L594" s="1"/>
      <c r="M594" s="73">
        <f t="shared" si="74"/>
        <v>0</v>
      </c>
      <c r="N594" s="73">
        <f t="shared" si="75"/>
        <v>0</v>
      </c>
      <c r="O594" s="73">
        <f t="shared" si="76"/>
        <v>0</v>
      </c>
      <c r="P594" s="73">
        <f t="shared" si="77"/>
        <v>0</v>
      </c>
      <c r="Q594" s="73"/>
      <c r="R594" s="73">
        <v>0</v>
      </c>
      <c r="S594" s="75">
        <f t="shared" si="79"/>
        <v>0</v>
      </c>
      <c r="T594" s="77">
        <v>0</v>
      </c>
      <c r="U594" s="66">
        <v>40330</v>
      </c>
      <c r="V594" s="79"/>
      <c r="W594" s="66" t="s">
        <v>1585</v>
      </c>
      <c r="X594" s="24" t="s">
        <v>1586</v>
      </c>
      <c r="Y594" s="62"/>
      <c r="Z594" s="177" t="s">
        <v>894</v>
      </c>
      <c r="AA594" s="80" t="s">
        <v>1831</v>
      </c>
      <c r="AB594" s="3"/>
      <c r="AC594" s="4"/>
      <c r="AD594" s="5"/>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6"/>
      <c r="CE594" s="7"/>
      <c r="CF594" s="6"/>
      <c r="CG594" s="7"/>
      <c r="CH594" s="6"/>
      <c r="CI594" s="7"/>
      <c r="CJ594" s="8">
        <f t="shared" si="78"/>
        <v>0</v>
      </c>
      <c r="CK594" s="9"/>
      <c r="CL594" s="10"/>
      <c r="CM594" s="11"/>
      <c r="CN594" s="12"/>
      <c r="CO594" s="28"/>
      <c r="CP594" s="12"/>
      <c r="CQ594" s="9"/>
      <c r="CR594" s="10"/>
      <c r="CS594" s="68"/>
      <c r="EC594" s="344" t="str">
        <f t="shared" si="73"/>
        <v>LA GUAJIRA_MAICAO</v>
      </c>
      <c r="ED594" s="341"/>
      <c r="EE594" s="341" t="s">
        <v>3150</v>
      </c>
      <c r="EF594" s="349" t="s">
        <v>3151</v>
      </c>
      <c r="EG594" s="341" t="s">
        <v>3800</v>
      </c>
      <c r="EH594" s="341" t="s">
        <v>4909</v>
      </c>
      <c r="EI594" s="341" t="str">
        <f t="shared" si="80"/>
        <v>Choco_Bojaya</v>
      </c>
    </row>
    <row r="595" spans="1:139" ht="48">
      <c r="A595" s="228">
        <v>40324</v>
      </c>
      <c r="B595" s="102" t="s">
        <v>1609</v>
      </c>
      <c r="C595" s="102" t="s">
        <v>2004</v>
      </c>
      <c r="D595" s="206" t="s">
        <v>1201</v>
      </c>
      <c r="E595" s="320" t="s">
        <v>4050</v>
      </c>
      <c r="F595" s="320"/>
      <c r="G595" s="210"/>
      <c r="H595" s="71"/>
      <c r="I595" s="71"/>
      <c r="J595" s="71">
        <f>34*5</f>
        <v>170</v>
      </c>
      <c r="K595" s="71">
        <v>34</v>
      </c>
      <c r="L595" s="1"/>
      <c r="M595" s="73">
        <f t="shared" si="74"/>
        <v>0</v>
      </c>
      <c r="N595" s="73">
        <f t="shared" si="75"/>
        <v>0</v>
      </c>
      <c r="O595" s="73">
        <f t="shared" si="76"/>
        <v>0</v>
      </c>
      <c r="P595" s="73">
        <f t="shared" si="77"/>
        <v>0</v>
      </c>
      <c r="Q595" s="73"/>
      <c r="R595" s="73">
        <v>0</v>
      </c>
      <c r="S595" s="75">
        <f t="shared" si="79"/>
        <v>0</v>
      </c>
      <c r="T595" s="77">
        <v>0</v>
      </c>
      <c r="U595" s="66">
        <v>40326</v>
      </c>
      <c r="V595" s="79"/>
      <c r="W595" s="66" t="s">
        <v>1585</v>
      </c>
      <c r="X595" s="24" t="s">
        <v>1586</v>
      </c>
      <c r="Y595" s="62"/>
      <c r="Z595" s="177" t="s">
        <v>894</v>
      </c>
      <c r="AA595" s="80" t="s">
        <v>1352</v>
      </c>
      <c r="AB595" s="3"/>
      <c r="AC595" s="4"/>
      <c r="AD595" s="5"/>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6"/>
      <c r="CE595" s="7"/>
      <c r="CF595" s="6"/>
      <c r="CG595" s="7"/>
      <c r="CH595" s="6"/>
      <c r="CI595" s="7"/>
      <c r="CJ595" s="8">
        <f t="shared" si="78"/>
        <v>0</v>
      </c>
      <c r="CK595" s="9"/>
      <c r="CL595" s="10"/>
      <c r="CM595" s="11"/>
      <c r="CN595" s="12"/>
      <c r="CO595" s="28"/>
      <c r="CP595" s="12"/>
      <c r="CQ595" s="9"/>
      <c r="CR595" s="10"/>
      <c r="CS595" s="68"/>
      <c r="EC595" s="344" t="str">
        <f t="shared" si="73"/>
        <v>RISARALDA_PEREIRA</v>
      </c>
      <c r="ED595" s="341"/>
      <c r="EE595" s="341" t="s">
        <v>3150</v>
      </c>
      <c r="EF595" s="349" t="s">
        <v>3151</v>
      </c>
      <c r="EG595" s="341" t="s">
        <v>3801</v>
      </c>
      <c r="EH595" s="341" t="s">
        <v>4910</v>
      </c>
      <c r="EI595" s="341" t="str">
        <f t="shared" si="80"/>
        <v>Choco_El Canton del San Pablo</v>
      </c>
    </row>
    <row r="596" spans="1:139" ht="38.25">
      <c r="A596" s="228">
        <v>40325</v>
      </c>
      <c r="B596" s="102" t="s">
        <v>653</v>
      </c>
      <c r="C596" s="102" t="s">
        <v>3127</v>
      </c>
      <c r="D596" s="206" t="s">
        <v>1201</v>
      </c>
      <c r="E596" s="320" t="s">
        <v>3567</v>
      </c>
      <c r="F596" s="320"/>
      <c r="G596" s="210"/>
      <c r="H596" s="71"/>
      <c r="I596" s="71"/>
      <c r="J596" s="71">
        <v>70</v>
      </c>
      <c r="K596" s="71">
        <v>28</v>
      </c>
      <c r="L596" s="1"/>
      <c r="M596" s="73">
        <f t="shared" si="74"/>
        <v>0</v>
      </c>
      <c r="N596" s="73">
        <f t="shared" si="75"/>
        <v>0</v>
      </c>
      <c r="O596" s="73">
        <f t="shared" si="76"/>
        <v>0</v>
      </c>
      <c r="P596" s="73">
        <f t="shared" si="77"/>
        <v>0</v>
      </c>
      <c r="Q596" s="73"/>
      <c r="R596" s="73">
        <v>0</v>
      </c>
      <c r="S596" s="75">
        <f t="shared" si="79"/>
        <v>0</v>
      </c>
      <c r="T596" s="77">
        <v>0</v>
      </c>
      <c r="U596" s="66">
        <v>40326</v>
      </c>
      <c r="V596" s="79"/>
      <c r="W596" s="66" t="s">
        <v>1606</v>
      </c>
      <c r="X596" s="24" t="s">
        <v>1607</v>
      </c>
      <c r="Y596" s="62"/>
      <c r="Z596" s="176" t="s">
        <v>3056</v>
      </c>
      <c r="AA596" s="80" t="s">
        <v>390</v>
      </c>
      <c r="AB596" s="3"/>
      <c r="AC596" s="4"/>
      <c r="AD596" s="5"/>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6"/>
      <c r="CE596" s="7"/>
      <c r="CF596" s="6"/>
      <c r="CG596" s="7"/>
      <c r="CH596" s="6"/>
      <c r="CI596" s="7"/>
      <c r="CJ596" s="8">
        <f t="shared" si="78"/>
        <v>0</v>
      </c>
      <c r="CK596" s="9"/>
      <c r="CL596" s="10"/>
      <c r="CM596" s="11"/>
      <c r="CN596" s="12"/>
      <c r="CO596" s="28"/>
      <c r="CP596" s="12"/>
      <c r="CQ596" s="9"/>
      <c r="CR596" s="10"/>
      <c r="CS596" s="68"/>
      <c r="EC596" s="344" t="str">
        <f t="shared" si="73"/>
        <v>CALDAS_VICTORIA</v>
      </c>
      <c r="ED596" s="341"/>
      <c r="EE596" s="341" t="s">
        <v>3150</v>
      </c>
      <c r="EF596" s="349" t="s">
        <v>3151</v>
      </c>
      <c r="EG596" s="341" t="s">
        <v>3802</v>
      </c>
      <c r="EH596" s="341" t="s">
        <v>4911</v>
      </c>
      <c r="EI596" s="341" t="str">
        <f t="shared" si="80"/>
        <v>Choco_Carmen del Darien</v>
      </c>
    </row>
    <row r="597" spans="1:139" ht="38.25">
      <c r="A597" s="228">
        <v>40325</v>
      </c>
      <c r="B597" s="102" t="s">
        <v>1617</v>
      </c>
      <c r="C597" s="102" t="s">
        <v>401</v>
      </c>
      <c r="D597" s="206" t="s">
        <v>1201</v>
      </c>
      <c r="E597" s="320" t="s">
        <v>4276</v>
      </c>
      <c r="F597" s="320"/>
      <c r="G597" s="210"/>
      <c r="H597" s="71"/>
      <c r="I597" s="71"/>
      <c r="J597" s="71">
        <v>25</v>
      </c>
      <c r="K597" s="71">
        <v>5</v>
      </c>
      <c r="L597" s="1"/>
      <c r="M597" s="73">
        <f t="shared" si="74"/>
        <v>0</v>
      </c>
      <c r="N597" s="73">
        <f t="shared" si="75"/>
        <v>0</v>
      </c>
      <c r="O597" s="73">
        <f t="shared" si="76"/>
        <v>0</v>
      </c>
      <c r="P597" s="73">
        <f t="shared" si="77"/>
        <v>0</v>
      </c>
      <c r="Q597" s="73"/>
      <c r="R597" s="73">
        <v>0</v>
      </c>
      <c r="S597" s="75">
        <f t="shared" si="79"/>
        <v>0</v>
      </c>
      <c r="T597" s="77">
        <v>0</v>
      </c>
      <c r="U597" s="66">
        <v>40326</v>
      </c>
      <c r="V597" s="79"/>
      <c r="W597" s="66" t="s">
        <v>1585</v>
      </c>
      <c r="X597" s="24" t="s">
        <v>1586</v>
      </c>
      <c r="Y597" s="62"/>
      <c r="Z597" s="177" t="s">
        <v>894</v>
      </c>
      <c r="AA597" s="80" t="s">
        <v>1757</v>
      </c>
      <c r="AB597" s="3"/>
      <c r="AC597" s="4"/>
      <c r="AD597" s="5"/>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6"/>
      <c r="CE597" s="7"/>
      <c r="CF597" s="6"/>
      <c r="CG597" s="7"/>
      <c r="CH597" s="6"/>
      <c r="CI597" s="7"/>
      <c r="CJ597" s="8">
        <f t="shared" si="78"/>
        <v>0</v>
      </c>
      <c r="CK597" s="9"/>
      <c r="CL597" s="10"/>
      <c r="CM597" s="11"/>
      <c r="CN597" s="12"/>
      <c r="CO597" s="28"/>
      <c r="CP597" s="12"/>
      <c r="CQ597" s="9"/>
      <c r="CR597" s="10"/>
      <c r="CS597" s="68"/>
      <c r="CT597" s="22">
        <v>1077</v>
      </c>
      <c r="EC597" s="344" t="str">
        <f t="shared" si="73"/>
        <v>CASANARE_HATO COROZAL</v>
      </c>
      <c r="ED597" s="341"/>
      <c r="EE597" s="341" t="s">
        <v>3150</v>
      </c>
      <c r="EF597" s="349" t="s">
        <v>3151</v>
      </c>
      <c r="EG597" s="341" t="s">
        <v>3803</v>
      </c>
      <c r="EH597" s="341" t="s">
        <v>4912</v>
      </c>
      <c r="EI597" s="341" t="str">
        <f t="shared" si="80"/>
        <v>Choco_Certegui</v>
      </c>
    </row>
    <row r="598" spans="1:139" ht="36">
      <c r="A598" s="228">
        <v>40325</v>
      </c>
      <c r="B598" s="102" t="s">
        <v>1617</v>
      </c>
      <c r="C598" s="102" t="s">
        <v>1983</v>
      </c>
      <c r="D598" s="206" t="s">
        <v>1201</v>
      </c>
      <c r="E598" s="320" t="s">
        <v>4283</v>
      </c>
      <c r="F598" s="320"/>
      <c r="G598" s="210"/>
      <c r="H598" s="71"/>
      <c r="I598" s="71"/>
      <c r="J598" s="71">
        <v>410</v>
      </c>
      <c r="K598" s="71">
        <v>82</v>
      </c>
      <c r="L598" s="1"/>
      <c r="M598" s="73">
        <f t="shared" si="74"/>
        <v>0</v>
      </c>
      <c r="N598" s="73">
        <f t="shared" si="75"/>
        <v>0</v>
      </c>
      <c r="O598" s="73">
        <f t="shared" si="76"/>
        <v>0</v>
      </c>
      <c r="P598" s="73">
        <f t="shared" si="77"/>
        <v>0</v>
      </c>
      <c r="Q598" s="73"/>
      <c r="R598" s="73">
        <v>0</v>
      </c>
      <c r="S598" s="75">
        <f t="shared" si="79"/>
        <v>0</v>
      </c>
      <c r="T598" s="77">
        <v>0</v>
      </c>
      <c r="U598" s="66">
        <v>40326</v>
      </c>
      <c r="V598" s="79"/>
      <c r="W598" s="66" t="s">
        <v>1585</v>
      </c>
      <c r="X598" s="24" t="s">
        <v>1586</v>
      </c>
      <c r="Y598" s="62"/>
      <c r="Z598" s="177" t="s">
        <v>894</v>
      </c>
      <c r="AA598" s="80" t="s">
        <v>605</v>
      </c>
      <c r="AB598" s="3"/>
      <c r="AC598" s="4"/>
      <c r="AD598" s="5"/>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6"/>
      <c r="CE598" s="7"/>
      <c r="CF598" s="6"/>
      <c r="CG598" s="7"/>
      <c r="CH598" s="6"/>
      <c r="CI598" s="7"/>
      <c r="CJ598" s="8">
        <f t="shared" si="78"/>
        <v>0</v>
      </c>
      <c r="CK598" s="9"/>
      <c r="CL598" s="10"/>
      <c r="CM598" s="11"/>
      <c r="CN598" s="12"/>
      <c r="CO598" s="28"/>
      <c r="CP598" s="12"/>
      <c r="CQ598" s="9"/>
      <c r="CR598" s="10"/>
      <c r="CS598" s="68"/>
      <c r="EC598" s="344" t="str">
        <f t="shared" si="73"/>
        <v>CASANARE_PORE</v>
      </c>
      <c r="ED598" s="341"/>
      <c r="EE598" s="341" t="s">
        <v>3150</v>
      </c>
      <c r="EF598" s="349" t="s">
        <v>3151</v>
      </c>
      <c r="EG598" s="341" t="s">
        <v>3804</v>
      </c>
      <c r="EH598" s="341" t="s">
        <v>4913</v>
      </c>
      <c r="EI598" s="341" t="str">
        <f t="shared" si="80"/>
        <v>Choco_Condoto</v>
      </c>
    </row>
    <row r="599" spans="1:139" ht="38.25">
      <c r="A599" s="228">
        <v>40325</v>
      </c>
      <c r="B599" s="102" t="s">
        <v>1617</v>
      </c>
      <c r="C599" s="102" t="s">
        <v>1553</v>
      </c>
      <c r="D599" s="206" t="s">
        <v>1201</v>
      </c>
      <c r="E599" s="320" t="s">
        <v>4291</v>
      </c>
      <c r="F599" s="320"/>
      <c r="G599" s="210"/>
      <c r="H599" s="71"/>
      <c r="I599" s="71"/>
      <c r="J599" s="71">
        <v>125</v>
      </c>
      <c r="K599" s="71">
        <v>25</v>
      </c>
      <c r="L599" s="1"/>
      <c r="M599" s="73">
        <f t="shared" si="74"/>
        <v>0</v>
      </c>
      <c r="N599" s="73">
        <f t="shared" si="75"/>
        <v>0</v>
      </c>
      <c r="O599" s="73">
        <f t="shared" si="76"/>
        <v>0</v>
      </c>
      <c r="P599" s="73">
        <f t="shared" si="77"/>
        <v>0</v>
      </c>
      <c r="Q599" s="73"/>
      <c r="R599" s="73">
        <v>0</v>
      </c>
      <c r="S599" s="75">
        <f t="shared" si="79"/>
        <v>0</v>
      </c>
      <c r="T599" s="77">
        <v>0</v>
      </c>
      <c r="U599" s="66">
        <v>40326</v>
      </c>
      <c r="V599" s="79"/>
      <c r="W599" s="66" t="s">
        <v>1585</v>
      </c>
      <c r="X599" s="24" t="s">
        <v>1586</v>
      </c>
      <c r="Y599" s="62"/>
      <c r="Z599" s="177" t="s">
        <v>894</v>
      </c>
      <c r="AA599" s="80" t="s">
        <v>1755</v>
      </c>
      <c r="AB599" s="3"/>
      <c r="AC599" s="4"/>
      <c r="AD599" s="5"/>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6"/>
      <c r="CE599" s="7"/>
      <c r="CF599" s="6"/>
      <c r="CG599" s="7"/>
      <c r="CH599" s="6"/>
      <c r="CI599" s="7"/>
      <c r="CJ599" s="8">
        <f t="shared" si="78"/>
        <v>0</v>
      </c>
      <c r="CK599" s="9"/>
      <c r="CL599" s="10"/>
      <c r="CM599" s="11"/>
      <c r="CN599" s="12"/>
      <c r="CO599" s="28"/>
      <c r="CP599" s="12"/>
      <c r="CQ599" s="9"/>
      <c r="CR599" s="10"/>
      <c r="CS599" s="68"/>
      <c r="EC599" s="344" t="str">
        <f t="shared" si="73"/>
        <v>CASANARE_VILLANUEVA</v>
      </c>
      <c r="ED599" s="341"/>
      <c r="EE599" s="341" t="s">
        <v>3150</v>
      </c>
      <c r="EF599" s="349" t="s">
        <v>3151</v>
      </c>
      <c r="EG599" s="341" t="s">
        <v>3805</v>
      </c>
      <c r="EH599" s="341" t="s">
        <v>4914</v>
      </c>
      <c r="EI599" s="341" t="str">
        <f t="shared" si="80"/>
        <v>Choco_El Carmen de Atrato</v>
      </c>
    </row>
    <row r="600" spans="1:139" ht="38.25">
      <c r="A600" s="228">
        <v>40325</v>
      </c>
      <c r="B600" s="102" t="s">
        <v>1821</v>
      </c>
      <c r="C600" s="102" t="s">
        <v>1640</v>
      </c>
      <c r="D600" s="206" t="s">
        <v>1201</v>
      </c>
      <c r="E600" s="320" t="s">
        <v>3652</v>
      </c>
      <c r="F600" s="320"/>
      <c r="G600" s="210"/>
      <c r="H600" s="71"/>
      <c r="I600" s="71"/>
      <c r="J600" s="71">
        <f>487*5</f>
        <v>2435</v>
      </c>
      <c r="K600" s="71">
        <f>750-260-3</f>
        <v>487</v>
      </c>
      <c r="L600" s="1"/>
      <c r="M600" s="73">
        <f t="shared" si="74"/>
        <v>0</v>
      </c>
      <c r="N600" s="73">
        <f t="shared" si="75"/>
        <v>0</v>
      </c>
      <c r="O600" s="73">
        <f t="shared" si="76"/>
        <v>0</v>
      </c>
      <c r="P600" s="73">
        <f t="shared" si="77"/>
        <v>0</v>
      </c>
      <c r="Q600" s="73"/>
      <c r="R600" s="73">
        <v>0</v>
      </c>
      <c r="S600" s="75">
        <f t="shared" si="79"/>
        <v>0</v>
      </c>
      <c r="T600" s="77">
        <v>0</v>
      </c>
      <c r="U600" s="66">
        <v>40326</v>
      </c>
      <c r="V600" s="79"/>
      <c r="W600" s="66" t="s">
        <v>1585</v>
      </c>
      <c r="X600" s="24" t="s">
        <v>1586</v>
      </c>
      <c r="Y600" s="62"/>
      <c r="Z600" s="177" t="s">
        <v>356</v>
      </c>
      <c r="AA600" s="80" t="s">
        <v>1030</v>
      </c>
      <c r="AB600" s="3"/>
      <c r="AC600" s="4"/>
      <c r="AD600" s="5"/>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6"/>
      <c r="CE600" s="7"/>
      <c r="CF600" s="6"/>
      <c r="CG600" s="7"/>
      <c r="CH600" s="6"/>
      <c r="CI600" s="7"/>
      <c r="CJ600" s="8">
        <f t="shared" si="78"/>
        <v>0</v>
      </c>
      <c r="CK600" s="9"/>
      <c r="CL600" s="10"/>
      <c r="CM600" s="11"/>
      <c r="CN600" s="12"/>
      <c r="CO600" s="28"/>
      <c r="CP600" s="12"/>
      <c r="CQ600" s="9"/>
      <c r="CR600" s="10"/>
      <c r="CS600" s="68"/>
      <c r="EC600" s="344" t="str">
        <f t="shared" si="73"/>
        <v>CESAR_TAMALAMEQUE</v>
      </c>
      <c r="ED600" s="341"/>
      <c r="EE600" s="341" t="s">
        <v>3150</v>
      </c>
      <c r="EF600" s="349" t="s">
        <v>3151</v>
      </c>
      <c r="EG600" s="341" t="s">
        <v>3806</v>
      </c>
      <c r="EH600" s="341" t="s">
        <v>4915</v>
      </c>
      <c r="EI600" s="341" t="str">
        <f t="shared" si="80"/>
        <v>Choco_El Litoral del San Juan</v>
      </c>
    </row>
    <row r="601" spans="1:139" ht="38.25">
      <c r="A601" s="228">
        <v>40325</v>
      </c>
      <c r="B601" s="102" t="s">
        <v>396</v>
      </c>
      <c r="C601" s="102" t="s">
        <v>1350</v>
      </c>
      <c r="D601" s="206" t="s">
        <v>1201</v>
      </c>
      <c r="E601" s="320" t="s">
        <v>3907</v>
      </c>
      <c r="F601" s="320"/>
      <c r="G601" s="210"/>
      <c r="H601" s="71"/>
      <c r="I601" s="71"/>
      <c r="J601" s="71">
        <f>171-50</f>
        <v>121</v>
      </c>
      <c r="K601" s="71">
        <v>50</v>
      </c>
      <c r="L601" s="1"/>
      <c r="M601" s="73">
        <f t="shared" si="74"/>
        <v>0</v>
      </c>
      <c r="N601" s="73">
        <f t="shared" si="75"/>
        <v>0</v>
      </c>
      <c r="O601" s="73">
        <f t="shared" si="76"/>
        <v>0</v>
      </c>
      <c r="P601" s="73">
        <f t="shared" si="77"/>
        <v>0</v>
      </c>
      <c r="Q601" s="73"/>
      <c r="R601" s="73">
        <v>0</v>
      </c>
      <c r="S601" s="75">
        <f t="shared" si="79"/>
        <v>0</v>
      </c>
      <c r="T601" s="77">
        <v>0</v>
      </c>
      <c r="U601" s="66">
        <v>40326</v>
      </c>
      <c r="V601" s="79"/>
      <c r="W601" s="66" t="s">
        <v>1585</v>
      </c>
      <c r="X601" s="24" t="s">
        <v>1586</v>
      </c>
      <c r="Y601" s="62"/>
      <c r="Z601" s="177" t="s">
        <v>894</v>
      </c>
      <c r="AA601" s="80" t="s">
        <v>1351</v>
      </c>
      <c r="AB601" s="3"/>
      <c r="AC601" s="4"/>
      <c r="AD601" s="5"/>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6"/>
      <c r="CE601" s="7"/>
      <c r="CF601" s="6"/>
      <c r="CG601" s="7"/>
      <c r="CH601" s="6"/>
      <c r="CI601" s="7"/>
      <c r="CJ601" s="8">
        <f t="shared" si="78"/>
        <v>0</v>
      </c>
      <c r="CK601" s="9"/>
      <c r="CL601" s="10"/>
      <c r="CM601" s="11"/>
      <c r="CN601" s="12"/>
      <c r="CO601" s="28"/>
      <c r="CP601" s="12"/>
      <c r="CQ601" s="9"/>
      <c r="CR601" s="10"/>
      <c r="CS601" s="68"/>
      <c r="EC601" s="344" t="str">
        <f t="shared" si="73"/>
        <v>META_BARRANCA DE UPIA</v>
      </c>
      <c r="ED601" s="341"/>
      <c r="EE601" s="341" t="s">
        <v>3150</v>
      </c>
      <c r="EF601" s="349" t="s">
        <v>3151</v>
      </c>
      <c r="EG601" s="341" t="s">
        <v>3807</v>
      </c>
      <c r="EH601" s="341" t="s">
        <v>4916</v>
      </c>
      <c r="EI601" s="341" t="str">
        <f t="shared" si="80"/>
        <v>Choco_Istmina</v>
      </c>
    </row>
    <row r="602" spans="1:139" ht="84">
      <c r="A602" s="228">
        <v>40325</v>
      </c>
      <c r="B602" s="102" t="s">
        <v>396</v>
      </c>
      <c r="C602" s="102" t="s">
        <v>5394</v>
      </c>
      <c r="D602" s="206" t="s">
        <v>1201</v>
      </c>
      <c r="E602" s="320" t="s">
        <v>3921</v>
      </c>
      <c r="F602" s="320"/>
      <c r="G602" s="210"/>
      <c r="H602" s="71"/>
      <c r="I602" s="71"/>
      <c r="J602" s="71">
        <v>200</v>
      </c>
      <c r="K602" s="71">
        <v>40</v>
      </c>
      <c r="L602" s="1">
        <v>40357</v>
      </c>
      <c r="M602" s="73">
        <f t="shared" si="74"/>
        <v>0</v>
      </c>
      <c r="N602" s="73">
        <f t="shared" si="75"/>
        <v>0</v>
      </c>
      <c r="O602" s="73">
        <f t="shared" si="76"/>
        <v>0</v>
      </c>
      <c r="P602" s="73">
        <f t="shared" si="77"/>
        <v>0</v>
      </c>
      <c r="Q602" s="73"/>
      <c r="R602" s="73">
        <v>95000000</v>
      </c>
      <c r="S602" s="75">
        <f t="shared" si="79"/>
        <v>95000000</v>
      </c>
      <c r="T602" s="77">
        <v>0</v>
      </c>
      <c r="U602" s="66">
        <v>40340</v>
      </c>
      <c r="V602" s="79">
        <v>98226</v>
      </c>
      <c r="W602" s="66" t="s">
        <v>1606</v>
      </c>
      <c r="X602" s="24" t="s">
        <v>1607</v>
      </c>
      <c r="Y602" s="62">
        <v>21591</v>
      </c>
      <c r="Z602" s="177" t="s">
        <v>1356</v>
      </c>
      <c r="AA602" s="80" t="s">
        <v>145</v>
      </c>
      <c r="AB602" s="3"/>
      <c r="AC602" s="4"/>
      <c r="AD602" s="5"/>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6"/>
      <c r="CE602" s="7"/>
      <c r="CF602" s="6"/>
      <c r="CG602" s="7"/>
      <c r="CH602" s="6"/>
      <c r="CI602" s="7"/>
      <c r="CJ602" s="8">
        <f t="shared" si="78"/>
        <v>0</v>
      </c>
      <c r="CK602" s="9"/>
      <c r="CL602" s="10"/>
      <c r="CM602" s="11"/>
      <c r="CN602" s="12"/>
      <c r="CO602" s="28"/>
      <c r="CP602" s="12"/>
      <c r="CQ602" s="9"/>
      <c r="CR602" s="10"/>
      <c r="CS602" s="68">
        <v>4</v>
      </c>
      <c r="EC602" s="344" t="str">
        <f t="shared" si="73"/>
        <v>META_URIBE</v>
      </c>
      <c r="ED602" s="341"/>
      <c r="EE602" s="341" t="s">
        <v>3150</v>
      </c>
      <c r="EF602" s="349" t="s">
        <v>3151</v>
      </c>
      <c r="EG602" s="341" t="s">
        <v>3808</v>
      </c>
      <c r="EH602" s="341" t="s">
        <v>4917</v>
      </c>
      <c r="EI602" s="341" t="str">
        <f t="shared" si="80"/>
        <v>Choco_Jurado</v>
      </c>
    </row>
    <row r="603" spans="1:139" ht="51">
      <c r="A603" s="228">
        <v>40325</v>
      </c>
      <c r="B603" s="102" t="s">
        <v>965</v>
      </c>
      <c r="C603" s="102" t="s">
        <v>1028</v>
      </c>
      <c r="D603" s="206" t="s">
        <v>1878</v>
      </c>
      <c r="E603" s="320" t="s">
        <v>4002</v>
      </c>
      <c r="F603" s="320"/>
      <c r="G603" s="210"/>
      <c r="H603" s="71"/>
      <c r="I603" s="71"/>
      <c r="J603" s="71">
        <f>71*5</f>
        <v>355</v>
      </c>
      <c r="K603" s="71">
        <f>260-2-187</f>
        <v>71</v>
      </c>
      <c r="L603" s="1"/>
      <c r="M603" s="73">
        <f t="shared" si="74"/>
        <v>0</v>
      </c>
      <c r="N603" s="73">
        <f t="shared" si="75"/>
        <v>0</v>
      </c>
      <c r="O603" s="73">
        <f t="shared" si="76"/>
        <v>0</v>
      </c>
      <c r="P603" s="73">
        <f t="shared" si="77"/>
        <v>0</v>
      </c>
      <c r="Q603" s="73"/>
      <c r="R603" s="73">
        <v>0</v>
      </c>
      <c r="S603" s="75">
        <f t="shared" si="79"/>
        <v>0</v>
      </c>
      <c r="T603" s="77">
        <v>0</v>
      </c>
      <c r="U603" s="66">
        <v>40326</v>
      </c>
      <c r="V603" s="79"/>
      <c r="W603" s="66" t="s">
        <v>1585</v>
      </c>
      <c r="X603" s="24" t="s">
        <v>1586</v>
      </c>
      <c r="Y603" s="62"/>
      <c r="Z603" s="177" t="s">
        <v>894</v>
      </c>
      <c r="AA603" s="80" t="s">
        <v>1029</v>
      </c>
      <c r="AB603" s="3"/>
      <c r="AC603" s="4"/>
      <c r="AD603" s="5"/>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6"/>
      <c r="CE603" s="7"/>
      <c r="CF603" s="6"/>
      <c r="CG603" s="7"/>
      <c r="CH603" s="6"/>
      <c r="CI603" s="7"/>
      <c r="CJ603" s="8">
        <f t="shared" si="78"/>
        <v>0</v>
      </c>
      <c r="CK603" s="9"/>
      <c r="CL603" s="10"/>
      <c r="CM603" s="11"/>
      <c r="CN603" s="12"/>
      <c r="CO603" s="28"/>
      <c r="CP603" s="12"/>
      <c r="CQ603" s="9"/>
      <c r="CR603" s="10"/>
      <c r="CS603" s="68"/>
      <c r="EC603" s="344" t="str">
        <f t="shared" si="73"/>
        <v>NORTE DE SANTANDER_BUCARASICA</v>
      </c>
      <c r="ED603" s="341"/>
      <c r="EE603" s="341" t="s">
        <v>3150</v>
      </c>
      <c r="EF603" s="349" t="s">
        <v>3151</v>
      </c>
      <c r="EG603" s="341" t="s">
        <v>3809</v>
      </c>
      <c r="EH603" s="341" t="s">
        <v>4918</v>
      </c>
      <c r="EI603" s="341" t="str">
        <f t="shared" si="80"/>
        <v>Choco_Lloro</v>
      </c>
    </row>
    <row r="604" spans="1:139" ht="51">
      <c r="A604" s="228">
        <v>40325</v>
      </c>
      <c r="B604" s="102" t="s">
        <v>1998</v>
      </c>
      <c r="C604" s="102" t="s">
        <v>1083</v>
      </c>
      <c r="D604" s="206" t="s">
        <v>1878</v>
      </c>
      <c r="E604" s="320" t="s">
        <v>4070</v>
      </c>
      <c r="F604" s="320"/>
      <c r="G604" s="265"/>
      <c r="H604" s="71"/>
      <c r="I604" s="71"/>
      <c r="J604" s="71">
        <v>11</v>
      </c>
      <c r="K604" s="71">
        <v>3</v>
      </c>
      <c r="L604" s="1"/>
      <c r="M604" s="73">
        <f t="shared" si="74"/>
        <v>0</v>
      </c>
      <c r="N604" s="73">
        <f t="shared" si="75"/>
        <v>0</v>
      </c>
      <c r="O604" s="73">
        <f t="shared" si="76"/>
        <v>0</v>
      </c>
      <c r="P604" s="73">
        <f t="shared" si="77"/>
        <v>0</v>
      </c>
      <c r="Q604" s="73"/>
      <c r="R604" s="73">
        <v>0</v>
      </c>
      <c r="S604" s="75">
        <f t="shared" si="79"/>
        <v>0</v>
      </c>
      <c r="T604" s="77">
        <v>0</v>
      </c>
      <c r="U604" s="66">
        <v>40331</v>
      </c>
      <c r="V604" s="79">
        <v>38854</v>
      </c>
      <c r="W604" s="66" t="s">
        <v>1606</v>
      </c>
      <c r="X604" s="24" t="s">
        <v>1607</v>
      </c>
      <c r="Y604" s="62"/>
      <c r="Z604" s="198" t="s">
        <v>822</v>
      </c>
      <c r="AA604" s="80" t="s">
        <v>843</v>
      </c>
      <c r="AB604" s="3"/>
      <c r="AC604" s="4"/>
      <c r="AD604" s="5"/>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6"/>
      <c r="CE604" s="7"/>
      <c r="CF604" s="6"/>
      <c r="CG604" s="7"/>
      <c r="CH604" s="6"/>
      <c r="CI604" s="7"/>
      <c r="CJ604" s="8">
        <f t="shared" si="78"/>
        <v>0</v>
      </c>
      <c r="CK604" s="9"/>
      <c r="CL604" s="10"/>
      <c r="CM604" s="11"/>
      <c r="CN604" s="12"/>
      <c r="CO604" s="28"/>
      <c r="CP604" s="12"/>
      <c r="CQ604" s="9"/>
      <c r="CR604" s="10"/>
      <c r="CS604" s="68"/>
      <c r="EC604" s="344" t="str">
        <f t="shared" si="73"/>
        <v>SANTANDER_BARRANCABERMEJA</v>
      </c>
      <c r="ED604" s="341"/>
      <c r="EE604" s="341" t="s">
        <v>3150</v>
      </c>
      <c r="EF604" s="349" t="s">
        <v>3151</v>
      </c>
      <c r="EG604" s="341" t="s">
        <v>3810</v>
      </c>
      <c r="EH604" s="341" t="s">
        <v>4919</v>
      </c>
      <c r="EI604" s="341" t="str">
        <f t="shared" si="80"/>
        <v>Choco_Medio Atrato</v>
      </c>
    </row>
    <row r="605" spans="1:139" ht="38.25">
      <c r="A605" s="228">
        <v>40325</v>
      </c>
      <c r="B605" s="102" t="s">
        <v>1998</v>
      </c>
      <c r="C605" s="102" t="s">
        <v>1011</v>
      </c>
      <c r="D605" s="206" t="s">
        <v>1201</v>
      </c>
      <c r="E605" s="320" t="s">
        <v>4064</v>
      </c>
      <c r="F605" s="320"/>
      <c r="G605" s="265"/>
      <c r="H605" s="71"/>
      <c r="I605" s="71"/>
      <c r="J605" s="71">
        <f>1145*5</f>
        <v>5725</v>
      </c>
      <c r="K605" s="71">
        <f>1200-55</f>
        <v>1145</v>
      </c>
      <c r="L605" s="1"/>
      <c r="M605" s="73">
        <f t="shared" si="74"/>
        <v>0</v>
      </c>
      <c r="N605" s="73">
        <f t="shared" si="75"/>
        <v>0</v>
      </c>
      <c r="O605" s="73">
        <f t="shared" si="76"/>
        <v>0</v>
      </c>
      <c r="P605" s="73">
        <f t="shared" si="77"/>
        <v>0</v>
      </c>
      <c r="Q605" s="73"/>
      <c r="R605" s="73">
        <v>0</v>
      </c>
      <c r="S605" s="75">
        <f t="shared" si="79"/>
        <v>0</v>
      </c>
      <c r="T605" s="77">
        <v>0</v>
      </c>
      <c r="U605" s="66">
        <v>40326</v>
      </c>
      <c r="V605" s="79">
        <v>38584</v>
      </c>
      <c r="W605" s="66" t="s">
        <v>1606</v>
      </c>
      <c r="X605" s="24" t="s">
        <v>1607</v>
      </c>
      <c r="Y605" s="62"/>
      <c r="Z605" s="198" t="s">
        <v>822</v>
      </c>
      <c r="AA605" s="80" t="s">
        <v>1756</v>
      </c>
      <c r="AB605" s="3"/>
      <c r="AC605" s="4"/>
      <c r="AD605" s="5"/>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6"/>
      <c r="CE605" s="7"/>
      <c r="CF605" s="6"/>
      <c r="CG605" s="7"/>
      <c r="CH605" s="6"/>
      <c r="CI605" s="7"/>
      <c r="CJ605" s="8">
        <f t="shared" si="78"/>
        <v>0</v>
      </c>
      <c r="CK605" s="9"/>
      <c r="CL605" s="10"/>
      <c r="CM605" s="11"/>
      <c r="CN605" s="12"/>
      <c r="CO605" s="28"/>
      <c r="CP605" s="12"/>
      <c r="CQ605" s="9"/>
      <c r="CR605" s="10"/>
      <c r="CS605" s="68"/>
      <c r="EC605" s="344" t="str">
        <f t="shared" si="73"/>
        <v>SANTANDER_BUCARAMANGA</v>
      </c>
      <c r="ED605" s="341"/>
      <c r="EE605" s="341" t="s">
        <v>3150</v>
      </c>
      <c r="EF605" s="349" t="s">
        <v>3151</v>
      </c>
      <c r="EG605" s="341" t="s">
        <v>3811</v>
      </c>
      <c r="EH605" s="341" t="s">
        <v>4920</v>
      </c>
      <c r="EI605" s="341" t="str">
        <f t="shared" si="80"/>
        <v>Choco_Medio Baudo</v>
      </c>
    </row>
    <row r="606" spans="1:139" ht="25.5">
      <c r="A606" s="228">
        <v>40326</v>
      </c>
      <c r="B606" s="102" t="s">
        <v>2400</v>
      </c>
      <c r="C606" s="102" t="s">
        <v>630</v>
      </c>
      <c r="D606" s="206" t="s">
        <v>1201</v>
      </c>
      <c r="E606" s="320" t="s">
        <v>4196</v>
      </c>
      <c r="F606" s="320"/>
      <c r="G606" s="210"/>
      <c r="H606" s="71"/>
      <c r="I606" s="71"/>
      <c r="J606" s="71">
        <v>550</v>
      </c>
      <c r="K606" s="71">
        <v>110</v>
      </c>
      <c r="L606" s="1"/>
      <c r="M606" s="73">
        <f t="shared" si="74"/>
        <v>0</v>
      </c>
      <c r="N606" s="73">
        <f t="shared" si="75"/>
        <v>0</v>
      </c>
      <c r="O606" s="73">
        <f t="shared" si="76"/>
        <v>0</v>
      </c>
      <c r="P606" s="73">
        <f t="shared" si="77"/>
        <v>0</v>
      </c>
      <c r="Q606" s="73"/>
      <c r="R606" s="73">
        <v>0</v>
      </c>
      <c r="S606" s="75">
        <f t="shared" si="79"/>
        <v>0</v>
      </c>
      <c r="T606" s="77">
        <v>0</v>
      </c>
      <c r="U606" s="66">
        <v>40331</v>
      </c>
      <c r="V606" s="79"/>
      <c r="W606" s="66" t="s">
        <v>1585</v>
      </c>
      <c r="X606" s="24" t="s">
        <v>1586</v>
      </c>
      <c r="Y606" s="62"/>
      <c r="Z606" s="177" t="s">
        <v>894</v>
      </c>
      <c r="AA606" s="80" t="s">
        <v>1084</v>
      </c>
      <c r="AB606" s="3"/>
      <c r="AC606" s="4"/>
      <c r="AD606" s="5"/>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6"/>
      <c r="CE606" s="7"/>
      <c r="CF606" s="6"/>
      <c r="CG606" s="7"/>
      <c r="CH606" s="6"/>
      <c r="CI606" s="7"/>
      <c r="CJ606" s="8">
        <f t="shared" si="78"/>
        <v>0</v>
      </c>
      <c r="CK606" s="9"/>
      <c r="CL606" s="10"/>
      <c r="CM606" s="11"/>
      <c r="CN606" s="12"/>
      <c r="CO606" s="28"/>
      <c r="CP606" s="12"/>
      <c r="CQ606" s="9"/>
      <c r="CR606" s="10"/>
      <c r="CS606" s="68"/>
      <c r="EC606" s="344" t="str">
        <f t="shared" si="73"/>
        <v>TOLIMA_GUAMO</v>
      </c>
      <c r="ED606" s="341"/>
      <c r="EE606" s="341" t="s">
        <v>3150</v>
      </c>
      <c r="EF606" s="349" t="s">
        <v>3151</v>
      </c>
      <c r="EG606" s="341" t="s">
        <v>3812</v>
      </c>
      <c r="EH606" s="341" t="s">
        <v>4921</v>
      </c>
      <c r="EI606" s="341" t="str">
        <f t="shared" si="80"/>
        <v>Choco_Medio San Juan</v>
      </c>
    </row>
    <row r="607" spans="1:139" ht="25.5">
      <c r="A607" s="228">
        <v>40326</v>
      </c>
      <c r="B607" s="102" t="s">
        <v>2400</v>
      </c>
      <c r="C607" s="102" t="s">
        <v>1025</v>
      </c>
      <c r="D607" s="206" t="s">
        <v>1201</v>
      </c>
      <c r="E607" s="320" t="s">
        <v>4198</v>
      </c>
      <c r="F607" s="320"/>
      <c r="G607" s="210"/>
      <c r="H607" s="71"/>
      <c r="I607" s="71"/>
      <c r="J607" s="71"/>
      <c r="K607" s="71"/>
      <c r="L607" s="1"/>
      <c r="M607" s="73">
        <f t="shared" si="74"/>
        <v>0</v>
      </c>
      <c r="N607" s="73">
        <f t="shared" si="75"/>
        <v>0</v>
      </c>
      <c r="O607" s="73">
        <f t="shared" si="76"/>
        <v>0</v>
      </c>
      <c r="P607" s="73">
        <f t="shared" si="77"/>
        <v>0</v>
      </c>
      <c r="Q607" s="73"/>
      <c r="R607" s="73">
        <v>0</v>
      </c>
      <c r="S607" s="75">
        <f t="shared" si="79"/>
        <v>0</v>
      </c>
      <c r="T607" s="77">
        <v>0</v>
      </c>
      <c r="U607" s="66">
        <v>40326</v>
      </c>
      <c r="V607" s="79"/>
      <c r="W607" s="66" t="s">
        <v>1585</v>
      </c>
      <c r="X607" s="24" t="s">
        <v>1586</v>
      </c>
      <c r="Y607" s="62"/>
      <c r="Z607" s="177" t="s">
        <v>894</v>
      </c>
      <c r="AA607" s="80" t="s">
        <v>1026</v>
      </c>
      <c r="AB607" s="3"/>
      <c r="AC607" s="4"/>
      <c r="AD607" s="5"/>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6"/>
      <c r="CE607" s="7"/>
      <c r="CF607" s="6"/>
      <c r="CG607" s="7"/>
      <c r="CH607" s="6"/>
      <c r="CI607" s="7"/>
      <c r="CJ607" s="8">
        <f t="shared" si="78"/>
        <v>0</v>
      </c>
      <c r="CK607" s="9"/>
      <c r="CL607" s="10"/>
      <c r="CM607" s="11"/>
      <c r="CN607" s="12"/>
      <c r="CO607" s="28"/>
      <c r="CP607" s="12"/>
      <c r="CQ607" s="9"/>
      <c r="CR607" s="10"/>
      <c r="CS607" s="68"/>
      <c r="EC607" s="344" t="str">
        <f t="shared" si="73"/>
        <v>TOLIMA_HONDA</v>
      </c>
      <c r="ED607" s="341"/>
      <c r="EE607" s="341" t="s">
        <v>3150</v>
      </c>
      <c r="EF607" s="349" t="s">
        <v>3151</v>
      </c>
      <c r="EG607" s="341" t="s">
        <v>3813</v>
      </c>
      <c r="EH607" s="341" t="s">
        <v>4922</v>
      </c>
      <c r="EI607" s="341" t="str">
        <f t="shared" si="80"/>
        <v>Choco_Novita</v>
      </c>
    </row>
    <row r="608" spans="1:139" ht="38.25">
      <c r="A608" s="228">
        <v>40326.982638888891</v>
      </c>
      <c r="B608" s="205" t="s">
        <v>2298</v>
      </c>
      <c r="C608" s="205" t="s">
        <v>1610</v>
      </c>
      <c r="D608" s="207" t="s">
        <v>1878</v>
      </c>
      <c r="E608" s="323"/>
      <c r="F608" s="323"/>
      <c r="G608" s="204"/>
      <c r="H608" s="151"/>
      <c r="I608" s="151"/>
      <c r="J608" s="151">
        <v>88</v>
      </c>
      <c r="K608" s="409">
        <v>22</v>
      </c>
      <c r="L608" s="1"/>
      <c r="M608" s="73">
        <f t="shared" si="74"/>
        <v>0</v>
      </c>
      <c r="N608" s="73">
        <f t="shared" si="75"/>
        <v>0</v>
      </c>
      <c r="O608" s="73">
        <f t="shared" si="76"/>
        <v>0</v>
      </c>
      <c r="P608" s="73">
        <f t="shared" si="77"/>
        <v>0</v>
      </c>
      <c r="Q608" s="73"/>
      <c r="R608" s="73">
        <v>0</v>
      </c>
      <c r="S608" s="75">
        <f t="shared" si="79"/>
        <v>0</v>
      </c>
      <c r="T608" s="77">
        <v>0</v>
      </c>
      <c r="U608" s="296">
        <v>40624</v>
      </c>
      <c r="V608" s="297"/>
      <c r="W608" s="296" t="s">
        <v>1585</v>
      </c>
      <c r="X608" s="298" t="s">
        <v>1586</v>
      </c>
      <c r="Y608" s="299"/>
      <c r="Z608" s="300" t="s">
        <v>894</v>
      </c>
      <c r="AA608" s="414" t="s">
        <v>5411</v>
      </c>
      <c r="AB608" s="152"/>
      <c r="AC608" s="153"/>
      <c r="AD608" s="154"/>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c r="BI608" s="153"/>
      <c r="BJ608" s="153"/>
      <c r="BK608" s="153"/>
      <c r="BL608" s="153"/>
      <c r="BM608" s="153"/>
      <c r="BN608" s="153"/>
      <c r="BO608" s="153"/>
      <c r="BP608" s="153"/>
      <c r="BQ608" s="153"/>
      <c r="BR608" s="153"/>
      <c r="BS608" s="153"/>
      <c r="BT608" s="153"/>
      <c r="BU608" s="153"/>
      <c r="BV608" s="153"/>
      <c r="BW608" s="153"/>
      <c r="BX608" s="153"/>
      <c r="BY608" s="153"/>
      <c r="BZ608" s="153"/>
      <c r="CA608" s="153"/>
      <c r="CB608" s="153"/>
      <c r="CC608" s="153"/>
      <c r="CD608" s="155"/>
      <c r="CE608" s="156"/>
      <c r="CF608" s="155"/>
      <c r="CG608" s="156"/>
      <c r="CH608" s="155"/>
      <c r="CI608" s="156"/>
      <c r="CJ608" s="157">
        <f t="shared" si="78"/>
        <v>0</v>
      </c>
      <c r="CK608" s="158"/>
      <c r="CL608" s="159"/>
      <c r="CM608" s="160"/>
      <c r="CN608" s="161"/>
      <c r="CO608" s="162"/>
      <c r="CP608" s="161"/>
      <c r="CQ608" s="158"/>
      <c r="CR608" s="159"/>
      <c r="CS608" s="68"/>
      <c r="CT608" s="163"/>
      <c r="EC608" s="344" t="str">
        <f t="shared" si="73"/>
        <v>BOGOTA D.C._BOGOTA</v>
      </c>
      <c r="ED608" s="341"/>
      <c r="EE608" s="341" t="s">
        <v>3150</v>
      </c>
      <c r="EF608" s="349" t="s">
        <v>3151</v>
      </c>
      <c r="EG608" s="341" t="s">
        <v>3814</v>
      </c>
      <c r="EH608" s="341" t="s">
        <v>4923</v>
      </c>
      <c r="EI608" s="341" t="str">
        <f t="shared" si="80"/>
        <v>Choco_Nuqui</v>
      </c>
    </row>
    <row r="609" spans="1:139" ht="25.5">
      <c r="A609" s="235">
        <v>40327</v>
      </c>
      <c r="B609" s="224" t="s">
        <v>1972</v>
      </c>
      <c r="C609" s="224" t="s">
        <v>1631</v>
      </c>
      <c r="D609" s="236" t="s">
        <v>1201</v>
      </c>
      <c r="E609" s="324" t="s">
        <v>3232</v>
      </c>
      <c r="F609" s="324"/>
      <c r="G609" s="210"/>
      <c r="H609" s="71"/>
      <c r="I609" s="71"/>
      <c r="J609" s="71">
        <v>132</v>
      </c>
      <c r="K609" s="107">
        <v>29</v>
      </c>
      <c r="L609" s="1"/>
      <c r="M609" s="73">
        <f t="shared" si="74"/>
        <v>0</v>
      </c>
      <c r="N609" s="73">
        <f t="shared" si="75"/>
        <v>0</v>
      </c>
      <c r="O609" s="73">
        <f t="shared" si="76"/>
        <v>0</v>
      </c>
      <c r="P609" s="73">
        <f t="shared" si="77"/>
        <v>0</v>
      </c>
      <c r="Q609" s="73"/>
      <c r="R609" s="73">
        <v>0</v>
      </c>
      <c r="S609" s="75">
        <f t="shared" si="79"/>
        <v>0</v>
      </c>
      <c r="T609" s="77">
        <v>0</v>
      </c>
      <c r="U609" s="66">
        <v>40329</v>
      </c>
      <c r="V609" s="79"/>
      <c r="W609" s="66" t="s">
        <v>1585</v>
      </c>
      <c r="X609" s="24" t="s">
        <v>1586</v>
      </c>
      <c r="Y609" s="62"/>
      <c r="Z609" s="177" t="s">
        <v>894</v>
      </c>
      <c r="AA609" s="80" t="s">
        <v>1632</v>
      </c>
      <c r="AB609" s="3"/>
      <c r="AC609" s="4"/>
      <c r="AD609" s="5"/>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6"/>
      <c r="CE609" s="7"/>
      <c r="CF609" s="6"/>
      <c r="CG609" s="7"/>
      <c r="CH609" s="6"/>
      <c r="CI609" s="7"/>
      <c r="CJ609" s="8">
        <f t="shared" si="78"/>
        <v>0</v>
      </c>
      <c r="CK609" s="9"/>
      <c r="CL609" s="10"/>
      <c r="CM609" s="11"/>
      <c r="CN609" s="12"/>
      <c r="CO609" s="28"/>
      <c r="CP609" s="12"/>
      <c r="CQ609" s="9"/>
      <c r="CR609" s="10"/>
      <c r="CS609" s="68"/>
      <c r="EC609" s="344" t="str">
        <f t="shared" si="73"/>
        <v>ANTIOQUIA_AMALFI</v>
      </c>
      <c r="ED609" s="341"/>
      <c r="EE609" s="341" t="s">
        <v>3150</v>
      </c>
      <c r="EF609" s="349" t="s">
        <v>3151</v>
      </c>
      <c r="EG609" s="341" t="s">
        <v>3815</v>
      </c>
      <c r="EH609" s="341" t="s">
        <v>4924</v>
      </c>
      <c r="EI609" s="341" t="str">
        <f t="shared" si="80"/>
        <v>Choco_Rio Iro</v>
      </c>
    </row>
    <row r="610" spans="1:139" ht="25.5">
      <c r="A610" s="235">
        <v>40327</v>
      </c>
      <c r="B610" s="224" t="s">
        <v>1972</v>
      </c>
      <c r="C610" s="224" t="s">
        <v>1633</v>
      </c>
      <c r="D610" s="236" t="s">
        <v>1201</v>
      </c>
      <c r="E610" s="324" t="s">
        <v>3236</v>
      </c>
      <c r="F610" s="324"/>
      <c r="G610" s="210"/>
      <c r="H610" s="71"/>
      <c r="I610" s="71"/>
      <c r="J610" s="71">
        <v>50</v>
      </c>
      <c r="K610" s="71">
        <v>10</v>
      </c>
      <c r="L610" s="1"/>
      <c r="M610" s="73">
        <f t="shared" si="74"/>
        <v>0</v>
      </c>
      <c r="N610" s="73">
        <f t="shared" si="75"/>
        <v>0</v>
      </c>
      <c r="O610" s="73">
        <f t="shared" si="76"/>
        <v>0</v>
      </c>
      <c r="P610" s="73">
        <f t="shared" si="77"/>
        <v>0</v>
      </c>
      <c r="Q610" s="73"/>
      <c r="R610" s="73">
        <v>0</v>
      </c>
      <c r="S610" s="75">
        <f t="shared" si="79"/>
        <v>0</v>
      </c>
      <c r="T610" s="77">
        <v>0</v>
      </c>
      <c r="U610" s="66">
        <v>40329</v>
      </c>
      <c r="V610" s="79"/>
      <c r="W610" s="66" t="s">
        <v>1585</v>
      </c>
      <c r="X610" s="24" t="s">
        <v>1586</v>
      </c>
      <c r="Y610" s="62"/>
      <c r="Z610" s="177" t="s">
        <v>894</v>
      </c>
      <c r="AA610" s="80" t="s">
        <v>1634</v>
      </c>
      <c r="AB610" s="3"/>
      <c r="AC610" s="4"/>
      <c r="AD610" s="5"/>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6"/>
      <c r="CE610" s="7"/>
      <c r="CF610" s="6"/>
      <c r="CG610" s="7"/>
      <c r="CH610" s="6"/>
      <c r="CI610" s="7"/>
      <c r="CJ610" s="8">
        <f t="shared" si="78"/>
        <v>0</v>
      </c>
      <c r="CK610" s="9"/>
      <c r="CL610" s="10"/>
      <c r="CM610" s="11"/>
      <c r="CN610" s="12"/>
      <c r="CO610" s="28"/>
      <c r="CP610" s="12"/>
      <c r="CQ610" s="9"/>
      <c r="CR610" s="10"/>
      <c r="CS610" s="68"/>
      <c r="EC610" s="344" t="str">
        <f t="shared" si="73"/>
        <v>ANTIOQUIA_ANORI</v>
      </c>
      <c r="ED610" s="341"/>
      <c r="EE610" s="341" t="s">
        <v>3150</v>
      </c>
      <c r="EF610" s="349" t="s">
        <v>3151</v>
      </c>
      <c r="EG610" s="341" t="s">
        <v>3816</v>
      </c>
      <c r="EH610" s="341" t="s">
        <v>4925</v>
      </c>
      <c r="EI610" s="341" t="str">
        <f t="shared" si="80"/>
        <v>Choco_Rio Quito</v>
      </c>
    </row>
    <row r="611" spans="1:139" ht="51">
      <c r="A611" s="235">
        <v>40327</v>
      </c>
      <c r="B611" s="224" t="s">
        <v>1972</v>
      </c>
      <c r="C611" s="224" t="s">
        <v>3109</v>
      </c>
      <c r="D611" s="236" t="s">
        <v>1201</v>
      </c>
      <c r="E611" s="324" t="s">
        <v>3330</v>
      </c>
      <c r="F611" s="324"/>
      <c r="G611" s="210"/>
      <c r="H611" s="71"/>
      <c r="I611" s="71"/>
      <c r="J611" s="71"/>
      <c r="K611" s="71"/>
      <c r="L611" s="1"/>
      <c r="M611" s="73">
        <f t="shared" si="74"/>
        <v>0</v>
      </c>
      <c r="N611" s="73">
        <f t="shared" si="75"/>
        <v>0</v>
      </c>
      <c r="O611" s="73">
        <f t="shared" si="76"/>
        <v>0</v>
      </c>
      <c r="P611" s="73">
        <f t="shared" si="77"/>
        <v>0</v>
      </c>
      <c r="Q611" s="73"/>
      <c r="R611" s="73">
        <v>0</v>
      </c>
      <c r="S611" s="75">
        <f t="shared" si="79"/>
        <v>0</v>
      </c>
      <c r="T611" s="77">
        <v>0</v>
      </c>
      <c r="U611" s="66">
        <v>40329</v>
      </c>
      <c r="V611" s="79"/>
      <c r="W611" s="66" t="s">
        <v>1585</v>
      </c>
      <c r="X611" s="24" t="s">
        <v>1586</v>
      </c>
      <c r="Y611" s="62"/>
      <c r="Z611" s="177" t="s">
        <v>894</v>
      </c>
      <c r="AA611" s="80" t="s">
        <v>1635</v>
      </c>
      <c r="AB611" s="3"/>
      <c r="AC611" s="4"/>
      <c r="AD611" s="5"/>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6"/>
      <c r="CE611" s="7"/>
      <c r="CF611" s="6"/>
      <c r="CG611" s="7"/>
      <c r="CH611" s="6"/>
      <c r="CI611" s="7"/>
      <c r="CJ611" s="8">
        <f t="shared" si="78"/>
        <v>0</v>
      </c>
      <c r="CK611" s="9"/>
      <c r="CL611" s="10"/>
      <c r="CM611" s="11"/>
      <c r="CN611" s="12"/>
      <c r="CO611" s="28"/>
      <c r="CP611" s="12"/>
      <c r="CQ611" s="9"/>
      <c r="CR611" s="10"/>
      <c r="CS611" s="68"/>
      <c r="EC611" s="344" t="str">
        <f t="shared" si="73"/>
        <v>ANTIOQUIA_EL SANTUARIO</v>
      </c>
      <c r="ED611" s="341"/>
      <c r="EE611" s="341" t="s">
        <v>3150</v>
      </c>
      <c r="EF611" s="349" t="s">
        <v>3151</v>
      </c>
      <c r="EG611" s="341" t="s">
        <v>3817</v>
      </c>
      <c r="EH611" s="341" t="s">
        <v>4700</v>
      </c>
      <c r="EI611" s="341" t="str">
        <f t="shared" si="80"/>
        <v>Choco_Riosucio</v>
      </c>
    </row>
    <row r="612" spans="1:139" ht="38.25">
      <c r="A612" s="228">
        <v>40327</v>
      </c>
      <c r="B612" s="102" t="s">
        <v>4321</v>
      </c>
      <c r="C612" s="102" t="s">
        <v>961</v>
      </c>
      <c r="D612" s="206" t="s">
        <v>1201</v>
      </c>
      <c r="E612" s="320" t="s">
        <v>3872</v>
      </c>
      <c r="F612" s="320"/>
      <c r="G612" s="210">
        <v>3</v>
      </c>
      <c r="H612" s="71"/>
      <c r="I612" s="71">
        <v>2</v>
      </c>
      <c r="J612" s="71"/>
      <c r="K612" s="71"/>
      <c r="L612" s="1"/>
      <c r="M612" s="73">
        <f t="shared" si="74"/>
        <v>0</v>
      </c>
      <c r="N612" s="73">
        <f t="shared" si="75"/>
        <v>0</v>
      </c>
      <c r="O612" s="73">
        <f t="shared" si="76"/>
        <v>0</v>
      </c>
      <c r="P612" s="73">
        <f t="shared" si="77"/>
        <v>0</v>
      </c>
      <c r="Q612" s="73"/>
      <c r="R612" s="73">
        <v>0</v>
      </c>
      <c r="S612" s="75">
        <f t="shared" si="79"/>
        <v>0</v>
      </c>
      <c r="T612" s="77">
        <v>0</v>
      </c>
      <c r="U612" s="66">
        <v>40329</v>
      </c>
      <c r="V612" s="79"/>
      <c r="W612" s="66" t="s">
        <v>1585</v>
      </c>
      <c r="X612" s="24" t="s">
        <v>1586</v>
      </c>
      <c r="Y612" s="62"/>
      <c r="Z612" s="177" t="s">
        <v>894</v>
      </c>
      <c r="AA612" s="80" t="s">
        <v>1628</v>
      </c>
      <c r="AB612" s="3"/>
      <c r="AC612" s="4"/>
      <c r="AD612" s="5"/>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6"/>
      <c r="CE612" s="7"/>
      <c r="CF612" s="6"/>
      <c r="CG612" s="7"/>
      <c r="CH612" s="6"/>
      <c r="CI612" s="7"/>
      <c r="CJ612" s="8">
        <f t="shared" si="78"/>
        <v>0</v>
      </c>
      <c r="CK612" s="9"/>
      <c r="CL612" s="10"/>
      <c r="CM612" s="11"/>
      <c r="CN612" s="12"/>
      <c r="CO612" s="28"/>
      <c r="CP612" s="12"/>
      <c r="CQ612" s="9"/>
      <c r="CR612" s="10"/>
      <c r="CS612" s="68"/>
      <c r="EC612" s="344" t="str">
        <f t="shared" si="73"/>
        <v>LA GUAJIRA_URIBIA</v>
      </c>
      <c r="ED612" s="341"/>
      <c r="EE612" s="341" t="s">
        <v>3150</v>
      </c>
      <c r="EF612" s="349" t="s">
        <v>3151</v>
      </c>
      <c r="EG612" s="341" t="s">
        <v>3818</v>
      </c>
      <c r="EH612" s="341" t="s">
        <v>4926</v>
      </c>
      <c r="EI612" s="341" t="str">
        <f t="shared" si="80"/>
        <v>Choco_San Jose del Palmar</v>
      </c>
    </row>
    <row r="613" spans="1:139" ht="25.5">
      <c r="A613" s="235">
        <v>40328</v>
      </c>
      <c r="B613" s="224" t="s">
        <v>1972</v>
      </c>
      <c r="C613" s="224" t="s">
        <v>1629</v>
      </c>
      <c r="D613" s="236" t="s">
        <v>1201</v>
      </c>
      <c r="E613" s="324" t="s">
        <v>3344</v>
      </c>
      <c r="F613" s="324"/>
      <c r="G613" s="210"/>
      <c r="H613" s="71"/>
      <c r="I613" s="71"/>
      <c r="J613" s="71">
        <v>400</v>
      </c>
      <c r="K613" s="71">
        <v>65</v>
      </c>
      <c r="L613" s="1"/>
      <c r="M613" s="73">
        <f t="shared" si="74"/>
        <v>0</v>
      </c>
      <c r="N613" s="73">
        <f t="shared" si="75"/>
        <v>0</v>
      </c>
      <c r="O613" s="73">
        <f t="shared" si="76"/>
        <v>0</v>
      </c>
      <c r="P613" s="73">
        <f t="shared" si="77"/>
        <v>0</v>
      </c>
      <c r="Q613" s="73"/>
      <c r="R613" s="73">
        <v>0</v>
      </c>
      <c r="S613" s="75">
        <f t="shared" si="79"/>
        <v>0</v>
      </c>
      <c r="T613" s="77">
        <v>0</v>
      </c>
      <c r="U613" s="66">
        <v>40329</v>
      </c>
      <c r="V613" s="79"/>
      <c r="W613" s="66" t="s">
        <v>1585</v>
      </c>
      <c r="X613" s="24" t="s">
        <v>1586</v>
      </c>
      <c r="Y613" s="62"/>
      <c r="Z613" s="177" t="s">
        <v>894</v>
      </c>
      <c r="AA613" s="80" t="s">
        <v>1630</v>
      </c>
      <c r="AB613" s="3"/>
      <c r="AC613" s="4"/>
      <c r="AD613" s="5"/>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6"/>
      <c r="CE613" s="7"/>
      <c r="CF613" s="6"/>
      <c r="CG613" s="7"/>
      <c r="CH613" s="6"/>
      <c r="CI613" s="7"/>
      <c r="CJ613" s="8">
        <f t="shared" si="78"/>
        <v>0</v>
      </c>
      <c r="CK613" s="9"/>
      <c r="CL613" s="10"/>
      <c r="CM613" s="11"/>
      <c r="CN613" s="12"/>
      <c r="CO613" s="28"/>
      <c r="CP613" s="12"/>
      <c r="CQ613" s="9"/>
      <c r="CR613" s="10"/>
      <c r="CS613" s="68"/>
      <c r="EC613" s="344" t="str">
        <f t="shared" si="73"/>
        <v>ANTIOQUIA_VEGACHI</v>
      </c>
      <c r="ED613" s="341"/>
      <c r="EE613" s="341" t="s">
        <v>3150</v>
      </c>
      <c r="EF613" s="349" t="s">
        <v>3151</v>
      </c>
      <c r="EG613" s="341" t="s">
        <v>3819</v>
      </c>
      <c r="EH613" s="341" t="s">
        <v>4927</v>
      </c>
      <c r="EI613" s="341" t="str">
        <f t="shared" si="80"/>
        <v>Choco_Sipi</v>
      </c>
    </row>
    <row r="614" spans="1:139" ht="25.5">
      <c r="A614" s="228">
        <v>40328</v>
      </c>
      <c r="B614" s="102" t="s">
        <v>1192</v>
      </c>
      <c r="C614" s="102" t="s">
        <v>1004</v>
      </c>
      <c r="D614" s="206" t="s">
        <v>1201</v>
      </c>
      <c r="E614" s="320" t="s">
        <v>3421</v>
      </c>
      <c r="F614" s="320"/>
      <c r="G614" s="210"/>
      <c r="H614" s="71"/>
      <c r="I614" s="71"/>
      <c r="J614" s="71">
        <v>85</v>
      </c>
      <c r="K614" s="71">
        <v>17</v>
      </c>
      <c r="L614" s="1"/>
      <c r="M614" s="73">
        <f t="shared" si="74"/>
        <v>0</v>
      </c>
      <c r="N614" s="73">
        <f t="shared" si="75"/>
        <v>0</v>
      </c>
      <c r="O614" s="73">
        <f t="shared" si="76"/>
        <v>0</v>
      </c>
      <c r="P614" s="73">
        <f t="shared" si="77"/>
        <v>0</v>
      </c>
      <c r="Q614" s="73"/>
      <c r="R614" s="73">
        <v>0</v>
      </c>
      <c r="S614" s="75">
        <f t="shared" si="79"/>
        <v>0</v>
      </c>
      <c r="T614" s="77">
        <v>0</v>
      </c>
      <c r="U614" s="66">
        <v>40329</v>
      </c>
      <c r="V614" s="79"/>
      <c r="W614" s="66" t="s">
        <v>1585</v>
      </c>
      <c r="X614" s="24" t="s">
        <v>1586</v>
      </c>
      <c r="Y614" s="62"/>
      <c r="Z614" s="177" t="s">
        <v>894</v>
      </c>
      <c r="AA614" s="80" t="s">
        <v>1637</v>
      </c>
      <c r="AB614" s="3"/>
      <c r="AC614" s="4"/>
      <c r="AD614" s="5"/>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6"/>
      <c r="CE614" s="7"/>
      <c r="CF614" s="6"/>
      <c r="CG614" s="7"/>
      <c r="CH614" s="6"/>
      <c r="CI614" s="7"/>
      <c r="CJ614" s="8">
        <f t="shared" si="78"/>
        <v>0</v>
      </c>
      <c r="CK614" s="9"/>
      <c r="CL614" s="10"/>
      <c r="CM614" s="11"/>
      <c r="CN614" s="12"/>
      <c r="CO614" s="28"/>
      <c r="CP614" s="12"/>
      <c r="CQ614" s="9"/>
      <c r="CR614" s="10"/>
      <c r="CS614" s="68"/>
      <c r="EC614" s="344" t="str">
        <f t="shared" si="73"/>
        <v>BOYACA_TUNJA</v>
      </c>
      <c r="ED614" s="341"/>
      <c r="EE614" s="341" t="s">
        <v>3150</v>
      </c>
      <c r="EF614" s="349" t="s">
        <v>3151</v>
      </c>
      <c r="EG614" s="341" t="s">
        <v>3820</v>
      </c>
      <c r="EH614" s="341" t="s">
        <v>4928</v>
      </c>
      <c r="EI614" s="341" t="str">
        <f t="shared" si="80"/>
        <v>Choco_Tado</v>
      </c>
    </row>
    <row r="615" spans="1:139" ht="36">
      <c r="A615" s="228">
        <v>40328</v>
      </c>
      <c r="B615" s="102" t="s">
        <v>2704</v>
      </c>
      <c r="C615" s="102" t="s">
        <v>1158</v>
      </c>
      <c r="D615" s="206" t="s">
        <v>1878</v>
      </c>
      <c r="E615" s="320" t="s">
        <v>3570</v>
      </c>
      <c r="F615" s="320"/>
      <c r="G615" s="210"/>
      <c r="H615" s="71"/>
      <c r="I615" s="71"/>
      <c r="J615" s="71">
        <f>20*5</f>
        <v>100</v>
      </c>
      <c r="K615" s="71">
        <v>20</v>
      </c>
      <c r="L615" s="1"/>
      <c r="M615" s="73">
        <f t="shared" si="74"/>
        <v>0</v>
      </c>
      <c r="N615" s="73">
        <f t="shared" si="75"/>
        <v>0</v>
      </c>
      <c r="O615" s="73">
        <f t="shared" si="76"/>
        <v>0</v>
      </c>
      <c r="P615" s="73">
        <f t="shared" si="77"/>
        <v>0</v>
      </c>
      <c r="Q615" s="73"/>
      <c r="R615" s="73">
        <v>0</v>
      </c>
      <c r="S615" s="75">
        <f t="shared" si="79"/>
        <v>0</v>
      </c>
      <c r="T615" s="77">
        <v>0</v>
      </c>
      <c r="U615" s="66">
        <v>40329</v>
      </c>
      <c r="V615" s="79"/>
      <c r="W615" s="66" t="s">
        <v>1585</v>
      </c>
      <c r="X615" s="24" t="s">
        <v>1586</v>
      </c>
      <c r="Y615" s="62"/>
      <c r="Z615" s="177" t="s">
        <v>894</v>
      </c>
      <c r="AA615" s="80" t="s">
        <v>1626</v>
      </c>
      <c r="AB615" s="3"/>
      <c r="AC615" s="4"/>
      <c r="AD615" s="5"/>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6"/>
      <c r="CE615" s="7"/>
      <c r="CF615" s="6"/>
      <c r="CG615" s="7"/>
      <c r="CH615" s="6"/>
      <c r="CI615" s="7"/>
      <c r="CJ615" s="8">
        <f t="shared" si="78"/>
        <v>0</v>
      </c>
      <c r="CK615" s="9"/>
      <c r="CL615" s="10"/>
      <c r="CM615" s="11"/>
      <c r="CN615" s="12"/>
      <c r="CO615" s="28"/>
      <c r="CP615" s="12"/>
      <c r="CQ615" s="9"/>
      <c r="CR615" s="10"/>
      <c r="CS615" s="68"/>
      <c r="EC615" s="344" t="str">
        <f t="shared" si="73"/>
        <v>CAQUETA_FLORENCIA</v>
      </c>
      <c r="ED615" s="341"/>
      <c r="EE615" s="341" t="s">
        <v>3150</v>
      </c>
      <c r="EF615" s="349" t="s">
        <v>3151</v>
      </c>
      <c r="EG615" s="341" t="s">
        <v>3821</v>
      </c>
      <c r="EH615" s="341" t="s">
        <v>4929</v>
      </c>
      <c r="EI615" s="341" t="str">
        <f t="shared" si="80"/>
        <v>Choco_Unguia</v>
      </c>
    </row>
    <row r="616" spans="1:139" ht="51">
      <c r="A616" s="228">
        <v>40328</v>
      </c>
      <c r="B616" s="102" t="s">
        <v>1604</v>
      </c>
      <c r="C616" s="102" t="s">
        <v>594</v>
      </c>
      <c r="D616" s="206" t="s">
        <v>1201</v>
      </c>
      <c r="E616" s="320" t="s">
        <v>3725</v>
      </c>
      <c r="F616" s="320"/>
      <c r="G616" s="210"/>
      <c r="H616" s="71"/>
      <c r="I616" s="71"/>
      <c r="J616" s="71">
        <f>484-70-5-36</f>
        <v>373</v>
      </c>
      <c r="K616" s="71">
        <f>15+108</f>
        <v>123</v>
      </c>
      <c r="L616" s="1"/>
      <c r="M616" s="73">
        <f t="shared" si="74"/>
        <v>0</v>
      </c>
      <c r="N616" s="73">
        <f t="shared" si="75"/>
        <v>0</v>
      </c>
      <c r="O616" s="73">
        <f t="shared" si="76"/>
        <v>0</v>
      </c>
      <c r="P616" s="73">
        <f t="shared" si="77"/>
        <v>0</v>
      </c>
      <c r="Q616" s="73"/>
      <c r="R616" s="73">
        <v>0</v>
      </c>
      <c r="S616" s="75">
        <f t="shared" si="79"/>
        <v>0</v>
      </c>
      <c r="T616" s="77">
        <v>0</v>
      </c>
      <c r="U616" s="66">
        <v>40329</v>
      </c>
      <c r="V616" s="79"/>
      <c r="W616" s="66" t="s">
        <v>1585</v>
      </c>
      <c r="X616" s="24" t="s">
        <v>1586</v>
      </c>
      <c r="Y616" s="62"/>
      <c r="Z616" s="177" t="s">
        <v>894</v>
      </c>
      <c r="AA616" s="80" t="s">
        <v>1627</v>
      </c>
      <c r="AB616" s="3"/>
      <c r="AC616" s="4"/>
      <c r="AD616" s="5"/>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6"/>
      <c r="CE616" s="7"/>
      <c r="CF616" s="6"/>
      <c r="CG616" s="7"/>
      <c r="CH616" s="6"/>
      <c r="CI616" s="7"/>
      <c r="CJ616" s="8">
        <f t="shared" si="78"/>
        <v>0</v>
      </c>
      <c r="CK616" s="9"/>
      <c r="CL616" s="10"/>
      <c r="CM616" s="11"/>
      <c r="CN616" s="12"/>
      <c r="CO616" s="28"/>
      <c r="CP616" s="12"/>
      <c r="CQ616" s="9"/>
      <c r="CR616" s="10"/>
      <c r="CS616" s="68"/>
      <c r="EC616" s="344" t="str">
        <f t="shared" si="73"/>
        <v>CUNDINAMARCA_LA CALERA</v>
      </c>
      <c r="ED616" s="341"/>
      <c r="EE616" s="341" t="s">
        <v>3150</v>
      </c>
      <c r="EF616" s="349" t="s">
        <v>3151</v>
      </c>
      <c r="EG616" s="341" t="s">
        <v>3822</v>
      </c>
      <c r="EH616" s="341" t="s">
        <v>4930</v>
      </c>
      <c r="EI616" s="341" t="str">
        <f t="shared" si="80"/>
        <v>Choco_Union Panamericana</v>
      </c>
    </row>
    <row r="617" spans="1:139" ht="51">
      <c r="A617" s="228">
        <v>40328</v>
      </c>
      <c r="B617" s="102" t="s">
        <v>1604</v>
      </c>
      <c r="C617" s="102" t="s">
        <v>951</v>
      </c>
      <c r="D617" s="206" t="s">
        <v>1201</v>
      </c>
      <c r="E617" s="320" t="s">
        <v>3747</v>
      </c>
      <c r="F617" s="320"/>
      <c r="G617" s="210"/>
      <c r="H617" s="71"/>
      <c r="I617" s="71"/>
      <c r="J617" s="71">
        <v>10</v>
      </c>
      <c r="K617" s="71">
        <v>2</v>
      </c>
      <c r="L617" s="1"/>
      <c r="M617" s="73">
        <f t="shared" si="74"/>
        <v>0</v>
      </c>
      <c r="N617" s="73">
        <f t="shared" si="75"/>
        <v>0</v>
      </c>
      <c r="O617" s="73">
        <f t="shared" si="76"/>
        <v>0</v>
      </c>
      <c r="P617" s="73">
        <f t="shared" si="77"/>
        <v>0</v>
      </c>
      <c r="Q617" s="73"/>
      <c r="R617" s="73">
        <v>0</v>
      </c>
      <c r="S617" s="75">
        <f t="shared" si="79"/>
        <v>0</v>
      </c>
      <c r="T617" s="77">
        <v>0</v>
      </c>
      <c r="U617" s="66">
        <v>40329</v>
      </c>
      <c r="V617" s="79"/>
      <c r="W617" s="66" t="s">
        <v>1585</v>
      </c>
      <c r="X617" s="24" t="s">
        <v>1586</v>
      </c>
      <c r="Y617" s="62"/>
      <c r="Z617" s="177" t="s">
        <v>894</v>
      </c>
      <c r="AA617" s="80" t="s">
        <v>1638</v>
      </c>
      <c r="AB617" s="3"/>
      <c r="AC617" s="4"/>
      <c r="AD617" s="5"/>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6"/>
      <c r="CE617" s="7"/>
      <c r="CF617" s="6"/>
      <c r="CG617" s="7"/>
      <c r="CH617" s="6"/>
      <c r="CI617" s="7"/>
      <c r="CJ617" s="8">
        <f t="shared" si="78"/>
        <v>0</v>
      </c>
      <c r="CK617" s="9"/>
      <c r="CL617" s="10"/>
      <c r="CM617" s="11"/>
      <c r="CN617" s="12"/>
      <c r="CO617" s="28"/>
      <c r="CP617" s="12"/>
      <c r="CQ617" s="9"/>
      <c r="CR617" s="10"/>
      <c r="CS617" s="68"/>
      <c r="EC617" s="344" t="str">
        <f t="shared" si="73"/>
        <v>CUNDINAMARCA_PUERTO SALGAR</v>
      </c>
      <c r="ED617" s="341"/>
      <c r="EE617" s="341" t="s">
        <v>3156</v>
      </c>
      <c r="EF617" s="349" t="s">
        <v>4931</v>
      </c>
      <c r="EG617" s="341" t="s">
        <v>3823</v>
      </c>
      <c r="EH617" s="341" t="s">
        <v>4932</v>
      </c>
      <c r="EI617" s="341" t="str">
        <f t="shared" si="80"/>
        <v>Huila_Neiva</v>
      </c>
    </row>
    <row r="618" spans="1:139" ht="25.5">
      <c r="A618" s="228">
        <v>40328</v>
      </c>
      <c r="B618" s="102" t="s">
        <v>1609</v>
      </c>
      <c r="C618" s="102" t="s">
        <v>2596</v>
      </c>
      <c r="D618" s="206" t="s">
        <v>2606</v>
      </c>
      <c r="E618" s="320" t="s">
        <v>4056</v>
      </c>
      <c r="F618" s="320"/>
      <c r="G618" s="210"/>
      <c r="H618" s="71"/>
      <c r="I618" s="71"/>
      <c r="J618" s="71">
        <v>15</v>
      </c>
      <c r="K618" s="71">
        <v>3</v>
      </c>
      <c r="L618" s="1"/>
      <c r="M618" s="73">
        <f t="shared" si="74"/>
        <v>0</v>
      </c>
      <c r="N618" s="73">
        <f t="shared" si="75"/>
        <v>0</v>
      </c>
      <c r="O618" s="73">
        <f t="shared" si="76"/>
        <v>0</v>
      </c>
      <c r="P618" s="73">
        <f t="shared" si="77"/>
        <v>0</v>
      </c>
      <c r="Q618" s="73"/>
      <c r="R618" s="73">
        <v>0</v>
      </c>
      <c r="S618" s="75">
        <f t="shared" si="79"/>
        <v>0</v>
      </c>
      <c r="T618" s="77">
        <v>0</v>
      </c>
      <c r="U618" s="66">
        <v>40329</v>
      </c>
      <c r="V618" s="79"/>
      <c r="W618" s="66" t="s">
        <v>1585</v>
      </c>
      <c r="X618" s="24" t="s">
        <v>1586</v>
      </c>
      <c r="Y618" s="62"/>
      <c r="Z618" s="177" t="s">
        <v>894</v>
      </c>
      <c r="AA618" s="80" t="s">
        <v>1366</v>
      </c>
      <c r="AB618" s="3"/>
      <c r="AC618" s="4"/>
      <c r="AD618" s="5"/>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6"/>
      <c r="CE618" s="7"/>
      <c r="CF618" s="6"/>
      <c r="CG618" s="7"/>
      <c r="CH618" s="6"/>
      <c r="CI618" s="7"/>
      <c r="CJ618" s="8">
        <f t="shared" si="78"/>
        <v>0</v>
      </c>
      <c r="CK618" s="9"/>
      <c r="CL618" s="10"/>
      <c r="CM618" s="11"/>
      <c r="CN618" s="12"/>
      <c r="CO618" s="28"/>
      <c r="CP618" s="12"/>
      <c r="CQ618" s="9"/>
      <c r="CR618" s="10"/>
      <c r="CS618" s="68"/>
      <c r="EC618" s="344" t="str">
        <f t="shared" si="73"/>
        <v>RISARALDA_LA CELIA</v>
      </c>
      <c r="ED618" s="341"/>
      <c r="EE618" s="341" t="s">
        <v>3156</v>
      </c>
      <c r="EF618" s="349" t="s">
        <v>4931</v>
      </c>
      <c r="EG618" s="341" t="s">
        <v>3824</v>
      </c>
      <c r="EH618" s="341" t="s">
        <v>4933</v>
      </c>
      <c r="EI618" s="341" t="str">
        <f t="shared" si="80"/>
        <v>Huila_Acevedo</v>
      </c>
    </row>
    <row r="619" spans="1:139" ht="51">
      <c r="A619" s="228">
        <v>40328</v>
      </c>
      <c r="B619" s="102" t="s">
        <v>1998</v>
      </c>
      <c r="C619" s="102" t="s">
        <v>1083</v>
      </c>
      <c r="D619" s="206" t="s">
        <v>1201</v>
      </c>
      <c r="E619" s="320" t="s">
        <v>4070</v>
      </c>
      <c r="F619" s="320"/>
      <c r="G619" s="265"/>
      <c r="H619" s="71"/>
      <c r="I619" s="71"/>
      <c r="J619" s="71">
        <v>486</v>
      </c>
      <c r="K619" s="71">
        <v>162</v>
      </c>
      <c r="L619" s="1"/>
      <c r="M619" s="73">
        <f t="shared" si="74"/>
        <v>0</v>
      </c>
      <c r="N619" s="73">
        <f t="shared" si="75"/>
        <v>0</v>
      </c>
      <c r="O619" s="73">
        <f t="shared" si="76"/>
        <v>0</v>
      </c>
      <c r="P619" s="73">
        <f t="shared" si="77"/>
        <v>0</v>
      </c>
      <c r="Q619" s="73"/>
      <c r="R619" s="73">
        <v>0</v>
      </c>
      <c r="S619" s="75">
        <f t="shared" si="79"/>
        <v>0</v>
      </c>
      <c r="T619" s="77">
        <v>0</v>
      </c>
      <c r="U619" s="66">
        <v>40331</v>
      </c>
      <c r="V619" s="79">
        <v>38854</v>
      </c>
      <c r="W619" s="66" t="s">
        <v>1606</v>
      </c>
      <c r="X619" s="24" t="s">
        <v>1607</v>
      </c>
      <c r="Y619" s="62"/>
      <c r="Z619" s="198" t="s">
        <v>822</v>
      </c>
      <c r="AA619" s="80" t="s">
        <v>843</v>
      </c>
      <c r="AB619" s="3"/>
      <c r="AC619" s="4"/>
      <c r="AD619" s="5"/>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6"/>
      <c r="CE619" s="7"/>
      <c r="CF619" s="6"/>
      <c r="CG619" s="7"/>
      <c r="CH619" s="6"/>
      <c r="CI619" s="7"/>
      <c r="CJ619" s="8">
        <f t="shared" si="78"/>
        <v>0</v>
      </c>
      <c r="CK619" s="9"/>
      <c r="CL619" s="10"/>
      <c r="CM619" s="11"/>
      <c r="CN619" s="12"/>
      <c r="CO619" s="28"/>
      <c r="CP619" s="12"/>
      <c r="CQ619" s="9"/>
      <c r="CR619" s="10"/>
      <c r="CS619" s="68"/>
      <c r="EC619" s="344" t="str">
        <f t="shared" ref="EC619:EC680" si="81">B619&amp;"_"&amp;C619</f>
        <v>SANTANDER_BARRANCABERMEJA</v>
      </c>
      <c r="ED619" s="341"/>
      <c r="EE619" s="341" t="s">
        <v>3156</v>
      </c>
      <c r="EF619" s="349" t="s">
        <v>4931</v>
      </c>
      <c r="EG619" s="341" t="s">
        <v>3825</v>
      </c>
      <c r="EH619" s="341" t="s">
        <v>4934</v>
      </c>
      <c r="EI619" s="341" t="str">
        <f t="shared" si="80"/>
        <v>Huila_Agrado</v>
      </c>
    </row>
    <row r="620" spans="1:139" ht="63.75">
      <c r="A620" s="228">
        <v>40329</v>
      </c>
      <c r="B620" s="102" t="s">
        <v>1615</v>
      </c>
      <c r="C620" s="102" t="s">
        <v>1642</v>
      </c>
      <c r="D620" s="206" t="s">
        <v>2606</v>
      </c>
      <c r="E620" s="320" t="s">
        <v>3376</v>
      </c>
      <c r="F620" s="320"/>
      <c r="G620" s="210"/>
      <c r="H620" s="71"/>
      <c r="I620" s="71"/>
      <c r="J620" s="71">
        <f>83*5</f>
        <v>415</v>
      </c>
      <c r="K620" s="71">
        <v>83</v>
      </c>
      <c r="L620" s="1">
        <v>40360</v>
      </c>
      <c r="M620" s="73">
        <f t="shared" si="74"/>
        <v>0</v>
      </c>
      <c r="N620" s="73">
        <f t="shared" si="75"/>
        <v>0</v>
      </c>
      <c r="O620" s="73">
        <f t="shared" si="76"/>
        <v>26842217</v>
      </c>
      <c r="P620" s="73">
        <f t="shared" si="77"/>
        <v>0</v>
      </c>
      <c r="Q620" s="73"/>
      <c r="R620" s="73">
        <v>0</v>
      </c>
      <c r="S620" s="75">
        <f t="shared" si="79"/>
        <v>26842217</v>
      </c>
      <c r="T620" s="77">
        <v>0</v>
      </c>
      <c r="U620" s="66">
        <v>40331</v>
      </c>
      <c r="V620" s="79">
        <v>97968</v>
      </c>
      <c r="W620" s="66" t="s">
        <v>1606</v>
      </c>
      <c r="X620" s="24" t="s">
        <v>1607</v>
      </c>
      <c r="Y620" s="62"/>
      <c r="Z620" s="177" t="s">
        <v>2580</v>
      </c>
      <c r="AA620" s="80" t="s">
        <v>1832</v>
      </c>
      <c r="AB620" s="3"/>
      <c r="AC620" s="4"/>
      <c r="AD620" s="5"/>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6"/>
      <c r="CE620" s="7"/>
      <c r="CF620" s="6"/>
      <c r="CG620" s="7"/>
      <c r="CH620" s="6"/>
      <c r="CI620" s="7"/>
      <c r="CJ620" s="8">
        <f t="shared" si="78"/>
        <v>0</v>
      </c>
      <c r="CK620" s="9"/>
      <c r="CL620" s="10"/>
      <c r="CM620" s="11"/>
      <c r="CN620" s="12"/>
      <c r="CO620" s="28"/>
      <c r="CP620" s="12"/>
      <c r="CQ620" s="9">
        <f>20+193+30+120+160</f>
        <v>523</v>
      </c>
      <c r="CR620" s="10">
        <v>26842217</v>
      </c>
      <c r="CS620" s="68"/>
      <c r="CT620" s="22" t="s">
        <v>2344</v>
      </c>
      <c r="EC620" s="344" t="str">
        <f t="shared" si="81"/>
        <v>BOLIVAR_CARTAGENA</v>
      </c>
      <c r="ED620" s="341"/>
      <c r="EE620" s="341" t="s">
        <v>3156</v>
      </c>
      <c r="EF620" s="349" t="s">
        <v>4931</v>
      </c>
      <c r="EG620" s="341" t="s">
        <v>3826</v>
      </c>
      <c r="EH620" s="341" t="s">
        <v>4935</v>
      </c>
      <c r="EI620" s="341" t="str">
        <f t="shared" si="80"/>
        <v>Huila_Aipe</v>
      </c>
    </row>
    <row r="621" spans="1:139" ht="25.5">
      <c r="A621" s="228">
        <v>40329</v>
      </c>
      <c r="B621" s="102" t="s">
        <v>1998</v>
      </c>
      <c r="C621" s="102" t="s">
        <v>1833</v>
      </c>
      <c r="D621" s="206" t="s">
        <v>1201</v>
      </c>
      <c r="E621" s="320" t="s">
        <v>4099</v>
      </c>
      <c r="F621" s="320"/>
      <c r="G621" s="265"/>
      <c r="H621" s="71"/>
      <c r="I621" s="71"/>
      <c r="J621" s="71">
        <f>105*5</f>
        <v>525</v>
      </c>
      <c r="K621" s="71">
        <v>105</v>
      </c>
      <c r="L621" s="1"/>
      <c r="M621" s="73">
        <f t="shared" si="74"/>
        <v>0</v>
      </c>
      <c r="N621" s="73">
        <f t="shared" si="75"/>
        <v>0</v>
      </c>
      <c r="O621" s="73">
        <f t="shared" si="76"/>
        <v>0</v>
      </c>
      <c r="P621" s="73">
        <f t="shared" si="77"/>
        <v>0</v>
      </c>
      <c r="Q621" s="73"/>
      <c r="R621" s="73">
        <v>0</v>
      </c>
      <c r="S621" s="75">
        <f t="shared" si="79"/>
        <v>0</v>
      </c>
      <c r="T621" s="77">
        <v>0</v>
      </c>
      <c r="U621" s="66">
        <v>40330</v>
      </c>
      <c r="V621" s="79"/>
      <c r="W621" s="66" t="s">
        <v>1585</v>
      </c>
      <c r="X621" s="24" t="s">
        <v>1586</v>
      </c>
      <c r="Y621" s="62"/>
      <c r="Z621" s="177" t="s">
        <v>894</v>
      </c>
      <c r="AA621" s="80" t="s">
        <v>1834</v>
      </c>
      <c r="AB621" s="3"/>
      <c r="AC621" s="4"/>
      <c r="AD621" s="5"/>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6"/>
      <c r="CE621" s="7"/>
      <c r="CF621" s="6"/>
      <c r="CG621" s="7"/>
      <c r="CH621" s="6"/>
      <c r="CI621" s="7"/>
      <c r="CJ621" s="8">
        <f t="shared" si="78"/>
        <v>0</v>
      </c>
      <c r="CK621" s="9"/>
      <c r="CL621" s="10"/>
      <c r="CM621" s="11"/>
      <c r="CN621" s="12"/>
      <c r="CO621" s="28"/>
      <c r="CP621" s="12"/>
      <c r="CQ621" s="9"/>
      <c r="CR621" s="10"/>
      <c r="CS621" s="68"/>
      <c r="EC621" s="344" t="str">
        <f t="shared" si="81"/>
        <v>SANTANDER_GIRON</v>
      </c>
      <c r="ED621" s="341"/>
      <c r="EE621" s="341" t="s">
        <v>3156</v>
      </c>
      <c r="EF621" s="349" t="s">
        <v>4931</v>
      </c>
      <c r="EG621" s="341" t="s">
        <v>3827</v>
      </c>
      <c r="EH621" s="341" t="s">
        <v>4936</v>
      </c>
      <c r="EI621" s="341" t="str">
        <f t="shared" si="80"/>
        <v>Huila_Algeciras</v>
      </c>
    </row>
    <row r="622" spans="1:139" ht="38.25">
      <c r="A622" s="235">
        <v>40330</v>
      </c>
      <c r="B622" s="224" t="s">
        <v>1972</v>
      </c>
      <c r="C622" s="224" t="s">
        <v>1075</v>
      </c>
      <c r="D622" s="236" t="s">
        <v>1201</v>
      </c>
      <c r="E622" s="324" t="s">
        <v>3267</v>
      </c>
      <c r="F622" s="324"/>
      <c r="G622" s="210"/>
      <c r="H622" s="71"/>
      <c r="I622" s="71"/>
      <c r="J622" s="71">
        <v>242</v>
      </c>
      <c r="K622" s="71">
        <v>57</v>
      </c>
      <c r="L622" s="1"/>
      <c r="M622" s="73">
        <f t="shared" si="74"/>
        <v>0</v>
      </c>
      <c r="N622" s="73">
        <f t="shared" si="75"/>
        <v>0</v>
      </c>
      <c r="O622" s="73">
        <f t="shared" si="76"/>
        <v>0</v>
      </c>
      <c r="P622" s="73">
        <f t="shared" si="77"/>
        <v>0</v>
      </c>
      <c r="Q622" s="73"/>
      <c r="R622" s="73">
        <v>0</v>
      </c>
      <c r="S622" s="75">
        <f t="shared" si="79"/>
        <v>0</v>
      </c>
      <c r="T622" s="77">
        <v>0</v>
      </c>
      <c r="U622" s="66">
        <v>40330</v>
      </c>
      <c r="V622" s="79"/>
      <c r="W622" s="66" t="s">
        <v>1585</v>
      </c>
      <c r="X622" s="24" t="s">
        <v>1586</v>
      </c>
      <c r="Y622" s="62"/>
      <c r="Z622" s="177" t="s">
        <v>894</v>
      </c>
      <c r="AA622" s="80" t="s">
        <v>1076</v>
      </c>
      <c r="AB622" s="3"/>
      <c r="AC622" s="4"/>
      <c r="AD622" s="5"/>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6"/>
      <c r="CE622" s="7"/>
      <c r="CF622" s="6"/>
      <c r="CG622" s="7"/>
      <c r="CH622" s="6"/>
      <c r="CI622" s="7"/>
      <c r="CJ622" s="8">
        <f t="shared" si="78"/>
        <v>0</v>
      </c>
      <c r="CK622" s="9"/>
      <c r="CL622" s="10"/>
      <c r="CM622" s="11"/>
      <c r="CN622" s="12"/>
      <c r="CO622" s="28"/>
      <c r="CP622" s="12"/>
      <c r="CQ622" s="9"/>
      <c r="CR622" s="10"/>
      <c r="CS622" s="68"/>
      <c r="EC622" s="344" t="str">
        <f t="shared" si="81"/>
        <v>ANTIOQUIA_COPACABANA</v>
      </c>
      <c r="ED622" s="341"/>
      <c r="EE622" s="341" t="s">
        <v>3156</v>
      </c>
      <c r="EF622" s="349" t="s">
        <v>4931</v>
      </c>
      <c r="EG622" s="341" t="s">
        <v>3828</v>
      </c>
      <c r="EH622" s="341" t="s">
        <v>4937</v>
      </c>
      <c r="EI622" s="341" t="str">
        <f t="shared" si="80"/>
        <v>Huila_Altamira</v>
      </c>
    </row>
    <row r="623" spans="1:139" ht="38.25">
      <c r="A623" s="228">
        <v>40330</v>
      </c>
      <c r="B623" s="102" t="s">
        <v>1551</v>
      </c>
      <c r="C623" s="102" t="s">
        <v>1590</v>
      </c>
      <c r="D623" s="206" t="s">
        <v>1201</v>
      </c>
      <c r="E623" s="320" t="s">
        <v>3352</v>
      </c>
      <c r="F623" s="320"/>
      <c r="G623" s="210"/>
      <c r="H623" s="71"/>
      <c r="I623" s="71">
        <v>2</v>
      </c>
      <c r="J623" s="71"/>
      <c r="K623" s="71"/>
      <c r="L623" s="1"/>
      <c r="M623" s="73">
        <f t="shared" si="74"/>
        <v>0</v>
      </c>
      <c r="N623" s="73">
        <f t="shared" si="75"/>
        <v>0</v>
      </c>
      <c r="O623" s="73">
        <f t="shared" si="76"/>
        <v>0</v>
      </c>
      <c r="P623" s="73">
        <f t="shared" si="77"/>
        <v>0</v>
      </c>
      <c r="Q623" s="73"/>
      <c r="R623" s="73">
        <v>0</v>
      </c>
      <c r="S623" s="75">
        <f t="shared" si="79"/>
        <v>0</v>
      </c>
      <c r="T623" s="77">
        <v>0</v>
      </c>
      <c r="U623" s="66">
        <v>40330</v>
      </c>
      <c r="V623" s="79"/>
      <c r="W623" s="66" t="s">
        <v>1585</v>
      </c>
      <c r="X623" s="24" t="s">
        <v>1586</v>
      </c>
      <c r="Y623" s="62"/>
      <c r="Z623" s="177" t="s">
        <v>894</v>
      </c>
      <c r="AA623" s="80" t="s">
        <v>1074</v>
      </c>
      <c r="AB623" s="3"/>
      <c r="AC623" s="4"/>
      <c r="AD623" s="5"/>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6"/>
      <c r="CE623" s="7"/>
      <c r="CF623" s="6"/>
      <c r="CG623" s="7"/>
      <c r="CH623" s="6"/>
      <c r="CI623" s="7"/>
      <c r="CJ623" s="8">
        <f t="shared" si="78"/>
        <v>0</v>
      </c>
      <c r="CK623" s="9"/>
      <c r="CL623" s="10"/>
      <c r="CM623" s="11"/>
      <c r="CN623" s="12"/>
      <c r="CO623" s="28"/>
      <c r="CP623" s="12"/>
      <c r="CQ623" s="9"/>
      <c r="CR623" s="10"/>
      <c r="CS623" s="68"/>
      <c r="EC623" s="344" t="str">
        <f t="shared" si="81"/>
        <v>ATLANTICO_BARRANQUILLA</v>
      </c>
      <c r="ED623" s="341"/>
      <c r="EE623" s="341" t="s">
        <v>3156</v>
      </c>
      <c r="EF623" s="349" t="s">
        <v>4931</v>
      </c>
      <c r="EG623" s="341" t="s">
        <v>3829</v>
      </c>
      <c r="EH623" s="341" t="s">
        <v>4938</v>
      </c>
      <c r="EI623" s="341" t="str">
        <f t="shared" si="80"/>
        <v>Huila_Baraya</v>
      </c>
    </row>
    <row r="624" spans="1:139" ht="38.25">
      <c r="A624" s="228">
        <v>40330</v>
      </c>
      <c r="B624" s="102" t="s">
        <v>1604</v>
      </c>
      <c r="C624" s="102" t="s">
        <v>2308</v>
      </c>
      <c r="D624" s="206" t="s">
        <v>1878</v>
      </c>
      <c r="E624" s="320" t="s">
        <v>3721</v>
      </c>
      <c r="F624" s="320"/>
      <c r="G624" s="210"/>
      <c r="H624" s="71"/>
      <c r="I624" s="71"/>
      <c r="J624" s="71"/>
      <c r="K624" s="71"/>
      <c r="L624" s="1"/>
      <c r="M624" s="73">
        <f t="shared" si="74"/>
        <v>0</v>
      </c>
      <c r="N624" s="73">
        <f t="shared" si="75"/>
        <v>0</v>
      </c>
      <c r="O624" s="73">
        <f t="shared" si="76"/>
        <v>0</v>
      </c>
      <c r="P624" s="73">
        <f t="shared" si="77"/>
        <v>0</v>
      </c>
      <c r="Q624" s="73"/>
      <c r="R624" s="73">
        <v>0</v>
      </c>
      <c r="S624" s="75">
        <f t="shared" si="79"/>
        <v>0</v>
      </c>
      <c r="T624" s="77">
        <v>0</v>
      </c>
      <c r="U624" s="66">
        <v>40395</v>
      </c>
      <c r="V624" s="79">
        <v>39173</v>
      </c>
      <c r="W624" s="66" t="s">
        <v>1606</v>
      </c>
      <c r="X624" s="24" t="s">
        <v>1586</v>
      </c>
      <c r="Y624" s="62"/>
      <c r="Z624" s="177"/>
      <c r="AA624" s="80" t="s">
        <v>343</v>
      </c>
      <c r="AB624" s="3"/>
      <c r="AC624" s="4"/>
      <c r="AD624" s="5"/>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6"/>
      <c r="CE624" s="7"/>
      <c r="CF624" s="6"/>
      <c r="CG624" s="7"/>
      <c r="CH624" s="6"/>
      <c r="CI624" s="7"/>
      <c r="CJ624" s="8">
        <f t="shared" si="78"/>
        <v>0</v>
      </c>
      <c r="CK624" s="9"/>
      <c r="CL624" s="10"/>
      <c r="CM624" s="11"/>
      <c r="CN624" s="12"/>
      <c r="CO624" s="28"/>
      <c r="CP624" s="12"/>
      <c r="CQ624" s="9"/>
      <c r="CR624" s="10"/>
      <c r="CS624" s="68"/>
      <c r="EC624" s="344" t="str">
        <f t="shared" si="81"/>
        <v>CUNDINAMARCA_GUAYABETAL</v>
      </c>
      <c r="ED624" s="341"/>
      <c r="EE624" s="341" t="s">
        <v>3156</v>
      </c>
      <c r="EF624" s="349" t="s">
        <v>4931</v>
      </c>
      <c r="EG624" s="341" t="s">
        <v>3830</v>
      </c>
      <c r="EH624" s="341" t="s">
        <v>4939</v>
      </c>
      <c r="EI624" s="341" t="str">
        <f t="shared" si="80"/>
        <v>Huila_Campoalegre</v>
      </c>
    </row>
    <row r="625" spans="1:139" ht="38.25">
      <c r="A625" s="228">
        <v>40330</v>
      </c>
      <c r="B625" s="102" t="s">
        <v>4321</v>
      </c>
      <c r="C625" s="102" t="s">
        <v>296</v>
      </c>
      <c r="D625" s="206" t="s">
        <v>1201</v>
      </c>
      <c r="E625" s="320" t="s">
        <v>3861</v>
      </c>
      <c r="F625" s="320"/>
      <c r="G625" s="210"/>
      <c r="H625" s="71"/>
      <c r="I625" s="71"/>
      <c r="J625" s="71">
        <v>532</v>
      </c>
      <c r="K625" s="71">
        <v>95</v>
      </c>
      <c r="L625" s="1"/>
      <c r="M625" s="73">
        <f t="shared" si="74"/>
        <v>0</v>
      </c>
      <c r="N625" s="73">
        <f t="shared" si="75"/>
        <v>0</v>
      </c>
      <c r="O625" s="73">
        <f t="shared" si="76"/>
        <v>0</v>
      </c>
      <c r="P625" s="73">
        <f t="shared" si="77"/>
        <v>0</v>
      </c>
      <c r="Q625" s="73"/>
      <c r="R625" s="73">
        <v>0</v>
      </c>
      <c r="S625" s="75">
        <f t="shared" si="79"/>
        <v>0</v>
      </c>
      <c r="T625" s="77">
        <v>0</v>
      </c>
      <c r="U625" s="66">
        <v>40330</v>
      </c>
      <c r="V625" s="79"/>
      <c r="W625" s="66" t="s">
        <v>1606</v>
      </c>
      <c r="X625" s="24" t="s">
        <v>1607</v>
      </c>
      <c r="Y625" s="62"/>
      <c r="Z625" s="198" t="s">
        <v>830</v>
      </c>
      <c r="AA625" s="80" t="s">
        <v>698</v>
      </c>
      <c r="AB625" s="3"/>
      <c r="AC625" s="4"/>
      <c r="AD625" s="5"/>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6"/>
      <c r="CE625" s="7"/>
      <c r="CF625" s="6"/>
      <c r="CG625" s="7"/>
      <c r="CH625" s="6"/>
      <c r="CI625" s="7"/>
      <c r="CJ625" s="8">
        <f t="shared" si="78"/>
        <v>0</v>
      </c>
      <c r="CK625" s="9"/>
      <c r="CL625" s="10"/>
      <c r="CM625" s="11"/>
      <c r="CN625" s="12"/>
      <c r="CO625" s="28"/>
      <c r="CP625" s="12"/>
      <c r="CQ625" s="9"/>
      <c r="CR625" s="10"/>
      <c r="CS625" s="68"/>
      <c r="EC625" s="344" t="str">
        <f t="shared" si="81"/>
        <v>LA GUAJIRA_ALBANIA</v>
      </c>
      <c r="ED625" s="341"/>
      <c r="EE625" s="341" t="s">
        <v>3156</v>
      </c>
      <c r="EF625" s="349" t="s">
        <v>4931</v>
      </c>
      <c r="EG625" s="341" t="s">
        <v>3831</v>
      </c>
      <c r="EH625" s="341" t="s">
        <v>4940</v>
      </c>
      <c r="EI625" s="341" t="str">
        <f t="shared" si="80"/>
        <v>Huila_Colombia</v>
      </c>
    </row>
    <row r="626" spans="1:139" ht="38.25">
      <c r="A626" s="228">
        <v>40330</v>
      </c>
      <c r="B626" s="102" t="s">
        <v>4321</v>
      </c>
      <c r="C626" s="102" t="s">
        <v>961</v>
      </c>
      <c r="D626" s="206" t="s">
        <v>1201</v>
      </c>
      <c r="E626" s="320" t="s">
        <v>3872</v>
      </c>
      <c r="F626" s="320"/>
      <c r="G626" s="210"/>
      <c r="H626" s="71"/>
      <c r="I626" s="71"/>
      <c r="J626" s="71"/>
      <c r="K626" s="71"/>
      <c r="L626" s="1"/>
      <c r="M626" s="73">
        <f t="shared" si="74"/>
        <v>0</v>
      </c>
      <c r="N626" s="73">
        <f t="shared" si="75"/>
        <v>0</v>
      </c>
      <c r="O626" s="73">
        <f t="shared" si="76"/>
        <v>0</v>
      </c>
      <c r="P626" s="73">
        <f t="shared" si="77"/>
        <v>0</v>
      </c>
      <c r="Q626" s="73"/>
      <c r="R626" s="73">
        <v>0</v>
      </c>
      <c r="S626" s="75">
        <f t="shared" si="79"/>
        <v>0</v>
      </c>
      <c r="T626" s="77">
        <v>0</v>
      </c>
      <c r="U626" s="66">
        <v>40330</v>
      </c>
      <c r="V626" s="79"/>
      <c r="W626" s="66" t="s">
        <v>1606</v>
      </c>
      <c r="X626" s="24" t="s">
        <v>1607</v>
      </c>
      <c r="Y626" s="62"/>
      <c r="Z626" s="198" t="s">
        <v>830</v>
      </c>
      <c r="AA626" s="80" t="s">
        <v>1830</v>
      </c>
      <c r="AB626" s="3"/>
      <c r="AC626" s="4"/>
      <c r="AD626" s="5"/>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6"/>
      <c r="CE626" s="7"/>
      <c r="CF626" s="6"/>
      <c r="CG626" s="7"/>
      <c r="CH626" s="6"/>
      <c r="CI626" s="7"/>
      <c r="CJ626" s="8">
        <f t="shared" si="78"/>
        <v>0</v>
      </c>
      <c r="CK626" s="9"/>
      <c r="CL626" s="10"/>
      <c r="CM626" s="11"/>
      <c r="CN626" s="12"/>
      <c r="CO626" s="28"/>
      <c r="CP626" s="12"/>
      <c r="CQ626" s="9"/>
      <c r="CR626" s="10"/>
      <c r="CS626" s="68"/>
      <c r="EC626" s="344" t="str">
        <f t="shared" si="81"/>
        <v>LA GUAJIRA_URIBIA</v>
      </c>
      <c r="ED626" s="341"/>
      <c r="EE626" s="341" t="s">
        <v>3156</v>
      </c>
      <c r="EF626" s="349" t="s">
        <v>4931</v>
      </c>
      <c r="EG626" s="341" t="s">
        <v>3832</v>
      </c>
      <c r="EH626" s="341" t="s">
        <v>4941</v>
      </c>
      <c r="EI626" s="341" t="str">
        <f t="shared" si="80"/>
        <v>Huila_Elias</v>
      </c>
    </row>
    <row r="627" spans="1:139" ht="38.25">
      <c r="A627" s="228">
        <v>40330</v>
      </c>
      <c r="B627" s="102" t="s">
        <v>965</v>
      </c>
      <c r="C627" s="102" t="s">
        <v>1744</v>
      </c>
      <c r="D627" s="206" t="s">
        <v>1878</v>
      </c>
      <c r="E627" s="320" t="s">
        <v>4006</v>
      </c>
      <c r="F627" s="320"/>
      <c r="G627" s="210"/>
      <c r="H627" s="71"/>
      <c r="I627" s="71"/>
      <c r="J627" s="71">
        <v>272</v>
      </c>
      <c r="K627" s="71">
        <v>58</v>
      </c>
      <c r="L627" s="1"/>
      <c r="M627" s="73">
        <f t="shared" si="74"/>
        <v>0</v>
      </c>
      <c r="N627" s="73">
        <f t="shared" si="75"/>
        <v>0</v>
      </c>
      <c r="O627" s="73">
        <f t="shared" si="76"/>
        <v>0</v>
      </c>
      <c r="P627" s="73">
        <f t="shared" si="77"/>
        <v>0</v>
      </c>
      <c r="Q627" s="73"/>
      <c r="R627" s="73">
        <v>0</v>
      </c>
      <c r="S627" s="75">
        <f t="shared" si="79"/>
        <v>0</v>
      </c>
      <c r="T627" s="77">
        <v>0</v>
      </c>
      <c r="U627" s="66">
        <v>40401</v>
      </c>
      <c r="V627" s="79">
        <v>40282</v>
      </c>
      <c r="W627" s="66" t="s">
        <v>1585</v>
      </c>
      <c r="X627" s="24" t="s">
        <v>1586</v>
      </c>
      <c r="Y627" s="62"/>
      <c r="Z627" s="177" t="s">
        <v>1511</v>
      </c>
      <c r="AA627" s="80" t="s">
        <v>1512</v>
      </c>
      <c r="AB627" s="3"/>
      <c r="AC627" s="4"/>
      <c r="AD627" s="5"/>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6"/>
      <c r="CE627" s="7"/>
      <c r="CF627" s="6"/>
      <c r="CG627" s="7"/>
      <c r="CH627" s="6"/>
      <c r="CI627" s="7"/>
      <c r="CJ627" s="8">
        <f t="shared" si="78"/>
        <v>0</v>
      </c>
      <c r="CK627" s="9"/>
      <c r="CL627" s="10"/>
      <c r="CM627" s="11"/>
      <c r="CN627" s="12"/>
      <c r="CO627" s="28"/>
      <c r="CP627" s="12"/>
      <c r="CQ627" s="9"/>
      <c r="CR627" s="10"/>
      <c r="CS627" s="68"/>
      <c r="EC627" s="344" t="str">
        <f t="shared" si="81"/>
        <v>NORTE DE SANTANDER_CHITAGA</v>
      </c>
      <c r="ED627" s="341"/>
      <c r="EE627" s="341" t="s">
        <v>3156</v>
      </c>
      <c r="EF627" s="349" t="s">
        <v>4931</v>
      </c>
      <c r="EG627" s="341" t="s">
        <v>3833</v>
      </c>
      <c r="EH627" s="341" t="s">
        <v>4942</v>
      </c>
      <c r="EI627" s="341" t="str">
        <f t="shared" si="80"/>
        <v>Huila_Garzon</v>
      </c>
    </row>
    <row r="628" spans="1:139" ht="25.5">
      <c r="A628" s="228">
        <v>40331</v>
      </c>
      <c r="B628" s="102" t="s">
        <v>653</v>
      </c>
      <c r="C628" s="102" t="s">
        <v>399</v>
      </c>
      <c r="D628" s="206" t="s">
        <v>1316</v>
      </c>
      <c r="E628" s="320" t="s">
        <v>3543</v>
      </c>
      <c r="F628" s="320"/>
      <c r="G628" s="210"/>
      <c r="H628" s="71"/>
      <c r="I628" s="71"/>
      <c r="J628" s="71">
        <v>27</v>
      </c>
      <c r="K628" s="71">
        <v>7</v>
      </c>
      <c r="L628" s="1"/>
      <c r="M628" s="73">
        <f t="shared" si="74"/>
        <v>0</v>
      </c>
      <c r="N628" s="73">
        <f t="shared" si="75"/>
        <v>0</v>
      </c>
      <c r="O628" s="73">
        <f t="shared" si="76"/>
        <v>0</v>
      </c>
      <c r="P628" s="73">
        <f t="shared" si="77"/>
        <v>0</v>
      </c>
      <c r="Q628" s="73"/>
      <c r="R628" s="73">
        <v>0</v>
      </c>
      <c r="S628" s="75">
        <f t="shared" si="79"/>
        <v>0</v>
      </c>
      <c r="T628" s="77">
        <v>0</v>
      </c>
      <c r="U628" s="66">
        <v>40331</v>
      </c>
      <c r="V628" s="79"/>
      <c r="W628" s="66" t="s">
        <v>1585</v>
      </c>
      <c r="X628" s="24" t="s">
        <v>1586</v>
      </c>
      <c r="Y628" s="62"/>
      <c r="Z628" s="177" t="s">
        <v>894</v>
      </c>
      <c r="AA628" s="80" t="s">
        <v>1367</v>
      </c>
      <c r="AB628" s="3"/>
      <c r="AC628" s="4"/>
      <c r="AD628" s="5"/>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6"/>
      <c r="CE628" s="7"/>
      <c r="CF628" s="6"/>
      <c r="CG628" s="7"/>
      <c r="CH628" s="6"/>
      <c r="CI628" s="7"/>
      <c r="CJ628" s="8">
        <f t="shared" si="78"/>
        <v>0</v>
      </c>
      <c r="CK628" s="9"/>
      <c r="CL628" s="10"/>
      <c r="CM628" s="11"/>
      <c r="CN628" s="12"/>
      <c r="CO628" s="28"/>
      <c r="CP628" s="12"/>
      <c r="CQ628" s="9"/>
      <c r="CR628" s="10"/>
      <c r="CS628" s="68"/>
      <c r="EC628" s="344" t="str">
        <f t="shared" si="81"/>
        <v>CALDAS_MANIZALES</v>
      </c>
      <c r="ED628" s="341"/>
      <c r="EE628" s="341" t="s">
        <v>3156</v>
      </c>
      <c r="EF628" s="349" t="s">
        <v>4931</v>
      </c>
      <c r="EG628" s="341" t="s">
        <v>3834</v>
      </c>
      <c r="EH628" s="341" t="s">
        <v>4943</v>
      </c>
      <c r="EI628" s="341" t="str">
        <f t="shared" si="80"/>
        <v>Huila_Gigante</v>
      </c>
    </row>
    <row r="629" spans="1:139" ht="60">
      <c r="A629" s="228">
        <v>40331</v>
      </c>
      <c r="B629" s="102" t="s">
        <v>1996</v>
      </c>
      <c r="C629" s="102" t="s">
        <v>2800</v>
      </c>
      <c r="D629" s="206" t="s">
        <v>1201</v>
      </c>
      <c r="E629" s="320" t="s">
        <v>3817</v>
      </c>
      <c r="F629" s="320"/>
      <c r="G629" s="210"/>
      <c r="H629" s="71"/>
      <c r="I629" s="71"/>
      <c r="J629" s="71">
        <v>1388</v>
      </c>
      <c r="K629" s="71">
        <v>219</v>
      </c>
      <c r="L629" s="1"/>
      <c r="M629" s="73">
        <f t="shared" si="74"/>
        <v>0</v>
      </c>
      <c r="N629" s="73">
        <f t="shared" si="75"/>
        <v>0</v>
      </c>
      <c r="O629" s="73">
        <f t="shared" si="76"/>
        <v>0</v>
      </c>
      <c r="P629" s="73">
        <f t="shared" si="77"/>
        <v>0</v>
      </c>
      <c r="Q629" s="73"/>
      <c r="R629" s="73">
        <v>0</v>
      </c>
      <c r="S629" s="75">
        <f t="shared" si="79"/>
        <v>0</v>
      </c>
      <c r="T629" s="77">
        <v>0</v>
      </c>
      <c r="U629" s="66">
        <v>40332</v>
      </c>
      <c r="V629" s="79"/>
      <c r="W629" s="66" t="s">
        <v>1585</v>
      </c>
      <c r="X629" s="24" t="s">
        <v>1586</v>
      </c>
      <c r="Y629" s="62"/>
      <c r="Z629" s="177" t="s">
        <v>894</v>
      </c>
      <c r="AA629" s="165" t="s">
        <v>430</v>
      </c>
      <c r="AB629" s="3"/>
      <c r="AC629" s="4"/>
      <c r="AD629" s="5"/>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6"/>
      <c r="CE629" s="7"/>
      <c r="CF629" s="6"/>
      <c r="CG629" s="7"/>
      <c r="CH629" s="6"/>
      <c r="CI629" s="7"/>
      <c r="CJ629" s="8">
        <f t="shared" si="78"/>
        <v>0</v>
      </c>
      <c r="CK629" s="9"/>
      <c r="CL629" s="10"/>
      <c r="CM629" s="11"/>
      <c r="CN629" s="12"/>
      <c r="CO629" s="28"/>
      <c r="CP629" s="12"/>
      <c r="CQ629" s="9"/>
      <c r="CR629" s="10"/>
      <c r="CS629" s="68"/>
      <c r="EC629" s="344" t="str">
        <f t="shared" si="81"/>
        <v>CHOCO_RIOSUCIO</v>
      </c>
      <c r="ED629" s="341"/>
      <c r="EE629" s="341" t="s">
        <v>3156</v>
      </c>
      <c r="EF629" s="349" t="s">
        <v>4931</v>
      </c>
      <c r="EG629" s="341" t="s">
        <v>3835</v>
      </c>
      <c r="EH629" s="341" t="s">
        <v>4423</v>
      </c>
      <c r="EI629" s="341" t="str">
        <f t="shared" si="80"/>
        <v>Huila_Guadalupe</v>
      </c>
    </row>
    <row r="630" spans="1:139" ht="45">
      <c r="A630" s="228">
        <v>40332</v>
      </c>
      <c r="B630" s="102" t="s">
        <v>1972</v>
      </c>
      <c r="C630" s="102" t="s">
        <v>2358</v>
      </c>
      <c r="D630" s="206" t="s">
        <v>1316</v>
      </c>
      <c r="E630" s="320" t="s">
        <v>3227</v>
      </c>
      <c r="F630" s="320"/>
      <c r="G630" s="210"/>
      <c r="H630" s="71"/>
      <c r="I630" s="71"/>
      <c r="J630" s="71">
        <v>531</v>
      </c>
      <c r="K630" s="71">
        <v>144</v>
      </c>
      <c r="L630" s="1">
        <v>40354</v>
      </c>
      <c r="M630" s="73">
        <f t="shared" si="74"/>
        <v>62185650</v>
      </c>
      <c r="N630" s="73">
        <f t="shared" si="75"/>
        <v>0</v>
      </c>
      <c r="O630" s="73">
        <f t="shared" si="76"/>
        <v>0</v>
      </c>
      <c r="P630" s="73">
        <f t="shared" si="77"/>
        <v>0</v>
      </c>
      <c r="Q630" s="73"/>
      <c r="R630" s="73">
        <v>0</v>
      </c>
      <c r="S630" s="75">
        <f t="shared" si="79"/>
        <v>62185650</v>
      </c>
      <c r="T630" s="77">
        <v>0</v>
      </c>
      <c r="U630" s="66">
        <v>40333</v>
      </c>
      <c r="V630" s="79">
        <v>98061</v>
      </c>
      <c r="W630" s="66" t="s">
        <v>1606</v>
      </c>
      <c r="X630" s="24" t="s">
        <v>1607</v>
      </c>
      <c r="Y630" s="62">
        <v>172</v>
      </c>
      <c r="Z630" s="177" t="s">
        <v>2580</v>
      </c>
      <c r="AA630" s="80" t="s">
        <v>1077</v>
      </c>
      <c r="AB630" s="3"/>
      <c r="AC630" s="4"/>
      <c r="AD630" s="5"/>
      <c r="AE630" s="4"/>
      <c r="AF630" s="4"/>
      <c r="AG630" s="4"/>
      <c r="AH630" s="4"/>
      <c r="AI630" s="4"/>
      <c r="AJ630" s="4"/>
      <c r="AK630" s="4"/>
      <c r="AL630" s="4">
        <v>500</v>
      </c>
      <c r="AM630" s="4">
        <f>500*21000</f>
        <v>10500000</v>
      </c>
      <c r="AN630" s="4">
        <v>500</v>
      </c>
      <c r="AO630" s="4">
        <f>500*56000</f>
        <v>28000000</v>
      </c>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v>500</v>
      </c>
      <c r="BW630" s="4">
        <f>500*25000</f>
        <v>12500000</v>
      </c>
      <c r="BX630" s="4"/>
      <c r="BY630" s="4"/>
      <c r="BZ630" s="4"/>
      <c r="CA630" s="4"/>
      <c r="CB630" s="4"/>
      <c r="CC630" s="4"/>
      <c r="CD630" s="6">
        <v>150</v>
      </c>
      <c r="CE630" s="7">
        <f>150*36595</f>
        <v>5489250</v>
      </c>
      <c r="CF630" s="6">
        <v>150</v>
      </c>
      <c r="CG630" s="7">
        <f>150*37976</f>
        <v>5696400</v>
      </c>
      <c r="CH630" s="6"/>
      <c r="CI630" s="7"/>
      <c r="CJ630" s="8">
        <f t="shared" si="78"/>
        <v>62185650</v>
      </c>
      <c r="CK630" s="9"/>
      <c r="CL630" s="10"/>
      <c r="CM630" s="11"/>
      <c r="CN630" s="12"/>
      <c r="CO630" s="28"/>
      <c r="CP630" s="12"/>
      <c r="CQ630" s="9"/>
      <c r="CR630" s="10"/>
      <c r="CS630" s="68"/>
      <c r="EC630" s="344" t="str">
        <f t="shared" si="81"/>
        <v>ANTIOQUIA_MEDELLIN</v>
      </c>
      <c r="ED630" s="341"/>
      <c r="EE630" s="341" t="s">
        <v>3156</v>
      </c>
      <c r="EF630" s="349" t="s">
        <v>4931</v>
      </c>
      <c r="EG630" s="341" t="s">
        <v>3836</v>
      </c>
      <c r="EH630" s="341" t="s">
        <v>4944</v>
      </c>
      <c r="EI630" s="341" t="str">
        <f t="shared" si="80"/>
        <v>Huila_Hobo</v>
      </c>
    </row>
    <row r="631" spans="1:139" ht="25.5">
      <c r="A631" s="235">
        <v>40332</v>
      </c>
      <c r="B631" s="224" t="s">
        <v>1972</v>
      </c>
      <c r="C631" s="224" t="s">
        <v>1841</v>
      </c>
      <c r="D631" s="236" t="s">
        <v>1878</v>
      </c>
      <c r="E631" s="324" t="s">
        <v>3331</v>
      </c>
      <c r="F631" s="324"/>
      <c r="G631" s="210">
        <v>2</v>
      </c>
      <c r="H631" s="71">
        <v>5</v>
      </c>
      <c r="I631" s="71"/>
      <c r="J631" s="71">
        <v>7</v>
      </c>
      <c r="K631" s="71">
        <v>1</v>
      </c>
      <c r="L631" s="1"/>
      <c r="M631" s="73">
        <f t="shared" si="74"/>
        <v>0</v>
      </c>
      <c r="N631" s="73">
        <f t="shared" si="75"/>
        <v>0</v>
      </c>
      <c r="O631" s="73">
        <f t="shared" si="76"/>
        <v>0</v>
      </c>
      <c r="P631" s="73">
        <f t="shared" si="77"/>
        <v>0</v>
      </c>
      <c r="Q631" s="73"/>
      <c r="R631" s="73">
        <v>0</v>
      </c>
      <c r="S631" s="75">
        <f t="shared" si="79"/>
        <v>0</v>
      </c>
      <c r="T631" s="77">
        <v>0</v>
      </c>
      <c r="U631" s="66">
        <v>40332</v>
      </c>
      <c r="V631" s="79"/>
      <c r="W631" s="66" t="s">
        <v>1585</v>
      </c>
      <c r="X631" s="24" t="s">
        <v>1586</v>
      </c>
      <c r="Y631" s="62"/>
      <c r="Z631" s="177" t="s">
        <v>894</v>
      </c>
      <c r="AA631" s="80" t="s">
        <v>556</v>
      </c>
      <c r="AB631" s="3"/>
      <c r="AC631" s="4"/>
      <c r="AD631" s="5"/>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6"/>
      <c r="CE631" s="7"/>
      <c r="CF631" s="6"/>
      <c r="CG631" s="7"/>
      <c r="CH631" s="6"/>
      <c r="CI631" s="7"/>
      <c r="CJ631" s="8">
        <f t="shared" si="78"/>
        <v>0</v>
      </c>
      <c r="CK631" s="9"/>
      <c r="CL631" s="10"/>
      <c r="CM631" s="11"/>
      <c r="CN631" s="12"/>
      <c r="CO631" s="28"/>
      <c r="CP631" s="12"/>
      <c r="CQ631" s="9"/>
      <c r="CR631" s="10"/>
      <c r="CS631" s="68"/>
      <c r="EC631" s="344" t="str">
        <f t="shared" si="81"/>
        <v>ANTIOQUIA_SEGOVIA</v>
      </c>
      <c r="ED631" s="341"/>
      <c r="EE631" s="341" t="s">
        <v>3156</v>
      </c>
      <c r="EF631" s="349" t="s">
        <v>4931</v>
      </c>
      <c r="EG631" s="341" t="s">
        <v>3837</v>
      </c>
      <c r="EH631" s="341" t="s">
        <v>4945</v>
      </c>
      <c r="EI631" s="341" t="str">
        <f t="shared" si="80"/>
        <v>Huila_Iquira</v>
      </c>
    </row>
    <row r="632" spans="1:139" ht="38.25">
      <c r="A632" s="228">
        <v>40333</v>
      </c>
      <c r="B632" s="102" t="s">
        <v>1551</v>
      </c>
      <c r="C632" s="102" t="s">
        <v>1590</v>
      </c>
      <c r="D632" s="206" t="s">
        <v>2606</v>
      </c>
      <c r="E632" s="320" t="s">
        <v>3352</v>
      </c>
      <c r="F632" s="320"/>
      <c r="G632" s="210"/>
      <c r="H632" s="71"/>
      <c r="I632" s="71"/>
      <c r="J632" s="71">
        <v>110</v>
      </c>
      <c r="K632" s="71">
        <v>22</v>
      </c>
      <c r="L632" s="1"/>
      <c r="M632" s="73">
        <f t="shared" si="74"/>
        <v>0</v>
      </c>
      <c r="N632" s="73">
        <f t="shared" si="75"/>
        <v>0</v>
      </c>
      <c r="O632" s="73">
        <f t="shared" si="76"/>
        <v>0</v>
      </c>
      <c r="P632" s="73">
        <f t="shared" si="77"/>
        <v>0</v>
      </c>
      <c r="Q632" s="73"/>
      <c r="R632" s="73">
        <v>0</v>
      </c>
      <c r="S632" s="75">
        <f t="shared" si="79"/>
        <v>0</v>
      </c>
      <c r="T632" s="77">
        <v>0</v>
      </c>
      <c r="U632" s="66">
        <v>40336</v>
      </c>
      <c r="V632" s="79"/>
      <c r="W632" s="66" t="s">
        <v>1585</v>
      </c>
      <c r="X632" s="24" t="s">
        <v>1586</v>
      </c>
      <c r="Y632" s="62"/>
      <c r="Z632" s="177" t="s">
        <v>894</v>
      </c>
      <c r="AA632" s="80" t="s">
        <v>970</v>
      </c>
      <c r="AB632" s="3"/>
      <c r="AC632" s="4"/>
      <c r="AD632" s="5"/>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6"/>
      <c r="CE632" s="7"/>
      <c r="CF632" s="6"/>
      <c r="CG632" s="7"/>
      <c r="CH632" s="6"/>
      <c r="CI632" s="7"/>
      <c r="CJ632" s="8">
        <f t="shared" si="78"/>
        <v>0</v>
      </c>
      <c r="CK632" s="9"/>
      <c r="CL632" s="10"/>
      <c r="CM632" s="11"/>
      <c r="CN632" s="12"/>
      <c r="CO632" s="28"/>
      <c r="CP632" s="12"/>
      <c r="CQ632" s="9"/>
      <c r="CR632" s="10"/>
      <c r="CS632" s="68"/>
      <c r="EC632" s="344" t="str">
        <f t="shared" si="81"/>
        <v>ATLANTICO_BARRANQUILLA</v>
      </c>
      <c r="ED632" s="341"/>
      <c r="EE632" s="341" t="s">
        <v>3156</v>
      </c>
      <c r="EF632" s="349" t="s">
        <v>4931</v>
      </c>
      <c r="EG632" s="341" t="s">
        <v>3838</v>
      </c>
      <c r="EH632" s="341" t="s">
        <v>4946</v>
      </c>
      <c r="EI632" s="341" t="str">
        <f t="shared" si="80"/>
        <v>Huila_Isnos</v>
      </c>
    </row>
    <row r="633" spans="1:139" ht="25.5">
      <c r="A633" s="228">
        <v>40333</v>
      </c>
      <c r="B633" s="102" t="s">
        <v>1551</v>
      </c>
      <c r="C633" s="102" t="s">
        <v>971</v>
      </c>
      <c r="D633" s="206" t="s">
        <v>2606</v>
      </c>
      <c r="E633" s="320" t="s">
        <v>3356</v>
      </c>
      <c r="F633" s="320"/>
      <c r="G633" s="210"/>
      <c r="H633" s="71"/>
      <c r="I633" s="71"/>
      <c r="J633" s="71">
        <v>45</v>
      </c>
      <c r="K633" s="71">
        <v>9</v>
      </c>
      <c r="L633" s="1"/>
      <c r="M633" s="73">
        <f t="shared" si="74"/>
        <v>0</v>
      </c>
      <c r="N633" s="73">
        <f t="shared" si="75"/>
        <v>0</v>
      </c>
      <c r="O633" s="73">
        <f t="shared" si="76"/>
        <v>0</v>
      </c>
      <c r="P633" s="73">
        <f t="shared" si="77"/>
        <v>0</v>
      </c>
      <c r="Q633" s="73"/>
      <c r="R633" s="73">
        <v>0</v>
      </c>
      <c r="S633" s="75">
        <f t="shared" si="79"/>
        <v>0</v>
      </c>
      <c r="T633" s="77">
        <v>0</v>
      </c>
      <c r="U633" s="66">
        <v>40336</v>
      </c>
      <c r="V633" s="79"/>
      <c r="W633" s="66" t="s">
        <v>1585</v>
      </c>
      <c r="X633" s="24" t="s">
        <v>1586</v>
      </c>
      <c r="Y633" s="62"/>
      <c r="Z633" s="177" t="s">
        <v>894</v>
      </c>
      <c r="AA633" s="80" t="s">
        <v>305</v>
      </c>
      <c r="AB633" s="3"/>
      <c r="AC633" s="4"/>
      <c r="AD633" s="5"/>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6"/>
      <c r="CE633" s="7"/>
      <c r="CF633" s="6"/>
      <c r="CG633" s="7"/>
      <c r="CH633" s="6"/>
      <c r="CI633" s="7"/>
      <c r="CJ633" s="8">
        <f t="shared" si="78"/>
        <v>0</v>
      </c>
      <c r="CK633" s="9"/>
      <c r="CL633" s="10"/>
      <c r="CM633" s="11"/>
      <c r="CN633" s="12"/>
      <c r="CO633" s="28"/>
      <c r="CP633" s="12"/>
      <c r="CQ633" s="9"/>
      <c r="CR633" s="10"/>
      <c r="CS633" s="68"/>
      <c r="EC633" s="344" t="str">
        <f t="shared" si="81"/>
        <v>ATLANTICO_GALAPA</v>
      </c>
      <c r="ED633" s="341"/>
      <c r="EE633" s="341" t="s">
        <v>3156</v>
      </c>
      <c r="EF633" s="349" t="s">
        <v>4931</v>
      </c>
      <c r="EG633" s="341" t="s">
        <v>3839</v>
      </c>
      <c r="EH633" s="341" t="s">
        <v>4947</v>
      </c>
      <c r="EI633" s="341" t="str">
        <f t="shared" si="80"/>
        <v>Huila_La Argentina</v>
      </c>
    </row>
    <row r="634" spans="1:139" ht="25.5">
      <c r="A634" s="228">
        <v>40333</v>
      </c>
      <c r="B634" s="102" t="s">
        <v>1192</v>
      </c>
      <c r="C634" s="102" t="s">
        <v>1911</v>
      </c>
      <c r="D634" s="206" t="s">
        <v>1878</v>
      </c>
      <c r="E634" s="320" t="s">
        <v>3423</v>
      </c>
      <c r="F634" s="320"/>
      <c r="G634" s="210"/>
      <c r="H634" s="71"/>
      <c r="I634" s="71"/>
      <c r="J634" s="71">
        <v>50</v>
      </c>
      <c r="K634" s="71">
        <v>10</v>
      </c>
      <c r="L634" s="1"/>
      <c r="M634" s="73">
        <f t="shared" si="74"/>
        <v>0</v>
      </c>
      <c r="N634" s="73">
        <f t="shared" si="75"/>
        <v>0</v>
      </c>
      <c r="O634" s="73">
        <f t="shared" si="76"/>
        <v>0</v>
      </c>
      <c r="P634" s="73">
        <f t="shared" si="77"/>
        <v>0</v>
      </c>
      <c r="Q634" s="73"/>
      <c r="R634" s="73">
        <v>0</v>
      </c>
      <c r="S634" s="75">
        <f t="shared" si="79"/>
        <v>0</v>
      </c>
      <c r="T634" s="77">
        <v>0</v>
      </c>
      <c r="U634" s="66">
        <v>40344</v>
      </c>
      <c r="V634" s="79"/>
      <c r="W634" s="66" t="s">
        <v>1585</v>
      </c>
      <c r="X634" s="24" t="s">
        <v>1586</v>
      </c>
      <c r="Y634" s="62"/>
      <c r="Z634" s="177" t="s">
        <v>894</v>
      </c>
      <c r="AA634" s="80" t="s">
        <v>1688</v>
      </c>
      <c r="AB634" s="3"/>
      <c r="AC634" s="4"/>
      <c r="AD634" s="5"/>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6"/>
      <c r="CE634" s="7"/>
      <c r="CF634" s="6"/>
      <c r="CG634" s="7"/>
      <c r="CH634" s="6"/>
      <c r="CI634" s="7"/>
      <c r="CJ634" s="8">
        <f t="shared" si="78"/>
        <v>0</v>
      </c>
      <c r="CK634" s="9"/>
      <c r="CL634" s="10"/>
      <c r="CM634" s="11"/>
      <c r="CN634" s="12"/>
      <c r="CO634" s="28"/>
      <c r="CP634" s="12"/>
      <c r="CQ634" s="9"/>
      <c r="CR634" s="10"/>
      <c r="CS634" s="68"/>
      <c r="EC634" s="344" t="str">
        <f t="shared" si="81"/>
        <v>BOYACA_AQUITANIA</v>
      </c>
      <c r="ED634" s="341"/>
      <c r="EE634" s="341" t="s">
        <v>3156</v>
      </c>
      <c r="EF634" s="349" t="s">
        <v>4931</v>
      </c>
      <c r="EG634" s="341" t="s">
        <v>3840</v>
      </c>
      <c r="EH634" s="341" t="s">
        <v>4948</v>
      </c>
      <c r="EI634" s="341" t="str">
        <f t="shared" si="80"/>
        <v>Huila_La Plata</v>
      </c>
    </row>
    <row r="635" spans="1:139" ht="38.25">
      <c r="A635" s="228">
        <v>40333</v>
      </c>
      <c r="B635" s="102" t="s">
        <v>1192</v>
      </c>
      <c r="C635" s="102" t="s">
        <v>1689</v>
      </c>
      <c r="D635" s="206" t="s">
        <v>1878</v>
      </c>
      <c r="E635" s="320" t="s">
        <v>3502</v>
      </c>
      <c r="F635" s="320"/>
      <c r="G635" s="210"/>
      <c r="H635" s="71"/>
      <c r="I635" s="71"/>
      <c r="J635" s="71">
        <f>69*5</f>
        <v>345</v>
      </c>
      <c r="K635" s="71">
        <v>69</v>
      </c>
      <c r="L635" s="1"/>
      <c r="M635" s="73">
        <f t="shared" si="74"/>
        <v>0</v>
      </c>
      <c r="N635" s="73">
        <f t="shared" si="75"/>
        <v>0</v>
      </c>
      <c r="O635" s="73">
        <f t="shared" si="76"/>
        <v>0</v>
      </c>
      <c r="P635" s="73">
        <f t="shared" si="77"/>
        <v>0</v>
      </c>
      <c r="Q635" s="73"/>
      <c r="R635" s="73">
        <v>0</v>
      </c>
      <c r="S635" s="75">
        <f t="shared" si="79"/>
        <v>0</v>
      </c>
      <c r="T635" s="77">
        <v>0</v>
      </c>
      <c r="U635" s="66">
        <v>40344</v>
      </c>
      <c r="V635" s="79"/>
      <c r="W635" s="66" t="s">
        <v>1585</v>
      </c>
      <c r="X635" s="24" t="s">
        <v>1586</v>
      </c>
      <c r="Y635" s="62"/>
      <c r="Z635" s="177" t="s">
        <v>894</v>
      </c>
      <c r="AA635" s="80" t="s">
        <v>1690</v>
      </c>
      <c r="AB635" s="3"/>
      <c r="AC635" s="4"/>
      <c r="AD635" s="5"/>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6"/>
      <c r="CE635" s="7"/>
      <c r="CF635" s="6"/>
      <c r="CG635" s="7"/>
      <c r="CH635" s="6"/>
      <c r="CI635" s="7"/>
      <c r="CJ635" s="8">
        <f t="shared" si="78"/>
        <v>0</v>
      </c>
      <c r="CK635" s="9"/>
      <c r="CL635" s="10"/>
      <c r="CM635" s="11"/>
      <c r="CN635" s="12"/>
      <c r="CO635" s="28"/>
      <c r="CP635" s="12"/>
      <c r="CQ635" s="9"/>
      <c r="CR635" s="10"/>
      <c r="CS635" s="68"/>
      <c r="EC635" s="344" t="str">
        <f t="shared" si="81"/>
        <v>BOYACA_SAN EDUARDO</v>
      </c>
      <c r="ED635" s="341"/>
      <c r="EE635" s="341" t="s">
        <v>3156</v>
      </c>
      <c r="EF635" s="349" t="s">
        <v>4931</v>
      </c>
      <c r="EG635" s="341" t="s">
        <v>3841</v>
      </c>
      <c r="EH635" s="341" t="s">
        <v>4949</v>
      </c>
      <c r="EI635" s="341" t="str">
        <f t="shared" si="80"/>
        <v>Huila_Nataga</v>
      </c>
    </row>
    <row r="636" spans="1:139" ht="38.25">
      <c r="A636" s="228">
        <v>40333</v>
      </c>
      <c r="B636" s="205" t="s">
        <v>1192</v>
      </c>
      <c r="C636" s="205" t="s">
        <v>104</v>
      </c>
      <c r="D636" s="207" t="s">
        <v>1878</v>
      </c>
      <c r="E636" s="323" t="s">
        <v>3503</v>
      </c>
      <c r="F636" s="323"/>
      <c r="G636" s="204"/>
      <c r="H636" s="151"/>
      <c r="I636" s="151"/>
      <c r="J636" s="151">
        <f>129*5</f>
        <v>645</v>
      </c>
      <c r="K636" s="151">
        <v>129</v>
      </c>
      <c r="L636" s="1"/>
      <c r="M636" s="73">
        <f t="shared" si="74"/>
        <v>0</v>
      </c>
      <c r="N636" s="73">
        <f t="shared" si="75"/>
        <v>0</v>
      </c>
      <c r="O636" s="73">
        <f t="shared" si="76"/>
        <v>0</v>
      </c>
      <c r="P636" s="73">
        <f t="shared" si="77"/>
        <v>0</v>
      </c>
      <c r="Q636" s="73"/>
      <c r="R636" s="73">
        <v>0</v>
      </c>
      <c r="S636" s="75">
        <f t="shared" si="79"/>
        <v>0</v>
      </c>
      <c r="T636" s="77">
        <v>0</v>
      </c>
      <c r="U636" s="66">
        <v>40589</v>
      </c>
      <c r="V636" s="79"/>
      <c r="W636" s="66" t="s">
        <v>1585</v>
      </c>
      <c r="X636" s="24" t="s">
        <v>1586</v>
      </c>
      <c r="Y636" s="62"/>
      <c r="Z636" s="169" t="s">
        <v>894</v>
      </c>
      <c r="AA636" s="166" t="s">
        <v>95</v>
      </c>
      <c r="AB636" s="152"/>
      <c r="AC636" s="153"/>
      <c r="AD636" s="154"/>
      <c r="AE636" s="153"/>
      <c r="AF636" s="153"/>
      <c r="AG636" s="153"/>
      <c r="AH636" s="153"/>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c r="BF636" s="153"/>
      <c r="BG636" s="153"/>
      <c r="BH636" s="153"/>
      <c r="BI636" s="153"/>
      <c r="BJ636" s="153"/>
      <c r="BK636" s="153"/>
      <c r="BL636" s="153"/>
      <c r="BM636" s="153"/>
      <c r="BN636" s="153"/>
      <c r="BO636" s="153"/>
      <c r="BP636" s="153"/>
      <c r="BQ636" s="153"/>
      <c r="BR636" s="153"/>
      <c r="BS636" s="153"/>
      <c r="BT636" s="153"/>
      <c r="BU636" s="153"/>
      <c r="BV636" s="153"/>
      <c r="BW636" s="153"/>
      <c r="BX636" s="153"/>
      <c r="BY636" s="153"/>
      <c r="BZ636" s="153"/>
      <c r="CA636" s="153"/>
      <c r="CB636" s="153"/>
      <c r="CC636" s="153"/>
      <c r="CD636" s="155"/>
      <c r="CE636" s="156"/>
      <c r="CF636" s="155"/>
      <c r="CG636" s="156"/>
      <c r="CH636" s="155"/>
      <c r="CI636" s="156"/>
      <c r="CJ636" s="157">
        <f t="shared" si="78"/>
        <v>0</v>
      </c>
      <c r="CK636" s="158"/>
      <c r="CL636" s="159"/>
      <c r="CM636" s="160"/>
      <c r="CN636" s="161"/>
      <c r="CO636" s="162"/>
      <c r="CP636" s="161"/>
      <c r="CQ636" s="158"/>
      <c r="CR636" s="159"/>
      <c r="CS636" s="68"/>
      <c r="CT636" s="163"/>
      <c r="EC636" s="344" t="str">
        <f t="shared" si="81"/>
        <v>BOYACA_SAN JOSE DE PARE</v>
      </c>
      <c r="ED636" s="341"/>
      <c r="EE636" s="341" t="s">
        <v>3156</v>
      </c>
      <c r="EF636" s="349" t="s">
        <v>4931</v>
      </c>
      <c r="EG636" s="341" t="s">
        <v>3842</v>
      </c>
      <c r="EH636" s="341" t="s">
        <v>4950</v>
      </c>
      <c r="EI636" s="341" t="str">
        <f t="shared" si="80"/>
        <v>Huila_Oporapa</v>
      </c>
    </row>
    <row r="637" spans="1:139" ht="25.5">
      <c r="A637" s="228">
        <v>40333</v>
      </c>
      <c r="B637" s="102" t="s">
        <v>1996</v>
      </c>
      <c r="C637" s="102" t="s">
        <v>1945</v>
      </c>
      <c r="D637" s="206" t="s">
        <v>1878</v>
      </c>
      <c r="E637" s="320" t="s">
        <v>3793</v>
      </c>
      <c r="F637" s="320"/>
      <c r="G637" s="210"/>
      <c r="H637" s="71"/>
      <c r="I637" s="71"/>
      <c r="J637" s="71">
        <v>27</v>
      </c>
      <c r="K637" s="71">
        <v>5</v>
      </c>
      <c r="L637" s="1"/>
      <c r="M637" s="73">
        <f t="shared" si="74"/>
        <v>0</v>
      </c>
      <c r="N637" s="73">
        <f t="shared" si="75"/>
        <v>0</v>
      </c>
      <c r="O637" s="73">
        <f t="shared" si="76"/>
        <v>0</v>
      </c>
      <c r="P637" s="73">
        <f t="shared" si="77"/>
        <v>0</v>
      </c>
      <c r="Q637" s="73"/>
      <c r="R637" s="73">
        <v>0</v>
      </c>
      <c r="S637" s="75">
        <f t="shared" si="79"/>
        <v>0</v>
      </c>
      <c r="T637" s="77">
        <v>0</v>
      </c>
      <c r="U637" s="66">
        <v>40336</v>
      </c>
      <c r="V637" s="79"/>
      <c r="W637" s="66" t="s">
        <v>1585</v>
      </c>
      <c r="X637" s="24" t="s">
        <v>1586</v>
      </c>
      <c r="Y637" s="62"/>
      <c r="Z637" s="177" t="s">
        <v>894</v>
      </c>
      <c r="AA637" s="80" t="s">
        <v>969</v>
      </c>
      <c r="AB637" s="3"/>
      <c r="AC637" s="4"/>
      <c r="AD637" s="5"/>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6"/>
      <c r="CE637" s="7"/>
      <c r="CF637" s="6"/>
      <c r="CG637" s="7"/>
      <c r="CH637" s="6"/>
      <c r="CI637" s="7"/>
      <c r="CJ637" s="8">
        <f t="shared" si="78"/>
        <v>0</v>
      </c>
      <c r="CK637" s="9"/>
      <c r="CL637" s="10"/>
      <c r="CM637" s="11"/>
      <c r="CN637" s="12"/>
      <c r="CO637" s="28"/>
      <c r="CP637" s="12"/>
      <c r="CQ637" s="9"/>
      <c r="CR637" s="10"/>
      <c r="CS637" s="68"/>
      <c r="EC637" s="344" t="str">
        <f t="shared" si="81"/>
        <v>CHOCO_QUIBDO</v>
      </c>
      <c r="ED637" s="341"/>
      <c r="EE637" s="341" t="s">
        <v>3156</v>
      </c>
      <c r="EF637" s="349" t="s">
        <v>4931</v>
      </c>
      <c r="EG637" s="341" t="s">
        <v>3843</v>
      </c>
      <c r="EH637" s="341" t="s">
        <v>4951</v>
      </c>
      <c r="EI637" s="341" t="str">
        <f t="shared" si="80"/>
        <v>Huila_Paicol</v>
      </c>
    </row>
    <row r="638" spans="1:139" ht="63.75">
      <c r="A638" s="228">
        <v>40333</v>
      </c>
      <c r="B638" s="102" t="s">
        <v>1295</v>
      </c>
      <c r="C638" s="102" t="s">
        <v>966</v>
      </c>
      <c r="D638" s="206" t="s">
        <v>1201</v>
      </c>
      <c r="E638" s="320" t="s">
        <v>3676</v>
      </c>
      <c r="F638" s="320"/>
      <c r="G638" s="210"/>
      <c r="H638" s="71"/>
      <c r="I638" s="71"/>
      <c r="J638" s="71">
        <v>500</v>
      </c>
      <c r="K638" s="71">
        <v>100</v>
      </c>
      <c r="L638" s="1"/>
      <c r="M638" s="73">
        <f t="shared" si="74"/>
        <v>0</v>
      </c>
      <c r="N638" s="73">
        <f t="shared" si="75"/>
        <v>0</v>
      </c>
      <c r="O638" s="73">
        <f t="shared" si="76"/>
        <v>0</v>
      </c>
      <c r="P638" s="73">
        <f t="shared" si="77"/>
        <v>0</v>
      </c>
      <c r="Q638" s="73"/>
      <c r="R638" s="73">
        <v>0</v>
      </c>
      <c r="S638" s="75">
        <f t="shared" si="79"/>
        <v>0</v>
      </c>
      <c r="T638" s="77">
        <v>0</v>
      </c>
      <c r="U638" s="66">
        <v>40336</v>
      </c>
      <c r="V638" s="79"/>
      <c r="W638" s="66" t="s">
        <v>1585</v>
      </c>
      <c r="X638" s="24" t="s">
        <v>1586</v>
      </c>
      <c r="Y638" s="62"/>
      <c r="Z638" s="177" t="s">
        <v>894</v>
      </c>
      <c r="AA638" s="80" t="s">
        <v>967</v>
      </c>
      <c r="AB638" s="3"/>
      <c r="AC638" s="4"/>
      <c r="AD638" s="5"/>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6"/>
      <c r="CE638" s="7"/>
      <c r="CF638" s="6"/>
      <c r="CG638" s="7"/>
      <c r="CH638" s="6"/>
      <c r="CI638" s="7"/>
      <c r="CJ638" s="8">
        <f t="shared" si="78"/>
        <v>0</v>
      </c>
      <c r="CK638" s="9"/>
      <c r="CL638" s="10"/>
      <c r="CM638" s="11"/>
      <c r="CN638" s="12"/>
      <c r="CO638" s="28"/>
      <c r="CP638" s="12"/>
      <c r="CQ638" s="9"/>
      <c r="CR638" s="10"/>
      <c r="CS638" s="68"/>
      <c r="EC638" s="344" t="str">
        <f t="shared" si="81"/>
        <v>CORDOBA_SAN BERNARDO DEL VIENTO</v>
      </c>
      <c r="ED638" s="341"/>
      <c r="EE638" s="341" t="s">
        <v>3156</v>
      </c>
      <c r="EF638" s="349" t="s">
        <v>4931</v>
      </c>
      <c r="EG638" s="341" t="s">
        <v>3844</v>
      </c>
      <c r="EH638" s="341" t="s">
        <v>4952</v>
      </c>
      <c r="EI638" s="341" t="str">
        <f t="shared" si="80"/>
        <v>Huila_Palermo</v>
      </c>
    </row>
    <row r="639" spans="1:139" ht="38.25">
      <c r="A639" s="228">
        <v>40333</v>
      </c>
      <c r="B639" s="102" t="s">
        <v>1604</v>
      </c>
      <c r="C639" s="102" t="s">
        <v>2351</v>
      </c>
      <c r="D639" s="206" t="s">
        <v>1878</v>
      </c>
      <c r="E639" s="320" t="s">
        <v>3764</v>
      </c>
      <c r="F639" s="320"/>
      <c r="G639" s="210"/>
      <c r="H639" s="71"/>
      <c r="I639" s="71"/>
      <c r="J639" s="71">
        <v>14</v>
      </c>
      <c r="K639" s="71">
        <v>3</v>
      </c>
      <c r="L639" s="1"/>
      <c r="M639" s="73">
        <f t="shared" si="74"/>
        <v>0</v>
      </c>
      <c r="N639" s="73">
        <f t="shared" si="75"/>
        <v>0</v>
      </c>
      <c r="O639" s="73">
        <f t="shared" si="76"/>
        <v>0</v>
      </c>
      <c r="P639" s="73">
        <f t="shared" si="77"/>
        <v>0</v>
      </c>
      <c r="Q639" s="73"/>
      <c r="R639" s="73">
        <v>0</v>
      </c>
      <c r="S639" s="75">
        <f t="shared" si="79"/>
        <v>0</v>
      </c>
      <c r="T639" s="77">
        <v>0</v>
      </c>
      <c r="U639" s="66">
        <v>40336</v>
      </c>
      <c r="V639" s="79"/>
      <c r="W639" s="66" t="s">
        <v>1585</v>
      </c>
      <c r="X639" s="24" t="s">
        <v>1586</v>
      </c>
      <c r="Y639" s="62"/>
      <c r="Z639" s="177" t="s">
        <v>894</v>
      </c>
      <c r="AA639" s="80" t="s">
        <v>968</v>
      </c>
      <c r="AB639" s="3"/>
      <c r="AC639" s="4"/>
      <c r="AD639" s="5"/>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6"/>
      <c r="CE639" s="7"/>
      <c r="CF639" s="6"/>
      <c r="CG639" s="7"/>
      <c r="CH639" s="6"/>
      <c r="CI639" s="7"/>
      <c r="CJ639" s="8">
        <f t="shared" si="78"/>
        <v>0</v>
      </c>
      <c r="CK639" s="9"/>
      <c r="CL639" s="10"/>
      <c r="CM639" s="11"/>
      <c r="CN639" s="12"/>
      <c r="CO639" s="28"/>
      <c r="CP639" s="12"/>
      <c r="CQ639" s="9"/>
      <c r="CR639" s="10"/>
      <c r="CS639" s="68"/>
      <c r="EC639" s="344" t="str">
        <f t="shared" si="81"/>
        <v>CUNDINAMARCA_SOACHA</v>
      </c>
      <c r="ED639" s="341"/>
      <c r="EE639" s="341" t="s">
        <v>3156</v>
      </c>
      <c r="EF639" s="349" t="s">
        <v>4931</v>
      </c>
      <c r="EG639" s="341" t="s">
        <v>3845</v>
      </c>
      <c r="EH639" s="341" t="s">
        <v>4698</v>
      </c>
      <c r="EI639" s="341" t="str">
        <f t="shared" si="80"/>
        <v>Huila_Palestina</v>
      </c>
    </row>
    <row r="640" spans="1:139" ht="36">
      <c r="A640" s="228">
        <v>40333</v>
      </c>
      <c r="B640" s="102" t="s">
        <v>962</v>
      </c>
      <c r="C640" s="102" t="s">
        <v>2430</v>
      </c>
      <c r="D640" s="206" t="s">
        <v>1902</v>
      </c>
      <c r="E640" s="320" t="s">
        <v>3835</v>
      </c>
      <c r="F640" s="320"/>
      <c r="G640" s="210"/>
      <c r="H640" s="71"/>
      <c r="I640" s="71"/>
      <c r="J640" s="71"/>
      <c r="K640" s="71"/>
      <c r="L640" s="1"/>
      <c r="M640" s="73">
        <f t="shared" si="74"/>
        <v>0</v>
      </c>
      <c r="N640" s="73">
        <f t="shared" si="75"/>
        <v>0</v>
      </c>
      <c r="O640" s="73">
        <f t="shared" si="76"/>
        <v>0</v>
      </c>
      <c r="P640" s="73">
        <f t="shared" si="77"/>
        <v>0</v>
      </c>
      <c r="Q640" s="73"/>
      <c r="R640" s="73">
        <v>0</v>
      </c>
      <c r="S640" s="75">
        <f t="shared" si="79"/>
        <v>0</v>
      </c>
      <c r="T640" s="77">
        <v>0</v>
      </c>
      <c r="U640" s="66">
        <v>40337</v>
      </c>
      <c r="V640" s="79"/>
      <c r="W640" s="66" t="s">
        <v>1585</v>
      </c>
      <c r="X640" s="24" t="s">
        <v>1586</v>
      </c>
      <c r="Y640" s="62"/>
      <c r="Z640" s="177" t="s">
        <v>894</v>
      </c>
      <c r="AA640" s="80" t="s">
        <v>2431</v>
      </c>
      <c r="AB640" s="3"/>
      <c r="AC640" s="4"/>
      <c r="AD640" s="5"/>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6"/>
      <c r="CE640" s="7"/>
      <c r="CF640" s="6"/>
      <c r="CG640" s="7"/>
      <c r="CH640" s="6"/>
      <c r="CI640" s="7"/>
      <c r="CJ640" s="8">
        <f t="shared" si="78"/>
        <v>0</v>
      </c>
      <c r="CK640" s="9"/>
      <c r="CL640" s="10"/>
      <c r="CM640" s="11"/>
      <c r="CN640" s="12"/>
      <c r="CO640" s="28"/>
      <c r="CP640" s="12"/>
      <c r="CQ640" s="9"/>
      <c r="CR640" s="10"/>
      <c r="CS640" s="68"/>
      <c r="EC640" s="344" t="str">
        <f t="shared" si="81"/>
        <v>HUILA_GUADALUPE</v>
      </c>
      <c r="ED640" s="341"/>
      <c r="EE640" s="341" t="s">
        <v>3156</v>
      </c>
      <c r="EF640" s="349" t="s">
        <v>4931</v>
      </c>
      <c r="EG640" s="341" t="s">
        <v>3846</v>
      </c>
      <c r="EH640" s="341" t="s">
        <v>4953</v>
      </c>
      <c r="EI640" s="341" t="str">
        <f t="shared" si="80"/>
        <v>Huila_Pital</v>
      </c>
    </row>
    <row r="641" spans="1:139" ht="36">
      <c r="A641" s="228">
        <v>40333</v>
      </c>
      <c r="B641" s="102" t="s">
        <v>962</v>
      </c>
      <c r="C641" s="102" t="s">
        <v>997</v>
      </c>
      <c r="D641" s="206" t="s">
        <v>1878</v>
      </c>
      <c r="E641" s="320" t="s">
        <v>3859</v>
      </c>
      <c r="F641" s="320"/>
      <c r="G641" s="210"/>
      <c r="H641" s="71">
        <v>1</v>
      </c>
      <c r="I641" s="71"/>
      <c r="J641" s="71">
        <f>45-28</f>
        <v>17</v>
      </c>
      <c r="K641" s="71">
        <v>3</v>
      </c>
      <c r="L641" s="1"/>
      <c r="M641" s="73">
        <f t="shared" si="74"/>
        <v>0</v>
      </c>
      <c r="N641" s="73">
        <f t="shared" si="75"/>
        <v>0</v>
      </c>
      <c r="O641" s="73">
        <f t="shared" si="76"/>
        <v>0</v>
      </c>
      <c r="P641" s="73">
        <f t="shared" si="77"/>
        <v>0</v>
      </c>
      <c r="Q641" s="73"/>
      <c r="R641" s="73">
        <v>0</v>
      </c>
      <c r="S641" s="75">
        <f t="shared" si="79"/>
        <v>0</v>
      </c>
      <c r="T641" s="77">
        <v>0</v>
      </c>
      <c r="U641" s="66">
        <v>40334</v>
      </c>
      <c r="V641" s="79"/>
      <c r="W641" s="66" t="s">
        <v>1585</v>
      </c>
      <c r="X641" s="24" t="s">
        <v>1586</v>
      </c>
      <c r="Y641" s="62"/>
      <c r="Z641" s="177" t="s">
        <v>894</v>
      </c>
      <c r="AA641" s="80" t="s">
        <v>1963</v>
      </c>
      <c r="AB641" s="3"/>
      <c r="AC641" s="4"/>
      <c r="AD641" s="5"/>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6"/>
      <c r="CE641" s="7"/>
      <c r="CF641" s="6"/>
      <c r="CG641" s="7"/>
      <c r="CH641" s="6"/>
      <c r="CI641" s="7"/>
      <c r="CJ641" s="8">
        <f t="shared" si="78"/>
        <v>0</v>
      </c>
      <c r="CK641" s="9"/>
      <c r="CL641" s="10"/>
      <c r="CM641" s="11"/>
      <c r="CN641" s="12"/>
      <c r="CO641" s="28"/>
      <c r="CP641" s="12"/>
      <c r="CQ641" s="9"/>
      <c r="CR641" s="10"/>
      <c r="CS641" s="68"/>
      <c r="EC641" s="344" t="str">
        <f t="shared" si="81"/>
        <v>HUILA_YAGUARA</v>
      </c>
      <c r="ED641" s="341"/>
      <c r="EE641" s="341" t="s">
        <v>3156</v>
      </c>
      <c r="EF641" s="349" t="s">
        <v>4931</v>
      </c>
      <c r="EG641" s="341" t="s">
        <v>3847</v>
      </c>
      <c r="EH641" s="341" t="s">
        <v>4954</v>
      </c>
      <c r="EI641" s="341" t="str">
        <f t="shared" si="80"/>
        <v>Huila_Pitalito</v>
      </c>
    </row>
    <row r="642" spans="1:139" ht="45">
      <c r="A642" s="228">
        <v>40333</v>
      </c>
      <c r="B642" s="102" t="s">
        <v>1440</v>
      </c>
      <c r="C642" s="102" t="s">
        <v>977</v>
      </c>
      <c r="D642" s="206" t="s">
        <v>1201</v>
      </c>
      <c r="E642" s="320" t="s">
        <v>3904</v>
      </c>
      <c r="F642" s="320"/>
      <c r="G642" s="210"/>
      <c r="H642" s="71"/>
      <c r="I642" s="71"/>
      <c r="J642" s="71">
        <v>860</v>
      </c>
      <c r="K642" s="71">
        <v>172</v>
      </c>
      <c r="L642" s="1">
        <v>40344</v>
      </c>
      <c r="M642" s="73">
        <f t="shared" si="74"/>
        <v>7199888</v>
      </c>
      <c r="N642" s="73">
        <f t="shared" si="75"/>
        <v>0</v>
      </c>
      <c r="O642" s="73">
        <f t="shared" si="76"/>
        <v>34516800</v>
      </c>
      <c r="P642" s="73">
        <f t="shared" si="77"/>
        <v>9001600</v>
      </c>
      <c r="Q642" s="73"/>
      <c r="R642" s="73">
        <v>0</v>
      </c>
      <c r="S642" s="75">
        <f t="shared" si="79"/>
        <v>50718288</v>
      </c>
      <c r="T642" s="77">
        <v>0</v>
      </c>
      <c r="U642" s="66">
        <v>40338</v>
      </c>
      <c r="V642" s="79">
        <v>98186</v>
      </c>
      <c r="W642" s="66" t="s">
        <v>1606</v>
      </c>
      <c r="X642" s="24" t="s">
        <v>1607</v>
      </c>
      <c r="Y642" s="83" t="s">
        <v>690</v>
      </c>
      <c r="Z642" s="177" t="s">
        <v>2580</v>
      </c>
      <c r="AA642" s="80" t="s">
        <v>1519</v>
      </c>
      <c r="AB642" s="3"/>
      <c r="AC642" s="4"/>
      <c r="AD642" s="5"/>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v>400</v>
      </c>
      <c r="CC642" s="4">
        <f>400*17999.72</f>
        <v>7199888</v>
      </c>
      <c r="CD642" s="6"/>
      <c r="CE642" s="7"/>
      <c r="CF642" s="6"/>
      <c r="CG642" s="7"/>
      <c r="CH642" s="6"/>
      <c r="CI642" s="7"/>
      <c r="CJ642" s="8">
        <f t="shared" si="78"/>
        <v>7199888</v>
      </c>
      <c r="CK642" s="9">
        <v>10000</v>
      </c>
      <c r="CL642" s="10">
        <f>10000*900.16</f>
        <v>9001600</v>
      </c>
      <c r="CM642" s="11"/>
      <c r="CN642" s="12"/>
      <c r="CO642" s="28"/>
      <c r="CP642" s="12"/>
      <c r="CQ642" s="9">
        <v>1800</v>
      </c>
      <c r="CR642" s="10">
        <f>1800*18560+7200*154</f>
        <v>34516800</v>
      </c>
      <c r="CS642" s="68"/>
      <c r="EC642" s="344" t="str">
        <f t="shared" si="81"/>
        <v>MAGDALENA_ZONA BANANERA</v>
      </c>
      <c r="ED642" s="341"/>
      <c r="EE642" s="341" t="s">
        <v>3156</v>
      </c>
      <c r="EF642" s="349" t="s">
        <v>4931</v>
      </c>
      <c r="EG642" s="341" t="s">
        <v>3848</v>
      </c>
      <c r="EH642" s="341" t="s">
        <v>4955</v>
      </c>
      <c r="EI642" s="341" t="str">
        <f t="shared" si="80"/>
        <v>Huila_Rivera</v>
      </c>
    </row>
    <row r="643" spans="1:139" ht="25.5">
      <c r="A643" s="228">
        <v>40334</v>
      </c>
      <c r="B643" s="102" t="s">
        <v>1996</v>
      </c>
      <c r="C643" s="102" t="s">
        <v>1945</v>
      </c>
      <c r="D643" s="206" t="s">
        <v>1878</v>
      </c>
      <c r="E643" s="320" t="s">
        <v>3793</v>
      </c>
      <c r="F643" s="320"/>
      <c r="G643" s="210"/>
      <c r="H643" s="71"/>
      <c r="I643" s="71"/>
      <c r="J643" s="71">
        <v>10</v>
      </c>
      <c r="K643" s="71">
        <v>1</v>
      </c>
      <c r="L643" s="1"/>
      <c r="M643" s="73">
        <f t="shared" ref="M643:M706" si="82">CJ643</f>
        <v>0</v>
      </c>
      <c r="N643" s="73">
        <f t="shared" ref="N643:N706" si="83">CN643</f>
        <v>0</v>
      </c>
      <c r="O643" s="73">
        <f t="shared" ref="O643:O706" si="84">CP643+CR643</f>
        <v>0</v>
      </c>
      <c r="P643" s="73">
        <f t="shared" ref="P643:P706" si="85">CL643</f>
        <v>0</v>
      </c>
      <c r="Q643" s="73"/>
      <c r="R643" s="73">
        <v>0</v>
      </c>
      <c r="S643" s="75">
        <f t="shared" si="79"/>
        <v>0</v>
      </c>
      <c r="T643" s="77">
        <v>0</v>
      </c>
      <c r="U643" s="66">
        <v>40336</v>
      </c>
      <c r="V643" s="79"/>
      <c r="W643" s="66" t="s">
        <v>1585</v>
      </c>
      <c r="X643" s="24" t="s">
        <v>1586</v>
      </c>
      <c r="Y643" s="62"/>
      <c r="Z643" s="177" t="s">
        <v>894</v>
      </c>
      <c r="AA643" s="80" t="s">
        <v>972</v>
      </c>
      <c r="AB643" s="3"/>
      <c r="AC643" s="4"/>
      <c r="AD643" s="5"/>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6"/>
      <c r="CE643" s="7"/>
      <c r="CF643" s="6"/>
      <c r="CG643" s="7"/>
      <c r="CH643" s="6"/>
      <c r="CI643" s="7"/>
      <c r="CJ643" s="8">
        <f t="shared" ref="CJ643:CJ706" si="86">AC643+AE643+AG643+AI643+AK643+AM643+AO643+AQ643+AS643+AU643+AW643+AY643+BA643+BC643+BE643+BG643+BI643+BK643+BM643+BO643+BQ643+BS643+BU643+BW643+BY643+CA643+CC643+CE643+CG643+CI643</f>
        <v>0</v>
      </c>
      <c r="CK643" s="9"/>
      <c r="CL643" s="10"/>
      <c r="CM643" s="11"/>
      <c r="CN643" s="12"/>
      <c r="CO643" s="28"/>
      <c r="CP643" s="12"/>
      <c r="CQ643" s="9"/>
      <c r="CR643" s="10"/>
      <c r="CS643" s="68"/>
      <c r="EC643" s="344" t="str">
        <f t="shared" si="81"/>
        <v>CHOCO_QUIBDO</v>
      </c>
      <c r="ED643" s="341"/>
      <c r="EE643" s="341" t="s">
        <v>3156</v>
      </c>
      <c r="EF643" s="349" t="s">
        <v>4931</v>
      </c>
      <c r="EG643" s="341" t="s">
        <v>3849</v>
      </c>
      <c r="EH643" s="341" t="s">
        <v>4956</v>
      </c>
      <c r="EI643" s="341" t="str">
        <f t="shared" si="80"/>
        <v>Huila_Saladoblanco</v>
      </c>
    </row>
    <row r="644" spans="1:139" ht="45">
      <c r="A644" s="228">
        <v>40335</v>
      </c>
      <c r="B644" s="102" t="s">
        <v>1615</v>
      </c>
      <c r="C644" s="102" t="s">
        <v>1562</v>
      </c>
      <c r="D644" s="206" t="s">
        <v>2606</v>
      </c>
      <c r="E644" s="320" t="s">
        <v>3392</v>
      </c>
      <c r="F644" s="320"/>
      <c r="G644" s="210"/>
      <c r="H644" s="71"/>
      <c r="I644" s="71"/>
      <c r="J644" s="71">
        <f>50*5</f>
        <v>250</v>
      </c>
      <c r="K644" s="71">
        <v>50</v>
      </c>
      <c r="L644" s="1">
        <v>40368</v>
      </c>
      <c r="M644" s="73">
        <f t="shared" si="82"/>
        <v>0</v>
      </c>
      <c r="N644" s="73">
        <f t="shared" si="83"/>
        <v>0</v>
      </c>
      <c r="O644" s="73">
        <f t="shared" si="84"/>
        <v>31338488</v>
      </c>
      <c r="P644" s="73">
        <f t="shared" si="85"/>
        <v>45008000</v>
      </c>
      <c r="Q644" s="73"/>
      <c r="R644" s="73">
        <v>0</v>
      </c>
      <c r="S644" s="75">
        <f t="shared" si="79"/>
        <v>76346488</v>
      </c>
      <c r="T644" s="77">
        <v>0</v>
      </c>
      <c r="U644" s="66">
        <v>40347</v>
      </c>
      <c r="V644" s="79">
        <v>98360</v>
      </c>
      <c r="W644" s="66" t="s">
        <v>1606</v>
      </c>
      <c r="X644" s="24" t="s">
        <v>1607</v>
      </c>
      <c r="Y644" s="83" t="s">
        <v>672</v>
      </c>
      <c r="Z644" s="177" t="s">
        <v>2580</v>
      </c>
      <c r="AA644" s="80" t="s">
        <v>936</v>
      </c>
      <c r="AB644" s="3"/>
      <c r="AC644" s="4"/>
      <c r="AD644" s="5"/>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6"/>
      <c r="CE644" s="7"/>
      <c r="CF644" s="6"/>
      <c r="CG644" s="7"/>
      <c r="CH644" s="6"/>
      <c r="CI644" s="7"/>
      <c r="CJ644" s="8">
        <f t="shared" si="86"/>
        <v>0</v>
      </c>
      <c r="CK644" s="9">
        <v>50000</v>
      </c>
      <c r="CL644" s="10">
        <f>50000*900.16</f>
        <v>45008000</v>
      </c>
      <c r="CM644" s="11"/>
      <c r="CN644" s="12"/>
      <c r="CO644" s="28"/>
      <c r="CP644" s="12"/>
      <c r="CQ644" s="9">
        <v>1301</v>
      </c>
      <c r="CR644" s="10">
        <f>1301*22000+7806*348</f>
        <v>31338488</v>
      </c>
      <c r="CS644" s="68"/>
      <c r="EC644" s="344" t="str">
        <f t="shared" si="81"/>
        <v>BOLIVAR_MAGANGUE</v>
      </c>
      <c r="ED644" s="341"/>
      <c r="EE644" s="341" t="s">
        <v>3156</v>
      </c>
      <c r="EF644" s="349" t="s">
        <v>4931</v>
      </c>
      <c r="EG644" s="341" t="s">
        <v>3850</v>
      </c>
      <c r="EH644" s="341" t="s">
        <v>4957</v>
      </c>
      <c r="EI644" s="341" t="str">
        <f t="shared" si="80"/>
        <v>Huila_San Agustin</v>
      </c>
    </row>
    <row r="645" spans="1:139" ht="25.5">
      <c r="A645" s="228">
        <v>40335</v>
      </c>
      <c r="B645" s="205" t="s">
        <v>1821</v>
      </c>
      <c r="C645" s="205" t="s">
        <v>354</v>
      </c>
      <c r="D645" s="206" t="s">
        <v>1878</v>
      </c>
      <c r="E645" s="320" t="s">
        <v>3645</v>
      </c>
      <c r="F645" s="320"/>
      <c r="G645" s="204"/>
      <c r="H645" s="151"/>
      <c r="I645" s="151"/>
      <c r="J645" s="151"/>
      <c r="K645" s="151"/>
      <c r="L645" s="1"/>
      <c r="M645" s="73">
        <f t="shared" si="82"/>
        <v>0</v>
      </c>
      <c r="N645" s="73">
        <f t="shared" si="83"/>
        <v>0</v>
      </c>
      <c r="O645" s="73">
        <f t="shared" si="84"/>
        <v>0</v>
      </c>
      <c r="P645" s="73">
        <f t="shared" si="85"/>
        <v>0</v>
      </c>
      <c r="Q645" s="73"/>
      <c r="R645" s="73">
        <v>0</v>
      </c>
      <c r="S645" s="75">
        <f t="shared" si="79"/>
        <v>0</v>
      </c>
      <c r="T645" s="77">
        <v>0</v>
      </c>
      <c r="U645" s="66">
        <v>40484</v>
      </c>
      <c r="V645" s="79"/>
      <c r="W645" s="66" t="s">
        <v>1585</v>
      </c>
      <c r="X645" s="24" t="s">
        <v>1586</v>
      </c>
      <c r="Y645" s="104"/>
      <c r="Z645" s="169" t="s">
        <v>894</v>
      </c>
      <c r="AA645" s="166" t="s">
        <v>1664</v>
      </c>
      <c r="AB645" s="152"/>
      <c r="AC645" s="153"/>
      <c r="AD645" s="154"/>
      <c r="AE645" s="153"/>
      <c r="AF645" s="153"/>
      <c r="AG645" s="153"/>
      <c r="AH645" s="153"/>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c r="BF645" s="153"/>
      <c r="BG645" s="153"/>
      <c r="BH645" s="153"/>
      <c r="BI645" s="153"/>
      <c r="BJ645" s="153"/>
      <c r="BK645" s="153"/>
      <c r="BL645" s="153"/>
      <c r="BM645" s="153"/>
      <c r="BN645" s="153"/>
      <c r="BO645" s="153"/>
      <c r="BP645" s="153"/>
      <c r="BQ645" s="153"/>
      <c r="BR645" s="153"/>
      <c r="BS645" s="153"/>
      <c r="BT645" s="153"/>
      <c r="BU645" s="153"/>
      <c r="BV645" s="153"/>
      <c r="BW645" s="153"/>
      <c r="BX645" s="153"/>
      <c r="BY645" s="153"/>
      <c r="BZ645" s="153"/>
      <c r="CA645" s="153"/>
      <c r="CB645" s="153"/>
      <c r="CC645" s="153"/>
      <c r="CD645" s="155"/>
      <c r="CE645" s="156"/>
      <c r="CF645" s="155"/>
      <c r="CG645" s="156"/>
      <c r="CH645" s="155"/>
      <c r="CI645" s="156"/>
      <c r="CJ645" s="157">
        <f t="shared" si="86"/>
        <v>0</v>
      </c>
      <c r="CK645" s="158"/>
      <c r="CL645" s="159"/>
      <c r="CM645" s="160"/>
      <c r="CN645" s="161"/>
      <c r="CO645" s="162"/>
      <c r="CP645" s="161"/>
      <c r="CQ645" s="158"/>
      <c r="CR645" s="159"/>
      <c r="CS645" s="68"/>
      <c r="CT645" s="163"/>
      <c r="EC645" s="344" t="str">
        <f t="shared" si="81"/>
        <v>CESAR_PELAYA</v>
      </c>
      <c r="ED645" s="341"/>
      <c r="EE645" s="341" t="s">
        <v>3156</v>
      </c>
      <c r="EF645" s="349" t="s">
        <v>4931</v>
      </c>
      <c r="EG645" s="341" t="s">
        <v>3851</v>
      </c>
      <c r="EH645" s="341" t="s">
        <v>4648</v>
      </c>
      <c r="EI645" s="341" t="str">
        <f t="shared" si="80"/>
        <v>Huila_Santa Maria</v>
      </c>
    </row>
    <row r="646" spans="1:139" ht="38.25">
      <c r="A646" s="228">
        <v>40335</v>
      </c>
      <c r="B646" s="102" t="s">
        <v>396</v>
      </c>
      <c r="C646" s="102" t="s">
        <v>976</v>
      </c>
      <c r="D646" s="206" t="s">
        <v>1923</v>
      </c>
      <c r="E646" s="320" t="s">
        <v>3909</v>
      </c>
      <c r="F646" s="320"/>
      <c r="G646" s="210">
        <v>1</v>
      </c>
      <c r="H646" s="71"/>
      <c r="I646" s="71"/>
      <c r="J646" s="71"/>
      <c r="K646" s="71"/>
      <c r="L646" s="1"/>
      <c r="M646" s="73">
        <f t="shared" si="82"/>
        <v>0</v>
      </c>
      <c r="N646" s="73">
        <f t="shared" si="83"/>
        <v>0</v>
      </c>
      <c r="O646" s="73">
        <f t="shared" si="84"/>
        <v>0</v>
      </c>
      <c r="P646" s="73">
        <f t="shared" si="85"/>
        <v>0</v>
      </c>
      <c r="Q646" s="73"/>
      <c r="R646" s="75">
        <v>0</v>
      </c>
      <c r="S646" s="75">
        <f t="shared" si="79"/>
        <v>0</v>
      </c>
      <c r="T646" s="77">
        <v>0</v>
      </c>
      <c r="U646" s="66">
        <v>40336</v>
      </c>
      <c r="V646" s="79"/>
      <c r="W646" s="66" t="s">
        <v>1585</v>
      </c>
      <c r="X646" s="24" t="s">
        <v>1586</v>
      </c>
      <c r="Y646" s="62"/>
      <c r="Z646" s="177" t="s">
        <v>894</v>
      </c>
      <c r="AA646" s="80" t="s">
        <v>647</v>
      </c>
      <c r="AB646" s="3"/>
      <c r="AC646" s="4"/>
      <c r="AD646" s="5"/>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6"/>
      <c r="CE646" s="7"/>
      <c r="CF646" s="6"/>
      <c r="CG646" s="7"/>
      <c r="CH646" s="6"/>
      <c r="CI646" s="7"/>
      <c r="CJ646" s="8">
        <f t="shared" si="86"/>
        <v>0</v>
      </c>
      <c r="CK646" s="9"/>
      <c r="CL646" s="10"/>
      <c r="CM646" s="11"/>
      <c r="CN646" s="12"/>
      <c r="CO646" s="28"/>
      <c r="CP646" s="12"/>
      <c r="CQ646" s="9"/>
      <c r="CR646" s="10"/>
      <c r="CS646" s="68"/>
      <c r="EC646" s="344" t="str">
        <f t="shared" si="81"/>
        <v>META_CASTILLA LA NUEVA</v>
      </c>
      <c r="ED646" s="341"/>
      <c r="EE646" s="341" t="s">
        <v>3156</v>
      </c>
      <c r="EF646" s="349" t="s">
        <v>4931</v>
      </c>
      <c r="EG646" s="341" t="s">
        <v>3852</v>
      </c>
      <c r="EH646" s="341" t="s">
        <v>4958</v>
      </c>
      <c r="EI646" s="341" t="str">
        <f t="shared" si="80"/>
        <v>Huila_Suaza</v>
      </c>
    </row>
    <row r="647" spans="1:139" ht="25.5">
      <c r="A647" s="228">
        <v>40335</v>
      </c>
      <c r="B647" s="102" t="s">
        <v>396</v>
      </c>
      <c r="C647" s="102" t="s">
        <v>397</v>
      </c>
      <c r="D647" s="206" t="s">
        <v>1201</v>
      </c>
      <c r="E647" s="320" t="s">
        <v>3913</v>
      </c>
      <c r="F647" s="320"/>
      <c r="G647" s="210">
        <v>1</v>
      </c>
      <c r="H647" s="71"/>
      <c r="I647" s="71"/>
      <c r="J647" s="71"/>
      <c r="K647" s="71"/>
      <c r="L647" s="1"/>
      <c r="M647" s="73">
        <f t="shared" si="82"/>
        <v>0</v>
      </c>
      <c r="N647" s="73">
        <f t="shared" si="83"/>
        <v>0</v>
      </c>
      <c r="O647" s="73">
        <f t="shared" si="84"/>
        <v>0</v>
      </c>
      <c r="P647" s="73">
        <f t="shared" si="85"/>
        <v>0</v>
      </c>
      <c r="Q647" s="73"/>
      <c r="R647" s="73">
        <v>0</v>
      </c>
      <c r="S647" s="75">
        <f t="shared" si="79"/>
        <v>0</v>
      </c>
      <c r="T647" s="77">
        <v>0</v>
      </c>
      <c r="U647" s="66">
        <v>40336</v>
      </c>
      <c r="V647" s="79"/>
      <c r="W647" s="66" t="s">
        <v>1585</v>
      </c>
      <c r="X647" s="24" t="s">
        <v>1586</v>
      </c>
      <c r="Y647" s="62"/>
      <c r="Z647" s="196" t="s">
        <v>894</v>
      </c>
      <c r="AA647" s="80" t="s">
        <v>975</v>
      </c>
      <c r="AB647" s="3"/>
      <c r="AC647" s="4"/>
      <c r="AD647" s="5"/>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6"/>
      <c r="CE647" s="7"/>
      <c r="CF647" s="6"/>
      <c r="CG647" s="7"/>
      <c r="CH647" s="6"/>
      <c r="CI647" s="7"/>
      <c r="CJ647" s="8">
        <f t="shared" si="86"/>
        <v>0</v>
      </c>
      <c r="CK647" s="9"/>
      <c r="CL647" s="10"/>
      <c r="CM647" s="11"/>
      <c r="CN647" s="12"/>
      <c r="CO647" s="28"/>
      <c r="CP647" s="12"/>
      <c r="CQ647" s="9"/>
      <c r="CR647" s="10"/>
      <c r="CS647" s="68"/>
      <c r="EC647" s="344" t="str">
        <f t="shared" si="81"/>
        <v>META_EL CASTILLO</v>
      </c>
      <c r="ED647" s="341"/>
      <c r="EE647" s="341" t="s">
        <v>3156</v>
      </c>
      <c r="EF647" s="349" t="s">
        <v>4931</v>
      </c>
      <c r="EG647" s="341" t="s">
        <v>3853</v>
      </c>
      <c r="EH647" s="341" t="s">
        <v>4959</v>
      </c>
      <c r="EI647" s="341" t="str">
        <f t="shared" si="80"/>
        <v>Huila_Tarqui</v>
      </c>
    </row>
    <row r="648" spans="1:139" ht="25.5">
      <c r="A648" s="228">
        <v>40335</v>
      </c>
      <c r="B648" s="102" t="s">
        <v>396</v>
      </c>
      <c r="C648" s="102" t="s">
        <v>1899</v>
      </c>
      <c r="D648" s="206" t="s">
        <v>1316</v>
      </c>
      <c r="E648" s="320" t="s">
        <v>3905</v>
      </c>
      <c r="F648" s="320"/>
      <c r="G648" s="210"/>
      <c r="H648" s="71">
        <v>5</v>
      </c>
      <c r="I648" s="71"/>
      <c r="J648" s="71"/>
      <c r="K648" s="71"/>
      <c r="L648" s="1"/>
      <c r="M648" s="73">
        <f t="shared" si="82"/>
        <v>0</v>
      </c>
      <c r="N648" s="73">
        <f t="shared" si="83"/>
        <v>0</v>
      </c>
      <c r="O648" s="73">
        <f t="shared" si="84"/>
        <v>0</v>
      </c>
      <c r="P648" s="73">
        <f t="shared" si="85"/>
        <v>0</v>
      </c>
      <c r="Q648" s="73"/>
      <c r="R648" s="73">
        <v>0</v>
      </c>
      <c r="S648" s="75">
        <f t="shared" si="79"/>
        <v>0</v>
      </c>
      <c r="T648" s="77">
        <v>0</v>
      </c>
      <c r="U648" s="66">
        <v>40336</v>
      </c>
      <c r="V648" s="79"/>
      <c r="W648" s="66" t="s">
        <v>1585</v>
      </c>
      <c r="X648" s="24" t="s">
        <v>1586</v>
      </c>
      <c r="Y648" s="62"/>
      <c r="Z648" s="177" t="s">
        <v>894</v>
      </c>
      <c r="AA648" s="80" t="s">
        <v>973</v>
      </c>
      <c r="AB648" s="3"/>
      <c r="AC648" s="4"/>
      <c r="AD648" s="5"/>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6"/>
      <c r="CE648" s="7"/>
      <c r="CF648" s="6"/>
      <c r="CG648" s="7"/>
      <c r="CH648" s="6"/>
      <c r="CI648" s="7"/>
      <c r="CJ648" s="8">
        <f t="shared" si="86"/>
        <v>0</v>
      </c>
      <c r="CK648" s="9"/>
      <c r="CL648" s="10"/>
      <c r="CM648" s="11"/>
      <c r="CN648" s="12"/>
      <c r="CO648" s="28"/>
      <c r="CP648" s="12"/>
      <c r="CQ648" s="9"/>
      <c r="CR648" s="10"/>
      <c r="CS648" s="68"/>
      <c r="EC648" s="344" t="str">
        <f t="shared" si="81"/>
        <v>META_VILLAVICENCIO</v>
      </c>
      <c r="ED648" s="341"/>
      <c r="EE648" s="341" t="s">
        <v>3156</v>
      </c>
      <c r="EF648" s="349" t="s">
        <v>4931</v>
      </c>
      <c r="EG648" s="341" t="s">
        <v>3854</v>
      </c>
      <c r="EH648" s="341" t="s">
        <v>4960</v>
      </c>
      <c r="EI648" s="341" t="str">
        <f t="shared" si="80"/>
        <v>Huila_Tesalia</v>
      </c>
    </row>
    <row r="649" spans="1:139" ht="25.5">
      <c r="A649" s="228">
        <v>40335</v>
      </c>
      <c r="B649" s="102" t="s">
        <v>2400</v>
      </c>
      <c r="C649" s="102" t="s">
        <v>2051</v>
      </c>
      <c r="D649" s="206" t="s">
        <v>1902</v>
      </c>
      <c r="E649" s="320" t="s">
        <v>4183</v>
      </c>
      <c r="F649" s="320"/>
      <c r="G649" s="210">
        <v>5</v>
      </c>
      <c r="H649" s="71"/>
      <c r="I649" s="71"/>
      <c r="J649" s="71"/>
      <c r="K649" s="71"/>
      <c r="L649" s="1"/>
      <c r="M649" s="73">
        <f t="shared" si="82"/>
        <v>0</v>
      </c>
      <c r="N649" s="73">
        <f t="shared" si="83"/>
        <v>0</v>
      </c>
      <c r="O649" s="73">
        <f t="shared" si="84"/>
        <v>0</v>
      </c>
      <c r="P649" s="73">
        <f t="shared" si="85"/>
        <v>0</v>
      </c>
      <c r="Q649" s="73"/>
      <c r="R649" s="73">
        <v>0</v>
      </c>
      <c r="S649" s="75">
        <f t="shared" ref="S649:S712" si="87">M649+N649+O649+P649+Q649+R649</f>
        <v>0</v>
      </c>
      <c r="T649" s="77">
        <v>0</v>
      </c>
      <c r="U649" s="66">
        <v>40337</v>
      </c>
      <c r="V649" s="79"/>
      <c r="W649" s="66" t="s">
        <v>1585</v>
      </c>
      <c r="X649" s="24" t="s">
        <v>1586</v>
      </c>
      <c r="Y649" s="62"/>
      <c r="Z649" s="177" t="s">
        <v>894</v>
      </c>
      <c r="AA649" s="80" t="s">
        <v>3102</v>
      </c>
      <c r="AB649" s="3"/>
      <c r="AC649" s="4"/>
      <c r="AD649" s="5"/>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6"/>
      <c r="CE649" s="7"/>
      <c r="CF649" s="6"/>
      <c r="CG649" s="7"/>
      <c r="CH649" s="6"/>
      <c r="CI649" s="7"/>
      <c r="CJ649" s="8">
        <f t="shared" si="86"/>
        <v>0</v>
      </c>
      <c r="CK649" s="9"/>
      <c r="CL649" s="10"/>
      <c r="CM649" s="11"/>
      <c r="CN649" s="12"/>
      <c r="CO649" s="28"/>
      <c r="CP649" s="12"/>
      <c r="CQ649" s="9"/>
      <c r="CR649" s="10"/>
      <c r="CS649" s="68"/>
      <c r="EC649" s="344" t="str">
        <f t="shared" si="81"/>
        <v>TOLIMA_ATACO</v>
      </c>
      <c r="ED649" s="341"/>
      <c r="EE649" s="341" t="s">
        <v>3156</v>
      </c>
      <c r="EF649" s="349" t="s">
        <v>4931</v>
      </c>
      <c r="EG649" s="341" t="s">
        <v>3855</v>
      </c>
      <c r="EH649" s="341" t="s">
        <v>4961</v>
      </c>
      <c r="EI649" s="341" t="str">
        <f t="shared" si="80"/>
        <v>Huila_Tello</v>
      </c>
    </row>
    <row r="650" spans="1:139" ht="38.25">
      <c r="A650" s="228">
        <v>40335</v>
      </c>
      <c r="B650" s="102" t="s">
        <v>2400</v>
      </c>
      <c r="C650" s="102" t="s">
        <v>2364</v>
      </c>
      <c r="D650" s="206" t="s">
        <v>1316</v>
      </c>
      <c r="E650" s="320" t="s">
        <v>4185</v>
      </c>
      <c r="F650" s="320"/>
      <c r="G650" s="210"/>
      <c r="H650" s="71"/>
      <c r="I650" s="71"/>
      <c r="J650" s="71">
        <v>8</v>
      </c>
      <c r="K650" s="71">
        <v>1</v>
      </c>
      <c r="L650" s="1"/>
      <c r="M650" s="73">
        <f t="shared" si="82"/>
        <v>0</v>
      </c>
      <c r="N650" s="73">
        <f t="shared" si="83"/>
        <v>0</v>
      </c>
      <c r="O650" s="73">
        <f t="shared" si="84"/>
        <v>0</v>
      </c>
      <c r="P650" s="73">
        <f t="shared" si="85"/>
        <v>0</v>
      </c>
      <c r="Q650" s="73"/>
      <c r="R650" s="73">
        <v>0</v>
      </c>
      <c r="S650" s="75">
        <f t="shared" si="87"/>
        <v>0</v>
      </c>
      <c r="T650" s="77">
        <v>0</v>
      </c>
      <c r="U650" s="66">
        <v>40336</v>
      </c>
      <c r="V650" s="79"/>
      <c r="W650" s="66" t="s">
        <v>1585</v>
      </c>
      <c r="X650" s="24" t="s">
        <v>1586</v>
      </c>
      <c r="Y650" s="62"/>
      <c r="Z650" s="177" t="s">
        <v>894</v>
      </c>
      <c r="AA650" s="80" t="s">
        <v>974</v>
      </c>
      <c r="AB650" s="3"/>
      <c r="AC650" s="4"/>
      <c r="AD650" s="5"/>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6"/>
      <c r="CE650" s="7"/>
      <c r="CF650" s="6"/>
      <c r="CG650" s="7"/>
      <c r="CH650" s="6"/>
      <c r="CI650" s="7"/>
      <c r="CJ650" s="8">
        <f t="shared" si="86"/>
        <v>0</v>
      </c>
      <c r="CK650" s="9"/>
      <c r="CL650" s="10"/>
      <c r="CM650" s="11"/>
      <c r="CN650" s="12"/>
      <c r="CO650" s="28"/>
      <c r="CP650" s="12"/>
      <c r="CQ650" s="9"/>
      <c r="CR650" s="10"/>
      <c r="CS650" s="68"/>
      <c r="EC650" s="344" t="str">
        <f t="shared" si="81"/>
        <v>TOLIMA_CARMEN DE APICALA</v>
      </c>
      <c r="ED650" s="341"/>
      <c r="EE650" s="341" t="s">
        <v>3156</v>
      </c>
      <c r="EF650" s="349" t="s">
        <v>4931</v>
      </c>
      <c r="EG650" s="341" t="s">
        <v>3857</v>
      </c>
      <c r="EH650" s="341" t="s">
        <v>4962</v>
      </c>
      <c r="EI650" s="341" t="str">
        <f t="shared" si="80"/>
        <v>Huila_Timana</v>
      </c>
    </row>
    <row r="651" spans="1:139" ht="25.5">
      <c r="A651" s="228">
        <v>40336</v>
      </c>
      <c r="B651" s="102" t="s">
        <v>1821</v>
      </c>
      <c r="C651" s="102" t="s">
        <v>595</v>
      </c>
      <c r="D651" s="206" t="s">
        <v>1902</v>
      </c>
      <c r="E651" s="320" t="s">
        <v>3628</v>
      </c>
      <c r="F651" s="320"/>
      <c r="G651" s="210">
        <v>4</v>
      </c>
      <c r="H651" s="71">
        <v>1</v>
      </c>
      <c r="I651" s="71"/>
      <c r="J651" s="71"/>
      <c r="K651" s="71"/>
      <c r="L651" s="1"/>
      <c r="M651" s="73">
        <f t="shared" si="82"/>
        <v>0</v>
      </c>
      <c r="N651" s="73">
        <f t="shared" si="83"/>
        <v>0</v>
      </c>
      <c r="O651" s="73">
        <f t="shared" si="84"/>
        <v>0</v>
      </c>
      <c r="P651" s="73">
        <f t="shared" si="85"/>
        <v>0</v>
      </c>
      <c r="Q651" s="73"/>
      <c r="R651" s="73">
        <v>0</v>
      </c>
      <c r="S651" s="75">
        <f t="shared" si="87"/>
        <v>0</v>
      </c>
      <c r="T651" s="77">
        <v>0</v>
      </c>
      <c r="U651" s="66">
        <v>40338</v>
      </c>
      <c r="V651" s="79"/>
      <c r="W651" s="66" t="s">
        <v>1585</v>
      </c>
      <c r="X651" s="24" t="s">
        <v>1586</v>
      </c>
      <c r="Y651" s="62"/>
      <c r="Z651" s="177" t="s">
        <v>894</v>
      </c>
      <c r="AA651" s="80" t="s">
        <v>2378</v>
      </c>
      <c r="AB651" s="3"/>
      <c r="AC651" s="4"/>
      <c r="AD651" s="5"/>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6"/>
      <c r="CE651" s="7"/>
      <c r="CF651" s="6"/>
      <c r="CG651" s="7"/>
      <c r="CH651" s="6"/>
      <c r="CI651" s="7"/>
      <c r="CJ651" s="8">
        <f t="shared" si="86"/>
        <v>0</v>
      </c>
      <c r="CK651" s="9"/>
      <c r="CL651" s="10"/>
      <c r="CM651" s="11"/>
      <c r="CN651" s="12"/>
      <c r="CO651" s="28"/>
      <c r="CP651" s="12"/>
      <c r="CQ651" s="9"/>
      <c r="CR651" s="10"/>
      <c r="CS651" s="68"/>
      <c r="EC651" s="344" t="str">
        <f t="shared" si="81"/>
        <v>CESAR_VALLEDUPAR</v>
      </c>
      <c r="ED651" s="341"/>
      <c r="EE651" s="341" t="s">
        <v>3156</v>
      </c>
      <c r="EF651" s="349" t="s">
        <v>4931</v>
      </c>
      <c r="EG651" s="341" t="s">
        <v>3858</v>
      </c>
      <c r="EH651" s="341" t="s">
        <v>4963</v>
      </c>
      <c r="EI651" s="341" t="str">
        <f t="shared" si="80"/>
        <v>Huila_Villavieja</v>
      </c>
    </row>
    <row r="652" spans="1:139" ht="38.25">
      <c r="A652" s="228">
        <v>40336</v>
      </c>
      <c r="B652" s="102" t="s">
        <v>1604</v>
      </c>
      <c r="C652" s="102" t="s">
        <v>2351</v>
      </c>
      <c r="D652" s="206" t="s">
        <v>1878</v>
      </c>
      <c r="E652" s="320" t="s">
        <v>3764</v>
      </c>
      <c r="F652" s="320"/>
      <c r="G652" s="210"/>
      <c r="H652" s="71"/>
      <c r="I652" s="71"/>
      <c r="J652" s="71">
        <v>17</v>
      </c>
      <c r="K652" s="71">
        <v>4</v>
      </c>
      <c r="L652" s="1"/>
      <c r="M652" s="73">
        <f t="shared" si="82"/>
        <v>0</v>
      </c>
      <c r="N652" s="73">
        <f t="shared" si="83"/>
        <v>0</v>
      </c>
      <c r="O652" s="73">
        <f t="shared" si="84"/>
        <v>0</v>
      </c>
      <c r="P652" s="73">
        <f t="shared" si="85"/>
        <v>0</v>
      </c>
      <c r="Q652" s="73"/>
      <c r="R652" s="73">
        <v>0</v>
      </c>
      <c r="S652" s="75">
        <f t="shared" si="87"/>
        <v>0</v>
      </c>
      <c r="T652" s="77">
        <v>0</v>
      </c>
      <c r="U652" s="66">
        <v>40338</v>
      </c>
      <c r="V652" s="79"/>
      <c r="W652" s="66" t="s">
        <v>1585</v>
      </c>
      <c r="X652" s="24" t="s">
        <v>1586</v>
      </c>
      <c r="Y652" s="62"/>
      <c r="Z652" s="177" t="s">
        <v>894</v>
      </c>
      <c r="AA652" s="80" t="s">
        <v>1247</v>
      </c>
      <c r="AB652" s="3"/>
      <c r="AC652" s="4"/>
      <c r="AD652" s="5"/>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6"/>
      <c r="CE652" s="7"/>
      <c r="CF652" s="6"/>
      <c r="CG652" s="7"/>
      <c r="CH652" s="6"/>
      <c r="CI652" s="7"/>
      <c r="CJ652" s="8">
        <f t="shared" si="86"/>
        <v>0</v>
      </c>
      <c r="CK652" s="9"/>
      <c r="CL652" s="10"/>
      <c r="CM652" s="11"/>
      <c r="CN652" s="12"/>
      <c r="CO652" s="28"/>
      <c r="CP652" s="12"/>
      <c r="CQ652" s="9"/>
      <c r="CR652" s="10"/>
      <c r="CS652" s="68"/>
      <c r="EC652" s="344" t="str">
        <f t="shared" si="81"/>
        <v>CUNDINAMARCA_SOACHA</v>
      </c>
      <c r="ED652" s="341"/>
      <c r="EE652" s="341" t="s">
        <v>3156</v>
      </c>
      <c r="EF652" s="349" t="s">
        <v>4931</v>
      </c>
      <c r="EG652" s="341" t="s">
        <v>3859</v>
      </c>
      <c r="EH652" s="341" t="s">
        <v>4964</v>
      </c>
      <c r="EI652" s="341" t="str">
        <f t="shared" ref="EI652:EI714" si="88">EF652&amp;"_"&amp;EH652</f>
        <v>Huila_Yaguara</v>
      </c>
    </row>
    <row r="653" spans="1:139" ht="38.25">
      <c r="A653" s="228">
        <v>40336</v>
      </c>
      <c r="B653" s="102" t="s">
        <v>962</v>
      </c>
      <c r="C653" s="102" t="s">
        <v>2380</v>
      </c>
      <c r="D653" s="206" t="s">
        <v>1902</v>
      </c>
      <c r="E653" s="320" t="s">
        <v>3831</v>
      </c>
      <c r="F653" s="320"/>
      <c r="G653" s="210">
        <v>2</v>
      </c>
      <c r="H653" s="71"/>
      <c r="I653" s="71"/>
      <c r="J653" s="71"/>
      <c r="K653" s="71"/>
      <c r="L653" s="1"/>
      <c r="M653" s="73">
        <f t="shared" si="82"/>
        <v>0</v>
      </c>
      <c r="N653" s="73">
        <f t="shared" si="83"/>
        <v>0</v>
      </c>
      <c r="O653" s="73">
        <f t="shared" si="84"/>
        <v>0</v>
      </c>
      <c r="P653" s="73">
        <f t="shared" si="85"/>
        <v>0</v>
      </c>
      <c r="Q653" s="73"/>
      <c r="R653" s="73">
        <v>0</v>
      </c>
      <c r="S653" s="75">
        <f t="shared" si="87"/>
        <v>0</v>
      </c>
      <c r="T653" s="77">
        <v>0</v>
      </c>
      <c r="U653" s="66">
        <v>40338</v>
      </c>
      <c r="V653" s="79"/>
      <c r="W653" s="66" t="s">
        <v>1585</v>
      </c>
      <c r="X653" s="24" t="s">
        <v>1586</v>
      </c>
      <c r="Y653" s="62"/>
      <c r="Z653" s="177" t="s">
        <v>894</v>
      </c>
      <c r="AA653" s="80" t="s">
        <v>2381</v>
      </c>
      <c r="AB653" s="3"/>
      <c r="AC653" s="4"/>
      <c r="AD653" s="5"/>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6"/>
      <c r="CE653" s="7"/>
      <c r="CF653" s="6"/>
      <c r="CG653" s="7"/>
      <c r="CH653" s="6"/>
      <c r="CI653" s="7"/>
      <c r="CJ653" s="8">
        <f t="shared" si="86"/>
        <v>0</v>
      </c>
      <c r="CK653" s="9"/>
      <c r="CL653" s="10"/>
      <c r="CM653" s="11"/>
      <c r="CN653" s="12"/>
      <c r="CO653" s="28"/>
      <c r="CP653" s="12"/>
      <c r="CQ653" s="9"/>
      <c r="CR653" s="10"/>
      <c r="CS653" s="68"/>
      <c r="EC653" s="344" t="str">
        <f t="shared" si="81"/>
        <v>HUILA_COLOMBIA</v>
      </c>
      <c r="ED653" s="341"/>
      <c r="EE653" s="341" t="s">
        <v>3159</v>
      </c>
      <c r="EF653" s="349" t="s">
        <v>3160</v>
      </c>
      <c r="EG653" s="341" t="s">
        <v>3860</v>
      </c>
      <c r="EH653" s="341" t="s">
        <v>4965</v>
      </c>
      <c r="EI653" s="341" t="str">
        <f t="shared" si="88"/>
        <v>La Guajira_Riohacha</v>
      </c>
    </row>
    <row r="654" spans="1:139" ht="38.25">
      <c r="A654" s="228">
        <v>40337</v>
      </c>
      <c r="B654" s="102" t="s">
        <v>1615</v>
      </c>
      <c r="C654" s="102" t="s">
        <v>1642</v>
      </c>
      <c r="D654" s="206" t="s">
        <v>2606</v>
      </c>
      <c r="E654" s="320" t="s">
        <v>3376</v>
      </c>
      <c r="F654" s="320"/>
      <c r="G654" s="210"/>
      <c r="H654" s="71"/>
      <c r="I654" s="71"/>
      <c r="J654" s="71">
        <v>5</v>
      </c>
      <c r="K654" s="71">
        <v>1</v>
      </c>
      <c r="L654" s="1"/>
      <c r="M654" s="73">
        <f t="shared" si="82"/>
        <v>0</v>
      </c>
      <c r="N654" s="73">
        <f t="shared" si="83"/>
        <v>0</v>
      </c>
      <c r="O654" s="73">
        <f t="shared" si="84"/>
        <v>0</v>
      </c>
      <c r="P654" s="73">
        <f t="shared" si="85"/>
        <v>0</v>
      </c>
      <c r="Q654" s="73"/>
      <c r="R654" s="73">
        <v>0</v>
      </c>
      <c r="S654" s="75">
        <f t="shared" si="87"/>
        <v>0</v>
      </c>
      <c r="T654" s="77">
        <v>0</v>
      </c>
      <c r="U654" s="66">
        <v>40338</v>
      </c>
      <c r="V654" s="79"/>
      <c r="W654" s="66" t="s">
        <v>1585</v>
      </c>
      <c r="X654" s="24" t="s">
        <v>1586</v>
      </c>
      <c r="Y654" s="62"/>
      <c r="Z654" s="196" t="s">
        <v>894</v>
      </c>
      <c r="AA654" s="80" t="s">
        <v>2379</v>
      </c>
      <c r="AB654" s="3"/>
      <c r="AC654" s="4"/>
      <c r="AD654" s="5"/>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6"/>
      <c r="CE654" s="7"/>
      <c r="CF654" s="6"/>
      <c r="CG654" s="7"/>
      <c r="CH654" s="6"/>
      <c r="CI654" s="7"/>
      <c r="CJ654" s="8">
        <f t="shared" si="86"/>
        <v>0</v>
      </c>
      <c r="CK654" s="9"/>
      <c r="CL654" s="10"/>
      <c r="CM654" s="11"/>
      <c r="CN654" s="12"/>
      <c r="CO654" s="28"/>
      <c r="CP654" s="12"/>
      <c r="CQ654" s="9"/>
      <c r="CR654" s="10"/>
      <c r="CS654" s="68"/>
      <c r="EC654" s="344" t="str">
        <f t="shared" si="81"/>
        <v>BOLIVAR_CARTAGENA</v>
      </c>
      <c r="ED654" s="341"/>
      <c r="EE654" s="341" t="s">
        <v>3159</v>
      </c>
      <c r="EF654" s="349" t="s">
        <v>3160</v>
      </c>
      <c r="EG654" s="341" t="s">
        <v>3861</v>
      </c>
      <c r="EH654" s="341" t="s">
        <v>4709</v>
      </c>
      <c r="EI654" s="341" t="str">
        <f t="shared" si="88"/>
        <v>La Guajira_Albania</v>
      </c>
    </row>
    <row r="655" spans="1:139" ht="72">
      <c r="A655" s="235">
        <v>40338</v>
      </c>
      <c r="B655" s="224" t="s">
        <v>1972</v>
      </c>
      <c r="C655" s="224" t="s">
        <v>132</v>
      </c>
      <c r="D655" s="236" t="s">
        <v>1201</v>
      </c>
      <c r="E655" s="324" t="s">
        <v>3320</v>
      </c>
      <c r="F655" s="324"/>
      <c r="G655" s="210"/>
      <c r="H655" s="71"/>
      <c r="I655" s="71"/>
      <c r="J655" s="71">
        <v>500</v>
      </c>
      <c r="K655" s="71">
        <v>200</v>
      </c>
      <c r="L655" s="1"/>
      <c r="M655" s="73">
        <f t="shared" si="82"/>
        <v>0</v>
      </c>
      <c r="N655" s="73">
        <f t="shared" si="83"/>
        <v>0</v>
      </c>
      <c r="O655" s="73">
        <f t="shared" si="84"/>
        <v>0</v>
      </c>
      <c r="P655" s="73">
        <f t="shared" si="85"/>
        <v>0</v>
      </c>
      <c r="Q655" s="73"/>
      <c r="R655" s="73">
        <v>0</v>
      </c>
      <c r="S655" s="75">
        <f t="shared" si="87"/>
        <v>0</v>
      </c>
      <c r="T655" s="77">
        <v>0</v>
      </c>
      <c r="U655" s="66">
        <v>40338</v>
      </c>
      <c r="V655" s="79"/>
      <c r="W655" s="66" t="s">
        <v>1585</v>
      </c>
      <c r="X655" s="24" t="s">
        <v>1586</v>
      </c>
      <c r="Y655" s="62"/>
      <c r="Z655" s="177" t="s">
        <v>894</v>
      </c>
      <c r="AA655" s="80" t="s">
        <v>2736</v>
      </c>
      <c r="AB655" s="3"/>
      <c r="AC655" s="4"/>
      <c r="AD655" s="5"/>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6"/>
      <c r="CE655" s="7"/>
      <c r="CF655" s="6"/>
      <c r="CG655" s="7"/>
      <c r="CH655" s="6"/>
      <c r="CI655" s="7"/>
      <c r="CJ655" s="8">
        <f t="shared" si="86"/>
        <v>0</v>
      </c>
      <c r="CK655" s="9"/>
      <c r="CL655" s="10"/>
      <c r="CM655" s="11"/>
      <c r="CN655" s="12"/>
      <c r="CO655" s="28"/>
      <c r="CP655" s="12"/>
      <c r="CQ655" s="9"/>
      <c r="CR655" s="10"/>
      <c r="CS655" s="68"/>
      <c r="CT655" s="22">
        <v>1100</v>
      </c>
      <c r="EC655" s="344" t="str">
        <f t="shared" si="81"/>
        <v>ANTIOQUIA_SAN JUAN DE URABA</v>
      </c>
      <c r="ED655" s="341"/>
      <c r="EE655" s="341" t="s">
        <v>3159</v>
      </c>
      <c r="EF655" s="349" t="s">
        <v>3160</v>
      </c>
      <c r="EG655" s="341" t="s">
        <v>3862</v>
      </c>
      <c r="EH655" s="341" t="s">
        <v>4966</v>
      </c>
      <c r="EI655" s="341" t="str">
        <f t="shared" si="88"/>
        <v>La Guajira_Barrancas</v>
      </c>
    </row>
    <row r="656" spans="1:139" ht="38.25">
      <c r="A656" s="228">
        <v>40338</v>
      </c>
      <c r="B656" s="102" t="s">
        <v>1551</v>
      </c>
      <c r="C656" s="102" t="s">
        <v>2737</v>
      </c>
      <c r="D656" s="206" t="s">
        <v>1201</v>
      </c>
      <c r="E656" s="320" t="s">
        <v>3353</v>
      </c>
      <c r="F656" s="320"/>
      <c r="G656" s="210">
        <v>1</v>
      </c>
      <c r="H656" s="71"/>
      <c r="I656" s="71"/>
      <c r="J656" s="71"/>
      <c r="K656" s="71"/>
      <c r="L656" s="1"/>
      <c r="M656" s="73">
        <f t="shared" si="82"/>
        <v>0</v>
      </c>
      <c r="N656" s="73">
        <f t="shared" si="83"/>
        <v>0</v>
      </c>
      <c r="O656" s="73">
        <f t="shared" si="84"/>
        <v>0</v>
      </c>
      <c r="P656" s="73">
        <f t="shared" si="85"/>
        <v>0</v>
      </c>
      <c r="Q656" s="73"/>
      <c r="R656" s="73">
        <v>0</v>
      </c>
      <c r="S656" s="75">
        <f t="shared" si="87"/>
        <v>0</v>
      </c>
      <c r="T656" s="77">
        <v>0</v>
      </c>
      <c r="U656" s="66">
        <v>40338</v>
      </c>
      <c r="V656" s="79"/>
      <c r="W656" s="66" t="s">
        <v>1585</v>
      </c>
      <c r="X656" s="24" t="s">
        <v>1586</v>
      </c>
      <c r="Y656" s="62"/>
      <c r="Z656" s="177" t="s">
        <v>894</v>
      </c>
      <c r="AA656" s="80" t="s">
        <v>2738</v>
      </c>
      <c r="AB656" s="3"/>
      <c r="AC656" s="4"/>
      <c r="AD656" s="5"/>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6"/>
      <c r="CE656" s="7"/>
      <c r="CF656" s="6"/>
      <c r="CG656" s="7"/>
      <c r="CH656" s="6"/>
      <c r="CI656" s="7"/>
      <c r="CJ656" s="8">
        <f t="shared" si="86"/>
        <v>0</v>
      </c>
      <c r="CK656" s="9"/>
      <c r="CL656" s="10"/>
      <c r="CM656" s="11"/>
      <c r="CN656" s="12"/>
      <c r="CO656" s="28"/>
      <c r="CP656" s="12"/>
      <c r="CQ656" s="9"/>
      <c r="CR656" s="10"/>
      <c r="CS656" s="68"/>
      <c r="EC656" s="344" t="str">
        <f t="shared" si="81"/>
        <v>ATLANTICO_BARANOA</v>
      </c>
      <c r="ED656" s="341"/>
      <c r="EE656" s="341" t="s">
        <v>3159</v>
      </c>
      <c r="EF656" s="349" t="s">
        <v>3160</v>
      </c>
      <c r="EG656" s="341" t="s">
        <v>3863</v>
      </c>
      <c r="EH656" s="341" t="s">
        <v>4967</v>
      </c>
      <c r="EI656" s="341" t="str">
        <f t="shared" si="88"/>
        <v>La Guajira_Dibulla</v>
      </c>
    </row>
    <row r="657" spans="1:139" ht="84">
      <c r="A657" s="228">
        <v>40338</v>
      </c>
      <c r="B657" s="102" t="s">
        <v>2704</v>
      </c>
      <c r="C657" s="102" t="s">
        <v>1158</v>
      </c>
      <c r="D657" s="206" t="s">
        <v>1201</v>
      </c>
      <c r="E657" s="320" t="s">
        <v>3570</v>
      </c>
      <c r="F657" s="320"/>
      <c r="G657" s="210"/>
      <c r="H657" s="71"/>
      <c r="I657" s="71"/>
      <c r="J657" s="71"/>
      <c r="K657" s="71"/>
      <c r="L657" s="1"/>
      <c r="M657" s="73">
        <f t="shared" si="82"/>
        <v>0</v>
      </c>
      <c r="N657" s="73">
        <f t="shared" si="83"/>
        <v>0</v>
      </c>
      <c r="O657" s="73">
        <f t="shared" si="84"/>
        <v>0</v>
      </c>
      <c r="P657" s="73">
        <f t="shared" si="85"/>
        <v>0</v>
      </c>
      <c r="Q657" s="73"/>
      <c r="R657" s="73">
        <v>0</v>
      </c>
      <c r="S657" s="75">
        <f t="shared" si="87"/>
        <v>0</v>
      </c>
      <c r="T657" s="77">
        <v>0</v>
      </c>
      <c r="U657" s="66">
        <v>40338</v>
      </c>
      <c r="V657" s="79"/>
      <c r="W657" s="66" t="s">
        <v>1585</v>
      </c>
      <c r="X657" s="24" t="s">
        <v>1586</v>
      </c>
      <c r="Y657" s="62"/>
      <c r="Z657" s="177" t="s">
        <v>894</v>
      </c>
      <c r="AA657" s="80" t="s">
        <v>2368</v>
      </c>
      <c r="AB657" s="3"/>
      <c r="AC657" s="4"/>
      <c r="AD657" s="5"/>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6"/>
      <c r="CE657" s="7"/>
      <c r="CF657" s="6"/>
      <c r="CG657" s="7"/>
      <c r="CH657" s="6"/>
      <c r="CI657" s="7"/>
      <c r="CJ657" s="8">
        <f t="shared" si="86"/>
        <v>0</v>
      </c>
      <c r="CK657" s="9"/>
      <c r="CL657" s="10"/>
      <c r="CM657" s="11"/>
      <c r="CN657" s="12"/>
      <c r="CO657" s="28"/>
      <c r="CP657" s="12"/>
      <c r="CQ657" s="9"/>
      <c r="CR657" s="10"/>
      <c r="CS657" s="68"/>
      <c r="EC657" s="344" t="str">
        <f t="shared" si="81"/>
        <v>CAQUETA_FLORENCIA</v>
      </c>
      <c r="ED657" s="341"/>
      <c r="EE657" s="341" t="s">
        <v>3159</v>
      </c>
      <c r="EF657" s="349" t="s">
        <v>3160</v>
      </c>
      <c r="EG657" s="341" t="s">
        <v>3864</v>
      </c>
      <c r="EH657" s="341" t="s">
        <v>4968</v>
      </c>
      <c r="EI657" s="341" t="str">
        <f t="shared" si="88"/>
        <v>La Guajira_Distraccion</v>
      </c>
    </row>
    <row r="658" spans="1:139" ht="38.25">
      <c r="A658" s="228">
        <v>40338</v>
      </c>
      <c r="B658" s="102" t="s">
        <v>2704</v>
      </c>
      <c r="C658" s="102" t="s">
        <v>2591</v>
      </c>
      <c r="D658" s="206" t="s">
        <v>1201</v>
      </c>
      <c r="E658" s="320" t="s">
        <v>3579</v>
      </c>
      <c r="F658" s="320"/>
      <c r="G658" s="210"/>
      <c r="H658" s="71"/>
      <c r="I658" s="71"/>
      <c r="J658" s="71">
        <f>68*5</f>
        <v>340</v>
      </c>
      <c r="K658" s="71">
        <v>68</v>
      </c>
      <c r="L658" s="1"/>
      <c r="M658" s="73">
        <f t="shared" si="82"/>
        <v>0</v>
      </c>
      <c r="N658" s="73">
        <f t="shared" si="83"/>
        <v>0</v>
      </c>
      <c r="O658" s="73">
        <f t="shared" si="84"/>
        <v>0</v>
      </c>
      <c r="P658" s="73">
        <f t="shared" si="85"/>
        <v>0</v>
      </c>
      <c r="Q658" s="73"/>
      <c r="R658" s="73">
        <v>0</v>
      </c>
      <c r="S658" s="75">
        <f t="shared" si="87"/>
        <v>0</v>
      </c>
      <c r="T658" s="77">
        <v>0</v>
      </c>
      <c r="U658" s="66">
        <v>40338</v>
      </c>
      <c r="V658" s="79"/>
      <c r="W658" s="66" t="s">
        <v>1585</v>
      </c>
      <c r="X658" s="24" t="s">
        <v>1586</v>
      </c>
      <c r="Y658" s="62"/>
      <c r="Z658" s="177" t="s">
        <v>894</v>
      </c>
      <c r="AA658" s="80" t="s">
        <v>902</v>
      </c>
      <c r="AB658" s="3"/>
      <c r="AC658" s="4"/>
      <c r="AD658" s="5"/>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6"/>
      <c r="CE658" s="7"/>
      <c r="CF658" s="6"/>
      <c r="CG658" s="7"/>
      <c r="CH658" s="6"/>
      <c r="CI658" s="7"/>
      <c r="CJ658" s="8">
        <f t="shared" si="86"/>
        <v>0</v>
      </c>
      <c r="CK658" s="9"/>
      <c r="CL658" s="10"/>
      <c r="CM658" s="11"/>
      <c r="CN658" s="12"/>
      <c r="CO658" s="28"/>
      <c r="CP658" s="12"/>
      <c r="CQ658" s="9"/>
      <c r="CR658" s="10"/>
      <c r="CS658" s="68"/>
      <c r="EC658" s="344" t="str">
        <f t="shared" si="81"/>
        <v>CAQUETA_MORELIA</v>
      </c>
      <c r="ED658" s="341"/>
      <c r="EE658" s="341" t="s">
        <v>3159</v>
      </c>
      <c r="EF658" s="349" t="s">
        <v>3160</v>
      </c>
      <c r="EG658" s="341" t="s">
        <v>3865</v>
      </c>
      <c r="EH658" s="341" t="s">
        <v>4969</v>
      </c>
      <c r="EI658" s="341" t="str">
        <f t="shared" si="88"/>
        <v>La Guajira_El Molino</v>
      </c>
    </row>
    <row r="659" spans="1:139" ht="60">
      <c r="A659" s="228">
        <v>40338</v>
      </c>
      <c r="B659" s="102" t="s">
        <v>1617</v>
      </c>
      <c r="C659" s="102" t="s">
        <v>1618</v>
      </c>
      <c r="D659" s="206" t="s">
        <v>1201</v>
      </c>
      <c r="E659" s="320" t="s">
        <v>4281</v>
      </c>
      <c r="F659" s="320"/>
      <c r="G659" s="210"/>
      <c r="H659" s="71"/>
      <c r="I659" s="71"/>
      <c r="J659" s="71">
        <v>622</v>
      </c>
      <c r="K659" s="71">
        <v>145</v>
      </c>
      <c r="L659" s="1"/>
      <c r="M659" s="73">
        <f t="shared" si="82"/>
        <v>0</v>
      </c>
      <c r="N659" s="73">
        <f t="shared" si="83"/>
        <v>0</v>
      </c>
      <c r="O659" s="73">
        <f t="shared" si="84"/>
        <v>0</v>
      </c>
      <c r="P659" s="73">
        <f t="shared" si="85"/>
        <v>0</v>
      </c>
      <c r="Q659" s="73"/>
      <c r="R659" s="73">
        <v>0</v>
      </c>
      <c r="S659" s="75">
        <f t="shared" si="87"/>
        <v>0</v>
      </c>
      <c r="T659" s="77">
        <v>0</v>
      </c>
      <c r="U659" s="66">
        <v>40338</v>
      </c>
      <c r="V659" s="79"/>
      <c r="W659" s="66" t="s">
        <v>1585</v>
      </c>
      <c r="X659" s="24" t="s">
        <v>1586</v>
      </c>
      <c r="Y659" s="62"/>
      <c r="Z659" s="177" t="s">
        <v>894</v>
      </c>
      <c r="AA659" s="80" t="s">
        <v>2739</v>
      </c>
      <c r="AB659" s="3"/>
      <c r="AC659" s="4"/>
      <c r="AD659" s="5"/>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6"/>
      <c r="CE659" s="7"/>
      <c r="CF659" s="6"/>
      <c r="CG659" s="7"/>
      <c r="CH659" s="6"/>
      <c r="CI659" s="7"/>
      <c r="CJ659" s="8">
        <f t="shared" si="86"/>
        <v>0</v>
      </c>
      <c r="CK659" s="9"/>
      <c r="CL659" s="10"/>
      <c r="CM659" s="11"/>
      <c r="CN659" s="12"/>
      <c r="CO659" s="28"/>
      <c r="CP659" s="12"/>
      <c r="CQ659" s="9"/>
      <c r="CR659" s="10"/>
      <c r="CS659" s="68"/>
      <c r="EC659" s="344" t="str">
        <f t="shared" si="81"/>
        <v>CASANARE_OROCUE</v>
      </c>
      <c r="ED659" s="341"/>
      <c r="EE659" s="341" t="s">
        <v>3159</v>
      </c>
      <c r="EF659" s="349" t="s">
        <v>3160</v>
      </c>
      <c r="EG659" s="341" t="s">
        <v>3866</v>
      </c>
      <c r="EH659" s="341" t="s">
        <v>4970</v>
      </c>
      <c r="EI659" s="341" t="str">
        <f t="shared" si="88"/>
        <v>La Guajira_Fonseca</v>
      </c>
    </row>
    <row r="660" spans="1:139" ht="48">
      <c r="A660" s="228">
        <v>40338</v>
      </c>
      <c r="B660" s="102" t="s">
        <v>1609</v>
      </c>
      <c r="C660" s="102" t="s">
        <v>2372</v>
      </c>
      <c r="D660" s="206" t="s">
        <v>2606</v>
      </c>
      <c r="E660" s="320" t="s">
        <v>4051</v>
      </c>
      <c r="F660" s="320"/>
      <c r="G660" s="210"/>
      <c r="H660" s="71"/>
      <c r="I660" s="71"/>
      <c r="J660" s="71">
        <f>14*5</f>
        <v>70</v>
      </c>
      <c r="K660" s="71">
        <f>27-13</f>
        <v>14</v>
      </c>
      <c r="L660" s="1">
        <v>40366</v>
      </c>
      <c r="M660" s="73">
        <f t="shared" si="82"/>
        <v>6935000</v>
      </c>
      <c r="N660" s="73">
        <f t="shared" si="83"/>
        <v>0</v>
      </c>
      <c r="O660" s="73">
        <f t="shared" si="84"/>
        <v>14027700</v>
      </c>
      <c r="P660" s="73">
        <f t="shared" si="85"/>
        <v>0</v>
      </c>
      <c r="Q660" s="73"/>
      <c r="R660" s="73">
        <v>0</v>
      </c>
      <c r="S660" s="75">
        <f t="shared" si="87"/>
        <v>20962700</v>
      </c>
      <c r="T660" s="77">
        <v>0</v>
      </c>
      <c r="U660" s="66">
        <v>40345</v>
      </c>
      <c r="V660" s="79">
        <v>98310</v>
      </c>
      <c r="W660" s="66" t="s">
        <v>1606</v>
      </c>
      <c r="X660" s="24" t="s">
        <v>1607</v>
      </c>
      <c r="Y660" s="62">
        <v>192</v>
      </c>
      <c r="Z660" s="177" t="s">
        <v>2580</v>
      </c>
      <c r="AA660" s="80" t="s">
        <v>1173</v>
      </c>
      <c r="AB660" s="3"/>
      <c r="AC660" s="4"/>
      <c r="AD660" s="5"/>
      <c r="AE660" s="4"/>
      <c r="AF660" s="4"/>
      <c r="AG660" s="4"/>
      <c r="AH660" s="4"/>
      <c r="AI660" s="4"/>
      <c r="AJ660" s="4"/>
      <c r="AK660" s="4"/>
      <c r="AL660" s="4"/>
      <c r="AM660" s="4"/>
      <c r="AN660" s="4">
        <v>73</v>
      </c>
      <c r="AO660" s="4">
        <f>73*56000</f>
        <v>4088000</v>
      </c>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v>73</v>
      </c>
      <c r="BW660" s="4">
        <f>73*18000</f>
        <v>1314000</v>
      </c>
      <c r="BX660" s="4">
        <v>73</v>
      </c>
      <c r="BY660" s="4">
        <f>73*21000</f>
        <v>1533000</v>
      </c>
      <c r="BZ660" s="4"/>
      <c r="CA660" s="4"/>
      <c r="CB660" s="4"/>
      <c r="CC660" s="4"/>
      <c r="CD660" s="6"/>
      <c r="CE660" s="7"/>
      <c r="CF660" s="6"/>
      <c r="CG660" s="7"/>
      <c r="CH660" s="6"/>
      <c r="CI660" s="7"/>
      <c r="CJ660" s="8">
        <f t="shared" si="86"/>
        <v>6935000</v>
      </c>
      <c r="CK660" s="9"/>
      <c r="CL660" s="10"/>
      <c r="CM660" s="11"/>
      <c r="CN660" s="12"/>
      <c r="CO660" s="28"/>
      <c r="CP660" s="12"/>
      <c r="CQ660" s="9">
        <v>570</v>
      </c>
      <c r="CR660" s="10">
        <f>570*22000+4275*348</f>
        <v>14027700</v>
      </c>
      <c r="CS660" s="68"/>
      <c r="CT660" s="22" t="s">
        <v>1433</v>
      </c>
      <c r="EC660" s="344" t="str">
        <f t="shared" si="81"/>
        <v>RISARALDA_APIA</v>
      </c>
      <c r="ED660" s="341"/>
      <c r="EE660" s="341" t="s">
        <v>3159</v>
      </c>
      <c r="EF660" s="349" t="s">
        <v>3160</v>
      </c>
      <c r="EG660" s="341" t="s">
        <v>3867</v>
      </c>
      <c r="EH660" s="341" t="s">
        <v>4971</v>
      </c>
      <c r="EI660" s="341" t="str">
        <f t="shared" si="88"/>
        <v>La Guajira_Hatonuevo</v>
      </c>
    </row>
    <row r="661" spans="1:139" ht="51">
      <c r="A661" s="228">
        <v>40338</v>
      </c>
      <c r="B661" s="102" t="s">
        <v>1609</v>
      </c>
      <c r="C661" s="102" t="s">
        <v>742</v>
      </c>
      <c r="D661" s="206" t="s">
        <v>2606</v>
      </c>
      <c r="E661" s="320" t="s">
        <v>4052</v>
      </c>
      <c r="F661" s="320"/>
      <c r="G661" s="210"/>
      <c r="H661" s="71"/>
      <c r="I661" s="71"/>
      <c r="J661" s="71">
        <f>36*5</f>
        <v>180</v>
      </c>
      <c r="K661" s="71">
        <v>36</v>
      </c>
      <c r="L661" s="1"/>
      <c r="M661" s="73">
        <f t="shared" si="82"/>
        <v>0</v>
      </c>
      <c r="N661" s="73">
        <f t="shared" si="83"/>
        <v>0</v>
      </c>
      <c r="O661" s="73">
        <f t="shared" si="84"/>
        <v>0</v>
      </c>
      <c r="P661" s="73">
        <f t="shared" si="85"/>
        <v>0</v>
      </c>
      <c r="Q661" s="73"/>
      <c r="R661" s="73">
        <v>0</v>
      </c>
      <c r="S661" s="75">
        <f t="shared" si="87"/>
        <v>0</v>
      </c>
      <c r="T661" s="77">
        <v>0</v>
      </c>
      <c r="U661" s="66">
        <v>40344</v>
      </c>
      <c r="V661" s="79"/>
      <c r="W661" s="66" t="s">
        <v>1585</v>
      </c>
      <c r="X661" s="24" t="s">
        <v>1586</v>
      </c>
      <c r="Y661" s="62"/>
      <c r="Z661" s="177" t="s">
        <v>894</v>
      </c>
      <c r="AA661" s="80" t="s">
        <v>557</v>
      </c>
      <c r="AB661" s="3"/>
      <c r="AC661" s="4"/>
      <c r="AD661" s="5"/>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6"/>
      <c r="CE661" s="7"/>
      <c r="CF661" s="6"/>
      <c r="CG661" s="7"/>
      <c r="CH661" s="6"/>
      <c r="CI661" s="7"/>
      <c r="CJ661" s="8">
        <f t="shared" si="86"/>
        <v>0</v>
      </c>
      <c r="CK661" s="9"/>
      <c r="CL661" s="10"/>
      <c r="CM661" s="11"/>
      <c r="CN661" s="12"/>
      <c r="CO661" s="28"/>
      <c r="CP661" s="12"/>
      <c r="CQ661" s="9"/>
      <c r="CR661" s="10"/>
      <c r="CS661" s="68"/>
      <c r="EC661" s="344" t="str">
        <f t="shared" si="81"/>
        <v>RISARALDA_BALBOA</v>
      </c>
      <c r="ED661" s="341"/>
      <c r="EE661" s="341" t="s">
        <v>3159</v>
      </c>
      <c r="EF661" s="349" t="s">
        <v>3160</v>
      </c>
      <c r="EG661" s="341" t="s">
        <v>3868</v>
      </c>
      <c r="EH661" s="341" t="s">
        <v>4972</v>
      </c>
      <c r="EI661" s="341" t="str">
        <f t="shared" si="88"/>
        <v>La Guajira_La Jagua del Pilar</v>
      </c>
    </row>
    <row r="662" spans="1:139" ht="48">
      <c r="A662" s="228">
        <v>40338</v>
      </c>
      <c r="B662" s="102" t="s">
        <v>1609</v>
      </c>
      <c r="C662" s="102" t="s">
        <v>2377</v>
      </c>
      <c r="D662" s="206" t="s">
        <v>2606</v>
      </c>
      <c r="E662" s="320" t="s">
        <v>4058</v>
      </c>
      <c r="F662" s="320"/>
      <c r="G662" s="210"/>
      <c r="H662" s="71"/>
      <c r="I662" s="71"/>
      <c r="J662" s="71">
        <f>35*5</f>
        <v>175</v>
      </c>
      <c r="K662" s="71">
        <v>35</v>
      </c>
      <c r="L662" s="1">
        <v>40366</v>
      </c>
      <c r="M662" s="73">
        <f t="shared" si="82"/>
        <v>0</v>
      </c>
      <c r="N662" s="73">
        <f t="shared" si="83"/>
        <v>2550000</v>
      </c>
      <c r="O662" s="73">
        <f t="shared" si="84"/>
        <v>22152420</v>
      </c>
      <c r="P662" s="73">
        <f t="shared" si="85"/>
        <v>0</v>
      </c>
      <c r="Q662" s="73"/>
      <c r="R662" s="73">
        <v>0</v>
      </c>
      <c r="S662" s="75">
        <f t="shared" si="87"/>
        <v>24702420</v>
      </c>
      <c r="T662" s="77">
        <v>0</v>
      </c>
      <c r="U662" s="66">
        <v>40335</v>
      </c>
      <c r="V662" s="79">
        <v>98310</v>
      </c>
      <c r="W662" s="66" t="s">
        <v>1606</v>
      </c>
      <c r="X662" s="24" t="s">
        <v>1607</v>
      </c>
      <c r="Y662" s="62">
        <v>192</v>
      </c>
      <c r="Z662" s="177" t="s">
        <v>2580</v>
      </c>
      <c r="AA662" s="80" t="s">
        <v>558</v>
      </c>
      <c r="AB662" s="3"/>
      <c r="AC662" s="4"/>
      <c r="AD662" s="5"/>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6"/>
      <c r="CE662" s="7"/>
      <c r="CF662" s="6"/>
      <c r="CG662" s="7"/>
      <c r="CH662" s="6"/>
      <c r="CI662" s="7"/>
      <c r="CJ662" s="8">
        <f t="shared" si="86"/>
        <v>0</v>
      </c>
      <c r="CK662" s="9"/>
      <c r="CL662" s="10"/>
      <c r="CM662" s="11">
        <v>30</v>
      </c>
      <c r="CN662" s="12">
        <f>30*85000</f>
        <v>2550000</v>
      </c>
      <c r="CO662" s="28"/>
      <c r="CP662" s="12"/>
      <c r="CQ662" s="9">
        <f>520+275</f>
        <v>795</v>
      </c>
      <c r="CR662" s="10">
        <f>520*22000+275*34000+3915*348</f>
        <v>22152420</v>
      </c>
      <c r="CS662" s="68"/>
      <c r="CT662" s="22" t="s">
        <v>1434</v>
      </c>
      <c r="EC662" s="344" t="str">
        <f t="shared" si="81"/>
        <v>RISARALDA_MARSELLA</v>
      </c>
      <c r="ED662" s="341"/>
      <c r="EE662" s="341" t="s">
        <v>3159</v>
      </c>
      <c r="EF662" s="349" t="s">
        <v>3160</v>
      </c>
      <c r="EG662" s="341" t="s">
        <v>3869</v>
      </c>
      <c r="EH662" s="341" t="s">
        <v>4973</v>
      </c>
      <c r="EI662" s="341" t="str">
        <f t="shared" si="88"/>
        <v>La Guajira_Maicao</v>
      </c>
    </row>
    <row r="663" spans="1:139" ht="38.25">
      <c r="A663" s="228">
        <v>40339</v>
      </c>
      <c r="B663" s="102" t="s">
        <v>1612</v>
      </c>
      <c r="C663" s="102" t="s">
        <v>1613</v>
      </c>
      <c r="D663" s="206" t="s">
        <v>1316</v>
      </c>
      <c r="E663" s="320" t="s">
        <v>4038</v>
      </c>
      <c r="F663" s="320"/>
      <c r="G663" s="210">
        <v>1</v>
      </c>
      <c r="H663" s="71"/>
      <c r="I663" s="71"/>
      <c r="J663" s="71"/>
      <c r="K663" s="71"/>
      <c r="L663" s="1"/>
      <c r="M663" s="73">
        <f t="shared" si="82"/>
        <v>0</v>
      </c>
      <c r="N663" s="73">
        <f t="shared" si="83"/>
        <v>0</v>
      </c>
      <c r="O663" s="73">
        <f t="shared" si="84"/>
        <v>0</v>
      </c>
      <c r="P663" s="73">
        <f t="shared" si="85"/>
        <v>0</v>
      </c>
      <c r="Q663" s="73"/>
      <c r="R663" s="73">
        <v>0</v>
      </c>
      <c r="S663" s="75">
        <f t="shared" si="87"/>
        <v>0</v>
      </c>
      <c r="T663" s="77">
        <v>0</v>
      </c>
      <c r="U663" s="66">
        <v>40344</v>
      </c>
      <c r="V663" s="79"/>
      <c r="W663" s="66" t="s">
        <v>1585</v>
      </c>
      <c r="X663" s="24" t="s">
        <v>1586</v>
      </c>
      <c r="Y663" s="62"/>
      <c r="Z663" s="177" t="s">
        <v>894</v>
      </c>
      <c r="AA663" s="80" t="s">
        <v>1687</v>
      </c>
      <c r="AB663" s="3"/>
      <c r="AC663" s="4"/>
      <c r="AD663" s="5"/>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6"/>
      <c r="CE663" s="7"/>
      <c r="CF663" s="6"/>
      <c r="CG663" s="7"/>
      <c r="CH663" s="6"/>
      <c r="CI663" s="7"/>
      <c r="CJ663" s="8">
        <f t="shared" si="86"/>
        <v>0</v>
      </c>
      <c r="CK663" s="9"/>
      <c r="CL663" s="10"/>
      <c r="CM663" s="11"/>
      <c r="CN663" s="12"/>
      <c r="CO663" s="28"/>
      <c r="CP663" s="12"/>
      <c r="CQ663" s="9"/>
      <c r="CR663" s="10"/>
      <c r="CS663" s="68"/>
      <c r="EC663" s="344" t="str">
        <f t="shared" si="81"/>
        <v>QUINDIO_ARMENIA</v>
      </c>
      <c r="ED663" s="341"/>
      <c r="EE663" s="341" t="s">
        <v>3159</v>
      </c>
      <c r="EF663" s="349" t="s">
        <v>3160</v>
      </c>
      <c r="EG663" s="341" t="s">
        <v>3870</v>
      </c>
      <c r="EH663" s="341" t="s">
        <v>4768</v>
      </c>
      <c r="EI663" s="341" t="str">
        <f t="shared" si="88"/>
        <v>La Guajira_Manaure</v>
      </c>
    </row>
    <row r="664" spans="1:139" ht="51">
      <c r="A664" s="228">
        <v>40341</v>
      </c>
      <c r="B664" s="102" t="s">
        <v>1615</v>
      </c>
      <c r="C664" s="102" t="s">
        <v>1642</v>
      </c>
      <c r="D664" s="206" t="s">
        <v>2606</v>
      </c>
      <c r="E664" s="320" t="s">
        <v>3376</v>
      </c>
      <c r="F664" s="320"/>
      <c r="G664" s="210"/>
      <c r="H664" s="71"/>
      <c r="I664" s="71"/>
      <c r="J664" s="71">
        <f>38*5</f>
        <v>190</v>
      </c>
      <c r="K664" s="71">
        <v>38</v>
      </c>
      <c r="L664" s="1">
        <v>40366</v>
      </c>
      <c r="M664" s="73">
        <f t="shared" si="82"/>
        <v>0</v>
      </c>
      <c r="N664" s="73">
        <f t="shared" si="83"/>
        <v>0</v>
      </c>
      <c r="O664" s="73">
        <f t="shared" si="84"/>
        <v>12151528</v>
      </c>
      <c r="P664" s="73">
        <f t="shared" si="85"/>
        <v>0</v>
      </c>
      <c r="Q664" s="73"/>
      <c r="R664" s="73">
        <v>0</v>
      </c>
      <c r="S664" s="75">
        <f t="shared" si="87"/>
        <v>12151528</v>
      </c>
      <c r="T664" s="77">
        <v>0</v>
      </c>
      <c r="U664" s="66">
        <v>40352</v>
      </c>
      <c r="V664" s="79">
        <v>98526</v>
      </c>
      <c r="W664" s="66" t="s">
        <v>1606</v>
      </c>
      <c r="X664" s="24" t="s">
        <v>1607</v>
      </c>
      <c r="Y664" s="62">
        <v>192</v>
      </c>
      <c r="Z664" s="177" t="s">
        <v>2580</v>
      </c>
      <c r="AA664" s="80" t="s">
        <v>1098</v>
      </c>
      <c r="AB664" s="3"/>
      <c r="AC664" s="4"/>
      <c r="AD664" s="5"/>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6"/>
      <c r="CE664" s="7"/>
      <c r="CF664" s="6"/>
      <c r="CG664" s="7"/>
      <c r="CH664" s="6"/>
      <c r="CI664" s="7"/>
      <c r="CJ664" s="8">
        <f t="shared" si="86"/>
        <v>0</v>
      </c>
      <c r="CK664" s="9"/>
      <c r="CL664" s="10"/>
      <c r="CM664" s="11"/>
      <c r="CN664" s="12"/>
      <c r="CO664" s="28"/>
      <c r="CP664" s="12"/>
      <c r="CQ664" s="9">
        <f>248+8+127</f>
        <v>383</v>
      </c>
      <c r="CR664" s="10">
        <f>248*34000+8*38000+127*22000+1786*348</f>
        <v>12151528</v>
      </c>
      <c r="CS664" s="68"/>
      <c r="CT664" s="22" t="s">
        <v>1432</v>
      </c>
      <c r="EC664" s="344" t="str">
        <f t="shared" si="81"/>
        <v>BOLIVAR_CARTAGENA</v>
      </c>
      <c r="ED664" s="341"/>
      <c r="EE664" s="341" t="s">
        <v>3159</v>
      </c>
      <c r="EF664" s="349" t="s">
        <v>3160</v>
      </c>
      <c r="EG664" s="341" t="s">
        <v>3871</v>
      </c>
      <c r="EH664" s="341" t="s">
        <v>4974</v>
      </c>
      <c r="EI664" s="341" t="str">
        <f t="shared" si="88"/>
        <v>La Guajira_San Juan del Cesar</v>
      </c>
    </row>
    <row r="665" spans="1:139" ht="38.25">
      <c r="A665" s="228">
        <v>40342</v>
      </c>
      <c r="B665" s="102" t="s">
        <v>1088</v>
      </c>
      <c r="C665" s="102" t="s">
        <v>2440</v>
      </c>
      <c r="D665" s="206" t="s">
        <v>1594</v>
      </c>
      <c r="E665" s="320" t="s">
        <v>4242</v>
      </c>
      <c r="F665" s="320"/>
      <c r="G665" s="210">
        <v>3</v>
      </c>
      <c r="H665" s="71"/>
      <c r="I665" s="71"/>
      <c r="J665" s="71"/>
      <c r="K665" s="71"/>
      <c r="L665" s="1"/>
      <c r="M665" s="73">
        <f t="shared" si="82"/>
        <v>0</v>
      </c>
      <c r="N665" s="73">
        <f t="shared" si="83"/>
        <v>0</v>
      </c>
      <c r="O665" s="73">
        <f t="shared" si="84"/>
        <v>0</v>
      </c>
      <c r="P665" s="73">
        <f t="shared" si="85"/>
        <v>0</v>
      </c>
      <c r="Q665" s="73"/>
      <c r="R665" s="73">
        <v>0</v>
      </c>
      <c r="S665" s="75">
        <f t="shared" si="87"/>
        <v>0</v>
      </c>
      <c r="T665" s="77">
        <v>0</v>
      </c>
      <c r="U665" s="66">
        <v>40344</v>
      </c>
      <c r="V665" s="79"/>
      <c r="W665" s="66" t="s">
        <v>1585</v>
      </c>
      <c r="X665" s="24" t="s">
        <v>1586</v>
      </c>
      <c r="Y665" s="62"/>
      <c r="Z665" s="177" t="s">
        <v>894</v>
      </c>
      <c r="AA665" s="80" t="s">
        <v>1693</v>
      </c>
      <c r="AB665" s="3"/>
      <c r="AC665" s="4"/>
      <c r="AD665" s="5"/>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6"/>
      <c r="CE665" s="7"/>
      <c r="CF665" s="6"/>
      <c r="CG665" s="7"/>
      <c r="CH665" s="6"/>
      <c r="CI665" s="7"/>
      <c r="CJ665" s="8">
        <f t="shared" si="86"/>
        <v>0</v>
      </c>
      <c r="CK665" s="9"/>
      <c r="CL665" s="10"/>
      <c r="CM665" s="11"/>
      <c r="CN665" s="12"/>
      <c r="CO665" s="28"/>
      <c r="CP665" s="12"/>
      <c r="CQ665" s="9"/>
      <c r="CR665" s="10"/>
      <c r="CS665" s="68"/>
      <c r="EC665" s="344" t="str">
        <f t="shared" si="81"/>
        <v>VALLE DEL CAUCA_FLORIDA</v>
      </c>
      <c r="ED665" s="341"/>
      <c r="EE665" s="341" t="s">
        <v>3159</v>
      </c>
      <c r="EF665" s="349" t="s">
        <v>3160</v>
      </c>
      <c r="EG665" s="341" t="s">
        <v>3872</v>
      </c>
      <c r="EH665" s="341" t="s">
        <v>4975</v>
      </c>
      <c r="EI665" s="341" t="str">
        <f t="shared" si="88"/>
        <v>La Guajira_Uribia</v>
      </c>
    </row>
    <row r="666" spans="1:139" ht="38.25">
      <c r="A666" s="228">
        <v>40343</v>
      </c>
      <c r="B666" s="102" t="s">
        <v>2298</v>
      </c>
      <c r="C666" s="102" t="s">
        <v>1610</v>
      </c>
      <c r="D666" s="206" t="s">
        <v>1316</v>
      </c>
      <c r="E666" s="320" t="s">
        <v>3375</v>
      </c>
      <c r="F666" s="320"/>
      <c r="G666" s="210"/>
      <c r="H666" s="71"/>
      <c r="I666" s="71"/>
      <c r="J666" s="71"/>
      <c r="K666" s="71"/>
      <c r="L666" s="1"/>
      <c r="M666" s="73">
        <f t="shared" si="82"/>
        <v>0</v>
      </c>
      <c r="N666" s="73">
        <f t="shared" si="83"/>
        <v>0</v>
      </c>
      <c r="O666" s="73">
        <f t="shared" si="84"/>
        <v>0</v>
      </c>
      <c r="P666" s="73">
        <f t="shared" si="85"/>
        <v>0</v>
      </c>
      <c r="Q666" s="73"/>
      <c r="R666" s="73">
        <v>0</v>
      </c>
      <c r="S666" s="75">
        <f t="shared" si="87"/>
        <v>0</v>
      </c>
      <c r="T666" s="77">
        <v>0</v>
      </c>
      <c r="U666" s="66">
        <v>40344</v>
      </c>
      <c r="V666" s="79"/>
      <c r="W666" s="66" t="s">
        <v>1585</v>
      </c>
      <c r="X666" s="24" t="s">
        <v>1586</v>
      </c>
      <c r="Y666" s="62"/>
      <c r="Z666" s="177" t="s">
        <v>894</v>
      </c>
      <c r="AA666" s="80" t="s">
        <v>1691</v>
      </c>
      <c r="AB666" s="3"/>
      <c r="AC666" s="4"/>
      <c r="AD666" s="5"/>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6"/>
      <c r="CE666" s="7"/>
      <c r="CF666" s="6"/>
      <c r="CG666" s="7"/>
      <c r="CH666" s="6"/>
      <c r="CI666" s="7"/>
      <c r="CJ666" s="8">
        <f t="shared" si="86"/>
        <v>0</v>
      </c>
      <c r="CK666" s="9"/>
      <c r="CL666" s="10"/>
      <c r="CM666" s="11"/>
      <c r="CN666" s="12"/>
      <c r="CO666" s="28"/>
      <c r="CP666" s="12"/>
      <c r="CQ666" s="9"/>
      <c r="CR666" s="10"/>
      <c r="CS666" s="68"/>
      <c r="EC666" s="344" t="str">
        <f t="shared" si="81"/>
        <v>BOGOTA D.C._BOGOTA</v>
      </c>
      <c r="ED666" s="341"/>
      <c r="EE666" s="341" t="s">
        <v>3159</v>
      </c>
      <c r="EF666" s="349" t="s">
        <v>3160</v>
      </c>
      <c r="EG666" s="341" t="s">
        <v>3873</v>
      </c>
      <c r="EH666" s="341" t="s">
        <v>4976</v>
      </c>
      <c r="EI666" s="341" t="str">
        <f t="shared" si="88"/>
        <v>La Guajira_Urumita</v>
      </c>
    </row>
    <row r="667" spans="1:139" ht="38.25">
      <c r="A667" s="228">
        <v>40343</v>
      </c>
      <c r="B667" s="102" t="s">
        <v>2400</v>
      </c>
      <c r="C667" s="102" t="s">
        <v>1180</v>
      </c>
      <c r="D667" s="206" t="s">
        <v>1923</v>
      </c>
      <c r="E667" s="320" t="s">
        <v>4219</v>
      </c>
      <c r="F667" s="320"/>
      <c r="G667" s="210">
        <v>2</v>
      </c>
      <c r="H667" s="71"/>
      <c r="I667" s="71"/>
      <c r="J667" s="71"/>
      <c r="K667" s="71"/>
      <c r="L667" s="1"/>
      <c r="M667" s="73">
        <f t="shared" si="82"/>
        <v>0</v>
      </c>
      <c r="N667" s="73">
        <f t="shared" si="83"/>
        <v>0</v>
      </c>
      <c r="O667" s="73">
        <f t="shared" si="84"/>
        <v>0</v>
      </c>
      <c r="P667" s="73">
        <f t="shared" si="85"/>
        <v>0</v>
      </c>
      <c r="Q667" s="73"/>
      <c r="R667" s="73">
        <v>0</v>
      </c>
      <c r="S667" s="75">
        <f t="shared" si="87"/>
        <v>0</v>
      </c>
      <c r="T667" s="77">
        <v>0</v>
      </c>
      <c r="U667" s="66">
        <v>40344</v>
      </c>
      <c r="V667" s="79"/>
      <c r="W667" s="66" t="s">
        <v>1585</v>
      </c>
      <c r="X667" s="24" t="s">
        <v>1586</v>
      </c>
      <c r="Y667" s="62"/>
      <c r="Z667" s="177" t="s">
        <v>894</v>
      </c>
      <c r="AA667" s="80" t="s">
        <v>1692</v>
      </c>
      <c r="AB667" s="3"/>
      <c r="AC667" s="4"/>
      <c r="AD667" s="5"/>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6"/>
      <c r="CE667" s="7"/>
      <c r="CF667" s="6"/>
      <c r="CG667" s="7"/>
      <c r="CH667" s="6"/>
      <c r="CI667" s="7"/>
      <c r="CJ667" s="8">
        <f t="shared" si="86"/>
        <v>0</v>
      </c>
      <c r="CK667" s="9"/>
      <c r="CL667" s="10"/>
      <c r="CM667" s="11"/>
      <c r="CN667" s="12"/>
      <c r="CO667" s="28"/>
      <c r="CP667" s="12"/>
      <c r="CQ667" s="9"/>
      <c r="CR667" s="10"/>
      <c r="CS667" s="68"/>
      <c r="EC667" s="344" t="str">
        <f t="shared" si="81"/>
        <v>TOLIMA_SUAREZ</v>
      </c>
      <c r="ED667" s="341"/>
      <c r="EE667" s="341" t="s">
        <v>3159</v>
      </c>
      <c r="EF667" s="349" t="s">
        <v>3160</v>
      </c>
      <c r="EG667" s="341" t="s">
        <v>3874</v>
      </c>
      <c r="EH667" s="341" t="s">
        <v>4561</v>
      </c>
      <c r="EI667" s="341" t="str">
        <f t="shared" si="88"/>
        <v>La Guajira_Villanueva</v>
      </c>
    </row>
    <row r="668" spans="1:139" ht="84">
      <c r="A668" s="235">
        <v>40344</v>
      </c>
      <c r="B668" s="224" t="s">
        <v>1972</v>
      </c>
      <c r="C668" s="224" t="s">
        <v>559</v>
      </c>
      <c r="D668" s="236" t="s">
        <v>1878</v>
      </c>
      <c r="E668" s="324" t="s">
        <v>3235</v>
      </c>
      <c r="F668" s="324"/>
      <c r="G668" s="210"/>
      <c r="H668" s="71"/>
      <c r="I668" s="71"/>
      <c r="J668" s="71">
        <v>54</v>
      </c>
      <c r="K668" s="71">
        <v>10</v>
      </c>
      <c r="L668" s="1">
        <v>40350</v>
      </c>
      <c r="M668" s="73">
        <f t="shared" si="82"/>
        <v>0</v>
      </c>
      <c r="N668" s="73">
        <f t="shared" si="83"/>
        <v>0</v>
      </c>
      <c r="O668" s="73">
        <f t="shared" si="84"/>
        <v>0</v>
      </c>
      <c r="P668" s="73">
        <f t="shared" si="85"/>
        <v>0</v>
      </c>
      <c r="Q668" s="73"/>
      <c r="R668" s="73">
        <v>84320000</v>
      </c>
      <c r="S668" s="75">
        <f t="shared" si="87"/>
        <v>84320000</v>
      </c>
      <c r="T668" s="77">
        <v>0</v>
      </c>
      <c r="U668" s="66">
        <v>40347</v>
      </c>
      <c r="V668" s="79">
        <v>98350</v>
      </c>
      <c r="W668" s="66" t="s">
        <v>1606</v>
      </c>
      <c r="X668" s="24" t="s">
        <v>1607</v>
      </c>
      <c r="Y668" s="62">
        <v>320</v>
      </c>
      <c r="Z668" s="177" t="s">
        <v>1397</v>
      </c>
      <c r="AA668" s="80" t="s">
        <v>1398</v>
      </c>
      <c r="AB668" s="3"/>
      <c r="AC668" s="4"/>
      <c r="AD668" s="5"/>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6"/>
      <c r="CE668" s="7"/>
      <c r="CF668" s="6"/>
      <c r="CG668" s="7"/>
      <c r="CH668" s="6"/>
      <c r="CI668" s="7"/>
      <c r="CJ668" s="8">
        <f t="shared" si="86"/>
        <v>0</v>
      </c>
      <c r="CK668" s="9"/>
      <c r="CL668" s="10"/>
      <c r="CM668" s="11"/>
      <c r="CN668" s="12"/>
      <c r="CO668" s="28"/>
      <c r="CP668" s="12"/>
      <c r="CQ668" s="9"/>
      <c r="CR668" s="10"/>
      <c r="CS668" s="68">
        <v>4</v>
      </c>
      <c r="EC668" s="344" t="str">
        <f t="shared" si="81"/>
        <v>ANTIOQUIA_ANGOSTURA</v>
      </c>
      <c r="ED668" s="341"/>
      <c r="EE668" s="341" t="s">
        <v>3162</v>
      </c>
      <c r="EF668" s="349" t="s">
        <v>3163</v>
      </c>
      <c r="EG668" s="341" t="s">
        <v>3875</v>
      </c>
      <c r="EH668" s="341" t="s">
        <v>4977</v>
      </c>
      <c r="EI668" s="341" t="str">
        <f t="shared" si="88"/>
        <v>Magdalena_Santa Marta</v>
      </c>
    </row>
    <row r="669" spans="1:139" ht="25.5">
      <c r="A669" s="228">
        <v>40344</v>
      </c>
      <c r="B669" s="102" t="s">
        <v>1996</v>
      </c>
      <c r="C669" s="102" t="s">
        <v>1945</v>
      </c>
      <c r="D669" s="206" t="s">
        <v>1316</v>
      </c>
      <c r="E669" s="320" t="s">
        <v>3793</v>
      </c>
      <c r="F669" s="320"/>
      <c r="G669" s="210"/>
      <c r="H669" s="71">
        <v>1</v>
      </c>
      <c r="I669" s="71"/>
      <c r="J669" s="71">
        <v>5</v>
      </c>
      <c r="K669" s="71">
        <v>1</v>
      </c>
      <c r="L669" s="1"/>
      <c r="M669" s="73">
        <f t="shared" si="82"/>
        <v>0</v>
      </c>
      <c r="N669" s="73">
        <f t="shared" si="83"/>
        <v>0</v>
      </c>
      <c r="O669" s="73">
        <f t="shared" si="84"/>
        <v>0</v>
      </c>
      <c r="P669" s="73">
        <f t="shared" si="85"/>
        <v>0</v>
      </c>
      <c r="Q669" s="73"/>
      <c r="R669" s="73">
        <v>0</v>
      </c>
      <c r="S669" s="75">
        <f t="shared" si="87"/>
        <v>0</v>
      </c>
      <c r="T669" s="77">
        <v>0</v>
      </c>
      <c r="U669" s="66">
        <v>40345</v>
      </c>
      <c r="V669" s="79"/>
      <c r="W669" s="66" t="s">
        <v>1585</v>
      </c>
      <c r="X669" s="24" t="s">
        <v>1586</v>
      </c>
      <c r="Y669" s="62"/>
      <c r="Z669" s="177" t="s">
        <v>894</v>
      </c>
      <c r="AA669" s="80" t="s">
        <v>554</v>
      </c>
      <c r="AB669" s="3"/>
      <c r="AC669" s="4"/>
      <c r="AD669" s="5"/>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6"/>
      <c r="CE669" s="7"/>
      <c r="CF669" s="6"/>
      <c r="CG669" s="7"/>
      <c r="CH669" s="6"/>
      <c r="CI669" s="7"/>
      <c r="CJ669" s="8">
        <f t="shared" si="86"/>
        <v>0</v>
      </c>
      <c r="CK669" s="9"/>
      <c r="CL669" s="10"/>
      <c r="CM669" s="11"/>
      <c r="CN669" s="12"/>
      <c r="CO669" s="28"/>
      <c r="CP669" s="12"/>
      <c r="CQ669" s="9"/>
      <c r="CR669" s="10"/>
      <c r="CS669" s="68"/>
      <c r="EC669" s="344" t="str">
        <f t="shared" si="81"/>
        <v>CHOCO_QUIBDO</v>
      </c>
      <c r="ED669" s="341"/>
      <c r="EE669" s="341" t="s">
        <v>3162</v>
      </c>
      <c r="EF669" s="349" t="s">
        <v>3163</v>
      </c>
      <c r="EG669" s="341" t="s">
        <v>3876</v>
      </c>
      <c r="EH669" s="341" t="s">
        <v>4978</v>
      </c>
      <c r="EI669" s="341" t="str">
        <f t="shared" si="88"/>
        <v>Magdalena_Algarrobo</v>
      </c>
    </row>
    <row r="670" spans="1:139" ht="84">
      <c r="A670" s="228">
        <v>40344</v>
      </c>
      <c r="B670" s="102" t="s">
        <v>396</v>
      </c>
      <c r="C670" s="102" t="s">
        <v>2280</v>
      </c>
      <c r="D670" s="206" t="s">
        <v>1878</v>
      </c>
      <c r="E670" s="320" t="s">
        <v>3912</v>
      </c>
      <c r="F670" s="320"/>
      <c r="G670" s="210"/>
      <c r="H670" s="71"/>
      <c r="I670" s="71"/>
      <c r="J670" s="71"/>
      <c r="K670" s="71"/>
      <c r="L670" s="1"/>
      <c r="M670" s="73">
        <f t="shared" si="82"/>
        <v>0</v>
      </c>
      <c r="N670" s="73">
        <f t="shared" si="83"/>
        <v>0</v>
      </c>
      <c r="O670" s="73">
        <f t="shared" si="84"/>
        <v>0</v>
      </c>
      <c r="P670" s="73">
        <f t="shared" si="85"/>
        <v>0</v>
      </c>
      <c r="Q670" s="73"/>
      <c r="R670" s="73">
        <v>0</v>
      </c>
      <c r="S670" s="75">
        <f t="shared" si="87"/>
        <v>0</v>
      </c>
      <c r="T670" s="77">
        <v>0</v>
      </c>
      <c r="U670" s="66">
        <v>40357</v>
      </c>
      <c r="V670" s="79">
        <v>31133</v>
      </c>
      <c r="W670" s="66" t="s">
        <v>1606</v>
      </c>
      <c r="X670" s="24" t="s">
        <v>1586</v>
      </c>
      <c r="Y670" s="62"/>
      <c r="Z670" s="196"/>
      <c r="AA670" s="80" t="s">
        <v>2727</v>
      </c>
      <c r="AB670" s="3"/>
      <c r="AC670" s="4"/>
      <c r="AD670" s="5"/>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6"/>
      <c r="CE670" s="7"/>
      <c r="CF670" s="6"/>
      <c r="CG670" s="7"/>
      <c r="CH670" s="6"/>
      <c r="CI670" s="7"/>
      <c r="CJ670" s="8">
        <f t="shared" si="86"/>
        <v>0</v>
      </c>
      <c r="CK670" s="9"/>
      <c r="CL670" s="10"/>
      <c r="CM670" s="11"/>
      <c r="CN670" s="12"/>
      <c r="CO670" s="28"/>
      <c r="CP670" s="12"/>
      <c r="CQ670" s="9"/>
      <c r="CR670" s="10"/>
      <c r="CS670" s="68"/>
      <c r="EC670" s="344" t="str">
        <f t="shared" si="81"/>
        <v>META_EL CALVARIO</v>
      </c>
      <c r="ED670" s="341"/>
      <c r="EE670" s="341" t="s">
        <v>3162</v>
      </c>
      <c r="EF670" s="349" t="s">
        <v>3163</v>
      </c>
      <c r="EG670" s="341" t="s">
        <v>3877</v>
      </c>
      <c r="EH670" s="341" t="s">
        <v>4979</v>
      </c>
      <c r="EI670" s="341" t="str">
        <f t="shared" si="88"/>
        <v>Magdalena_Aracataca</v>
      </c>
    </row>
    <row r="671" spans="1:139" ht="25.5">
      <c r="A671" s="228">
        <v>40344</v>
      </c>
      <c r="B671" s="102" t="s">
        <v>2400</v>
      </c>
      <c r="C671" s="102" t="s">
        <v>3201</v>
      </c>
      <c r="D671" s="206" t="s">
        <v>1878</v>
      </c>
      <c r="E671" s="320" t="s">
        <v>4223</v>
      </c>
      <c r="F671" s="320"/>
      <c r="G671" s="210"/>
      <c r="H671" s="71"/>
      <c r="I671" s="71"/>
      <c r="J671" s="71">
        <v>5</v>
      </c>
      <c r="K671" s="71">
        <v>1</v>
      </c>
      <c r="L671" s="1"/>
      <c r="M671" s="73">
        <f t="shared" si="82"/>
        <v>0</v>
      </c>
      <c r="N671" s="73">
        <f t="shared" si="83"/>
        <v>0</v>
      </c>
      <c r="O671" s="73">
        <f t="shared" si="84"/>
        <v>0</v>
      </c>
      <c r="P671" s="73">
        <f t="shared" si="85"/>
        <v>0</v>
      </c>
      <c r="Q671" s="73"/>
      <c r="R671" s="73">
        <v>0</v>
      </c>
      <c r="S671" s="75">
        <f t="shared" si="87"/>
        <v>0</v>
      </c>
      <c r="T671" s="77">
        <v>0</v>
      </c>
      <c r="U671" s="66">
        <v>40345</v>
      </c>
      <c r="V671" s="79"/>
      <c r="W671" s="66" t="s">
        <v>1585</v>
      </c>
      <c r="X671" s="24" t="s">
        <v>1586</v>
      </c>
      <c r="Y671" s="62"/>
      <c r="Z671" s="177" t="s">
        <v>894</v>
      </c>
      <c r="AA671" s="80" t="s">
        <v>560</v>
      </c>
      <c r="AB671" s="3"/>
      <c r="AC671" s="4"/>
      <c r="AD671" s="5"/>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6"/>
      <c r="CE671" s="7"/>
      <c r="CF671" s="6"/>
      <c r="CG671" s="7"/>
      <c r="CH671" s="6"/>
      <c r="CI671" s="7"/>
      <c r="CJ671" s="8">
        <f t="shared" si="86"/>
        <v>0</v>
      </c>
      <c r="CK671" s="9"/>
      <c r="CL671" s="10"/>
      <c r="CM671" s="11"/>
      <c r="CN671" s="12"/>
      <c r="CO671" s="28"/>
      <c r="CP671" s="12"/>
      <c r="CQ671" s="9"/>
      <c r="CR671" s="10"/>
      <c r="CS671" s="68"/>
      <c r="EC671" s="344" t="str">
        <f t="shared" si="81"/>
        <v>TOLIMA_VILLARRICA</v>
      </c>
      <c r="ED671" s="341"/>
      <c r="EE671" s="341" t="s">
        <v>3162</v>
      </c>
      <c r="EF671" s="349" t="s">
        <v>3163</v>
      </c>
      <c r="EG671" s="341" t="s">
        <v>3878</v>
      </c>
      <c r="EH671" s="341" t="s">
        <v>4980</v>
      </c>
      <c r="EI671" s="341" t="str">
        <f t="shared" si="88"/>
        <v>Magdalena_Ariguani</v>
      </c>
    </row>
    <row r="672" spans="1:139" ht="120">
      <c r="A672" s="228">
        <v>40345</v>
      </c>
      <c r="B672" s="102" t="s">
        <v>1972</v>
      </c>
      <c r="C672" s="102" t="s">
        <v>636</v>
      </c>
      <c r="D672" s="206" t="s">
        <v>2391</v>
      </c>
      <c r="E672" s="320" t="s">
        <v>3231</v>
      </c>
      <c r="F672" s="320"/>
      <c r="G672" s="210">
        <v>73</v>
      </c>
      <c r="H672" s="71">
        <v>1</v>
      </c>
      <c r="I672" s="71"/>
      <c r="J672" s="71"/>
      <c r="K672" s="71"/>
      <c r="L672" s="1">
        <v>40380</v>
      </c>
      <c r="M672" s="73">
        <f t="shared" si="82"/>
        <v>39297500</v>
      </c>
      <c r="N672" s="73">
        <f t="shared" si="83"/>
        <v>42500000</v>
      </c>
      <c r="O672" s="73">
        <f t="shared" si="84"/>
        <v>0</v>
      </c>
      <c r="P672" s="73">
        <f t="shared" si="85"/>
        <v>0</v>
      </c>
      <c r="Q672" s="73"/>
      <c r="R672" s="73">
        <v>20000000</v>
      </c>
      <c r="S672" s="75">
        <f t="shared" si="87"/>
        <v>101797500</v>
      </c>
      <c r="T672" s="77">
        <v>0</v>
      </c>
      <c r="U672" s="66">
        <v>40367</v>
      </c>
      <c r="V672" s="79">
        <v>33353</v>
      </c>
      <c r="W672" s="66" t="s">
        <v>1606</v>
      </c>
      <c r="X672" s="24" t="s">
        <v>1607</v>
      </c>
      <c r="Y672" s="83" t="s">
        <v>1776</v>
      </c>
      <c r="Z672" s="177" t="s">
        <v>1178</v>
      </c>
      <c r="AA672" s="80" t="s">
        <v>2618</v>
      </c>
      <c r="AB672" s="3"/>
      <c r="AC672" s="4"/>
      <c r="AD672" s="5"/>
      <c r="AE672" s="4"/>
      <c r="AF672" s="4"/>
      <c r="AG672" s="4"/>
      <c r="AH672" s="4"/>
      <c r="AI672" s="4"/>
      <c r="AJ672" s="4">
        <v>1000</v>
      </c>
      <c r="AK672" s="4">
        <f>1000*21000</f>
        <v>21000000</v>
      </c>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6">
        <v>500</v>
      </c>
      <c r="CE672" s="7">
        <f>500*36595</f>
        <v>18297500</v>
      </c>
      <c r="CF672" s="6"/>
      <c r="CG672" s="7"/>
      <c r="CH672" s="6"/>
      <c r="CI672" s="7"/>
      <c r="CJ672" s="8">
        <f t="shared" si="86"/>
        <v>39297500</v>
      </c>
      <c r="CK672" s="9"/>
      <c r="CL672" s="10"/>
      <c r="CM672" s="11">
        <v>500</v>
      </c>
      <c r="CN672" s="12">
        <f>500*85000</f>
        <v>42500000</v>
      </c>
      <c r="CO672" s="28"/>
      <c r="CP672" s="12"/>
      <c r="CQ672" s="9"/>
      <c r="CR672" s="10"/>
      <c r="CS672" s="68">
        <v>2</v>
      </c>
      <c r="EC672" s="344" t="str">
        <f t="shared" si="81"/>
        <v>ANTIOQUIA_AMAGA</v>
      </c>
      <c r="ED672" s="341"/>
      <c r="EE672" s="341" t="s">
        <v>3162</v>
      </c>
      <c r="EF672" s="349" t="s">
        <v>3163</v>
      </c>
      <c r="EG672" s="341" t="s">
        <v>3879</v>
      </c>
      <c r="EH672" s="341" t="s">
        <v>4981</v>
      </c>
      <c r="EI672" s="341" t="str">
        <f t="shared" si="88"/>
        <v>Magdalena_Cerro San Antonio</v>
      </c>
    </row>
    <row r="673" spans="1:139" ht="25.5">
      <c r="A673" s="235">
        <v>40345</v>
      </c>
      <c r="B673" s="224" t="s">
        <v>1972</v>
      </c>
      <c r="C673" s="224" t="s">
        <v>1174</v>
      </c>
      <c r="D673" s="236" t="s">
        <v>1878</v>
      </c>
      <c r="E673" s="324" t="s">
        <v>3342</v>
      </c>
      <c r="F673" s="324"/>
      <c r="G673" s="210"/>
      <c r="H673" s="71"/>
      <c r="I673" s="71"/>
      <c r="J673" s="71">
        <v>61</v>
      </c>
      <c r="K673" s="71">
        <v>11</v>
      </c>
      <c r="L673" s="1"/>
      <c r="M673" s="73">
        <f t="shared" si="82"/>
        <v>0</v>
      </c>
      <c r="N673" s="73">
        <f t="shared" si="83"/>
        <v>0</v>
      </c>
      <c r="O673" s="73">
        <f t="shared" si="84"/>
        <v>0</v>
      </c>
      <c r="P673" s="73">
        <f t="shared" si="85"/>
        <v>0</v>
      </c>
      <c r="Q673" s="73"/>
      <c r="R673" s="73">
        <v>0</v>
      </c>
      <c r="S673" s="75">
        <f t="shared" si="87"/>
        <v>0</v>
      </c>
      <c r="T673" s="77">
        <v>0</v>
      </c>
      <c r="U673" s="66">
        <v>40346</v>
      </c>
      <c r="V673" s="79"/>
      <c r="W673" s="66" t="s">
        <v>1585</v>
      </c>
      <c r="X673" s="24" t="s">
        <v>1586</v>
      </c>
      <c r="Y673" s="62"/>
      <c r="Z673" s="177" t="s">
        <v>894</v>
      </c>
      <c r="AA673" s="80" t="s">
        <v>1175</v>
      </c>
      <c r="AB673" s="3"/>
      <c r="AC673" s="4"/>
      <c r="AD673" s="5"/>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6"/>
      <c r="CE673" s="7"/>
      <c r="CF673" s="6"/>
      <c r="CG673" s="7"/>
      <c r="CH673" s="6"/>
      <c r="CI673" s="7"/>
      <c r="CJ673" s="8">
        <f t="shared" si="86"/>
        <v>0</v>
      </c>
      <c r="CK673" s="9"/>
      <c r="CL673" s="10"/>
      <c r="CM673" s="11"/>
      <c r="CN673" s="12"/>
      <c r="CO673" s="28"/>
      <c r="CP673" s="12"/>
      <c r="CQ673" s="9"/>
      <c r="CR673" s="10"/>
      <c r="CS673" s="68"/>
      <c r="EC673" s="344" t="str">
        <f t="shared" si="81"/>
        <v>ANTIOQUIA_VALDIVIA</v>
      </c>
      <c r="ED673" s="341"/>
      <c r="EE673" s="341" t="s">
        <v>3162</v>
      </c>
      <c r="EF673" s="349" t="s">
        <v>3163</v>
      </c>
      <c r="EG673" s="341" t="s">
        <v>3880</v>
      </c>
      <c r="EH673" s="341" t="s">
        <v>4982</v>
      </c>
      <c r="EI673" s="341" t="str">
        <f t="shared" si="88"/>
        <v>Magdalena_Chivolo</v>
      </c>
    </row>
    <row r="674" spans="1:139" ht="25.5">
      <c r="A674" s="228">
        <v>40345</v>
      </c>
      <c r="B674" s="102" t="s">
        <v>1996</v>
      </c>
      <c r="C674" s="102" t="s">
        <v>1176</v>
      </c>
      <c r="D674" s="206" t="s">
        <v>1923</v>
      </c>
      <c r="E674" s="320" t="s">
        <v>3820</v>
      </c>
      <c r="F674" s="320"/>
      <c r="G674" s="210"/>
      <c r="H674" s="71">
        <v>1</v>
      </c>
      <c r="I674" s="71"/>
      <c r="J674" s="71"/>
      <c r="K674" s="71"/>
      <c r="L674" s="1"/>
      <c r="M674" s="73">
        <f t="shared" si="82"/>
        <v>0</v>
      </c>
      <c r="N674" s="73">
        <f t="shared" si="83"/>
        <v>0</v>
      </c>
      <c r="O674" s="73">
        <f t="shared" si="84"/>
        <v>0</v>
      </c>
      <c r="P674" s="73">
        <f t="shared" si="85"/>
        <v>0</v>
      </c>
      <c r="Q674" s="73"/>
      <c r="R674" s="73">
        <v>0</v>
      </c>
      <c r="S674" s="75">
        <f t="shared" si="87"/>
        <v>0</v>
      </c>
      <c r="T674" s="77">
        <v>0</v>
      </c>
      <c r="U674" s="66">
        <v>40347</v>
      </c>
      <c r="V674" s="79"/>
      <c r="W674" s="66" t="s">
        <v>1585</v>
      </c>
      <c r="X674" s="24" t="s">
        <v>1586</v>
      </c>
      <c r="Y674" s="62"/>
      <c r="Z674" s="177" t="s">
        <v>894</v>
      </c>
      <c r="AA674" s="80" t="s">
        <v>1177</v>
      </c>
      <c r="AB674" s="3"/>
      <c r="AC674" s="4"/>
      <c r="AD674" s="5"/>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6"/>
      <c r="CE674" s="7"/>
      <c r="CF674" s="6"/>
      <c r="CG674" s="7"/>
      <c r="CH674" s="6"/>
      <c r="CI674" s="7"/>
      <c r="CJ674" s="8">
        <f t="shared" si="86"/>
        <v>0</v>
      </c>
      <c r="CK674" s="9"/>
      <c r="CL674" s="10"/>
      <c r="CM674" s="11"/>
      <c r="CN674" s="12"/>
      <c r="CO674" s="28"/>
      <c r="CP674" s="12"/>
      <c r="CQ674" s="9"/>
      <c r="CR674" s="10"/>
      <c r="CS674" s="68"/>
      <c r="EC674" s="344" t="str">
        <f t="shared" si="81"/>
        <v>CHOCO_TADO</v>
      </c>
      <c r="ED674" s="341"/>
      <c r="EE674" s="341" t="s">
        <v>3162</v>
      </c>
      <c r="EF674" s="349" t="s">
        <v>3163</v>
      </c>
      <c r="EG674" s="341" t="s">
        <v>3882</v>
      </c>
      <c r="EH674" s="341" t="s">
        <v>4409</v>
      </c>
      <c r="EI674" s="341" t="str">
        <f t="shared" si="88"/>
        <v>Magdalena_Concordia</v>
      </c>
    </row>
    <row r="675" spans="1:139" ht="48">
      <c r="A675" s="228">
        <v>40345</v>
      </c>
      <c r="B675" s="102" t="s">
        <v>1295</v>
      </c>
      <c r="C675" s="102" t="s">
        <v>637</v>
      </c>
      <c r="D675" s="206" t="s">
        <v>1201</v>
      </c>
      <c r="E675" s="320" t="s">
        <v>3662</v>
      </c>
      <c r="F675" s="320"/>
      <c r="G675" s="210"/>
      <c r="H675" s="71"/>
      <c r="I675" s="71"/>
      <c r="J675" s="71">
        <f>230*4</f>
        <v>920</v>
      </c>
      <c r="K675" s="71">
        <v>230</v>
      </c>
      <c r="L675" s="1">
        <v>40380</v>
      </c>
      <c r="M675" s="73">
        <f t="shared" si="82"/>
        <v>60449850</v>
      </c>
      <c r="N675" s="73">
        <f t="shared" si="83"/>
        <v>29750000</v>
      </c>
      <c r="O675" s="73">
        <f t="shared" si="84"/>
        <v>0</v>
      </c>
      <c r="P675" s="73">
        <f t="shared" si="85"/>
        <v>0</v>
      </c>
      <c r="Q675" s="73"/>
      <c r="R675" s="73">
        <v>0</v>
      </c>
      <c r="S675" s="75">
        <f t="shared" si="87"/>
        <v>90199850</v>
      </c>
      <c r="T675" s="77">
        <v>0</v>
      </c>
      <c r="U675" s="66">
        <v>40346</v>
      </c>
      <c r="V675" s="79">
        <v>98341</v>
      </c>
      <c r="W675" s="66" t="s">
        <v>1606</v>
      </c>
      <c r="X675" s="24" t="s">
        <v>1607</v>
      </c>
      <c r="Y675" s="62">
        <v>205</v>
      </c>
      <c r="Z675" s="177" t="s">
        <v>2580</v>
      </c>
      <c r="AA675" s="80" t="s">
        <v>638</v>
      </c>
      <c r="AB675" s="3"/>
      <c r="AC675" s="4"/>
      <c r="AD675" s="5"/>
      <c r="AE675" s="4"/>
      <c r="AF675" s="4"/>
      <c r="AG675" s="4"/>
      <c r="AH675" s="4"/>
      <c r="AI675" s="4"/>
      <c r="AJ675" s="4"/>
      <c r="AK675" s="4"/>
      <c r="AL675" s="4"/>
      <c r="AM675" s="4"/>
      <c r="AN675" s="4">
        <v>350</v>
      </c>
      <c r="AO675" s="4">
        <f>350*56000</f>
        <v>19600000</v>
      </c>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v>15</v>
      </c>
      <c r="BO675" s="4">
        <f>15*470000</f>
        <v>7050000</v>
      </c>
      <c r="BP675" s="4"/>
      <c r="BQ675" s="4"/>
      <c r="BR675" s="4"/>
      <c r="BS675" s="4"/>
      <c r="BT675" s="4"/>
      <c r="BU675" s="4"/>
      <c r="BV675" s="4"/>
      <c r="BW675" s="4"/>
      <c r="BX675" s="4">
        <v>350</v>
      </c>
      <c r="BY675" s="4">
        <f>350*22000</f>
        <v>7700000</v>
      </c>
      <c r="BZ675" s="4"/>
      <c r="CA675" s="4"/>
      <c r="CB675" s="4"/>
      <c r="CC675" s="4"/>
      <c r="CD675" s="6">
        <v>350</v>
      </c>
      <c r="CE675" s="7">
        <f>350*36595</f>
        <v>12808250</v>
      </c>
      <c r="CF675" s="6">
        <v>350</v>
      </c>
      <c r="CG675" s="7">
        <f>350*37976</f>
        <v>13291600</v>
      </c>
      <c r="CH675" s="6"/>
      <c r="CI675" s="7"/>
      <c r="CJ675" s="8">
        <f t="shared" si="86"/>
        <v>60449850</v>
      </c>
      <c r="CK675" s="9"/>
      <c r="CL675" s="10"/>
      <c r="CM675" s="11">
        <v>350</v>
      </c>
      <c r="CN675" s="12">
        <f>350*85000</f>
        <v>29750000</v>
      </c>
      <c r="CO675" s="28"/>
      <c r="CP675" s="12"/>
      <c r="CQ675" s="9"/>
      <c r="CR675" s="10"/>
      <c r="CS675" s="68"/>
      <c r="EC675" s="344" t="str">
        <f t="shared" si="81"/>
        <v>CORDOBA_LA APARTADA</v>
      </c>
      <c r="ED675" s="341"/>
      <c r="EE675" s="341" t="s">
        <v>3162</v>
      </c>
      <c r="EF675" s="349" t="s">
        <v>3163</v>
      </c>
      <c r="EG675" s="341" t="s">
        <v>3883</v>
      </c>
      <c r="EH675" s="341" t="s">
        <v>4983</v>
      </c>
      <c r="EI675" s="341" t="str">
        <f t="shared" si="88"/>
        <v>Magdalena_El Banco</v>
      </c>
    </row>
    <row r="676" spans="1:139" ht="25.5">
      <c r="A676" s="228">
        <v>40345</v>
      </c>
      <c r="B676" s="205" t="s">
        <v>962</v>
      </c>
      <c r="C676" s="205" t="s">
        <v>2821</v>
      </c>
      <c r="D676" s="207" t="s">
        <v>1201</v>
      </c>
      <c r="E676" s="323" t="s">
        <v>3845</v>
      </c>
      <c r="F676" s="323"/>
      <c r="G676" s="204"/>
      <c r="H676" s="151"/>
      <c r="I676" s="151"/>
      <c r="J676" s="151">
        <v>37</v>
      </c>
      <c r="K676" s="151">
        <v>10</v>
      </c>
      <c r="L676" s="1"/>
      <c r="M676" s="73">
        <f t="shared" si="82"/>
        <v>0</v>
      </c>
      <c r="N676" s="73">
        <f t="shared" si="83"/>
        <v>0</v>
      </c>
      <c r="O676" s="73">
        <f t="shared" si="84"/>
        <v>0</v>
      </c>
      <c r="P676" s="73">
        <f t="shared" si="85"/>
        <v>0</v>
      </c>
      <c r="Q676" s="73"/>
      <c r="R676" s="73">
        <v>0</v>
      </c>
      <c r="S676" s="75">
        <f t="shared" si="87"/>
        <v>0</v>
      </c>
      <c r="T676" s="77">
        <v>0</v>
      </c>
      <c r="U676" s="66">
        <v>40581</v>
      </c>
      <c r="V676" s="79"/>
      <c r="W676" s="66" t="s">
        <v>1585</v>
      </c>
      <c r="X676" s="24" t="s">
        <v>1586</v>
      </c>
      <c r="Y676" s="62"/>
      <c r="Z676" s="169" t="s">
        <v>894</v>
      </c>
      <c r="AA676" s="166" t="s">
        <v>54</v>
      </c>
      <c r="AB676" s="152"/>
      <c r="AC676" s="153"/>
      <c r="AD676" s="154"/>
      <c r="AE676" s="153"/>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153"/>
      <c r="BN676" s="153"/>
      <c r="BO676" s="153"/>
      <c r="BP676" s="153"/>
      <c r="BQ676" s="153"/>
      <c r="BR676" s="153"/>
      <c r="BS676" s="153"/>
      <c r="BT676" s="153"/>
      <c r="BU676" s="153"/>
      <c r="BV676" s="153"/>
      <c r="BW676" s="153"/>
      <c r="BX676" s="153"/>
      <c r="BY676" s="153"/>
      <c r="BZ676" s="153"/>
      <c r="CA676" s="153"/>
      <c r="CB676" s="153"/>
      <c r="CC676" s="153"/>
      <c r="CD676" s="155"/>
      <c r="CE676" s="156"/>
      <c r="CF676" s="155"/>
      <c r="CG676" s="156"/>
      <c r="CH676" s="155"/>
      <c r="CI676" s="156"/>
      <c r="CJ676" s="157">
        <f t="shared" si="86"/>
        <v>0</v>
      </c>
      <c r="CK676" s="158"/>
      <c r="CL676" s="159"/>
      <c r="CM676" s="160"/>
      <c r="CN676" s="161"/>
      <c r="CO676" s="162"/>
      <c r="CP676" s="161"/>
      <c r="CQ676" s="158"/>
      <c r="CR676" s="159"/>
      <c r="CS676" s="68"/>
      <c r="CT676" s="163"/>
      <c r="EC676" s="344" t="str">
        <f t="shared" si="81"/>
        <v>HUILA_PALESTINA</v>
      </c>
      <c r="ED676" s="341"/>
      <c r="EE676" s="341" t="s">
        <v>3162</v>
      </c>
      <c r="EF676" s="349" t="s">
        <v>3163</v>
      </c>
      <c r="EG676" s="341" t="s">
        <v>3884</v>
      </c>
      <c r="EH676" s="341" t="s">
        <v>4984</v>
      </c>
      <c r="EI676" s="341" t="str">
        <f t="shared" si="88"/>
        <v>Magdalena_El Piñon</v>
      </c>
    </row>
    <row r="677" spans="1:139" ht="38.25">
      <c r="A677" s="228">
        <v>40345</v>
      </c>
      <c r="B677" s="102" t="s">
        <v>1088</v>
      </c>
      <c r="C677" s="102" t="s">
        <v>3204</v>
      </c>
      <c r="D677" s="206" t="s">
        <v>1316</v>
      </c>
      <c r="E677" s="320" t="s">
        <v>4224</v>
      </c>
      <c r="F677" s="320"/>
      <c r="G677" s="210">
        <v>1</v>
      </c>
      <c r="H677" s="71"/>
      <c r="I677" s="71"/>
      <c r="J677" s="71">
        <v>33</v>
      </c>
      <c r="K677" s="71">
        <v>6</v>
      </c>
      <c r="L677" s="1"/>
      <c r="M677" s="73">
        <f t="shared" si="82"/>
        <v>0</v>
      </c>
      <c r="N677" s="73">
        <f t="shared" si="83"/>
        <v>0</v>
      </c>
      <c r="O677" s="73">
        <f t="shared" si="84"/>
        <v>0</v>
      </c>
      <c r="P677" s="73">
        <f t="shared" si="85"/>
        <v>0</v>
      </c>
      <c r="Q677" s="73"/>
      <c r="R677" s="73">
        <v>0</v>
      </c>
      <c r="S677" s="75">
        <f t="shared" si="87"/>
        <v>0</v>
      </c>
      <c r="T677" s="77">
        <v>0</v>
      </c>
      <c r="U677" s="66">
        <v>40345</v>
      </c>
      <c r="V677" s="79"/>
      <c r="W677" s="66" t="s">
        <v>1585</v>
      </c>
      <c r="X677" s="24" t="s">
        <v>1586</v>
      </c>
      <c r="Y677" s="62"/>
      <c r="Z677" s="177" t="s">
        <v>894</v>
      </c>
      <c r="AA677" s="80" t="s">
        <v>555</v>
      </c>
      <c r="AB677" s="3"/>
      <c r="AC677" s="4"/>
      <c r="AD677" s="5"/>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6"/>
      <c r="CE677" s="7"/>
      <c r="CF677" s="6"/>
      <c r="CG677" s="7"/>
      <c r="CH677" s="6"/>
      <c r="CI677" s="7"/>
      <c r="CJ677" s="8">
        <f t="shared" si="86"/>
        <v>0</v>
      </c>
      <c r="CK677" s="9"/>
      <c r="CL677" s="10"/>
      <c r="CM677" s="11"/>
      <c r="CN677" s="12"/>
      <c r="CO677" s="28"/>
      <c r="CP677" s="12"/>
      <c r="CQ677" s="9"/>
      <c r="CR677" s="10"/>
      <c r="CS677" s="68"/>
      <c r="CT677" s="22">
        <v>1111</v>
      </c>
      <c r="EC677" s="344" t="str">
        <f t="shared" si="81"/>
        <v>VALLE DEL CAUCA_CALI</v>
      </c>
      <c r="ED677" s="341"/>
      <c r="EE677" s="341" t="s">
        <v>3162</v>
      </c>
      <c r="EF677" s="349" t="s">
        <v>3163</v>
      </c>
      <c r="EG677" s="341" t="s">
        <v>3885</v>
      </c>
      <c r="EH677" s="341" t="s">
        <v>4985</v>
      </c>
      <c r="EI677" s="341" t="str">
        <f t="shared" si="88"/>
        <v>Magdalena_El Reten</v>
      </c>
    </row>
    <row r="678" spans="1:139" ht="72">
      <c r="A678" s="228">
        <v>40346</v>
      </c>
      <c r="B678" s="102" t="s">
        <v>2400</v>
      </c>
      <c r="C678" s="102" t="s">
        <v>2613</v>
      </c>
      <c r="D678" s="206" t="s">
        <v>1316</v>
      </c>
      <c r="E678" s="320" t="s">
        <v>4201</v>
      </c>
      <c r="F678" s="320"/>
      <c r="G678" s="210"/>
      <c r="H678" s="71"/>
      <c r="I678" s="71"/>
      <c r="J678" s="71">
        <v>35</v>
      </c>
      <c r="K678" s="71">
        <v>7</v>
      </c>
      <c r="L678" s="1"/>
      <c r="M678" s="73">
        <f t="shared" si="82"/>
        <v>0</v>
      </c>
      <c r="N678" s="73">
        <f t="shared" si="83"/>
        <v>0</v>
      </c>
      <c r="O678" s="73">
        <f t="shared" si="84"/>
        <v>0</v>
      </c>
      <c r="P678" s="73">
        <f t="shared" si="85"/>
        <v>0</v>
      </c>
      <c r="Q678" s="73"/>
      <c r="R678" s="73">
        <v>0</v>
      </c>
      <c r="S678" s="75">
        <f t="shared" si="87"/>
        <v>0</v>
      </c>
      <c r="T678" s="77">
        <v>0</v>
      </c>
      <c r="U678" s="66">
        <v>40347</v>
      </c>
      <c r="V678" s="79"/>
      <c r="W678" s="66" t="s">
        <v>1585</v>
      </c>
      <c r="X678" s="24" t="s">
        <v>1586</v>
      </c>
      <c r="Y678" s="62"/>
      <c r="Z678" s="177" t="s">
        <v>894</v>
      </c>
      <c r="AA678" s="80" t="s">
        <v>1804</v>
      </c>
      <c r="AB678" s="3"/>
      <c r="AC678" s="4"/>
      <c r="AD678" s="5"/>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6"/>
      <c r="CE678" s="7"/>
      <c r="CF678" s="6"/>
      <c r="CG678" s="7"/>
      <c r="CH678" s="6"/>
      <c r="CI678" s="7"/>
      <c r="CJ678" s="8">
        <f t="shared" si="86"/>
        <v>0</v>
      </c>
      <c r="CK678" s="9"/>
      <c r="CL678" s="10"/>
      <c r="CM678" s="11"/>
      <c r="CN678" s="12"/>
      <c r="CO678" s="28"/>
      <c r="CP678" s="12"/>
      <c r="CQ678" s="9"/>
      <c r="CR678" s="10"/>
      <c r="CS678" s="68"/>
      <c r="EC678" s="344" t="str">
        <f t="shared" si="81"/>
        <v>TOLIMA_LIBANO</v>
      </c>
      <c r="ED678" s="341"/>
      <c r="EE678" s="341" t="s">
        <v>3162</v>
      </c>
      <c r="EF678" s="349" t="s">
        <v>3163</v>
      </c>
      <c r="EG678" s="341" t="s">
        <v>3886</v>
      </c>
      <c r="EH678" s="341" t="s">
        <v>4986</v>
      </c>
      <c r="EI678" s="341" t="str">
        <f t="shared" si="88"/>
        <v>Magdalena_Fundacion</v>
      </c>
    </row>
    <row r="679" spans="1:139" ht="84">
      <c r="A679" s="228">
        <v>40347</v>
      </c>
      <c r="B679" s="102" t="s">
        <v>1615</v>
      </c>
      <c r="C679" s="102" t="s">
        <v>1430</v>
      </c>
      <c r="D679" s="206" t="s">
        <v>1201</v>
      </c>
      <c r="E679" s="320" t="s">
        <v>3406</v>
      </c>
      <c r="F679" s="320"/>
      <c r="G679" s="210"/>
      <c r="H679" s="71"/>
      <c r="I679" s="71"/>
      <c r="J679" s="71">
        <f>1330*5</f>
        <v>6650</v>
      </c>
      <c r="K679" s="71">
        <v>1330</v>
      </c>
      <c r="L679" s="1">
        <v>40415</v>
      </c>
      <c r="M679" s="73">
        <f t="shared" si="82"/>
        <v>18000000</v>
      </c>
      <c r="N679" s="73">
        <f t="shared" si="83"/>
        <v>0</v>
      </c>
      <c r="O679" s="73">
        <f t="shared" si="84"/>
        <v>0</v>
      </c>
      <c r="P679" s="73">
        <f t="shared" si="85"/>
        <v>0</v>
      </c>
      <c r="Q679" s="73"/>
      <c r="R679" s="73">
        <v>0</v>
      </c>
      <c r="S679" s="75">
        <f t="shared" si="87"/>
        <v>18000000</v>
      </c>
      <c r="T679" s="77">
        <v>0</v>
      </c>
      <c r="U679" s="66">
        <v>40395</v>
      </c>
      <c r="V679" s="79">
        <v>38939</v>
      </c>
      <c r="W679" s="66" t="s">
        <v>1606</v>
      </c>
      <c r="X679" s="24" t="s">
        <v>1607</v>
      </c>
      <c r="Y679" s="62">
        <v>270</v>
      </c>
      <c r="Z679" s="177"/>
      <c r="AA679" s="80" t="s">
        <v>2406</v>
      </c>
      <c r="AB679" s="3"/>
      <c r="AC679" s="4"/>
      <c r="AD679" s="5"/>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v>1000</v>
      </c>
      <c r="CC679" s="4">
        <f>1000*18000</f>
        <v>18000000</v>
      </c>
      <c r="CD679" s="6"/>
      <c r="CE679" s="7"/>
      <c r="CF679" s="6"/>
      <c r="CG679" s="7"/>
      <c r="CH679" s="6"/>
      <c r="CI679" s="7"/>
      <c r="CJ679" s="8">
        <f t="shared" si="86"/>
        <v>18000000</v>
      </c>
      <c r="CK679" s="9"/>
      <c r="CL679" s="10"/>
      <c r="CM679" s="11"/>
      <c r="CN679" s="12"/>
      <c r="CO679" s="28"/>
      <c r="CP679" s="12"/>
      <c r="CQ679" s="9"/>
      <c r="CR679" s="10"/>
      <c r="CS679" s="68"/>
      <c r="EC679" s="344" t="str">
        <f t="shared" si="81"/>
        <v>BOLIVAR_SAN JACINTO DEL CAUCA</v>
      </c>
      <c r="ED679" s="341"/>
      <c r="EE679" s="341" t="s">
        <v>3162</v>
      </c>
      <c r="EF679" s="349" t="s">
        <v>3163</v>
      </c>
      <c r="EG679" s="341" t="s">
        <v>3887</v>
      </c>
      <c r="EH679" s="341" t="s">
        <v>4987</v>
      </c>
      <c r="EI679" s="341" t="str">
        <f t="shared" si="88"/>
        <v>Magdalena_Guamal</v>
      </c>
    </row>
    <row r="680" spans="1:139" ht="38.25">
      <c r="A680" s="228">
        <v>40347</v>
      </c>
      <c r="B680" s="102" t="s">
        <v>396</v>
      </c>
      <c r="C680" s="102" t="s">
        <v>1706</v>
      </c>
      <c r="D680" s="206" t="s">
        <v>1201</v>
      </c>
      <c r="E680" s="320" t="s">
        <v>3930</v>
      </c>
      <c r="F680" s="320"/>
      <c r="G680" s="210"/>
      <c r="H680" s="71"/>
      <c r="I680" s="71"/>
      <c r="J680" s="71">
        <f>390-123</f>
        <v>267</v>
      </c>
      <c r="K680" s="71">
        <v>48</v>
      </c>
      <c r="L680" s="1"/>
      <c r="M680" s="73">
        <f t="shared" si="82"/>
        <v>0</v>
      </c>
      <c r="N680" s="73">
        <f t="shared" si="83"/>
        <v>0</v>
      </c>
      <c r="O680" s="73">
        <f t="shared" si="84"/>
        <v>0</v>
      </c>
      <c r="P680" s="73">
        <f t="shared" si="85"/>
        <v>0</v>
      </c>
      <c r="Q680" s="73"/>
      <c r="R680" s="73">
        <v>0</v>
      </c>
      <c r="S680" s="75">
        <f t="shared" si="87"/>
        <v>0</v>
      </c>
      <c r="T680" s="77">
        <v>0</v>
      </c>
      <c r="U680" s="66">
        <v>40350</v>
      </c>
      <c r="V680" s="79"/>
      <c r="W680" s="66" t="s">
        <v>1585</v>
      </c>
      <c r="X680" s="24" t="s">
        <v>1586</v>
      </c>
      <c r="Y680" s="62"/>
      <c r="Z680" s="177" t="s">
        <v>894</v>
      </c>
      <c r="AA680" s="80" t="s">
        <v>1343</v>
      </c>
      <c r="AB680" s="3"/>
      <c r="AC680" s="4"/>
      <c r="AD680" s="5"/>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6"/>
      <c r="CE680" s="7"/>
      <c r="CF680" s="6"/>
      <c r="CG680" s="7"/>
      <c r="CH680" s="6"/>
      <c r="CI680" s="7"/>
      <c r="CJ680" s="8">
        <f t="shared" si="86"/>
        <v>0</v>
      </c>
      <c r="CK680" s="9"/>
      <c r="CL680" s="10"/>
      <c r="CM680" s="11"/>
      <c r="CN680" s="12"/>
      <c r="CO680" s="28"/>
      <c r="CP680" s="12"/>
      <c r="CQ680" s="9"/>
      <c r="CR680" s="10"/>
      <c r="CS680" s="68"/>
      <c r="EC680" s="344" t="str">
        <f t="shared" si="81"/>
        <v>META_SAN JUAN DE ARAMA</v>
      </c>
      <c r="ED680" s="341"/>
      <c r="EE680" s="341" t="s">
        <v>3162</v>
      </c>
      <c r="EF680" s="349" t="s">
        <v>3163</v>
      </c>
      <c r="EG680" s="341" t="s">
        <v>3888</v>
      </c>
      <c r="EH680" s="341" t="s">
        <v>4988</v>
      </c>
      <c r="EI680" s="341" t="str">
        <f t="shared" si="88"/>
        <v>Magdalena_Nueva Granada</v>
      </c>
    </row>
    <row r="681" spans="1:139" ht="25.5">
      <c r="A681" s="228">
        <v>40347</v>
      </c>
      <c r="B681" s="102" t="s">
        <v>1609</v>
      </c>
      <c r="C681" s="102" t="s">
        <v>2373</v>
      </c>
      <c r="D681" s="206" t="s">
        <v>1201</v>
      </c>
      <c r="E681" s="320" t="s">
        <v>4059</v>
      </c>
      <c r="F681" s="320"/>
      <c r="G681" s="210"/>
      <c r="H681" s="71"/>
      <c r="I681" s="71"/>
      <c r="J681" s="71">
        <v>15</v>
      </c>
      <c r="K681" s="71">
        <v>3</v>
      </c>
      <c r="L681" s="1"/>
      <c r="M681" s="73">
        <f t="shared" si="82"/>
        <v>0</v>
      </c>
      <c r="N681" s="73">
        <f t="shared" si="83"/>
        <v>0</v>
      </c>
      <c r="O681" s="73">
        <f t="shared" si="84"/>
        <v>0</v>
      </c>
      <c r="P681" s="73">
        <f t="shared" si="85"/>
        <v>0</v>
      </c>
      <c r="Q681" s="73"/>
      <c r="R681" s="73">
        <v>0</v>
      </c>
      <c r="S681" s="75">
        <f t="shared" si="87"/>
        <v>0</v>
      </c>
      <c r="T681" s="77">
        <v>0</v>
      </c>
      <c r="U681" s="66">
        <v>40357</v>
      </c>
      <c r="V681" s="79"/>
      <c r="W681" s="66" t="s">
        <v>1585</v>
      </c>
      <c r="X681" s="24" t="s">
        <v>1586</v>
      </c>
      <c r="Y681" s="62"/>
      <c r="Z681" s="177" t="s">
        <v>894</v>
      </c>
      <c r="AA681" s="80" t="s">
        <v>1320</v>
      </c>
      <c r="AB681" s="3"/>
      <c r="AC681" s="4"/>
      <c r="AD681" s="5"/>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6"/>
      <c r="CE681" s="7"/>
      <c r="CF681" s="6"/>
      <c r="CG681" s="7"/>
      <c r="CH681" s="6"/>
      <c r="CI681" s="7"/>
      <c r="CJ681" s="8">
        <f t="shared" si="86"/>
        <v>0</v>
      </c>
      <c r="CK681" s="9"/>
      <c r="CL681" s="10"/>
      <c r="CM681" s="11"/>
      <c r="CN681" s="12"/>
      <c r="CO681" s="28"/>
      <c r="CP681" s="12"/>
      <c r="CQ681" s="9"/>
      <c r="CR681" s="10"/>
      <c r="CS681" s="68"/>
      <c r="EC681" s="344" t="str">
        <f t="shared" ref="EC681:EC742" si="89">B681&amp;"_"&amp;C681</f>
        <v>RISARALDA_MISTRATO</v>
      </c>
      <c r="ED681" s="341"/>
      <c r="EE681" s="341" t="s">
        <v>3162</v>
      </c>
      <c r="EF681" s="349" t="s">
        <v>3163</v>
      </c>
      <c r="EG681" s="341" t="s">
        <v>3889</v>
      </c>
      <c r="EH681" s="341" t="s">
        <v>4989</v>
      </c>
      <c r="EI681" s="341" t="str">
        <f t="shared" si="88"/>
        <v>Magdalena_Pedraza</v>
      </c>
    </row>
    <row r="682" spans="1:139" ht="38.25">
      <c r="A682" s="228">
        <v>40348</v>
      </c>
      <c r="B682" s="102" t="s">
        <v>1295</v>
      </c>
      <c r="C682" s="102" t="s">
        <v>1219</v>
      </c>
      <c r="D682" s="206" t="s">
        <v>1201</v>
      </c>
      <c r="E682" s="320" t="s">
        <v>3675</v>
      </c>
      <c r="F682" s="320"/>
      <c r="G682" s="210"/>
      <c r="H682" s="71"/>
      <c r="I682" s="71"/>
      <c r="J682" s="71">
        <v>10</v>
      </c>
      <c r="K682" s="71">
        <v>8</v>
      </c>
      <c r="L682" s="1"/>
      <c r="M682" s="73">
        <f t="shared" si="82"/>
        <v>0</v>
      </c>
      <c r="N682" s="73">
        <f t="shared" si="83"/>
        <v>0</v>
      </c>
      <c r="O682" s="73">
        <f t="shared" si="84"/>
        <v>0</v>
      </c>
      <c r="P682" s="73">
        <f t="shared" si="85"/>
        <v>0</v>
      </c>
      <c r="Q682" s="73"/>
      <c r="R682" s="73">
        <v>0</v>
      </c>
      <c r="S682" s="75">
        <f t="shared" si="87"/>
        <v>0</v>
      </c>
      <c r="T682" s="77">
        <v>0</v>
      </c>
      <c r="U682" s="66">
        <v>40353</v>
      </c>
      <c r="V682" s="79"/>
      <c r="W682" s="66" t="s">
        <v>1585</v>
      </c>
      <c r="X682" s="24" t="s">
        <v>1586</v>
      </c>
      <c r="Y682" s="62"/>
      <c r="Z682" s="177" t="s">
        <v>894</v>
      </c>
      <c r="AA682" s="80" t="s">
        <v>1220</v>
      </c>
      <c r="AB682" s="3"/>
      <c r="AC682" s="4"/>
      <c r="AD682" s="5"/>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6"/>
      <c r="CE682" s="7"/>
      <c r="CF682" s="6"/>
      <c r="CG682" s="7"/>
      <c r="CH682" s="6"/>
      <c r="CI682" s="7"/>
      <c r="CJ682" s="8">
        <f t="shared" si="86"/>
        <v>0</v>
      </c>
      <c r="CK682" s="9"/>
      <c r="CL682" s="10"/>
      <c r="CM682" s="11"/>
      <c r="CN682" s="12"/>
      <c r="CO682" s="28"/>
      <c r="CP682" s="12"/>
      <c r="CQ682" s="9"/>
      <c r="CR682" s="10"/>
      <c r="CS682" s="68"/>
      <c r="EC682" s="344" t="str">
        <f t="shared" si="89"/>
        <v>CORDOBA_SAN ANTERO</v>
      </c>
      <c r="ED682" s="341"/>
      <c r="EE682" s="341" t="s">
        <v>3162</v>
      </c>
      <c r="EF682" s="349" t="s">
        <v>3163</v>
      </c>
      <c r="EG682" s="341" t="s">
        <v>3890</v>
      </c>
      <c r="EH682" s="341" t="s">
        <v>4990</v>
      </c>
      <c r="EI682" s="341" t="str">
        <f t="shared" si="88"/>
        <v>Magdalena_Pijiño del Carmen</v>
      </c>
    </row>
    <row r="683" spans="1:139" ht="38.25">
      <c r="A683" s="228">
        <v>40348</v>
      </c>
      <c r="B683" s="102" t="s">
        <v>1943</v>
      </c>
      <c r="C683" s="102" t="s">
        <v>1243</v>
      </c>
      <c r="D683" s="206" t="s">
        <v>2606</v>
      </c>
      <c r="E683" s="320" t="s">
        <v>4168</v>
      </c>
      <c r="F683" s="320"/>
      <c r="G683" s="210"/>
      <c r="H683" s="71"/>
      <c r="I683" s="71"/>
      <c r="J683" s="71">
        <f>78+57</f>
        <v>135</v>
      </c>
      <c r="K683" s="71">
        <v>27</v>
      </c>
      <c r="L683" s="1"/>
      <c r="M683" s="73">
        <f t="shared" si="82"/>
        <v>0</v>
      </c>
      <c r="N683" s="73">
        <f t="shared" si="83"/>
        <v>0</v>
      </c>
      <c r="O683" s="73">
        <f t="shared" si="84"/>
        <v>0</v>
      </c>
      <c r="P683" s="73">
        <f t="shared" si="85"/>
        <v>0</v>
      </c>
      <c r="Q683" s="73"/>
      <c r="R683" s="73">
        <v>0</v>
      </c>
      <c r="S683" s="75">
        <f t="shared" si="87"/>
        <v>0</v>
      </c>
      <c r="T683" s="77">
        <v>0</v>
      </c>
      <c r="U683" s="66">
        <v>40371</v>
      </c>
      <c r="V683" s="79"/>
      <c r="W683" s="66" t="s">
        <v>1585</v>
      </c>
      <c r="X683" s="24" t="s">
        <v>1586</v>
      </c>
      <c r="Y683" s="62"/>
      <c r="Z683" s="177" t="s">
        <v>894</v>
      </c>
      <c r="AA683" s="80" t="s">
        <v>1297</v>
      </c>
      <c r="AB683" s="3"/>
      <c r="AC683" s="4"/>
      <c r="AD683" s="5"/>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6"/>
      <c r="CE683" s="7"/>
      <c r="CF683" s="6"/>
      <c r="CG683" s="7"/>
      <c r="CH683" s="6"/>
      <c r="CI683" s="7"/>
      <c r="CJ683" s="8">
        <f t="shared" si="86"/>
        <v>0</v>
      </c>
      <c r="CK683" s="9"/>
      <c r="CL683" s="10"/>
      <c r="CM683" s="11"/>
      <c r="CN683" s="12"/>
      <c r="CO683" s="28"/>
      <c r="CP683" s="12"/>
      <c r="CQ683" s="9"/>
      <c r="CR683" s="10"/>
      <c r="CS683" s="68"/>
      <c r="EC683" s="344" t="str">
        <f t="shared" si="89"/>
        <v>SUCRE_SAN BENITO ABAD</v>
      </c>
      <c r="ED683" s="341"/>
      <c r="EE683" s="341" t="s">
        <v>3162</v>
      </c>
      <c r="EF683" s="349" t="s">
        <v>3163</v>
      </c>
      <c r="EG683" s="341" t="s">
        <v>3891</v>
      </c>
      <c r="EH683" s="341" t="s">
        <v>4991</v>
      </c>
      <c r="EI683" s="341" t="str">
        <f t="shared" si="88"/>
        <v>Magdalena_Pivijay</v>
      </c>
    </row>
    <row r="684" spans="1:139" ht="25.5">
      <c r="A684" s="228">
        <v>40348</v>
      </c>
      <c r="B684" s="102" t="s">
        <v>2400</v>
      </c>
      <c r="C684" s="102" t="s">
        <v>1545</v>
      </c>
      <c r="D684" s="206" t="s">
        <v>1201</v>
      </c>
      <c r="E684" s="320" t="s">
        <v>4177</v>
      </c>
      <c r="F684" s="320"/>
      <c r="G684" s="210"/>
      <c r="H684" s="71"/>
      <c r="I684" s="71"/>
      <c r="J684" s="71">
        <v>5</v>
      </c>
      <c r="K684" s="71">
        <v>1</v>
      </c>
      <c r="L684" s="1"/>
      <c r="M684" s="73">
        <f t="shared" si="82"/>
        <v>0</v>
      </c>
      <c r="N684" s="73">
        <f t="shared" si="83"/>
        <v>0</v>
      </c>
      <c r="O684" s="73">
        <f t="shared" si="84"/>
        <v>0</v>
      </c>
      <c r="P684" s="73">
        <f t="shared" si="85"/>
        <v>0</v>
      </c>
      <c r="Q684" s="73"/>
      <c r="R684" s="73">
        <v>0</v>
      </c>
      <c r="S684" s="75">
        <f t="shared" si="87"/>
        <v>0</v>
      </c>
      <c r="T684" s="77">
        <v>0</v>
      </c>
      <c r="U684" s="66">
        <v>40350</v>
      </c>
      <c r="V684" s="79"/>
      <c r="W684" s="66" t="s">
        <v>1585</v>
      </c>
      <c r="X684" s="24" t="s">
        <v>1586</v>
      </c>
      <c r="Y684" s="62"/>
      <c r="Z684" s="177" t="s">
        <v>894</v>
      </c>
      <c r="AA684" s="80" t="s">
        <v>1342</v>
      </c>
      <c r="AB684" s="3"/>
      <c r="AC684" s="4"/>
      <c r="AD684" s="5"/>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6"/>
      <c r="CE684" s="7"/>
      <c r="CF684" s="6"/>
      <c r="CG684" s="7"/>
      <c r="CH684" s="6"/>
      <c r="CI684" s="7"/>
      <c r="CJ684" s="8">
        <f t="shared" si="86"/>
        <v>0</v>
      </c>
      <c r="CK684" s="9"/>
      <c r="CL684" s="10"/>
      <c r="CM684" s="11"/>
      <c r="CN684" s="12"/>
      <c r="CO684" s="28"/>
      <c r="CP684" s="12"/>
      <c r="CQ684" s="9"/>
      <c r="CR684" s="10"/>
      <c r="CS684" s="68"/>
      <c r="EC684" s="344" t="str">
        <f t="shared" si="89"/>
        <v>TOLIMA_IBAGUE</v>
      </c>
      <c r="ED684" s="341"/>
      <c r="EE684" s="341" t="s">
        <v>3162</v>
      </c>
      <c r="EF684" s="349" t="s">
        <v>3163</v>
      </c>
      <c r="EG684" s="341" t="s">
        <v>3892</v>
      </c>
      <c r="EH684" s="341" t="s">
        <v>4992</v>
      </c>
      <c r="EI684" s="341" t="str">
        <f t="shared" si="88"/>
        <v>Magdalena_Plato</v>
      </c>
    </row>
    <row r="685" spans="1:139" ht="25.5">
      <c r="A685" s="228">
        <v>40349</v>
      </c>
      <c r="B685" s="102" t="s">
        <v>1972</v>
      </c>
      <c r="C685" s="102" t="s">
        <v>588</v>
      </c>
      <c r="D685" s="206" t="s">
        <v>1923</v>
      </c>
      <c r="E685" s="320" t="s">
        <v>3332</v>
      </c>
      <c r="F685" s="320"/>
      <c r="G685" s="210"/>
      <c r="H685" s="71"/>
      <c r="I685" s="71"/>
      <c r="J685" s="71">
        <v>5</v>
      </c>
      <c r="K685" s="71">
        <v>1</v>
      </c>
      <c r="L685" s="1"/>
      <c r="M685" s="73">
        <f t="shared" si="82"/>
        <v>0</v>
      </c>
      <c r="N685" s="73">
        <f t="shared" si="83"/>
        <v>0</v>
      </c>
      <c r="O685" s="73">
        <f t="shared" si="84"/>
        <v>0</v>
      </c>
      <c r="P685" s="73">
        <f t="shared" si="85"/>
        <v>0</v>
      </c>
      <c r="Q685" s="73"/>
      <c r="R685" s="73">
        <v>0</v>
      </c>
      <c r="S685" s="75">
        <f t="shared" si="87"/>
        <v>0</v>
      </c>
      <c r="T685" s="77">
        <v>0</v>
      </c>
      <c r="U685" s="66">
        <v>40350</v>
      </c>
      <c r="V685" s="79"/>
      <c r="W685" s="66" t="s">
        <v>1585</v>
      </c>
      <c r="X685" s="24" t="s">
        <v>1586</v>
      </c>
      <c r="Y685" s="62"/>
      <c r="Z685" s="177" t="s">
        <v>894</v>
      </c>
      <c r="AA685" s="80" t="s">
        <v>589</v>
      </c>
      <c r="AB685" s="3"/>
      <c r="AC685" s="4"/>
      <c r="AD685" s="5"/>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6"/>
      <c r="CE685" s="7"/>
      <c r="CF685" s="6"/>
      <c r="CG685" s="7"/>
      <c r="CH685" s="6"/>
      <c r="CI685" s="7"/>
      <c r="CJ685" s="8">
        <f t="shared" si="86"/>
        <v>0</v>
      </c>
      <c r="CK685" s="9"/>
      <c r="CL685" s="10"/>
      <c r="CM685" s="11"/>
      <c r="CN685" s="12"/>
      <c r="CO685" s="28"/>
      <c r="CP685" s="12"/>
      <c r="CQ685" s="9"/>
      <c r="CR685" s="10"/>
      <c r="CS685" s="68"/>
      <c r="EC685" s="344" t="str">
        <f t="shared" si="89"/>
        <v>ANTIOQUIA_SONSON</v>
      </c>
      <c r="ED685" s="341"/>
      <c r="EE685" s="341" t="s">
        <v>3162</v>
      </c>
      <c r="EF685" s="349" t="s">
        <v>3163</v>
      </c>
      <c r="EG685" s="341" t="s">
        <v>3893</v>
      </c>
      <c r="EH685" s="341" t="s">
        <v>4993</v>
      </c>
      <c r="EI685" s="341" t="str">
        <f t="shared" si="88"/>
        <v>Magdalena_Puebloviejo</v>
      </c>
    </row>
    <row r="686" spans="1:139" ht="60">
      <c r="A686" s="235">
        <v>40349</v>
      </c>
      <c r="B686" s="224" t="s">
        <v>1972</v>
      </c>
      <c r="C686" s="224" t="s">
        <v>2041</v>
      </c>
      <c r="D686" s="236" t="s">
        <v>1201</v>
      </c>
      <c r="E686" s="324" t="s">
        <v>3351</v>
      </c>
      <c r="F686" s="324"/>
      <c r="G686" s="210"/>
      <c r="H686" s="71"/>
      <c r="I686" s="71"/>
      <c r="J686" s="71">
        <v>500</v>
      </c>
      <c r="K686" s="71">
        <v>200</v>
      </c>
      <c r="L686" s="1">
        <v>40381</v>
      </c>
      <c r="M686" s="73">
        <f t="shared" si="82"/>
        <v>68344560</v>
      </c>
      <c r="N686" s="73">
        <f t="shared" si="83"/>
        <v>45050000</v>
      </c>
      <c r="O686" s="73">
        <f t="shared" si="84"/>
        <v>0</v>
      </c>
      <c r="P686" s="73">
        <f t="shared" si="85"/>
        <v>0</v>
      </c>
      <c r="Q686" s="73"/>
      <c r="R686" s="73">
        <v>0</v>
      </c>
      <c r="S686" s="75">
        <f t="shared" si="87"/>
        <v>113394560</v>
      </c>
      <c r="T686" s="77">
        <v>0</v>
      </c>
      <c r="U686" s="66">
        <v>40351</v>
      </c>
      <c r="V686" s="89" t="s">
        <v>1063</v>
      </c>
      <c r="W686" s="66" t="s">
        <v>1606</v>
      </c>
      <c r="X686" s="24" t="s">
        <v>1607</v>
      </c>
      <c r="Y686" s="62">
        <v>210</v>
      </c>
      <c r="Z686" s="177" t="s">
        <v>2580</v>
      </c>
      <c r="AA686" s="80" t="s">
        <v>585</v>
      </c>
      <c r="AB686" s="3"/>
      <c r="AC686" s="4"/>
      <c r="AD686" s="5"/>
      <c r="AE686" s="4"/>
      <c r="AF686" s="4"/>
      <c r="AG686" s="4"/>
      <c r="AH686" s="4"/>
      <c r="AI686" s="4"/>
      <c r="AJ686" s="4"/>
      <c r="AK686" s="4"/>
      <c r="AL686" s="4"/>
      <c r="AM686" s="4"/>
      <c r="AN686" s="4">
        <v>530</v>
      </c>
      <c r="AO686" s="4">
        <f>530*56000</f>
        <v>29680000</v>
      </c>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6">
        <v>530</v>
      </c>
      <c r="CE686" s="7">
        <f>530*36952</f>
        <v>19584560</v>
      </c>
      <c r="CF686" s="6">
        <v>530</v>
      </c>
      <c r="CG686" s="7">
        <f>530*36000</f>
        <v>19080000</v>
      </c>
      <c r="CH686" s="6"/>
      <c r="CI686" s="7"/>
      <c r="CJ686" s="8">
        <f t="shared" si="86"/>
        <v>68344560</v>
      </c>
      <c r="CK686" s="9"/>
      <c r="CL686" s="10"/>
      <c r="CM686" s="11">
        <v>530</v>
      </c>
      <c r="CN686" s="12">
        <f>530*85000</f>
        <v>45050000</v>
      </c>
      <c r="CO686" s="28"/>
      <c r="CP686" s="12"/>
      <c r="CQ686" s="9"/>
      <c r="CR686" s="10"/>
      <c r="CS686" s="68"/>
      <c r="EC686" s="344" t="str">
        <f t="shared" si="89"/>
        <v>ANTIOQUIA_ZARAGOZA</v>
      </c>
      <c r="ED686" s="341"/>
      <c r="EE686" s="341" t="s">
        <v>3162</v>
      </c>
      <c r="EF686" s="349" t="s">
        <v>3163</v>
      </c>
      <c r="EG686" s="341" t="s">
        <v>3894</v>
      </c>
      <c r="EH686" s="341" t="s">
        <v>4994</v>
      </c>
      <c r="EI686" s="341" t="str">
        <f t="shared" si="88"/>
        <v>Magdalena_Remolino</v>
      </c>
    </row>
    <row r="687" spans="1:139" ht="48">
      <c r="A687" s="228">
        <v>40349</v>
      </c>
      <c r="B687" s="102" t="s">
        <v>1551</v>
      </c>
      <c r="C687" s="102" t="s">
        <v>1590</v>
      </c>
      <c r="D687" s="206" t="s">
        <v>1201</v>
      </c>
      <c r="E687" s="320" t="s">
        <v>3352</v>
      </c>
      <c r="F687" s="320"/>
      <c r="G687" s="210"/>
      <c r="H687" s="71"/>
      <c r="I687" s="71"/>
      <c r="J687" s="71">
        <v>925</v>
      </c>
      <c r="K687" s="71">
        <v>185</v>
      </c>
      <c r="L687" s="1"/>
      <c r="M687" s="73">
        <f t="shared" si="82"/>
        <v>0</v>
      </c>
      <c r="N687" s="73">
        <f t="shared" si="83"/>
        <v>0</v>
      </c>
      <c r="O687" s="73">
        <f t="shared" si="84"/>
        <v>0</v>
      </c>
      <c r="P687" s="73">
        <f t="shared" si="85"/>
        <v>0</v>
      </c>
      <c r="Q687" s="73"/>
      <c r="R687" s="73">
        <v>0</v>
      </c>
      <c r="S687" s="75">
        <f t="shared" si="87"/>
        <v>0</v>
      </c>
      <c r="T687" s="77">
        <v>0</v>
      </c>
      <c r="U687" s="66">
        <v>40350</v>
      </c>
      <c r="V687" s="79"/>
      <c r="W687" s="66" t="s">
        <v>1585</v>
      </c>
      <c r="X687" s="24" t="s">
        <v>1586</v>
      </c>
      <c r="Y687" s="62"/>
      <c r="Z687" s="177" t="s">
        <v>894</v>
      </c>
      <c r="AA687" s="80" t="s">
        <v>596</v>
      </c>
      <c r="AB687" s="3"/>
      <c r="AC687" s="4"/>
      <c r="AD687" s="5"/>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6"/>
      <c r="CE687" s="7"/>
      <c r="CF687" s="6"/>
      <c r="CG687" s="7"/>
      <c r="CH687" s="6"/>
      <c r="CI687" s="7"/>
      <c r="CJ687" s="8">
        <f t="shared" si="86"/>
        <v>0</v>
      </c>
      <c r="CK687" s="9"/>
      <c r="CL687" s="10"/>
      <c r="CM687" s="11"/>
      <c r="CN687" s="12"/>
      <c r="CO687" s="28"/>
      <c r="CP687" s="12"/>
      <c r="CQ687" s="9"/>
      <c r="CR687" s="10"/>
      <c r="CS687" s="68"/>
      <c r="EC687" s="344" t="str">
        <f t="shared" si="89"/>
        <v>ATLANTICO_BARRANQUILLA</v>
      </c>
      <c r="ED687" s="341"/>
      <c r="EE687" s="341" t="s">
        <v>3162</v>
      </c>
      <c r="EF687" s="349" t="s">
        <v>3163</v>
      </c>
      <c r="EG687" s="341" t="s">
        <v>3895</v>
      </c>
      <c r="EH687" s="341" t="s">
        <v>4995</v>
      </c>
      <c r="EI687" s="341" t="str">
        <f t="shared" si="88"/>
        <v>Magdalena_Sabanas de San Angel</v>
      </c>
    </row>
    <row r="688" spans="1:139" ht="38.25">
      <c r="A688" s="228">
        <v>40349</v>
      </c>
      <c r="B688" s="102" t="s">
        <v>1551</v>
      </c>
      <c r="C688" s="102" t="s">
        <v>1590</v>
      </c>
      <c r="D688" s="206" t="s">
        <v>1878</v>
      </c>
      <c r="E688" s="320" t="s">
        <v>3352</v>
      </c>
      <c r="F688" s="320"/>
      <c r="G688" s="210"/>
      <c r="H688" s="71"/>
      <c r="I688" s="71"/>
      <c r="J688" s="71">
        <v>30</v>
      </c>
      <c r="K688" s="71">
        <v>6</v>
      </c>
      <c r="L688" s="1"/>
      <c r="M688" s="73">
        <f t="shared" si="82"/>
        <v>0</v>
      </c>
      <c r="N688" s="73">
        <f t="shared" si="83"/>
        <v>0</v>
      </c>
      <c r="O688" s="73">
        <f t="shared" si="84"/>
        <v>0</v>
      </c>
      <c r="P688" s="73">
        <f t="shared" si="85"/>
        <v>0</v>
      </c>
      <c r="Q688" s="73"/>
      <c r="R688" s="73">
        <v>0</v>
      </c>
      <c r="S688" s="75">
        <f t="shared" si="87"/>
        <v>0</v>
      </c>
      <c r="T688" s="77">
        <v>0</v>
      </c>
      <c r="U688" s="66">
        <v>40350</v>
      </c>
      <c r="V688" s="79"/>
      <c r="W688" s="66" t="s">
        <v>1585</v>
      </c>
      <c r="X688" s="24" t="s">
        <v>1586</v>
      </c>
      <c r="Y688" s="62"/>
      <c r="Z688" s="177" t="s">
        <v>894</v>
      </c>
      <c r="AA688" s="80" t="s">
        <v>1346</v>
      </c>
      <c r="AB688" s="3"/>
      <c r="AC688" s="4"/>
      <c r="AD688" s="5"/>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6"/>
      <c r="CE688" s="7"/>
      <c r="CF688" s="6"/>
      <c r="CG688" s="7"/>
      <c r="CH688" s="6"/>
      <c r="CI688" s="7"/>
      <c r="CJ688" s="8">
        <f t="shared" si="86"/>
        <v>0</v>
      </c>
      <c r="CK688" s="9"/>
      <c r="CL688" s="10"/>
      <c r="CM688" s="11"/>
      <c r="CN688" s="12"/>
      <c r="CO688" s="28"/>
      <c r="CP688" s="12"/>
      <c r="CQ688" s="9"/>
      <c r="CR688" s="10"/>
      <c r="CS688" s="68"/>
      <c r="EC688" s="344" t="str">
        <f t="shared" si="89"/>
        <v>ATLANTICO_BARRANQUILLA</v>
      </c>
      <c r="ED688" s="341"/>
      <c r="EE688" s="341" t="s">
        <v>3162</v>
      </c>
      <c r="EF688" s="349" t="s">
        <v>3163</v>
      </c>
      <c r="EG688" s="341" t="s">
        <v>3896</v>
      </c>
      <c r="EH688" s="341" t="s">
        <v>4701</v>
      </c>
      <c r="EI688" s="341" t="str">
        <f t="shared" si="88"/>
        <v>Magdalena_Salamina</v>
      </c>
    </row>
    <row r="689" spans="1:139" ht="63.75">
      <c r="A689" s="228">
        <v>40349</v>
      </c>
      <c r="B689" s="102" t="s">
        <v>1615</v>
      </c>
      <c r="C689" s="102" t="s">
        <v>1556</v>
      </c>
      <c r="D689" s="206" t="s">
        <v>1878</v>
      </c>
      <c r="E689" s="320" t="s">
        <v>3417</v>
      </c>
      <c r="F689" s="320"/>
      <c r="G689" s="210"/>
      <c r="H689" s="71"/>
      <c r="I689" s="71"/>
      <c r="J689" s="71">
        <v>30</v>
      </c>
      <c r="K689" s="71">
        <v>6</v>
      </c>
      <c r="L689" s="1"/>
      <c r="M689" s="73">
        <f t="shared" si="82"/>
        <v>0</v>
      </c>
      <c r="N689" s="73">
        <f t="shared" si="83"/>
        <v>0</v>
      </c>
      <c r="O689" s="73">
        <f t="shared" si="84"/>
        <v>0</v>
      </c>
      <c r="P689" s="73">
        <f t="shared" si="85"/>
        <v>0</v>
      </c>
      <c r="Q689" s="73"/>
      <c r="R689" s="73">
        <v>0</v>
      </c>
      <c r="S689" s="75">
        <f t="shared" si="87"/>
        <v>0</v>
      </c>
      <c r="T689" s="77">
        <v>0</v>
      </c>
      <c r="U689" s="66">
        <v>40350</v>
      </c>
      <c r="V689" s="79"/>
      <c r="W689" s="66" t="s">
        <v>1585</v>
      </c>
      <c r="X689" s="24" t="s">
        <v>1586</v>
      </c>
      <c r="Y689" s="62"/>
      <c r="Z689" s="177" t="s">
        <v>894</v>
      </c>
      <c r="AA689" s="80" t="s">
        <v>587</v>
      </c>
      <c r="AB689" s="3"/>
      <c r="AC689" s="4"/>
      <c r="AD689" s="5"/>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6"/>
      <c r="CE689" s="7"/>
      <c r="CF689" s="6"/>
      <c r="CG689" s="7"/>
      <c r="CH689" s="6"/>
      <c r="CI689" s="7"/>
      <c r="CJ689" s="8">
        <f t="shared" si="86"/>
        <v>0</v>
      </c>
      <c r="CK689" s="9"/>
      <c r="CL689" s="10"/>
      <c r="CM689" s="11"/>
      <c r="CN689" s="12"/>
      <c r="CO689" s="28"/>
      <c r="CP689" s="12"/>
      <c r="CQ689" s="9"/>
      <c r="CR689" s="10"/>
      <c r="CS689" s="68"/>
      <c r="EC689" s="344" t="str">
        <f t="shared" si="89"/>
        <v>BOLIVAR_TURBACO</v>
      </c>
      <c r="ED689" s="341"/>
      <c r="EE689" s="341" t="s">
        <v>3162</v>
      </c>
      <c r="EF689" s="349" t="s">
        <v>3163</v>
      </c>
      <c r="EG689" s="341" t="s">
        <v>3897</v>
      </c>
      <c r="EH689" s="341" t="s">
        <v>4996</v>
      </c>
      <c r="EI689" s="341" t="str">
        <f t="shared" si="88"/>
        <v>Magdalena_San Sebastian de Buenavista</v>
      </c>
    </row>
    <row r="690" spans="1:139" ht="36">
      <c r="A690" s="228">
        <v>40349</v>
      </c>
      <c r="B690" s="102" t="s">
        <v>1192</v>
      </c>
      <c r="C690" s="102" t="s">
        <v>1344</v>
      </c>
      <c r="D690" s="206" t="s">
        <v>1878</v>
      </c>
      <c r="E690" s="320" t="s">
        <v>3479</v>
      </c>
      <c r="F690" s="320"/>
      <c r="G690" s="210"/>
      <c r="H690" s="71"/>
      <c r="I690" s="71"/>
      <c r="J690" s="71">
        <f>90*5</f>
        <v>450</v>
      </c>
      <c r="K690" s="71">
        <v>90</v>
      </c>
      <c r="L690" s="1"/>
      <c r="M690" s="73">
        <f t="shared" si="82"/>
        <v>0</v>
      </c>
      <c r="N690" s="73">
        <f t="shared" si="83"/>
        <v>0</v>
      </c>
      <c r="O690" s="73">
        <f t="shared" si="84"/>
        <v>0</v>
      </c>
      <c r="P690" s="73">
        <f t="shared" si="85"/>
        <v>0</v>
      </c>
      <c r="Q690" s="73"/>
      <c r="R690" s="73">
        <v>0</v>
      </c>
      <c r="S690" s="75">
        <f t="shared" si="87"/>
        <v>0</v>
      </c>
      <c r="T690" s="77">
        <v>0</v>
      </c>
      <c r="U690" s="66">
        <v>40578</v>
      </c>
      <c r="V690" s="79"/>
      <c r="W690" s="66" t="s">
        <v>1585</v>
      </c>
      <c r="X690" s="24" t="s">
        <v>1586</v>
      </c>
      <c r="Y690" s="62"/>
      <c r="Z690" s="177" t="s">
        <v>894</v>
      </c>
      <c r="AA690" s="80" t="s">
        <v>67</v>
      </c>
      <c r="AB690" s="3"/>
      <c r="AC690" s="4"/>
      <c r="AD690" s="5"/>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6"/>
      <c r="CE690" s="7"/>
      <c r="CF690" s="6"/>
      <c r="CG690" s="7"/>
      <c r="CH690" s="6"/>
      <c r="CI690" s="7"/>
      <c r="CJ690" s="8">
        <f t="shared" si="86"/>
        <v>0</v>
      </c>
      <c r="CK690" s="9"/>
      <c r="CL690" s="10"/>
      <c r="CM690" s="11"/>
      <c r="CN690" s="12"/>
      <c r="CO690" s="28"/>
      <c r="CP690" s="12"/>
      <c r="CQ690" s="9"/>
      <c r="CR690" s="10"/>
      <c r="CS690" s="68"/>
      <c r="EC690" s="344" t="str">
        <f t="shared" si="89"/>
        <v>BOYACA_MUZO</v>
      </c>
      <c r="ED690" s="341"/>
      <c r="EE690" s="341" t="s">
        <v>3162</v>
      </c>
      <c r="EF690" s="349" t="s">
        <v>3163</v>
      </c>
      <c r="EG690" s="341" t="s">
        <v>3898</v>
      </c>
      <c r="EH690" s="341" t="s">
        <v>4997</v>
      </c>
      <c r="EI690" s="341" t="str">
        <f t="shared" si="88"/>
        <v>Magdalena_San Zenon</v>
      </c>
    </row>
    <row r="691" spans="1:139" ht="25.5">
      <c r="A691" s="228">
        <v>40349</v>
      </c>
      <c r="B691" s="102" t="s">
        <v>1192</v>
      </c>
      <c r="C691" s="102" t="s">
        <v>1391</v>
      </c>
      <c r="D691" s="206" t="s">
        <v>1878</v>
      </c>
      <c r="E691" s="320" t="s">
        <v>3487</v>
      </c>
      <c r="F691" s="320"/>
      <c r="G691" s="210"/>
      <c r="H691" s="71"/>
      <c r="I691" s="71"/>
      <c r="J691" s="71"/>
      <c r="K691" s="71"/>
      <c r="L691" s="1"/>
      <c r="M691" s="73">
        <f t="shared" si="82"/>
        <v>0</v>
      </c>
      <c r="N691" s="73">
        <f t="shared" si="83"/>
        <v>0</v>
      </c>
      <c r="O691" s="73">
        <f t="shared" si="84"/>
        <v>0</v>
      </c>
      <c r="P691" s="73">
        <f t="shared" si="85"/>
        <v>0</v>
      </c>
      <c r="Q691" s="73"/>
      <c r="R691" s="73">
        <v>0</v>
      </c>
      <c r="S691" s="75">
        <f t="shared" si="87"/>
        <v>0</v>
      </c>
      <c r="T691" s="77">
        <v>0</v>
      </c>
      <c r="U691" s="66">
        <v>40350</v>
      </c>
      <c r="V691" s="79"/>
      <c r="W691" s="66" t="s">
        <v>1585</v>
      </c>
      <c r="X691" s="24" t="s">
        <v>1586</v>
      </c>
      <c r="Y691" s="62"/>
      <c r="Z691" s="177" t="s">
        <v>894</v>
      </c>
      <c r="AA691" s="80" t="s">
        <v>1392</v>
      </c>
      <c r="AB691" s="3"/>
      <c r="AC691" s="4"/>
      <c r="AD691" s="5"/>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6"/>
      <c r="CE691" s="7"/>
      <c r="CF691" s="6"/>
      <c r="CG691" s="7"/>
      <c r="CH691" s="6"/>
      <c r="CI691" s="7"/>
      <c r="CJ691" s="8">
        <f t="shared" si="86"/>
        <v>0</v>
      </c>
      <c r="CK691" s="9"/>
      <c r="CL691" s="10"/>
      <c r="CM691" s="11"/>
      <c r="CN691" s="12"/>
      <c r="CO691" s="28"/>
      <c r="CP691" s="12"/>
      <c r="CQ691" s="9"/>
      <c r="CR691" s="10"/>
      <c r="CS691" s="68"/>
      <c r="EC691" s="344" t="str">
        <f t="shared" si="89"/>
        <v>BOYACA_PAJARITO</v>
      </c>
      <c r="ED691" s="341"/>
      <c r="EE691" s="341" t="s">
        <v>3162</v>
      </c>
      <c r="EF691" s="349" t="s">
        <v>3163</v>
      </c>
      <c r="EG691" s="341" t="s">
        <v>3899</v>
      </c>
      <c r="EH691" s="341" t="s">
        <v>4998</v>
      </c>
      <c r="EI691" s="341" t="str">
        <f t="shared" si="88"/>
        <v>Magdalena_Santa Ana</v>
      </c>
    </row>
    <row r="692" spans="1:139" ht="51">
      <c r="A692" s="228">
        <v>40349</v>
      </c>
      <c r="B692" s="102" t="s">
        <v>1192</v>
      </c>
      <c r="C692" s="102" t="s">
        <v>1936</v>
      </c>
      <c r="D692" s="206" t="s">
        <v>1878</v>
      </c>
      <c r="E692" s="320" t="s">
        <v>3495</v>
      </c>
      <c r="F692" s="320"/>
      <c r="G692" s="210"/>
      <c r="H692" s="71"/>
      <c r="I692" s="71"/>
      <c r="J692" s="71"/>
      <c r="K692" s="71"/>
      <c r="L692" s="1"/>
      <c r="M692" s="73">
        <f t="shared" si="82"/>
        <v>0</v>
      </c>
      <c r="N692" s="73">
        <f t="shared" si="83"/>
        <v>0</v>
      </c>
      <c r="O692" s="73">
        <f t="shared" si="84"/>
        <v>0</v>
      </c>
      <c r="P692" s="73">
        <f t="shared" si="85"/>
        <v>0</v>
      </c>
      <c r="Q692" s="73"/>
      <c r="R692" s="73">
        <v>0</v>
      </c>
      <c r="S692" s="75">
        <f t="shared" si="87"/>
        <v>0</v>
      </c>
      <c r="T692" s="77">
        <v>0</v>
      </c>
      <c r="U692" s="66">
        <v>40350</v>
      </c>
      <c r="V692" s="79"/>
      <c r="W692" s="66" t="s">
        <v>1585</v>
      </c>
      <c r="X692" s="24" t="s">
        <v>1586</v>
      </c>
      <c r="Y692" s="62"/>
      <c r="Z692" s="177" t="s">
        <v>894</v>
      </c>
      <c r="AA692" s="80" t="s">
        <v>1345</v>
      </c>
      <c r="AB692" s="3"/>
      <c r="AC692" s="4"/>
      <c r="AD692" s="5"/>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6"/>
      <c r="CE692" s="7"/>
      <c r="CF692" s="6"/>
      <c r="CG692" s="7"/>
      <c r="CH692" s="6"/>
      <c r="CI692" s="7"/>
      <c r="CJ692" s="8">
        <f t="shared" si="86"/>
        <v>0</v>
      </c>
      <c r="CK692" s="9"/>
      <c r="CL692" s="10"/>
      <c r="CM692" s="11"/>
      <c r="CN692" s="12"/>
      <c r="CO692" s="28"/>
      <c r="CP692" s="12"/>
      <c r="CQ692" s="9"/>
      <c r="CR692" s="10"/>
      <c r="CS692" s="68"/>
      <c r="EC692" s="344" t="str">
        <f t="shared" si="89"/>
        <v>BOYACA_QUIPAMA</v>
      </c>
      <c r="ED692" s="341"/>
      <c r="EE692" s="341" t="s">
        <v>3162</v>
      </c>
      <c r="EF692" s="349" t="s">
        <v>3163</v>
      </c>
      <c r="EG692" s="341" t="s">
        <v>3900</v>
      </c>
      <c r="EH692" s="341" t="s">
        <v>4999</v>
      </c>
      <c r="EI692" s="341" t="str">
        <f t="shared" si="88"/>
        <v>Magdalena_Santa Barbara de Pinto</v>
      </c>
    </row>
    <row r="693" spans="1:139" ht="38.25">
      <c r="A693" s="228">
        <v>40349</v>
      </c>
      <c r="B693" s="205" t="s">
        <v>1821</v>
      </c>
      <c r="C693" s="205" t="s">
        <v>1661</v>
      </c>
      <c r="D693" s="207" t="s">
        <v>2606</v>
      </c>
      <c r="E693" s="323" t="s">
        <v>3630</v>
      </c>
      <c r="F693" s="323"/>
      <c r="G693" s="204"/>
      <c r="H693" s="151"/>
      <c r="I693" s="151"/>
      <c r="J693" s="151">
        <f>93*5</f>
        <v>465</v>
      </c>
      <c r="K693" s="151">
        <v>93</v>
      </c>
      <c r="L693" s="1"/>
      <c r="M693" s="73">
        <f t="shared" si="82"/>
        <v>0</v>
      </c>
      <c r="N693" s="73">
        <f t="shared" si="83"/>
        <v>0</v>
      </c>
      <c r="O693" s="73">
        <f t="shared" si="84"/>
        <v>0</v>
      </c>
      <c r="P693" s="73">
        <f t="shared" si="85"/>
        <v>0</v>
      </c>
      <c r="Q693" s="73"/>
      <c r="R693" s="73">
        <v>0</v>
      </c>
      <c r="S693" s="75">
        <f t="shared" si="87"/>
        <v>0</v>
      </c>
      <c r="T693" s="77">
        <v>0</v>
      </c>
      <c r="U693" s="66">
        <v>40484</v>
      </c>
      <c r="V693" s="79"/>
      <c r="W693" s="66" t="s">
        <v>1585</v>
      </c>
      <c r="X693" s="24" t="s">
        <v>1586</v>
      </c>
      <c r="Y693" s="104"/>
      <c r="Z693" s="169" t="s">
        <v>894</v>
      </c>
      <c r="AA693" s="166" t="s">
        <v>902</v>
      </c>
      <c r="AB693" s="152"/>
      <c r="AC693" s="153"/>
      <c r="AD693" s="154"/>
      <c r="AE693" s="153"/>
      <c r="AF693" s="153"/>
      <c r="AG693" s="153"/>
      <c r="AH693" s="153"/>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c r="BF693" s="153"/>
      <c r="BG693" s="153"/>
      <c r="BH693" s="153"/>
      <c r="BI693" s="153"/>
      <c r="BJ693" s="153"/>
      <c r="BK693" s="153"/>
      <c r="BL693" s="153"/>
      <c r="BM693" s="153"/>
      <c r="BN693" s="153"/>
      <c r="BO693" s="153"/>
      <c r="BP693" s="153"/>
      <c r="BQ693" s="153"/>
      <c r="BR693" s="153"/>
      <c r="BS693" s="153"/>
      <c r="BT693" s="153"/>
      <c r="BU693" s="153"/>
      <c r="BV693" s="153"/>
      <c r="BW693" s="153"/>
      <c r="BX693" s="153"/>
      <c r="BY693" s="153"/>
      <c r="BZ693" s="153"/>
      <c r="CA693" s="153"/>
      <c r="CB693" s="153"/>
      <c r="CC693" s="153"/>
      <c r="CD693" s="155"/>
      <c r="CE693" s="156"/>
      <c r="CF693" s="155"/>
      <c r="CG693" s="156"/>
      <c r="CH693" s="155"/>
      <c r="CI693" s="156"/>
      <c r="CJ693" s="157">
        <f t="shared" si="86"/>
        <v>0</v>
      </c>
      <c r="CK693" s="158"/>
      <c r="CL693" s="159"/>
      <c r="CM693" s="160"/>
      <c r="CN693" s="161"/>
      <c r="CO693" s="162"/>
      <c r="CP693" s="161"/>
      <c r="CQ693" s="158"/>
      <c r="CR693" s="159"/>
      <c r="CS693" s="68"/>
      <c r="CT693" s="163"/>
      <c r="EC693" s="344" t="str">
        <f t="shared" si="89"/>
        <v>CESAR_AGUSTIN CODAZZI</v>
      </c>
      <c r="ED693" s="341"/>
      <c r="EE693" s="341" t="s">
        <v>3162</v>
      </c>
      <c r="EF693" s="349" t="s">
        <v>3163</v>
      </c>
      <c r="EG693" s="341" t="s">
        <v>3901</v>
      </c>
      <c r="EH693" s="341" t="s">
        <v>5000</v>
      </c>
      <c r="EI693" s="341" t="str">
        <f t="shared" si="88"/>
        <v>Magdalena_Sitionuevo</v>
      </c>
    </row>
    <row r="694" spans="1:139" ht="25.5">
      <c r="A694" s="228">
        <v>40349</v>
      </c>
      <c r="B694" s="102" t="s">
        <v>1821</v>
      </c>
      <c r="C694" s="102" t="s">
        <v>601</v>
      </c>
      <c r="D694" s="206" t="s">
        <v>1201</v>
      </c>
      <c r="E694" s="320" t="s">
        <v>3632</v>
      </c>
      <c r="F694" s="320"/>
      <c r="G694" s="210"/>
      <c r="H694" s="71"/>
      <c r="I694" s="71"/>
      <c r="J694" s="71">
        <v>140</v>
      </c>
      <c r="K694" s="71">
        <v>28</v>
      </c>
      <c r="L694" s="1"/>
      <c r="M694" s="73">
        <f t="shared" si="82"/>
        <v>0</v>
      </c>
      <c r="N694" s="73">
        <f t="shared" si="83"/>
        <v>0</v>
      </c>
      <c r="O694" s="73">
        <f t="shared" si="84"/>
        <v>0</v>
      </c>
      <c r="P694" s="73">
        <f t="shared" si="85"/>
        <v>0</v>
      </c>
      <c r="Q694" s="73"/>
      <c r="R694" s="73">
        <v>0</v>
      </c>
      <c r="S694" s="75">
        <f t="shared" si="87"/>
        <v>0</v>
      </c>
      <c r="T694" s="77">
        <v>0</v>
      </c>
      <c r="U694" s="66">
        <v>40352</v>
      </c>
      <c r="V694" s="79"/>
      <c r="W694" s="66" t="s">
        <v>1585</v>
      </c>
      <c r="X694" s="24" t="s">
        <v>1586</v>
      </c>
      <c r="Y694" s="62"/>
      <c r="Z694" s="177" t="s">
        <v>894</v>
      </c>
      <c r="AA694" s="80" t="s">
        <v>1221</v>
      </c>
      <c r="AB694" s="3"/>
      <c r="AC694" s="4"/>
      <c r="AD694" s="5"/>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6"/>
      <c r="CE694" s="7"/>
      <c r="CF694" s="6"/>
      <c r="CG694" s="7"/>
      <c r="CH694" s="6"/>
      <c r="CI694" s="7"/>
      <c r="CJ694" s="8">
        <f t="shared" si="86"/>
        <v>0</v>
      </c>
      <c r="CK694" s="9"/>
      <c r="CL694" s="10"/>
      <c r="CM694" s="11"/>
      <c r="CN694" s="12"/>
      <c r="CO694" s="28"/>
      <c r="CP694" s="12"/>
      <c r="CQ694" s="9"/>
      <c r="CR694" s="10"/>
      <c r="CS694" s="68"/>
      <c r="EC694" s="344" t="str">
        <f t="shared" si="89"/>
        <v>CESAR_BECERRIL</v>
      </c>
      <c r="ED694" s="341"/>
      <c r="EE694" s="341" t="s">
        <v>3162</v>
      </c>
      <c r="EF694" s="349" t="s">
        <v>3163</v>
      </c>
      <c r="EG694" s="341" t="s">
        <v>3902</v>
      </c>
      <c r="EH694" s="341" t="s">
        <v>5001</v>
      </c>
      <c r="EI694" s="341" t="str">
        <f t="shared" si="88"/>
        <v>Magdalena_Tenerife</v>
      </c>
    </row>
    <row r="695" spans="1:139" ht="38.25">
      <c r="A695" s="228">
        <v>40349</v>
      </c>
      <c r="B695" s="102" t="s">
        <v>1604</v>
      </c>
      <c r="C695" s="102" t="s">
        <v>739</v>
      </c>
      <c r="D695" s="206" t="s">
        <v>1201</v>
      </c>
      <c r="E695" s="320" t="s">
        <v>3716</v>
      </c>
      <c r="F695" s="320"/>
      <c r="G695" s="210"/>
      <c r="H695" s="71"/>
      <c r="I695" s="71">
        <v>1</v>
      </c>
      <c r="J695" s="71"/>
      <c r="K695" s="71"/>
      <c r="L695" s="1"/>
      <c r="M695" s="73">
        <f t="shared" si="82"/>
        <v>0</v>
      </c>
      <c r="N695" s="73">
        <f t="shared" si="83"/>
        <v>0</v>
      </c>
      <c r="O695" s="73">
        <f t="shared" si="84"/>
        <v>0</v>
      </c>
      <c r="P695" s="73">
        <f t="shared" si="85"/>
        <v>0</v>
      </c>
      <c r="Q695" s="73"/>
      <c r="R695" s="73">
        <v>0</v>
      </c>
      <c r="S695" s="75">
        <f t="shared" si="87"/>
        <v>0</v>
      </c>
      <c r="T695" s="77">
        <v>0</v>
      </c>
      <c r="U695" s="66">
        <v>40352</v>
      </c>
      <c r="V695" s="79"/>
      <c r="W695" s="66" t="s">
        <v>1585</v>
      </c>
      <c r="X695" s="24" t="s">
        <v>1586</v>
      </c>
      <c r="Y695" s="62"/>
      <c r="Z695" s="177" t="s">
        <v>894</v>
      </c>
      <c r="AA695" s="80" t="s">
        <v>600</v>
      </c>
      <c r="AB695" s="3"/>
      <c r="AC695" s="4"/>
      <c r="AD695" s="5"/>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6"/>
      <c r="CE695" s="7"/>
      <c r="CF695" s="6"/>
      <c r="CG695" s="7"/>
      <c r="CH695" s="6"/>
      <c r="CI695" s="7"/>
      <c r="CJ695" s="8">
        <f t="shared" si="86"/>
        <v>0</v>
      </c>
      <c r="CK695" s="9"/>
      <c r="CL695" s="10"/>
      <c r="CM695" s="11"/>
      <c r="CN695" s="12"/>
      <c r="CO695" s="28"/>
      <c r="CP695" s="12"/>
      <c r="CQ695" s="9"/>
      <c r="CR695" s="10"/>
      <c r="CS695" s="68"/>
      <c r="EC695" s="344" t="str">
        <f t="shared" si="89"/>
        <v>CUNDINAMARCA_GUADUAS</v>
      </c>
      <c r="ED695" s="341"/>
      <c r="EE695" s="341" t="s">
        <v>3162</v>
      </c>
      <c r="EF695" s="349" t="s">
        <v>3163</v>
      </c>
      <c r="EG695" s="341" t="s">
        <v>3903</v>
      </c>
      <c r="EH695" s="341" t="s">
        <v>5002</v>
      </c>
      <c r="EI695" s="341" t="str">
        <f t="shared" si="88"/>
        <v>Magdalena_Zapayan</v>
      </c>
    </row>
    <row r="696" spans="1:139" ht="38.25">
      <c r="A696" s="228">
        <v>40349</v>
      </c>
      <c r="B696" s="102" t="s">
        <v>962</v>
      </c>
      <c r="C696" s="102" t="s">
        <v>2296</v>
      </c>
      <c r="D696" s="206" t="s">
        <v>1201</v>
      </c>
      <c r="E696" s="320" t="s">
        <v>3834</v>
      </c>
      <c r="F696" s="320"/>
      <c r="G696" s="210">
        <v>1</v>
      </c>
      <c r="H696" s="71"/>
      <c r="I696" s="71"/>
      <c r="J696" s="71"/>
      <c r="K696" s="71"/>
      <c r="L696" s="1"/>
      <c r="M696" s="73">
        <f t="shared" si="82"/>
        <v>0</v>
      </c>
      <c r="N696" s="73">
        <f t="shared" si="83"/>
        <v>0</v>
      </c>
      <c r="O696" s="73">
        <f t="shared" si="84"/>
        <v>0</v>
      </c>
      <c r="P696" s="73">
        <f t="shared" si="85"/>
        <v>0</v>
      </c>
      <c r="Q696" s="73"/>
      <c r="R696" s="73">
        <v>0</v>
      </c>
      <c r="S696" s="75">
        <f t="shared" si="87"/>
        <v>0</v>
      </c>
      <c r="T696" s="77">
        <v>0</v>
      </c>
      <c r="U696" s="66">
        <v>40350</v>
      </c>
      <c r="V696" s="79"/>
      <c r="W696" s="66" t="s">
        <v>1585</v>
      </c>
      <c r="X696" s="24" t="s">
        <v>1586</v>
      </c>
      <c r="Y696" s="62"/>
      <c r="Z696" s="177" t="s">
        <v>894</v>
      </c>
      <c r="AA696" s="80" t="s">
        <v>1389</v>
      </c>
      <c r="AB696" s="3"/>
      <c r="AC696" s="4"/>
      <c r="AD696" s="5"/>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6"/>
      <c r="CE696" s="7"/>
      <c r="CF696" s="6"/>
      <c r="CG696" s="7"/>
      <c r="CH696" s="6"/>
      <c r="CI696" s="7"/>
      <c r="CJ696" s="8">
        <f t="shared" si="86"/>
        <v>0</v>
      </c>
      <c r="CK696" s="9"/>
      <c r="CL696" s="10"/>
      <c r="CM696" s="11"/>
      <c r="CN696" s="12"/>
      <c r="CO696" s="28"/>
      <c r="CP696" s="12"/>
      <c r="CQ696" s="9"/>
      <c r="CR696" s="10"/>
      <c r="CS696" s="68"/>
      <c r="EC696" s="344" t="str">
        <f t="shared" si="89"/>
        <v>HUILA_GIGANTE</v>
      </c>
      <c r="ED696" s="341"/>
      <c r="EE696" s="341" t="s">
        <v>3162</v>
      </c>
      <c r="EF696" s="349" t="s">
        <v>3163</v>
      </c>
      <c r="EG696" s="341" t="s">
        <v>3904</v>
      </c>
      <c r="EH696" s="341" t="s">
        <v>5003</v>
      </c>
      <c r="EI696" s="341" t="str">
        <f t="shared" si="88"/>
        <v>Magdalena_Zona Bananera</v>
      </c>
    </row>
    <row r="697" spans="1:139" ht="25.5">
      <c r="A697" s="228">
        <v>40349</v>
      </c>
      <c r="B697" s="102" t="s">
        <v>962</v>
      </c>
      <c r="C697" s="102" t="s">
        <v>599</v>
      </c>
      <c r="D697" s="206" t="s">
        <v>1878</v>
      </c>
      <c r="E697" s="320" t="s">
        <v>3823</v>
      </c>
      <c r="F697" s="320"/>
      <c r="G697" s="210"/>
      <c r="H697" s="71"/>
      <c r="I697" s="71"/>
      <c r="J697" s="71">
        <v>5</v>
      </c>
      <c r="K697" s="71">
        <v>1</v>
      </c>
      <c r="L697" s="1"/>
      <c r="M697" s="73">
        <f t="shared" si="82"/>
        <v>0</v>
      </c>
      <c r="N697" s="73">
        <f t="shared" si="83"/>
        <v>0</v>
      </c>
      <c r="O697" s="73">
        <f t="shared" si="84"/>
        <v>0</v>
      </c>
      <c r="P697" s="73">
        <f t="shared" si="85"/>
        <v>0</v>
      </c>
      <c r="Q697" s="73"/>
      <c r="R697" s="73">
        <v>0</v>
      </c>
      <c r="S697" s="75">
        <f t="shared" si="87"/>
        <v>0</v>
      </c>
      <c r="T697" s="77">
        <v>0</v>
      </c>
      <c r="U697" s="66">
        <v>40352</v>
      </c>
      <c r="V697" s="79"/>
      <c r="W697" s="66" t="s">
        <v>1585</v>
      </c>
      <c r="X697" s="24" t="s">
        <v>1586</v>
      </c>
      <c r="Y697" s="62"/>
      <c r="Z697" s="177" t="s">
        <v>894</v>
      </c>
      <c r="AA697" s="80" t="s">
        <v>902</v>
      </c>
      <c r="AB697" s="3"/>
      <c r="AC697" s="4"/>
      <c r="AD697" s="5"/>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6"/>
      <c r="CE697" s="7"/>
      <c r="CF697" s="6"/>
      <c r="CG697" s="7"/>
      <c r="CH697" s="6"/>
      <c r="CI697" s="7"/>
      <c r="CJ697" s="8">
        <f t="shared" si="86"/>
        <v>0</v>
      </c>
      <c r="CK697" s="9"/>
      <c r="CL697" s="10"/>
      <c r="CM697" s="11"/>
      <c r="CN697" s="12"/>
      <c r="CO697" s="28"/>
      <c r="CP697" s="12"/>
      <c r="CQ697" s="9"/>
      <c r="CR697" s="10"/>
      <c r="CS697" s="68"/>
      <c r="EC697" s="344" t="str">
        <f t="shared" si="89"/>
        <v>HUILA_NEIVA</v>
      </c>
      <c r="ED697" s="341"/>
      <c r="EE697" s="341" t="s">
        <v>3168</v>
      </c>
      <c r="EF697" s="349" t="s">
        <v>5004</v>
      </c>
      <c r="EG697" s="341" t="s">
        <v>3905</v>
      </c>
      <c r="EH697" s="341" t="s">
        <v>5005</v>
      </c>
      <c r="EI697" s="341" t="str">
        <f t="shared" si="88"/>
        <v>Meta_Villavicencio</v>
      </c>
    </row>
    <row r="698" spans="1:139" ht="38.25">
      <c r="A698" s="228">
        <v>40349</v>
      </c>
      <c r="B698" s="102" t="s">
        <v>4321</v>
      </c>
      <c r="C698" s="102" t="s">
        <v>328</v>
      </c>
      <c r="D698" s="206" t="s">
        <v>1594</v>
      </c>
      <c r="E698" s="320" t="s">
        <v>3863</v>
      </c>
      <c r="F698" s="320"/>
      <c r="G698" s="210">
        <v>2</v>
      </c>
      <c r="H698" s="71">
        <v>1</v>
      </c>
      <c r="I698" s="71"/>
      <c r="J698" s="71">
        <v>75</v>
      </c>
      <c r="K698" s="71">
        <v>15</v>
      </c>
      <c r="L698" s="1"/>
      <c r="M698" s="73">
        <f t="shared" si="82"/>
        <v>0</v>
      </c>
      <c r="N698" s="73">
        <f t="shared" si="83"/>
        <v>0</v>
      </c>
      <c r="O698" s="73">
        <f t="shared" si="84"/>
        <v>0</v>
      </c>
      <c r="P698" s="73">
        <f t="shared" si="85"/>
        <v>0</v>
      </c>
      <c r="Q698" s="73"/>
      <c r="R698" s="73">
        <v>0</v>
      </c>
      <c r="S698" s="75">
        <f t="shared" si="87"/>
        <v>0</v>
      </c>
      <c r="T698" s="77">
        <v>0</v>
      </c>
      <c r="U698" s="66">
        <v>40350</v>
      </c>
      <c r="V698" s="79"/>
      <c r="W698" s="66" t="s">
        <v>1585</v>
      </c>
      <c r="X698" s="24" t="s">
        <v>1586</v>
      </c>
      <c r="Y698" s="62"/>
      <c r="Z698" s="177" t="s">
        <v>894</v>
      </c>
      <c r="AA698" s="80" t="s">
        <v>1396</v>
      </c>
      <c r="AB698" s="3"/>
      <c r="AC698" s="4"/>
      <c r="AD698" s="5"/>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6"/>
      <c r="CE698" s="7"/>
      <c r="CF698" s="6"/>
      <c r="CG698" s="7"/>
      <c r="CH698" s="6"/>
      <c r="CI698" s="7"/>
      <c r="CJ698" s="8">
        <f t="shared" si="86"/>
        <v>0</v>
      </c>
      <c r="CK698" s="9"/>
      <c r="CL698" s="10"/>
      <c r="CM698" s="11"/>
      <c r="CN698" s="12"/>
      <c r="CO698" s="28"/>
      <c r="CP698" s="12"/>
      <c r="CQ698" s="9"/>
      <c r="CR698" s="10"/>
      <c r="CS698" s="68"/>
      <c r="CT698" s="22">
        <v>1122</v>
      </c>
      <c r="EC698" s="344" t="str">
        <f t="shared" si="89"/>
        <v>LA GUAJIRA_DIBULLA</v>
      </c>
      <c r="ED698" s="341"/>
      <c r="EE698" s="341" t="s">
        <v>3168</v>
      </c>
      <c r="EF698" s="349" t="s">
        <v>5004</v>
      </c>
      <c r="EG698" s="341" t="s">
        <v>3906</v>
      </c>
      <c r="EH698" s="341" t="s">
        <v>5006</v>
      </c>
      <c r="EI698" s="341" t="str">
        <f t="shared" si="88"/>
        <v>Meta_Acacias</v>
      </c>
    </row>
    <row r="699" spans="1:139" ht="60">
      <c r="A699" s="228">
        <v>40349</v>
      </c>
      <c r="B699" s="102" t="s">
        <v>1440</v>
      </c>
      <c r="C699" s="102" t="s">
        <v>1394</v>
      </c>
      <c r="D699" s="206" t="s">
        <v>1201</v>
      </c>
      <c r="E699" s="320" t="s">
        <v>3892</v>
      </c>
      <c r="F699" s="320"/>
      <c r="G699" s="210"/>
      <c r="H699" s="71"/>
      <c r="I699" s="71"/>
      <c r="J699" s="71">
        <f>27650-4700-175-329</f>
        <v>22446</v>
      </c>
      <c r="K699" s="71">
        <f>5530-940-35-47</f>
        <v>4508</v>
      </c>
      <c r="L699" s="1"/>
      <c r="M699" s="73">
        <f t="shared" si="82"/>
        <v>105150000</v>
      </c>
      <c r="N699" s="73">
        <f t="shared" si="83"/>
        <v>715955000</v>
      </c>
      <c r="O699" s="73">
        <f t="shared" si="84"/>
        <v>0</v>
      </c>
      <c r="P699" s="73">
        <f t="shared" si="85"/>
        <v>0</v>
      </c>
      <c r="Q699" s="73"/>
      <c r="R699" s="73">
        <v>0</v>
      </c>
      <c r="S699" s="75">
        <f t="shared" si="87"/>
        <v>821105000</v>
      </c>
      <c r="T699" s="77">
        <v>0</v>
      </c>
      <c r="U699" s="66">
        <v>40350</v>
      </c>
      <c r="V699" s="79">
        <v>39941</v>
      </c>
      <c r="W699" s="66" t="s">
        <v>1606</v>
      </c>
      <c r="X699" s="24" t="s">
        <v>1607</v>
      </c>
      <c r="Y699" s="62"/>
      <c r="Z699" s="198" t="s">
        <v>822</v>
      </c>
      <c r="AA699" s="80" t="s">
        <v>597</v>
      </c>
      <c r="AB699" s="3"/>
      <c r="AC699" s="4"/>
      <c r="AD699" s="5"/>
      <c r="AE699" s="4"/>
      <c r="AF699" s="4"/>
      <c r="AG699" s="4"/>
      <c r="AH699" s="4"/>
      <c r="AI699" s="4"/>
      <c r="AJ699" s="4"/>
      <c r="AK699" s="4"/>
      <c r="AL699" s="4"/>
      <c r="AM699" s="4"/>
      <c r="AN699" s="4"/>
      <c r="AO699" s="4"/>
      <c r="AP699" s="4"/>
      <c r="AQ699" s="4"/>
      <c r="AR699" s="4"/>
      <c r="AS699" s="4"/>
      <c r="AT699" s="4"/>
      <c r="AU699" s="4"/>
      <c r="AV699" s="4"/>
      <c r="AW699" s="4"/>
      <c r="AX699" s="4"/>
      <c r="AY699" s="4"/>
      <c r="AZ699" s="4">
        <v>500</v>
      </c>
      <c r="BA699" s="4">
        <f>500*25500</f>
        <v>12750000</v>
      </c>
      <c r="BB699" s="4"/>
      <c r="BC699" s="4"/>
      <c r="BD699" s="4"/>
      <c r="BE699" s="4"/>
      <c r="BF699" s="4"/>
      <c r="BG699" s="4"/>
      <c r="BH699" s="4"/>
      <c r="BI699" s="4"/>
      <c r="BJ699" s="4"/>
      <c r="BK699" s="4"/>
      <c r="BL699" s="4"/>
      <c r="BM699" s="4"/>
      <c r="BN699" s="4">
        <v>20</v>
      </c>
      <c r="BO699" s="4">
        <f>20*470000</f>
        <v>9400000</v>
      </c>
      <c r="BP699" s="4"/>
      <c r="BQ699" s="4"/>
      <c r="BR699" s="4"/>
      <c r="BS699" s="4"/>
      <c r="BT699" s="4"/>
      <c r="BU699" s="4"/>
      <c r="BV699" s="4"/>
      <c r="BW699" s="4"/>
      <c r="BX699" s="4"/>
      <c r="BY699" s="4"/>
      <c r="BZ699" s="4"/>
      <c r="CA699" s="4"/>
      <c r="CB699" s="4">
        <v>500</v>
      </c>
      <c r="CC699" s="4">
        <f>500*18000</f>
        <v>9000000</v>
      </c>
      <c r="CD699" s="6">
        <v>2000</v>
      </c>
      <c r="CE699" s="7">
        <f>2000*37000</f>
        <v>74000000</v>
      </c>
      <c r="CF699" s="6"/>
      <c r="CG699" s="7"/>
      <c r="CH699" s="6"/>
      <c r="CI699" s="7"/>
      <c r="CJ699" s="8">
        <f t="shared" si="86"/>
        <v>105150000</v>
      </c>
      <c r="CK699" s="9"/>
      <c r="CL699" s="10"/>
      <c r="CM699" s="11">
        <v>8423</v>
      </c>
      <c r="CN699" s="12">
        <f>8423*85000</f>
        <v>715955000</v>
      </c>
      <c r="CO699" s="28"/>
      <c r="CP699" s="12"/>
      <c r="CQ699" s="9"/>
      <c r="CR699" s="10"/>
      <c r="CS699" s="68"/>
      <c r="EC699" s="344" t="str">
        <f t="shared" si="89"/>
        <v>MAGDALENA_PLATO</v>
      </c>
      <c r="ED699" s="341"/>
      <c r="EE699" s="341" t="s">
        <v>3168</v>
      </c>
      <c r="EF699" s="349" t="s">
        <v>5004</v>
      </c>
      <c r="EG699" s="341" t="s">
        <v>3907</v>
      </c>
      <c r="EH699" s="341" t="s">
        <v>5007</v>
      </c>
      <c r="EI699" s="341" t="str">
        <f t="shared" si="88"/>
        <v>Meta_Barranca de Upia</v>
      </c>
    </row>
    <row r="700" spans="1:139" ht="38.25">
      <c r="A700" s="228">
        <v>40349</v>
      </c>
      <c r="B700" s="102" t="s">
        <v>1609</v>
      </c>
      <c r="C700" s="102" t="s">
        <v>2581</v>
      </c>
      <c r="D700" s="206" t="s">
        <v>1201</v>
      </c>
      <c r="E700" s="320" t="s">
        <v>4053</v>
      </c>
      <c r="F700" s="320"/>
      <c r="G700" s="210"/>
      <c r="H700" s="71"/>
      <c r="I700" s="71"/>
      <c r="J700" s="71"/>
      <c r="K700" s="71"/>
      <c r="L700" s="1"/>
      <c r="M700" s="73">
        <f t="shared" si="82"/>
        <v>0</v>
      </c>
      <c r="N700" s="73">
        <f t="shared" si="83"/>
        <v>0</v>
      </c>
      <c r="O700" s="73">
        <f t="shared" si="84"/>
        <v>0</v>
      </c>
      <c r="P700" s="73">
        <f t="shared" si="85"/>
        <v>0</v>
      </c>
      <c r="Q700" s="73"/>
      <c r="R700" s="73">
        <v>0</v>
      </c>
      <c r="S700" s="75">
        <f t="shared" si="87"/>
        <v>0</v>
      </c>
      <c r="T700" s="77">
        <v>0</v>
      </c>
      <c r="U700" s="66">
        <v>40350</v>
      </c>
      <c r="V700" s="79"/>
      <c r="W700" s="66" t="s">
        <v>1585</v>
      </c>
      <c r="X700" s="24" t="s">
        <v>1586</v>
      </c>
      <c r="Y700" s="62"/>
      <c r="Z700" s="177" t="s">
        <v>894</v>
      </c>
      <c r="AA700" s="80" t="s">
        <v>1347</v>
      </c>
      <c r="AB700" s="3"/>
      <c r="AC700" s="4"/>
      <c r="AD700" s="5"/>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6"/>
      <c r="CE700" s="7"/>
      <c r="CF700" s="6"/>
      <c r="CG700" s="7"/>
      <c r="CH700" s="6"/>
      <c r="CI700" s="7"/>
      <c r="CJ700" s="8">
        <f t="shared" si="86"/>
        <v>0</v>
      </c>
      <c r="CK700" s="9"/>
      <c r="CL700" s="10"/>
      <c r="CM700" s="11"/>
      <c r="CN700" s="12"/>
      <c r="CO700" s="28"/>
      <c r="CP700" s="12"/>
      <c r="CQ700" s="9"/>
      <c r="CR700" s="10"/>
      <c r="CS700" s="68"/>
      <c r="EC700" s="344" t="str">
        <f t="shared" si="89"/>
        <v>RISARALDA_BELEN DE UMBRIA</v>
      </c>
      <c r="ED700" s="341"/>
      <c r="EE700" s="341" t="s">
        <v>3168</v>
      </c>
      <c r="EF700" s="349" t="s">
        <v>5004</v>
      </c>
      <c r="EG700" s="341" t="s">
        <v>3908</v>
      </c>
      <c r="EH700" s="341" t="s">
        <v>5008</v>
      </c>
      <c r="EI700" s="341" t="str">
        <f t="shared" si="88"/>
        <v>Meta_Cabuyaro</v>
      </c>
    </row>
    <row r="701" spans="1:139" ht="38.25">
      <c r="A701" s="228">
        <v>40349</v>
      </c>
      <c r="B701" s="102" t="s">
        <v>1609</v>
      </c>
      <c r="C701" s="102" t="s">
        <v>2581</v>
      </c>
      <c r="D701" s="206" t="s">
        <v>1201</v>
      </c>
      <c r="E701" s="320" t="s">
        <v>4053</v>
      </c>
      <c r="F701" s="320"/>
      <c r="G701" s="210"/>
      <c r="H701" s="71"/>
      <c r="I701" s="71"/>
      <c r="J701" s="71">
        <v>15</v>
      </c>
      <c r="K701" s="71">
        <v>3</v>
      </c>
      <c r="L701" s="1"/>
      <c r="M701" s="73">
        <f t="shared" si="82"/>
        <v>0</v>
      </c>
      <c r="N701" s="73">
        <f t="shared" si="83"/>
        <v>0</v>
      </c>
      <c r="O701" s="73">
        <f t="shared" si="84"/>
        <v>0</v>
      </c>
      <c r="P701" s="73">
        <f t="shared" si="85"/>
        <v>0</v>
      </c>
      <c r="Q701" s="73"/>
      <c r="R701" s="73">
        <v>0</v>
      </c>
      <c r="S701" s="75">
        <f t="shared" si="87"/>
        <v>0</v>
      </c>
      <c r="T701" s="77">
        <v>0</v>
      </c>
      <c r="U701" s="66">
        <v>40350</v>
      </c>
      <c r="V701" s="79"/>
      <c r="W701" s="66" t="s">
        <v>1585</v>
      </c>
      <c r="X701" s="24" t="s">
        <v>1586</v>
      </c>
      <c r="Y701" s="62"/>
      <c r="Z701" s="177" t="s">
        <v>894</v>
      </c>
      <c r="AA701" s="80" t="s">
        <v>1348</v>
      </c>
      <c r="AB701" s="3"/>
      <c r="AC701" s="4"/>
      <c r="AD701" s="5"/>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6"/>
      <c r="CE701" s="7"/>
      <c r="CF701" s="6"/>
      <c r="CG701" s="7"/>
      <c r="CH701" s="6"/>
      <c r="CI701" s="7"/>
      <c r="CJ701" s="8">
        <f t="shared" si="86"/>
        <v>0</v>
      </c>
      <c r="CK701" s="9"/>
      <c r="CL701" s="10"/>
      <c r="CM701" s="11"/>
      <c r="CN701" s="12"/>
      <c r="CO701" s="28"/>
      <c r="CP701" s="12"/>
      <c r="CQ701" s="9"/>
      <c r="CR701" s="10"/>
      <c r="CS701" s="68"/>
      <c r="EC701" s="344" t="str">
        <f t="shared" si="89"/>
        <v>RISARALDA_BELEN DE UMBRIA</v>
      </c>
      <c r="ED701" s="341"/>
      <c r="EE701" s="341" t="s">
        <v>3168</v>
      </c>
      <c r="EF701" s="349" t="s">
        <v>5004</v>
      </c>
      <c r="EG701" s="341" t="s">
        <v>3909</v>
      </c>
      <c r="EH701" s="341" t="s">
        <v>5009</v>
      </c>
      <c r="EI701" s="341" t="str">
        <f t="shared" si="88"/>
        <v>Meta_Castilla la Nueva</v>
      </c>
    </row>
    <row r="702" spans="1:139" ht="48">
      <c r="A702" s="228">
        <v>40349</v>
      </c>
      <c r="B702" s="102" t="s">
        <v>1943</v>
      </c>
      <c r="C702" s="102" t="s">
        <v>602</v>
      </c>
      <c r="D702" s="206" t="s">
        <v>1201</v>
      </c>
      <c r="E702" s="320" t="s">
        <v>4160</v>
      </c>
      <c r="F702" s="320"/>
      <c r="G702" s="210"/>
      <c r="H702" s="71"/>
      <c r="I702" s="71"/>
      <c r="J702" s="71">
        <v>300</v>
      </c>
      <c r="K702" s="71">
        <v>60</v>
      </c>
      <c r="L702" s="1"/>
      <c r="M702" s="73">
        <f t="shared" si="82"/>
        <v>0</v>
      </c>
      <c r="N702" s="73">
        <f t="shared" si="83"/>
        <v>0</v>
      </c>
      <c r="O702" s="73">
        <f t="shared" si="84"/>
        <v>0</v>
      </c>
      <c r="P702" s="73">
        <f t="shared" si="85"/>
        <v>0</v>
      </c>
      <c r="Q702" s="73"/>
      <c r="R702" s="73">
        <v>0</v>
      </c>
      <c r="S702" s="75">
        <f t="shared" si="87"/>
        <v>0</v>
      </c>
      <c r="T702" s="77">
        <v>0</v>
      </c>
      <c r="U702" s="66">
        <v>40352</v>
      </c>
      <c r="V702" s="79"/>
      <c r="W702" s="66" t="s">
        <v>1585</v>
      </c>
      <c r="X702" s="24" t="s">
        <v>1586</v>
      </c>
      <c r="Y702" s="62"/>
      <c r="Z702" s="177" t="s">
        <v>894</v>
      </c>
      <c r="AA702" s="80" t="s">
        <v>603</v>
      </c>
      <c r="AB702" s="3"/>
      <c r="AC702" s="4"/>
      <c r="AD702" s="5"/>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6"/>
      <c r="CE702" s="7"/>
      <c r="CF702" s="6"/>
      <c r="CG702" s="7"/>
      <c r="CH702" s="6"/>
      <c r="CI702" s="7"/>
      <c r="CJ702" s="8">
        <f t="shared" si="86"/>
        <v>0</v>
      </c>
      <c r="CK702" s="9"/>
      <c r="CL702" s="10"/>
      <c r="CM702" s="11"/>
      <c r="CN702" s="12"/>
      <c r="CO702" s="28"/>
      <c r="CP702" s="12"/>
      <c r="CQ702" s="9"/>
      <c r="CR702" s="10"/>
      <c r="CS702" s="68"/>
      <c r="CU702" s="2">
        <f>90+136+450+236+150+136</f>
        <v>1198</v>
      </c>
      <c r="EC702" s="344" t="str">
        <f t="shared" si="89"/>
        <v>SUCRE_GUARANDA</v>
      </c>
      <c r="ED702" s="341"/>
      <c r="EE702" s="341" t="s">
        <v>3168</v>
      </c>
      <c r="EF702" s="349" t="s">
        <v>5004</v>
      </c>
      <c r="EG702" s="341" t="s">
        <v>3910</v>
      </c>
      <c r="EH702" s="341" t="s">
        <v>5010</v>
      </c>
      <c r="EI702" s="341" t="str">
        <f t="shared" si="88"/>
        <v>Meta_Cubarral</v>
      </c>
    </row>
    <row r="703" spans="1:139" ht="51">
      <c r="A703" s="228">
        <v>40349</v>
      </c>
      <c r="B703" s="102" t="s">
        <v>1088</v>
      </c>
      <c r="C703" s="102" t="s">
        <v>1544</v>
      </c>
      <c r="D703" s="206" t="s">
        <v>2606</v>
      </c>
      <c r="E703" s="320" t="s">
        <v>4230</v>
      </c>
      <c r="F703" s="320"/>
      <c r="G703" s="210"/>
      <c r="H703" s="71"/>
      <c r="I703" s="71"/>
      <c r="J703" s="71">
        <v>60</v>
      </c>
      <c r="K703" s="71">
        <v>12</v>
      </c>
      <c r="L703" s="1"/>
      <c r="M703" s="73">
        <f t="shared" si="82"/>
        <v>0</v>
      </c>
      <c r="N703" s="73">
        <f t="shared" si="83"/>
        <v>0</v>
      </c>
      <c r="O703" s="73">
        <f t="shared" si="84"/>
        <v>0</v>
      </c>
      <c r="P703" s="73">
        <f t="shared" si="85"/>
        <v>0</v>
      </c>
      <c r="Q703" s="73"/>
      <c r="R703" s="73">
        <v>0</v>
      </c>
      <c r="S703" s="75">
        <f t="shared" si="87"/>
        <v>0</v>
      </c>
      <c r="T703" s="77">
        <v>0</v>
      </c>
      <c r="U703" s="66">
        <v>40350</v>
      </c>
      <c r="V703" s="79"/>
      <c r="W703" s="66" t="s">
        <v>1585</v>
      </c>
      <c r="X703" s="24" t="s">
        <v>1586</v>
      </c>
      <c r="Y703" s="62"/>
      <c r="Z703" s="177" t="s">
        <v>894</v>
      </c>
      <c r="AA703" s="80" t="s">
        <v>586</v>
      </c>
      <c r="AB703" s="3"/>
      <c r="AC703" s="4"/>
      <c r="AD703" s="5"/>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6"/>
      <c r="CE703" s="7"/>
      <c r="CF703" s="6"/>
      <c r="CG703" s="7"/>
      <c r="CH703" s="6"/>
      <c r="CI703" s="7"/>
      <c r="CJ703" s="8">
        <f t="shared" si="86"/>
        <v>0</v>
      </c>
      <c r="CK703" s="9"/>
      <c r="CL703" s="10"/>
      <c r="CM703" s="11"/>
      <c r="CN703" s="12"/>
      <c r="CO703" s="28"/>
      <c r="CP703" s="12"/>
      <c r="CQ703" s="9"/>
      <c r="CR703" s="10"/>
      <c r="CS703" s="68"/>
      <c r="EC703" s="344" t="str">
        <f t="shared" si="89"/>
        <v>VALLE DEL CAUCA_BUENAVENTURA</v>
      </c>
      <c r="ED703" s="341"/>
      <c r="EE703" s="341" t="s">
        <v>3168</v>
      </c>
      <c r="EF703" s="349" t="s">
        <v>5004</v>
      </c>
      <c r="EG703" s="341" t="s">
        <v>3911</v>
      </c>
      <c r="EH703" s="341" t="s">
        <v>5011</v>
      </c>
      <c r="EI703" s="341" t="str">
        <f t="shared" si="88"/>
        <v>Meta_Cumaral</v>
      </c>
    </row>
    <row r="704" spans="1:139" ht="38.25">
      <c r="A704" s="228">
        <v>40349</v>
      </c>
      <c r="B704" s="102" t="s">
        <v>1088</v>
      </c>
      <c r="C704" s="102" t="s">
        <v>3204</v>
      </c>
      <c r="D704" s="206" t="s">
        <v>1878</v>
      </c>
      <c r="E704" s="320" t="s">
        <v>4224</v>
      </c>
      <c r="F704" s="320"/>
      <c r="G704" s="210"/>
      <c r="H704" s="71"/>
      <c r="I704" s="71"/>
      <c r="J704" s="71">
        <v>10</v>
      </c>
      <c r="K704" s="71">
        <v>2</v>
      </c>
      <c r="L704" s="1"/>
      <c r="M704" s="73">
        <f t="shared" si="82"/>
        <v>0</v>
      </c>
      <c r="N704" s="73">
        <f t="shared" si="83"/>
        <v>0</v>
      </c>
      <c r="O704" s="73">
        <f t="shared" si="84"/>
        <v>0</v>
      </c>
      <c r="P704" s="73">
        <f t="shared" si="85"/>
        <v>0</v>
      </c>
      <c r="Q704" s="73"/>
      <c r="R704" s="73">
        <v>0</v>
      </c>
      <c r="S704" s="75">
        <f t="shared" si="87"/>
        <v>0</v>
      </c>
      <c r="T704" s="77">
        <v>0</v>
      </c>
      <c r="U704" s="66">
        <v>40350</v>
      </c>
      <c r="V704" s="79"/>
      <c r="W704" s="66" t="s">
        <v>1585</v>
      </c>
      <c r="X704" s="24" t="s">
        <v>1586</v>
      </c>
      <c r="Y704" s="62"/>
      <c r="Z704" s="177" t="s">
        <v>894</v>
      </c>
      <c r="AA704" s="80" t="s">
        <v>1390</v>
      </c>
      <c r="AB704" s="3"/>
      <c r="AC704" s="4"/>
      <c r="AD704" s="5"/>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6"/>
      <c r="CE704" s="7"/>
      <c r="CF704" s="6"/>
      <c r="CG704" s="7"/>
      <c r="CH704" s="6"/>
      <c r="CI704" s="7"/>
      <c r="CJ704" s="8">
        <f t="shared" si="86"/>
        <v>0</v>
      </c>
      <c r="CK704" s="9"/>
      <c r="CL704" s="10"/>
      <c r="CM704" s="11"/>
      <c r="CN704" s="12"/>
      <c r="CO704" s="28"/>
      <c r="CP704" s="12"/>
      <c r="CQ704" s="9"/>
      <c r="CR704" s="10"/>
      <c r="CS704" s="68"/>
      <c r="EC704" s="344" t="str">
        <f t="shared" si="89"/>
        <v>VALLE DEL CAUCA_CALI</v>
      </c>
      <c r="ED704" s="341"/>
      <c r="EE704" s="341" t="s">
        <v>3168</v>
      </c>
      <c r="EF704" s="349" t="s">
        <v>5004</v>
      </c>
      <c r="EG704" s="341" t="s">
        <v>3912</v>
      </c>
      <c r="EH704" s="341" t="s">
        <v>5012</v>
      </c>
      <c r="EI704" s="341" t="str">
        <f t="shared" si="88"/>
        <v>Meta_El Calvario</v>
      </c>
    </row>
    <row r="705" spans="1:139" ht="38.25">
      <c r="A705" s="228">
        <v>40350</v>
      </c>
      <c r="B705" s="102" t="s">
        <v>2298</v>
      </c>
      <c r="C705" s="102" t="s">
        <v>1610</v>
      </c>
      <c r="D705" s="206" t="s">
        <v>1316</v>
      </c>
      <c r="E705" s="320" t="s">
        <v>3375</v>
      </c>
      <c r="F705" s="320"/>
      <c r="G705" s="210"/>
      <c r="H705" s="71"/>
      <c r="I705" s="71"/>
      <c r="J705" s="71">
        <v>5</v>
      </c>
      <c r="K705" s="71">
        <v>1</v>
      </c>
      <c r="L705" s="1"/>
      <c r="M705" s="73">
        <f t="shared" si="82"/>
        <v>0</v>
      </c>
      <c r="N705" s="73">
        <f t="shared" si="83"/>
        <v>0</v>
      </c>
      <c r="O705" s="73">
        <f t="shared" si="84"/>
        <v>0</v>
      </c>
      <c r="P705" s="73">
        <f t="shared" si="85"/>
        <v>0</v>
      </c>
      <c r="Q705" s="73"/>
      <c r="R705" s="73">
        <v>0</v>
      </c>
      <c r="S705" s="75">
        <f t="shared" si="87"/>
        <v>0</v>
      </c>
      <c r="T705" s="77">
        <v>0</v>
      </c>
      <c r="U705" s="66">
        <v>40352</v>
      </c>
      <c r="V705" s="79"/>
      <c r="W705" s="66" t="s">
        <v>1585</v>
      </c>
      <c r="X705" s="24" t="s">
        <v>1586</v>
      </c>
      <c r="Y705" s="62"/>
      <c r="Z705" s="177" t="s">
        <v>894</v>
      </c>
      <c r="AA705" s="80" t="s">
        <v>598</v>
      </c>
      <c r="AB705" s="3"/>
      <c r="AC705" s="4"/>
      <c r="AD705" s="5"/>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6"/>
      <c r="CE705" s="7"/>
      <c r="CF705" s="6"/>
      <c r="CG705" s="7"/>
      <c r="CH705" s="6"/>
      <c r="CI705" s="7"/>
      <c r="CJ705" s="8">
        <f t="shared" si="86"/>
        <v>0</v>
      </c>
      <c r="CK705" s="9"/>
      <c r="CL705" s="10"/>
      <c r="CM705" s="11"/>
      <c r="CN705" s="12"/>
      <c r="CO705" s="28"/>
      <c r="CP705" s="12"/>
      <c r="CQ705" s="9"/>
      <c r="CR705" s="10"/>
      <c r="CS705" s="68"/>
      <c r="EC705" s="344" t="str">
        <f t="shared" si="89"/>
        <v>BOGOTA D.C._BOGOTA</v>
      </c>
      <c r="ED705" s="341"/>
      <c r="EE705" s="341" t="s">
        <v>3168</v>
      </c>
      <c r="EF705" s="349" t="s">
        <v>5004</v>
      </c>
      <c r="EG705" s="341" t="s">
        <v>3913</v>
      </c>
      <c r="EH705" s="341" t="s">
        <v>5013</v>
      </c>
      <c r="EI705" s="341" t="str">
        <f t="shared" si="88"/>
        <v>Meta_El Castillo</v>
      </c>
    </row>
    <row r="706" spans="1:139" ht="38.25">
      <c r="A706" s="228">
        <v>40350</v>
      </c>
      <c r="B706" s="102" t="s">
        <v>1615</v>
      </c>
      <c r="C706" s="102" t="s">
        <v>1217</v>
      </c>
      <c r="D706" s="206" t="s">
        <v>2606</v>
      </c>
      <c r="E706" s="320" t="s">
        <v>3396</v>
      </c>
      <c r="F706" s="320"/>
      <c r="G706" s="210"/>
      <c r="H706" s="71"/>
      <c r="I706" s="71"/>
      <c r="J706" s="71">
        <v>200</v>
      </c>
      <c r="K706" s="71">
        <v>40</v>
      </c>
      <c r="L706" s="1"/>
      <c r="M706" s="73">
        <f t="shared" si="82"/>
        <v>0</v>
      </c>
      <c r="N706" s="73">
        <f t="shared" si="83"/>
        <v>0</v>
      </c>
      <c r="O706" s="73">
        <f t="shared" si="84"/>
        <v>0</v>
      </c>
      <c r="P706" s="73">
        <f t="shared" si="85"/>
        <v>0</v>
      </c>
      <c r="Q706" s="73"/>
      <c r="R706" s="73">
        <v>0</v>
      </c>
      <c r="S706" s="75">
        <f t="shared" si="87"/>
        <v>0</v>
      </c>
      <c r="T706" s="77">
        <v>0</v>
      </c>
      <c r="U706" s="66">
        <v>40353</v>
      </c>
      <c r="V706" s="79"/>
      <c r="W706" s="66" t="s">
        <v>1585</v>
      </c>
      <c r="X706" s="24" t="s">
        <v>1586</v>
      </c>
      <c r="Y706" s="62"/>
      <c r="Z706" s="177" t="s">
        <v>894</v>
      </c>
      <c r="AA706" s="80"/>
      <c r="AB706" s="3"/>
      <c r="AC706" s="4"/>
      <c r="AD706" s="5"/>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6"/>
      <c r="CE706" s="7"/>
      <c r="CF706" s="6"/>
      <c r="CG706" s="7"/>
      <c r="CH706" s="6"/>
      <c r="CI706" s="7"/>
      <c r="CJ706" s="8">
        <f t="shared" si="86"/>
        <v>0</v>
      </c>
      <c r="CK706" s="9"/>
      <c r="CL706" s="10"/>
      <c r="CM706" s="11"/>
      <c r="CN706" s="12"/>
      <c r="CO706" s="28"/>
      <c r="CP706" s="12"/>
      <c r="CQ706" s="9"/>
      <c r="CR706" s="10"/>
      <c r="CS706" s="68"/>
      <c r="EC706" s="344" t="str">
        <f t="shared" si="89"/>
        <v>BOLIVAR_MONTECRISTO</v>
      </c>
      <c r="ED706" s="341"/>
      <c r="EE706" s="341" t="s">
        <v>3168</v>
      </c>
      <c r="EF706" s="349" t="s">
        <v>5004</v>
      </c>
      <c r="EG706" s="341" t="s">
        <v>3914</v>
      </c>
      <c r="EH706" s="341" t="s">
        <v>5014</v>
      </c>
      <c r="EI706" s="341" t="str">
        <f t="shared" si="88"/>
        <v>Meta_El Dorado</v>
      </c>
    </row>
    <row r="707" spans="1:139" ht="36">
      <c r="A707" s="235">
        <v>40352</v>
      </c>
      <c r="B707" s="224" t="s">
        <v>1972</v>
      </c>
      <c r="C707" s="224" t="s">
        <v>1218</v>
      </c>
      <c r="D707" s="236" t="s">
        <v>1201</v>
      </c>
      <c r="E707" s="324" t="s">
        <v>3245</v>
      </c>
      <c r="F707" s="324"/>
      <c r="G707" s="210"/>
      <c r="H707" s="71"/>
      <c r="I707" s="71"/>
      <c r="J707" s="71">
        <v>250</v>
      </c>
      <c r="K707" s="71">
        <v>50</v>
      </c>
      <c r="L707" s="1"/>
      <c r="M707" s="73">
        <f t="shared" ref="M707:M770" si="90">CJ707</f>
        <v>0</v>
      </c>
      <c r="N707" s="73">
        <f t="shared" ref="N707:N770" si="91">CN707</f>
        <v>0</v>
      </c>
      <c r="O707" s="73">
        <f t="shared" ref="O707:O731" si="92">CP707+CR707</f>
        <v>0</v>
      </c>
      <c r="P707" s="73">
        <f t="shared" ref="P707:P770" si="93">CL707</f>
        <v>0</v>
      </c>
      <c r="Q707" s="73"/>
      <c r="R707" s="73">
        <v>0</v>
      </c>
      <c r="S707" s="75">
        <f t="shared" si="87"/>
        <v>0</v>
      </c>
      <c r="T707" s="77">
        <v>0</v>
      </c>
      <c r="U707" s="66">
        <v>40353</v>
      </c>
      <c r="V707" s="79"/>
      <c r="W707" s="66" t="s">
        <v>1585</v>
      </c>
      <c r="X707" s="24" t="s">
        <v>1586</v>
      </c>
      <c r="Y707" s="62"/>
      <c r="Z707" s="177" t="s">
        <v>894</v>
      </c>
      <c r="AA707" s="80" t="s">
        <v>1319</v>
      </c>
      <c r="AB707" s="3"/>
      <c r="AC707" s="4"/>
      <c r="AD707" s="5"/>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6"/>
      <c r="CE707" s="7"/>
      <c r="CF707" s="6"/>
      <c r="CG707" s="7"/>
      <c r="CH707" s="6"/>
      <c r="CI707" s="7"/>
      <c r="CJ707" s="8">
        <f t="shared" ref="CJ707:CJ770" si="94">AC707+AE707+AG707+AI707+AK707+AM707+AO707+AQ707+AS707+AU707+AW707+AY707+BA707+BC707+BE707+BG707+BI707+BK707+BM707+BO707+BQ707+BS707+BU707+BW707+BY707+CA707+CC707+CE707+CG707+CI707</f>
        <v>0</v>
      </c>
      <c r="CK707" s="9"/>
      <c r="CL707" s="10"/>
      <c r="CM707" s="11"/>
      <c r="CN707" s="12"/>
      <c r="CO707" s="28"/>
      <c r="CP707" s="12"/>
      <c r="CQ707" s="9"/>
      <c r="CR707" s="10"/>
      <c r="CS707" s="68"/>
      <c r="EC707" s="344" t="str">
        <f t="shared" si="89"/>
        <v>ANTIOQUIA_BELLO</v>
      </c>
      <c r="ED707" s="341"/>
      <c r="EE707" s="341" t="s">
        <v>3168</v>
      </c>
      <c r="EF707" s="349" t="s">
        <v>5004</v>
      </c>
      <c r="EG707" s="341" t="s">
        <v>3915</v>
      </c>
      <c r="EH707" s="341" t="s">
        <v>5015</v>
      </c>
      <c r="EI707" s="341" t="str">
        <f t="shared" si="88"/>
        <v>Meta_Fuente de Oro</v>
      </c>
    </row>
    <row r="708" spans="1:139" ht="38.25">
      <c r="A708" s="228">
        <v>40352</v>
      </c>
      <c r="B708" s="102" t="s">
        <v>2298</v>
      </c>
      <c r="C708" s="102" t="s">
        <v>1610</v>
      </c>
      <c r="D708" s="206" t="s">
        <v>1316</v>
      </c>
      <c r="E708" s="320" t="s">
        <v>3375</v>
      </c>
      <c r="F708" s="320"/>
      <c r="G708" s="210"/>
      <c r="H708" s="71"/>
      <c r="I708" s="71"/>
      <c r="J708" s="71">
        <v>5</v>
      </c>
      <c r="K708" s="71">
        <v>1</v>
      </c>
      <c r="L708" s="1"/>
      <c r="M708" s="73">
        <f t="shared" si="90"/>
        <v>0</v>
      </c>
      <c r="N708" s="73">
        <f t="shared" si="91"/>
        <v>0</v>
      </c>
      <c r="O708" s="73">
        <f t="shared" si="92"/>
        <v>0</v>
      </c>
      <c r="P708" s="73">
        <f t="shared" si="93"/>
        <v>0</v>
      </c>
      <c r="Q708" s="73"/>
      <c r="R708" s="73">
        <v>0</v>
      </c>
      <c r="S708" s="75">
        <f t="shared" si="87"/>
        <v>0</v>
      </c>
      <c r="T708" s="77">
        <v>0</v>
      </c>
      <c r="U708" s="66">
        <v>40353</v>
      </c>
      <c r="V708" s="79"/>
      <c r="W708" s="66" t="s">
        <v>1585</v>
      </c>
      <c r="X708" s="24" t="s">
        <v>1586</v>
      </c>
      <c r="Y708" s="62"/>
      <c r="Z708" s="177" t="s">
        <v>894</v>
      </c>
      <c r="AA708" s="80" t="s">
        <v>1215</v>
      </c>
      <c r="AB708" s="3"/>
      <c r="AC708" s="4"/>
      <c r="AD708" s="5"/>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6"/>
      <c r="CE708" s="7"/>
      <c r="CF708" s="6"/>
      <c r="CG708" s="7"/>
      <c r="CH708" s="6"/>
      <c r="CI708" s="7"/>
      <c r="CJ708" s="8">
        <f t="shared" si="94"/>
        <v>0</v>
      </c>
      <c r="CK708" s="9"/>
      <c r="CL708" s="10"/>
      <c r="CM708" s="11"/>
      <c r="CN708" s="12"/>
      <c r="CO708" s="28"/>
      <c r="CP708" s="12"/>
      <c r="CQ708" s="9"/>
      <c r="CR708" s="10"/>
      <c r="CS708" s="68"/>
      <c r="EC708" s="344" t="str">
        <f t="shared" si="89"/>
        <v>BOGOTA D.C._BOGOTA</v>
      </c>
      <c r="ED708" s="341"/>
      <c r="EE708" s="341" t="s">
        <v>3168</v>
      </c>
      <c r="EF708" s="349" t="s">
        <v>5004</v>
      </c>
      <c r="EG708" s="341" t="s">
        <v>3916</v>
      </c>
      <c r="EH708" s="341" t="s">
        <v>4422</v>
      </c>
      <c r="EI708" s="341" t="str">
        <f t="shared" si="88"/>
        <v>Meta_Granada</v>
      </c>
    </row>
    <row r="709" spans="1:139" ht="36">
      <c r="A709" s="228">
        <v>40352</v>
      </c>
      <c r="B709" s="102" t="s">
        <v>1192</v>
      </c>
      <c r="C709" s="102" t="s">
        <v>1354</v>
      </c>
      <c r="D709" s="206" t="s">
        <v>1878</v>
      </c>
      <c r="E709" s="320" t="s">
        <v>3475</v>
      </c>
      <c r="F709" s="320"/>
      <c r="G709" s="210">
        <v>1</v>
      </c>
      <c r="H709" s="71"/>
      <c r="I709" s="71"/>
      <c r="J709" s="71">
        <v>5</v>
      </c>
      <c r="K709" s="71">
        <v>1</v>
      </c>
      <c r="L709" s="1">
        <v>40530</v>
      </c>
      <c r="M709" s="73">
        <f t="shared" si="90"/>
        <v>2305480.7999999998</v>
      </c>
      <c r="N709" s="73">
        <f t="shared" si="91"/>
        <v>1275000</v>
      </c>
      <c r="O709" s="73">
        <f t="shared" si="92"/>
        <v>0</v>
      </c>
      <c r="P709" s="73">
        <f t="shared" si="93"/>
        <v>0</v>
      </c>
      <c r="Q709" s="73"/>
      <c r="R709" s="73">
        <v>0</v>
      </c>
      <c r="S709" s="75">
        <f t="shared" si="87"/>
        <v>3580480.8</v>
      </c>
      <c r="T709" s="77">
        <v>0</v>
      </c>
      <c r="U709" s="66">
        <v>40357</v>
      </c>
      <c r="V709" s="79"/>
      <c r="W709" s="66" t="s">
        <v>1606</v>
      </c>
      <c r="X709" s="24" t="s">
        <v>1607</v>
      </c>
      <c r="Y709" s="83" t="s">
        <v>237</v>
      </c>
      <c r="Z709" s="177" t="s">
        <v>894</v>
      </c>
      <c r="AA709" s="80" t="s">
        <v>1355</v>
      </c>
      <c r="AB709" s="3"/>
      <c r="AC709" s="4"/>
      <c r="AD709" s="5"/>
      <c r="AE709" s="4"/>
      <c r="AF709" s="4"/>
      <c r="AG709" s="4"/>
      <c r="AH709" s="4"/>
      <c r="AI709" s="4"/>
      <c r="AJ709" s="4"/>
      <c r="AK709" s="4"/>
      <c r="AL709" s="4"/>
      <c r="AM709" s="4"/>
      <c r="AN709" s="4">
        <v>15</v>
      </c>
      <c r="AO709" s="4">
        <f>15*56000</f>
        <v>840000</v>
      </c>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v>15</v>
      </c>
      <c r="BY709" s="4">
        <f>15*20999.36</f>
        <v>314990.40000000002</v>
      </c>
      <c r="BZ709" s="4"/>
      <c r="CA709" s="4"/>
      <c r="CB709" s="4"/>
      <c r="CC709" s="4"/>
      <c r="CD709" s="6">
        <v>15</v>
      </c>
      <c r="CE709" s="7">
        <f>15*36999.36</f>
        <v>554990.4</v>
      </c>
      <c r="CF709" s="6">
        <v>15</v>
      </c>
      <c r="CG709" s="7">
        <f>15*39700</f>
        <v>595500</v>
      </c>
      <c r="CH709" s="6"/>
      <c r="CI709" s="7"/>
      <c r="CJ709" s="8">
        <f t="shared" si="94"/>
        <v>2305480.7999999998</v>
      </c>
      <c r="CK709" s="9"/>
      <c r="CL709" s="10"/>
      <c r="CM709" s="11">
        <v>15</v>
      </c>
      <c r="CN709" s="12">
        <f>15*85000</f>
        <v>1275000</v>
      </c>
      <c r="CO709" s="28"/>
      <c r="CP709" s="12"/>
      <c r="CQ709" s="9"/>
      <c r="CR709" s="10"/>
      <c r="CS709" s="68"/>
      <c r="CT709" s="22">
        <v>1134</v>
      </c>
      <c r="EC709" s="344" t="str">
        <f t="shared" si="89"/>
        <v>BOYACA_MONGUA</v>
      </c>
      <c r="ED709" s="341"/>
      <c r="EE709" s="341" t="s">
        <v>3168</v>
      </c>
      <c r="EF709" s="349" t="s">
        <v>5004</v>
      </c>
      <c r="EG709" s="341" t="s">
        <v>3917</v>
      </c>
      <c r="EH709" s="341" t="s">
        <v>4987</v>
      </c>
      <c r="EI709" s="341" t="str">
        <f t="shared" si="88"/>
        <v>Meta_Guamal</v>
      </c>
    </row>
    <row r="710" spans="1:139" ht="45">
      <c r="A710" s="228">
        <v>40352</v>
      </c>
      <c r="B710" s="205" t="s">
        <v>1314</v>
      </c>
      <c r="C710" s="205" t="s">
        <v>2204</v>
      </c>
      <c r="D710" s="207" t="s">
        <v>1201</v>
      </c>
      <c r="E710" s="323" t="s">
        <v>3608</v>
      </c>
      <c r="F710" s="323"/>
      <c r="G710" s="204"/>
      <c r="H710" s="151"/>
      <c r="I710" s="151"/>
      <c r="J710" s="151">
        <f>207*5</f>
        <v>1035</v>
      </c>
      <c r="K710" s="151">
        <f>314-107</f>
        <v>207</v>
      </c>
      <c r="L710" s="1">
        <v>40514</v>
      </c>
      <c r="M710" s="73">
        <f t="shared" si="90"/>
        <v>7029933.5</v>
      </c>
      <c r="N710" s="73">
        <f t="shared" si="91"/>
        <v>8074853.7000000002</v>
      </c>
      <c r="O710" s="73">
        <f t="shared" si="92"/>
        <v>3999988</v>
      </c>
      <c r="P710" s="73">
        <f t="shared" si="93"/>
        <v>0</v>
      </c>
      <c r="Q710" s="73"/>
      <c r="R710" s="73">
        <v>0</v>
      </c>
      <c r="S710" s="75">
        <f t="shared" si="87"/>
        <v>19104775.199999999</v>
      </c>
      <c r="T710" s="77">
        <v>0</v>
      </c>
      <c r="U710" s="66">
        <v>40477</v>
      </c>
      <c r="V710" s="79">
        <v>58951</v>
      </c>
      <c r="W710" s="66" t="s">
        <v>1606</v>
      </c>
      <c r="X710" s="24" t="s">
        <v>1607</v>
      </c>
      <c r="Y710" s="62">
        <v>25682</v>
      </c>
      <c r="Z710" s="169" t="s">
        <v>2580</v>
      </c>
      <c r="AA710" s="166" t="s">
        <v>1142</v>
      </c>
      <c r="AB710" s="152"/>
      <c r="AC710" s="153"/>
      <c r="AD710" s="154"/>
      <c r="AE710" s="153"/>
      <c r="AF710" s="153"/>
      <c r="AG710" s="153"/>
      <c r="AH710" s="153"/>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c r="BF710" s="153"/>
      <c r="BG710" s="153"/>
      <c r="BH710" s="153"/>
      <c r="BI710" s="153"/>
      <c r="BJ710" s="153"/>
      <c r="BK710" s="153"/>
      <c r="BL710" s="153"/>
      <c r="BM710" s="153"/>
      <c r="BN710" s="153"/>
      <c r="BO710" s="153"/>
      <c r="BP710" s="153"/>
      <c r="BQ710" s="153"/>
      <c r="BR710" s="153"/>
      <c r="BS710" s="153"/>
      <c r="BT710" s="153"/>
      <c r="BU710" s="153"/>
      <c r="BV710" s="153"/>
      <c r="BW710" s="153"/>
      <c r="BX710" s="153"/>
      <c r="BY710" s="153"/>
      <c r="BZ710" s="153"/>
      <c r="CA710" s="153"/>
      <c r="CB710" s="153"/>
      <c r="CC710" s="153"/>
      <c r="CD710" s="155">
        <v>95</v>
      </c>
      <c r="CE710" s="156">
        <f>95*37999.86</f>
        <v>3609986.7</v>
      </c>
      <c r="CF710" s="155">
        <v>95</v>
      </c>
      <c r="CG710" s="156">
        <f>95*35999.44</f>
        <v>3419946.8000000003</v>
      </c>
      <c r="CH710" s="155"/>
      <c r="CI710" s="156"/>
      <c r="CJ710" s="157">
        <f t="shared" si="94"/>
        <v>7029933.5</v>
      </c>
      <c r="CK710" s="158"/>
      <c r="CL710" s="159"/>
      <c r="CM710" s="160">
        <v>95</v>
      </c>
      <c r="CN710" s="161">
        <f>95*84998.46</f>
        <v>8074853.7000000002</v>
      </c>
      <c r="CO710" s="162"/>
      <c r="CP710" s="161"/>
      <c r="CQ710" s="158">
        <v>200</v>
      </c>
      <c r="CR710" s="159">
        <f>200*18999.98+800*249.99</f>
        <v>3999988</v>
      </c>
      <c r="CS710" s="68"/>
      <c r="CT710" s="163">
        <v>1363</v>
      </c>
      <c r="EC710" s="344" t="str">
        <f t="shared" si="89"/>
        <v>CAUCA_PADILLA</v>
      </c>
      <c r="ED710" s="341"/>
      <c r="EE710" s="341" t="s">
        <v>3168</v>
      </c>
      <c r="EF710" s="349" t="s">
        <v>5004</v>
      </c>
      <c r="EG710" s="341" t="s">
        <v>3918</v>
      </c>
      <c r="EH710" s="341" t="s">
        <v>5016</v>
      </c>
      <c r="EI710" s="341" t="str">
        <f t="shared" si="88"/>
        <v>Meta_Mapiripan</v>
      </c>
    </row>
    <row r="711" spans="1:139" ht="38.25">
      <c r="A711" s="228">
        <v>40352</v>
      </c>
      <c r="B711" s="102" t="s">
        <v>1604</v>
      </c>
      <c r="C711" s="102" t="s">
        <v>1949</v>
      </c>
      <c r="D711" s="206" t="s">
        <v>1316</v>
      </c>
      <c r="E711" s="320" t="s">
        <v>3699</v>
      </c>
      <c r="F711" s="320"/>
      <c r="G711" s="210"/>
      <c r="H711" s="71"/>
      <c r="I711" s="71"/>
      <c r="J711" s="71"/>
      <c r="K711" s="71"/>
      <c r="L711" s="1"/>
      <c r="M711" s="73">
        <f t="shared" si="90"/>
        <v>0</v>
      </c>
      <c r="N711" s="73">
        <f t="shared" si="91"/>
        <v>0</v>
      </c>
      <c r="O711" s="73">
        <f t="shared" si="92"/>
        <v>0</v>
      </c>
      <c r="P711" s="73">
        <f t="shared" si="93"/>
        <v>0</v>
      </c>
      <c r="Q711" s="73"/>
      <c r="R711" s="73">
        <v>0</v>
      </c>
      <c r="S711" s="75">
        <f t="shared" si="87"/>
        <v>0</v>
      </c>
      <c r="T711" s="77">
        <v>0</v>
      </c>
      <c r="U711" s="66">
        <v>40353</v>
      </c>
      <c r="V711" s="79"/>
      <c r="W711" s="66" t="s">
        <v>1585</v>
      </c>
      <c r="X711" s="24" t="s">
        <v>1586</v>
      </c>
      <c r="Y711" s="62"/>
      <c r="Z711" s="177" t="s">
        <v>894</v>
      </c>
      <c r="AA711" s="80" t="s">
        <v>1216</v>
      </c>
      <c r="AB711" s="3"/>
      <c r="AC711" s="4"/>
      <c r="AD711" s="5"/>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6"/>
      <c r="CE711" s="7"/>
      <c r="CF711" s="6"/>
      <c r="CG711" s="7"/>
      <c r="CH711" s="6"/>
      <c r="CI711" s="7"/>
      <c r="CJ711" s="8">
        <f t="shared" si="94"/>
        <v>0</v>
      </c>
      <c r="CK711" s="9"/>
      <c r="CL711" s="10"/>
      <c r="CM711" s="11"/>
      <c r="CN711" s="12"/>
      <c r="CO711" s="28"/>
      <c r="CP711" s="12"/>
      <c r="CQ711" s="9"/>
      <c r="CR711" s="10"/>
      <c r="CS711" s="68"/>
      <c r="EC711" s="344" t="str">
        <f t="shared" si="89"/>
        <v>CUNDINAMARCA_COTA</v>
      </c>
      <c r="ED711" s="341"/>
      <c r="EE711" s="341" t="s">
        <v>3168</v>
      </c>
      <c r="EF711" s="349" t="s">
        <v>5004</v>
      </c>
      <c r="EG711" s="341" t="s">
        <v>3919</v>
      </c>
      <c r="EH711" s="341" t="s">
        <v>5017</v>
      </c>
      <c r="EI711" s="341" t="str">
        <f t="shared" si="88"/>
        <v>Meta_Mesetas</v>
      </c>
    </row>
    <row r="712" spans="1:139" ht="63.75">
      <c r="A712" s="228">
        <v>40352</v>
      </c>
      <c r="B712" s="102" t="s">
        <v>1824</v>
      </c>
      <c r="C712" s="102" t="s">
        <v>3175</v>
      </c>
      <c r="D712" s="206" t="s">
        <v>1923</v>
      </c>
      <c r="E712" s="320" t="s">
        <v>3995</v>
      </c>
      <c r="F712" s="320"/>
      <c r="G712" s="210"/>
      <c r="H712" s="71">
        <v>10</v>
      </c>
      <c r="I712" s="71"/>
      <c r="J712" s="71"/>
      <c r="K712" s="71"/>
      <c r="L712" s="1"/>
      <c r="M712" s="73">
        <f t="shared" si="90"/>
        <v>0</v>
      </c>
      <c r="N712" s="73">
        <f t="shared" si="91"/>
        <v>0</v>
      </c>
      <c r="O712" s="73">
        <f t="shared" si="92"/>
        <v>0</v>
      </c>
      <c r="P712" s="73">
        <f t="shared" si="93"/>
        <v>0</v>
      </c>
      <c r="Q712" s="73"/>
      <c r="R712" s="73">
        <v>0</v>
      </c>
      <c r="S712" s="75">
        <f t="shared" si="87"/>
        <v>0</v>
      </c>
      <c r="T712" s="77">
        <v>0</v>
      </c>
      <c r="U712" s="66">
        <v>40353</v>
      </c>
      <c r="V712" s="79"/>
      <c r="W712" s="66" t="s">
        <v>1585</v>
      </c>
      <c r="X712" s="24" t="s">
        <v>1586</v>
      </c>
      <c r="Y712" s="62"/>
      <c r="Z712" s="177" t="s">
        <v>894</v>
      </c>
      <c r="AA712" s="80" t="s">
        <v>1214</v>
      </c>
      <c r="AB712" s="3"/>
      <c r="AC712" s="4"/>
      <c r="AD712" s="5"/>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6"/>
      <c r="CE712" s="7"/>
      <c r="CF712" s="6"/>
      <c r="CG712" s="7"/>
      <c r="CH712" s="6"/>
      <c r="CI712" s="7"/>
      <c r="CJ712" s="8">
        <f t="shared" si="94"/>
        <v>0</v>
      </c>
      <c r="CK712" s="9"/>
      <c r="CL712" s="10"/>
      <c r="CM712" s="11"/>
      <c r="CN712" s="12"/>
      <c r="CO712" s="28"/>
      <c r="CP712" s="12"/>
      <c r="CQ712" s="9"/>
      <c r="CR712" s="10"/>
      <c r="CS712" s="68"/>
      <c r="EC712" s="344" t="str">
        <f t="shared" si="89"/>
        <v>NARIÑO_SAN ANDRES DE TUMACO</v>
      </c>
      <c r="ED712" s="341"/>
      <c r="EE712" s="341" t="s">
        <v>3168</v>
      </c>
      <c r="EF712" s="349" t="s">
        <v>5004</v>
      </c>
      <c r="EG712" s="341" t="s">
        <v>3920</v>
      </c>
      <c r="EH712" s="341" t="s">
        <v>5018</v>
      </c>
      <c r="EI712" s="341" t="str">
        <f t="shared" si="88"/>
        <v>Meta_La Macarena</v>
      </c>
    </row>
    <row r="713" spans="1:139" ht="25.5">
      <c r="A713" s="228">
        <v>40353</v>
      </c>
      <c r="B713" s="102" t="s">
        <v>1972</v>
      </c>
      <c r="C713" s="102" t="s">
        <v>1631</v>
      </c>
      <c r="D713" s="206" t="s">
        <v>1923</v>
      </c>
      <c r="E713" s="320" t="s">
        <v>3232</v>
      </c>
      <c r="F713" s="320"/>
      <c r="G713" s="210">
        <v>2</v>
      </c>
      <c r="H713" s="71">
        <v>2</v>
      </c>
      <c r="I713" s="71"/>
      <c r="J713" s="71">
        <v>5</v>
      </c>
      <c r="K713" s="71">
        <v>1</v>
      </c>
      <c r="L713" s="1"/>
      <c r="M713" s="73">
        <f t="shared" si="90"/>
        <v>0</v>
      </c>
      <c r="N713" s="73">
        <f t="shared" si="91"/>
        <v>0</v>
      </c>
      <c r="O713" s="73">
        <f t="shared" si="92"/>
        <v>0</v>
      </c>
      <c r="P713" s="73">
        <f t="shared" si="93"/>
        <v>0</v>
      </c>
      <c r="Q713" s="73"/>
      <c r="R713" s="73">
        <v>0</v>
      </c>
      <c r="S713" s="75">
        <f t="shared" ref="S713:S776" si="95">M713+N713+O713+P713+Q713+R713</f>
        <v>0</v>
      </c>
      <c r="T713" s="77">
        <v>0</v>
      </c>
      <c r="U713" s="66">
        <v>40353</v>
      </c>
      <c r="V713" s="79"/>
      <c r="W713" s="66" t="s">
        <v>1585</v>
      </c>
      <c r="X713" s="24" t="s">
        <v>1586</v>
      </c>
      <c r="Y713" s="62"/>
      <c r="Z713" s="177" t="s">
        <v>894</v>
      </c>
      <c r="AA713" s="80" t="s">
        <v>902</v>
      </c>
      <c r="AB713" s="3"/>
      <c r="AC713" s="4"/>
      <c r="AD713" s="5"/>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6"/>
      <c r="CE713" s="7"/>
      <c r="CF713" s="6"/>
      <c r="CG713" s="7"/>
      <c r="CH713" s="6"/>
      <c r="CI713" s="7"/>
      <c r="CJ713" s="8">
        <f t="shared" si="94"/>
        <v>0</v>
      </c>
      <c r="CK713" s="9"/>
      <c r="CL713" s="10"/>
      <c r="CM713" s="11"/>
      <c r="CN713" s="12"/>
      <c r="CO713" s="28"/>
      <c r="CP713" s="12"/>
      <c r="CQ713" s="9"/>
      <c r="CR713" s="10"/>
      <c r="CS713" s="68"/>
      <c r="EC713" s="344" t="str">
        <f t="shared" si="89"/>
        <v>ANTIOQUIA_AMALFI</v>
      </c>
      <c r="ED713" s="341"/>
      <c r="EE713" s="341" t="s">
        <v>3168</v>
      </c>
      <c r="EF713" s="349" t="s">
        <v>5004</v>
      </c>
      <c r="EG713" s="341" t="s">
        <v>3921</v>
      </c>
      <c r="EH713" s="341" t="s">
        <v>5019</v>
      </c>
      <c r="EI713" s="341" t="str">
        <f t="shared" si="88"/>
        <v>Meta_Uribe</v>
      </c>
    </row>
    <row r="714" spans="1:139" ht="25.5">
      <c r="A714" s="235">
        <v>40353</v>
      </c>
      <c r="B714" s="224" t="s">
        <v>1972</v>
      </c>
      <c r="C714" s="224" t="s">
        <v>1174</v>
      </c>
      <c r="D714" s="236" t="s">
        <v>1878</v>
      </c>
      <c r="E714" s="324" t="s">
        <v>3342</v>
      </c>
      <c r="F714" s="324"/>
      <c r="G714" s="210">
        <v>1</v>
      </c>
      <c r="H714" s="71"/>
      <c r="I714" s="71"/>
      <c r="J714" s="71">
        <v>50</v>
      </c>
      <c r="K714" s="71">
        <v>10</v>
      </c>
      <c r="L714" s="1"/>
      <c r="M714" s="73">
        <f t="shared" si="90"/>
        <v>0</v>
      </c>
      <c r="N714" s="73">
        <f t="shared" si="91"/>
        <v>0</v>
      </c>
      <c r="O714" s="73">
        <f t="shared" si="92"/>
        <v>0</v>
      </c>
      <c r="P714" s="73">
        <f t="shared" si="93"/>
        <v>0</v>
      </c>
      <c r="Q714" s="73"/>
      <c r="R714" s="73">
        <v>0</v>
      </c>
      <c r="S714" s="75">
        <f t="shared" si="95"/>
        <v>0</v>
      </c>
      <c r="T714" s="77">
        <v>0</v>
      </c>
      <c r="U714" s="66">
        <v>40357</v>
      </c>
      <c r="V714" s="79"/>
      <c r="W714" s="66" t="s">
        <v>1585</v>
      </c>
      <c r="X714" s="24" t="s">
        <v>1586</v>
      </c>
      <c r="Y714" s="62"/>
      <c r="Z714" s="177" t="s">
        <v>894</v>
      </c>
      <c r="AA714" s="80" t="s">
        <v>1321</v>
      </c>
      <c r="AB714" s="3"/>
      <c r="AC714" s="4"/>
      <c r="AD714" s="5"/>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6"/>
      <c r="CE714" s="7"/>
      <c r="CF714" s="6"/>
      <c r="CG714" s="7"/>
      <c r="CH714" s="6"/>
      <c r="CI714" s="7"/>
      <c r="CJ714" s="8">
        <f t="shared" si="94"/>
        <v>0</v>
      </c>
      <c r="CK714" s="9"/>
      <c r="CL714" s="10"/>
      <c r="CM714" s="11"/>
      <c r="CN714" s="12"/>
      <c r="CO714" s="28"/>
      <c r="CP714" s="12"/>
      <c r="CQ714" s="9"/>
      <c r="CR714" s="10"/>
      <c r="CS714" s="68"/>
      <c r="EC714" s="344" t="str">
        <f t="shared" si="89"/>
        <v>ANTIOQUIA_VALDIVIA</v>
      </c>
      <c r="ED714" s="341"/>
      <c r="EE714" s="341" t="s">
        <v>3168</v>
      </c>
      <c r="EF714" s="349" t="s">
        <v>5004</v>
      </c>
      <c r="EG714" s="341" t="s">
        <v>3922</v>
      </c>
      <c r="EH714" s="341" t="s">
        <v>5020</v>
      </c>
      <c r="EI714" s="341" t="str">
        <f t="shared" si="88"/>
        <v>Meta_Lejanias</v>
      </c>
    </row>
    <row r="715" spans="1:139" ht="38.25">
      <c r="A715" s="228">
        <v>40353</v>
      </c>
      <c r="B715" s="102" t="s">
        <v>1617</v>
      </c>
      <c r="C715" s="102" t="s">
        <v>401</v>
      </c>
      <c r="D715" s="206" t="s">
        <v>1201</v>
      </c>
      <c r="E715" s="320" t="s">
        <v>4276</v>
      </c>
      <c r="F715" s="320"/>
      <c r="G715" s="210"/>
      <c r="H715" s="71"/>
      <c r="I715" s="71"/>
      <c r="J715" s="71">
        <v>210</v>
      </c>
      <c r="K715" s="71">
        <v>48</v>
      </c>
      <c r="L715" s="1"/>
      <c r="M715" s="73">
        <f t="shared" si="90"/>
        <v>0</v>
      </c>
      <c r="N715" s="73">
        <f t="shared" si="91"/>
        <v>0</v>
      </c>
      <c r="O715" s="73">
        <f t="shared" si="92"/>
        <v>0</v>
      </c>
      <c r="P715" s="73">
        <f t="shared" si="93"/>
        <v>0</v>
      </c>
      <c r="Q715" s="73"/>
      <c r="R715" s="73">
        <v>0</v>
      </c>
      <c r="S715" s="75">
        <f t="shared" si="95"/>
        <v>0</v>
      </c>
      <c r="T715" s="77">
        <v>0</v>
      </c>
      <c r="U715" s="66">
        <v>40353</v>
      </c>
      <c r="V715" s="79"/>
      <c r="W715" s="66" t="s">
        <v>1585</v>
      </c>
      <c r="X715" s="24" t="s">
        <v>1586</v>
      </c>
      <c r="Y715" s="62"/>
      <c r="Z715" s="177" t="s">
        <v>894</v>
      </c>
      <c r="AA715" s="80" t="s">
        <v>1318</v>
      </c>
      <c r="AB715" s="3"/>
      <c r="AC715" s="4"/>
      <c r="AD715" s="5"/>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6"/>
      <c r="CE715" s="7"/>
      <c r="CF715" s="6"/>
      <c r="CG715" s="7"/>
      <c r="CH715" s="6"/>
      <c r="CI715" s="7"/>
      <c r="CJ715" s="8">
        <f t="shared" si="94"/>
        <v>0</v>
      </c>
      <c r="CK715" s="9"/>
      <c r="CL715" s="10"/>
      <c r="CM715" s="11"/>
      <c r="CN715" s="12"/>
      <c r="CO715" s="28"/>
      <c r="CP715" s="12"/>
      <c r="CQ715" s="9"/>
      <c r="CR715" s="10"/>
      <c r="CS715" s="68"/>
      <c r="EC715" s="344" t="str">
        <f t="shared" si="89"/>
        <v>CASANARE_HATO COROZAL</v>
      </c>
      <c r="ED715" s="341"/>
      <c r="EE715" s="341" t="s">
        <v>3168</v>
      </c>
      <c r="EF715" s="349" t="s">
        <v>5004</v>
      </c>
      <c r="EG715" s="341" t="s">
        <v>3923</v>
      </c>
      <c r="EH715" s="341" t="s">
        <v>5021</v>
      </c>
      <c r="EI715" s="341" t="str">
        <f t="shared" ref="EI715:EI771" si="96">EF715&amp;"_"&amp;EH715</f>
        <v>Meta_Puerto Concordia</v>
      </c>
    </row>
    <row r="716" spans="1:139" ht="48">
      <c r="A716" s="228">
        <v>40353</v>
      </c>
      <c r="B716" s="102" t="s">
        <v>1314</v>
      </c>
      <c r="C716" s="102" t="s">
        <v>646</v>
      </c>
      <c r="D716" s="206" t="s">
        <v>1878</v>
      </c>
      <c r="E716" s="320" t="s">
        <v>3593</v>
      </c>
      <c r="F716" s="320"/>
      <c r="G716" s="210"/>
      <c r="H716" s="71"/>
      <c r="I716" s="71"/>
      <c r="J716" s="71"/>
      <c r="K716" s="71"/>
      <c r="L716" s="1"/>
      <c r="M716" s="73">
        <f t="shared" si="90"/>
        <v>0</v>
      </c>
      <c r="N716" s="73">
        <f t="shared" si="91"/>
        <v>0</v>
      </c>
      <c r="O716" s="73">
        <f t="shared" si="92"/>
        <v>0</v>
      </c>
      <c r="P716" s="73">
        <f t="shared" si="93"/>
        <v>0</v>
      </c>
      <c r="Q716" s="73"/>
      <c r="R716" s="73">
        <v>0</v>
      </c>
      <c r="S716" s="75">
        <f t="shared" si="95"/>
        <v>0</v>
      </c>
      <c r="T716" s="77">
        <v>0</v>
      </c>
      <c r="U716" s="66">
        <v>40360</v>
      </c>
      <c r="V716" s="79"/>
      <c r="W716" s="66" t="s">
        <v>1585</v>
      </c>
      <c r="X716" s="24" t="s">
        <v>1586</v>
      </c>
      <c r="Y716" s="62"/>
      <c r="Z716" s="177" t="s">
        <v>894</v>
      </c>
      <c r="AA716" s="80" t="s">
        <v>2345</v>
      </c>
      <c r="AB716" s="3"/>
      <c r="AC716" s="4"/>
      <c r="AD716" s="5"/>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6"/>
      <c r="CE716" s="7"/>
      <c r="CF716" s="6"/>
      <c r="CG716" s="7"/>
      <c r="CH716" s="6"/>
      <c r="CI716" s="7"/>
      <c r="CJ716" s="8">
        <f t="shared" si="94"/>
        <v>0</v>
      </c>
      <c r="CK716" s="9"/>
      <c r="CL716" s="10"/>
      <c r="CM716" s="11"/>
      <c r="CN716" s="12"/>
      <c r="CO716" s="28"/>
      <c r="CP716" s="12"/>
      <c r="CQ716" s="9"/>
      <c r="CR716" s="10"/>
      <c r="CS716" s="68"/>
      <c r="CT716" s="22">
        <v>1136</v>
      </c>
      <c r="EC716" s="344" t="str">
        <f t="shared" si="89"/>
        <v>CAUCA_CALDONO</v>
      </c>
      <c r="ED716" s="341"/>
      <c r="EE716" s="341" t="s">
        <v>3168</v>
      </c>
      <c r="EF716" s="349" t="s">
        <v>5004</v>
      </c>
      <c r="EG716" s="341" t="s">
        <v>3924</v>
      </c>
      <c r="EH716" s="341" t="s">
        <v>5022</v>
      </c>
      <c r="EI716" s="341" t="str">
        <f t="shared" si="96"/>
        <v>Meta_Puerto Gaitan</v>
      </c>
    </row>
    <row r="717" spans="1:139" ht="72">
      <c r="A717" s="228">
        <v>40353</v>
      </c>
      <c r="B717" s="102" t="s">
        <v>2400</v>
      </c>
      <c r="C717" s="102" t="s">
        <v>734</v>
      </c>
      <c r="D717" s="206" t="s">
        <v>1201</v>
      </c>
      <c r="E717" s="320" t="s">
        <v>4221</v>
      </c>
      <c r="F717" s="320"/>
      <c r="G717" s="210"/>
      <c r="H717" s="71"/>
      <c r="I717" s="71"/>
      <c r="J717" s="71"/>
      <c r="K717" s="71"/>
      <c r="L717" s="1"/>
      <c r="M717" s="73">
        <f t="shared" si="90"/>
        <v>0</v>
      </c>
      <c r="N717" s="73">
        <f t="shared" si="91"/>
        <v>0</v>
      </c>
      <c r="O717" s="73">
        <f t="shared" si="92"/>
        <v>0</v>
      </c>
      <c r="P717" s="73">
        <f t="shared" si="93"/>
        <v>0</v>
      </c>
      <c r="Q717" s="73"/>
      <c r="R717" s="73">
        <v>0</v>
      </c>
      <c r="S717" s="75">
        <f t="shared" si="95"/>
        <v>0</v>
      </c>
      <c r="T717" s="77">
        <v>0</v>
      </c>
      <c r="U717" s="66">
        <v>40357</v>
      </c>
      <c r="V717" s="79"/>
      <c r="W717" s="66" t="s">
        <v>1585</v>
      </c>
      <c r="X717" s="24" t="s">
        <v>1586</v>
      </c>
      <c r="Y717" s="62"/>
      <c r="Z717" s="196" t="s">
        <v>894</v>
      </c>
      <c r="AA717" s="80" t="s">
        <v>663</v>
      </c>
      <c r="AB717" s="3"/>
      <c r="AC717" s="4"/>
      <c r="AD717" s="5"/>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6"/>
      <c r="CE717" s="7"/>
      <c r="CF717" s="6"/>
      <c r="CG717" s="7"/>
      <c r="CH717" s="6"/>
      <c r="CI717" s="7"/>
      <c r="CJ717" s="8">
        <f t="shared" si="94"/>
        <v>0</v>
      </c>
      <c r="CK717" s="9"/>
      <c r="CL717" s="10"/>
      <c r="CM717" s="11"/>
      <c r="CN717" s="12"/>
      <c r="CO717" s="28"/>
      <c r="CP717" s="12"/>
      <c r="CQ717" s="9"/>
      <c r="CR717" s="10"/>
      <c r="CS717" s="68"/>
      <c r="EC717" s="344" t="str">
        <f t="shared" si="89"/>
        <v>TOLIMA_VENADILLO</v>
      </c>
      <c r="ED717" s="341"/>
      <c r="EE717" s="341" t="s">
        <v>3168</v>
      </c>
      <c r="EF717" s="349" t="s">
        <v>5004</v>
      </c>
      <c r="EG717" s="341" t="s">
        <v>3925</v>
      </c>
      <c r="EH717" s="341" t="s">
        <v>5023</v>
      </c>
      <c r="EI717" s="341" t="str">
        <f t="shared" si="96"/>
        <v>Meta_Puerto Lopez</v>
      </c>
    </row>
    <row r="718" spans="1:139" ht="38.25">
      <c r="A718" s="228">
        <v>40354</v>
      </c>
      <c r="B718" s="102" t="s">
        <v>1972</v>
      </c>
      <c r="C718" s="102" t="s">
        <v>2041</v>
      </c>
      <c r="D718" s="206" t="s">
        <v>1923</v>
      </c>
      <c r="E718" s="320" t="s">
        <v>3351</v>
      </c>
      <c r="F718" s="320"/>
      <c r="G718" s="210">
        <v>1</v>
      </c>
      <c r="H718" s="71">
        <v>1</v>
      </c>
      <c r="I718" s="71"/>
      <c r="J718" s="71"/>
      <c r="K718" s="71"/>
      <c r="L718" s="1"/>
      <c r="M718" s="73">
        <f t="shared" si="90"/>
        <v>0</v>
      </c>
      <c r="N718" s="73">
        <f t="shared" si="91"/>
        <v>0</v>
      </c>
      <c r="O718" s="73">
        <f t="shared" si="92"/>
        <v>0</v>
      </c>
      <c r="P718" s="73">
        <f t="shared" si="93"/>
        <v>0</v>
      </c>
      <c r="Q718" s="73"/>
      <c r="R718" s="73">
        <v>0</v>
      </c>
      <c r="S718" s="75">
        <f t="shared" si="95"/>
        <v>0</v>
      </c>
      <c r="T718" s="77">
        <v>0</v>
      </c>
      <c r="U718" s="66">
        <v>40357</v>
      </c>
      <c r="V718" s="79"/>
      <c r="W718" s="66" t="s">
        <v>1585</v>
      </c>
      <c r="X718" s="24" t="s">
        <v>1586</v>
      </c>
      <c r="Y718" s="62"/>
      <c r="Z718" s="177" t="s">
        <v>894</v>
      </c>
      <c r="AA718" s="80" t="s">
        <v>1414</v>
      </c>
      <c r="AB718" s="3"/>
      <c r="AC718" s="4"/>
      <c r="AD718" s="5"/>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6"/>
      <c r="CE718" s="7"/>
      <c r="CF718" s="6"/>
      <c r="CG718" s="7"/>
      <c r="CH718" s="6"/>
      <c r="CI718" s="7"/>
      <c r="CJ718" s="8">
        <f t="shared" si="94"/>
        <v>0</v>
      </c>
      <c r="CK718" s="9"/>
      <c r="CL718" s="10"/>
      <c r="CM718" s="11"/>
      <c r="CN718" s="12"/>
      <c r="CO718" s="28"/>
      <c r="CP718" s="12"/>
      <c r="CQ718" s="9"/>
      <c r="CR718" s="10"/>
      <c r="CS718" s="68"/>
      <c r="EC718" s="344" t="str">
        <f t="shared" si="89"/>
        <v>ANTIOQUIA_ZARAGOZA</v>
      </c>
      <c r="ED718" s="341"/>
      <c r="EE718" s="341" t="s">
        <v>3168</v>
      </c>
      <c r="EF718" s="349" t="s">
        <v>5004</v>
      </c>
      <c r="EG718" s="341" t="s">
        <v>3927</v>
      </c>
      <c r="EH718" s="341" t="s">
        <v>4717</v>
      </c>
      <c r="EI718" s="341" t="str">
        <f t="shared" si="96"/>
        <v>Meta_Puerto Rico</v>
      </c>
    </row>
    <row r="719" spans="1:139" ht="25.5">
      <c r="A719" s="228">
        <v>40354</v>
      </c>
      <c r="B719" s="205" t="s">
        <v>1314</v>
      </c>
      <c r="C719" s="205" t="s">
        <v>2241</v>
      </c>
      <c r="D719" s="207" t="s">
        <v>1201</v>
      </c>
      <c r="E719" s="323" t="s">
        <v>3599</v>
      </c>
      <c r="F719" s="323"/>
      <c r="G719" s="204"/>
      <c r="H719" s="151"/>
      <c r="I719" s="151"/>
      <c r="J719" s="151">
        <f>16*5</f>
        <v>80</v>
      </c>
      <c r="K719" s="151">
        <v>16</v>
      </c>
      <c r="L719" s="1">
        <v>40515</v>
      </c>
      <c r="M719" s="73">
        <f t="shared" si="90"/>
        <v>0</v>
      </c>
      <c r="N719" s="73">
        <f t="shared" si="91"/>
        <v>0</v>
      </c>
      <c r="O719" s="73">
        <f t="shared" si="92"/>
        <v>9999970</v>
      </c>
      <c r="P719" s="73">
        <f t="shared" si="93"/>
        <v>0</v>
      </c>
      <c r="Q719" s="73"/>
      <c r="R719" s="73">
        <v>0</v>
      </c>
      <c r="S719" s="75">
        <f t="shared" si="95"/>
        <v>9999970</v>
      </c>
      <c r="T719" s="77">
        <v>0</v>
      </c>
      <c r="U719" s="66">
        <v>40445</v>
      </c>
      <c r="V719" s="79">
        <v>51102</v>
      </c>
      <c r="W719" s="66" t="s">
        <v>1606</v>
      </c>
      <c r="X719" s="24" t="s">
        <v>1607</v>
      </c>
      <c r="Y719" s="62">
        <v>25682</v>
      </c>
      <c r="Z719" s="169" t="s">
        <v>1435</v>
      </c>
      <c r="AA719" s="166" t="s">
        <v>1143</v>
      </c>
      <c r="AB719" s="152"/>
      <c r="AC719" s="153"/>
      <c r="AD719" s="154"/>
      <c r="AE719" s="153"/>
      <c r="AF719" s="153"/>
      <c r="AG719" s="153"/>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c r="BF719" s="153"/>
      <c r="BG719" s="153"/>
      <c r="BH719" s="153"/>
      <c r="BI719" s="153"/>
      <c r="BJ719" s="153"/>
      <c r="BK719" s="153"/>
      <c r="BL719" s="153"/>
      <c r="BM719" s="153"/>
      <c r="BN719" s="153"/>
      <c r="BO719" s="153"/>
      <c r="BP719" s="153"/>
      <c r="BQ719" s="153"/>
      <c r="BR719" s="153"/>
      <c r="BS719" s="153"/>
      <c r="BT719" s="153"/>
      <c r="BU719" s="153"/>
      <c r="BV719" s="153"/>
      <c r="BW719" s="153"/>
      <c r="BX719" s="153"/>
      <c r="BY719" s="153"/>
      <c r="BZ719" s="153"/>
      <c r="CA719" s="153"/>
      <c r="CB719" s="153"/>
      <c r="CC719" s="153"/>
      <c r="CD719" s="155"/>
      <c r="CE719" s="156"/>
      <c r="CF719" s="155"/>
      <c r="CG719" s="156"/>
      <c r="CH719" s="155"/>
      <c r="CI719" s="156"/>
      <c r="CJ719" s="157">
        <f t="shared" si="94"/>
        <v>0</v>
      </c>
      <c r="CK719" s="158"/>
      <c r="CL719" s="159"/>
      <c r="CM719" s="160"/>
      <c r="CN719" s="161"/>
      <c r="CO719" s="162"/>
      <c r="CP719" s="161"/>
      <c r="CQ719" s="158">
        <v>500</v>
      </c>
      <c r="CR719" s="159">
        <f>500*18999.98+2000*249.99</f>
        <v>9999970</v>
      </c>
      <c r="CS719" s="68"/>
      <c r="CT719" s="163"/>
      <c r="EC719" s="344" t="str">
        <f t="shared" si="89"/>
        <v>CAUCA_GUAPI</v>
      </c>
      <c r="ED719" s="341"/>
      <c r="EE719" s="341" t="s">
        <v>3168</v>
      </c>
      <c r="EF719" s="349" t="s">
        <v>5004</v>
      </c>
      <c r="EG719" s="341" t="s">
        <v>3928</v>
      </c>
      <c r="EH719" s="341" t="s">
        <v>5024</v>
      </c>
      <c r="EI719" s="341" t="str">
        <f t="shared" si="96"/>
        <v>Meta_Restrepo</v>
      </c>
    </row>
    <row r="720" spans="1:139" ht="72">
      <c r="A720" s="228">
        <v>40354</v>
      </c>
      <c r="B720" s="102" t="s">
        <v>1821</v>
      </c>
      <c r="C720" s="102" t="s">
        <v>664</v>
      </c>
      <c r="D720" s="206" t="s">
        <v>1923</v>
      </c>
      <c r="E720" s="320" t="s">
        <v>3642</v>
      </c>
      <c r="F720" s="320"/>
      <c r="G720" s="210"/>
      <c r="H720" s="71"/>
      <c r="I720" s="71"/>
      <c r="J720" s="71"/>
      <c r="K720" s="71"/>
      <c r="L720" s="1"/>
      <c r="M720" s="73">
        <f t="shared" si="90"/>
        <v>0</v>
      </c>
      <c r="N720" s="73">
        <f t="shared" si="91"/>
        <v>0</v>
      </c>
      <c r="O720" s="73">
        <f t="shared" si="92"/>
        <v>0</v>
      </c>
      <c r="P720" s="73">
        <f t="shared" si="93"/>
        <v>0</v>
      </c>
      <c r="Q720" s="73"/>
      <c r="R720" s="73">
        <v>0</v>
      </c>
      <c r="S720" s="75">
        <f t="shared" si="95"/>
        <v>0</v>
      </c>
      <c r="T720" s="77">
        <v>0</v>
      </c>
      <c r="U720" s="66">
        <v>40357</v>
      </c>
      <c r="V720" s="79"/>
      <c r="W720" s="66" t="s">
        <v>1585</v>
      </c>
      <c r="X720" s="24" t="s">
        <v>1586</v>
      </c>
      <c r="Y720" s="62"/>
      <c r="Z720" s="177" t="s">
        <v>894</v>
      </c>
      <c r="AA720" s="80" t="s">
        <v>1429</v>
      </c>
      <c r="AB720" s="3"/>
      <c r="AC720" s="4"/>
      <c r="AD720" s="5"/>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6"/>
      <c r="CE720" s="7"/>
      <c r="CF720" s="6"/>
      <c r="CG720" s="7"/>
      <c r="CH720" s="6"/>
      <c r="CI720" s="7"/>
      <c r="CJ720" s="8">
        <f t="shared" si="94"/>
        <v>0</v>
      </c>
      <c r="CK720" s="9"/>
      <c r="CL720" s="10"/>
      <c r="CM720" s="11"/>
      <c r="CN720" s="12"/>
      <c r="CO720" s="28"/>
      <c r="CP720" s="12"/>
      <c r="CQ720" s="9"/>
      <c r="CR720" s="10"/>
      <c r="CS720" s="68"/>
      <c r="EC720" s="344" t="str">
        <f t="shared" si="89"/>
        <v>CESAR_LA JAGUA DE IBIRICO</v>
      </c>
      <c r="ED720" s="341"/>
      <c r="EE720" s="341" t="s">
        <v>3168</v>
      </c>
      <c r="EF720" s="349" t="s">
        <v>5004</v>
      </c>
      <c r="EG720" s="341" t="s">
        <v>3929</v>
      </c>
      <c r="EH720" s="341" t="s">
        <v>5025</v>
      </c>
      <c r="EI720" s="341" t="str">
        <f t="shared" si="96"/>
        <v>Meta_San Carlos de Guaroa</v>
      </c>
    </row>
    <row r="721" spans="1:139" ht="84">
      <c r="A721" s="228">
        <v>40354</v>
      </c>
      <c r="B721" s="102" t="s">
        <v>396</v>
      </c>
      <c r="C721" s="102" t="s">
        <v>1899</v>
      </c>
      <c r="D721" s="206" t="s">
        <v>1201</v>
      </c>
      <c r="E721" s="320" t="s">
        <v>3905</v>
      </c>
      <c r="F721" s="320"/>
      <c r="G721" s="210"/>
      <c r="H721" s="71"/>
      <c r="I721" s="71"/>
      <c r="J721" s="71">
        <v>487</v>
      </c>
      <c r="K721" s="71">
        <v>108</v>
      </c>
      <c r="L721" s="1"/>
      <c r="M721" s="73">
        <f t="shared" si="90"/>
        <v>0</v>
      </c>
      <c r="N721" s="73">
        <f t="shared" si="91"/>
        <v>0</v>
      </c>
      <c r="O721" s="73">
        <f t="shared" si="92"/>
        <v>0</v>
      </c>
      <c r="P721" s="73">
        <f t="shared" si="93"/>
        <v>0</v>
      </c>
      <c r="Q721" s="73"/>
      <c r="R721" s="73">
        <v>0</v>
      </c>
      <c r="S721" s="75">
        <f t="shared" si="95"/>
        <v>0</v>
      </c>
      <c r="T721" s="77">
        <v>0</v>
      </c>
      <c r="U721" s="66">
        <v>40357</v>
      </c>
      <c r="V721" s="79"/>
      <c r="W721" s="66" t="s">
        <v>1585</v>
      </c>
      <c r="X721" s="24" t="s">
        <v>1586</v>
      </c>
      <c r="Y721" s="62"/>
      <c r="Z721" s="177" t="s">
        <v>894</v>
      </c>
      <c r="AA721" s="80" t="s">
        <v>1412</v>
      </c>
      <c r="AB721" s="3"/>
      <c r="AC721" s="4"/>
      <c r="AD721" s="5"/>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6"/>
      <c r="CE721" s="7"/>
      <c r="CF721" s="6"/>
      <c r="CG721" s="7"/>
      <c r="CH721" s="6"/>
      <c r="CI721" s="7"/>
      <c r="CJ721" s="8">
        <f t="shared" si="94"/>
        <v>0</v>
      </c>
      <c r="CK721" s="9"/>
      <c r="CL721" s="10"/>
      <c r="CM721" s="11"/>
      <c r="CN721" s="12"/>
      <c r="CO721" s="28"/>
      <c r="CP721" s="12"/>
      <c r="CQ721" s="9"/>
      <c r="CR721" s="10"/>
      <c r="CS721" s="68"/>
      <c r="CT721" s="22">
        <v>1129</v>
      </c>
      <c r="EC721" s="344" t="str">
        <f t="shared" si="89"/>
        <v>META_VILLAVICENCIO</v>
      </c>
      <c r="ED721" s="341"/>
      <c r="EE721" s="341" t="s">
        <v>3168</v>
      </c>
      <c r="EF721" s="349" t="s">
        <v>5004</v>
      </c>
      <c r="EG721" s="341" t="s">
        <v>3930</v>
      </c>
      <c r="EH721" s="341" t="s">
        <v>5026</v>
      </c>
      <c r="EI721" s="341" t="str">
        <f t="shared" si="96"/>
        <v>Meta_San Juan de Arama</v>
      </c>
    </row>
    <row r="722" spans="1:139" ht="25.5">
      <c r="A722" s="228">
        <v>40354</v>
      </c>
      <c r="B722" s="102" t="s">
        <v>396</v>
      </c>
      <c r="C722" s="102" t="s">
        <v>1899</v>
      </c>
      <c r="D722" s="206" t="s">
        <v>1878</v>
      </c>
      <c r="E722" s="320" t="s">
        <v>3905</v>
      </c>
      <c r="F722" s="320"/>
      <c r="G722" s="210">
        <v>1</v>
      </c>
      <c r="H722" s="71">
        <v>3</v>
      </c>
      <c r="I722" s="71"/>
      <c r="J722" s="71"/>
      <c r="K722" s="71"/>
      <c r="L722" s="1"/>
      <c r="M722" s="73">
        <f t="shared" si="90"/>
        <v>0</v>
      </c>
      <c r="N722" s="73">
        <f t="shared" si="91"/>
        <v>0</v>
      </c>
      <c r="O722" s="73">
        <f t="shared" si="92"/>
        <v>0</v>
      </c>
      <c r="P722" s="73">
        <f t="shared" si="93"/>
        <v>0</v>
      </c>
      <c r="Q722" s="73"/>
      <c r="R722" s="73">
        <v>0</v>
      </c>
      <c r="S722" s="75">
        <f t="shared" si="95"/>
        <v>0</v>
      </c>
      <c r="T722" s="77">
        <v>0</v>
      </c>
      <c r="U722" s="66">
        <v>40357</v>
      </c>
      <c r="V722" s="79"/>
      <c r="W722" s="66" t="s">
        <v>1585</v>
      </c>
      <c r="X722" s="24" t="s">
        <v>1586</v>
      </c>
      <c r="Y722" s="62"/>
      <c r="Z722" s="177" t="s">
        <v>894</v>
      </c>
      <c r="AA722" s="80" t="s">
        <v>1413</v>
      </c>
      <c r="AB722" s="3"/>
      <c r="AC722" s="4"/>
      <c r="AD722" s="5"/>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6"/>
      <c r="CE722" s="7"/>
      <c r="CF722" s="6"/>
      <c r="CG722" s="7"/>
      <c r="CH722" s="6"/>
      <c r="CI722" s="7"/>
      <c r="CJ722" s="8">
        <f t="shared" si="94"/>
        <v>0</v>
      </c>
      <c r="CK722" s="9"/>
      <c r="CL722" s="10"/>
      <c r="CM722" s="11"/>
      <c r="CN722" s="12"/>
      <c r="CO722" s="28"/>
      <c r="CP722" s="12"/>
      <c r="CQ722" s="9"/>
      <c r="CR722" s="10"/>
      <c r="CS722" s="68"/>
      <c r="EC722" s="344" t="str">
        <f t="shared" si="89"/>
        <v>META_VILLAVICENCIO</v>
      </c>
      <c r="ED722" s="341"/>
      <c r="EE722" s="341" t="s">
        <v>3168</v>
      </c>
      <c r="EF722" s="349" t="s">
        <v>5004</v>
      </c>
      <c r="EG722" s="341" t="s">
        <v>3931</v>
      </c>
      <c r="EH722" s="341" t="s">
        <v>5027</v>
      </c>
      <c r="EI722" s="341" t="str">
        <f t="shared" si="96"/>
        <v>Meta_San Juanito</v>
      </c>
    </row>
    <row r="723" spans="1:139" ht="38.25">
      <c r="A723" s="228">
        <v>40355</v>
      </c>
      <c r="B723" s="102" t="s">
        <v>1615</v>
      </c>
      <c r="C723" s="102" t="s">
        <v>1605</v>
      </c>
      <c r="D723" s="206" t="s">
        <v>1201</v>
      </c>
      <c r="E723" s="320" t="s">
        <v>3114</v>
      </c>
      <c r="F723" s="320"/>
      <c r="G723" s="210"/>
      <c r="H723" s="71"/>
      <c r="I723" s="71"/>
      <c r="J723" s="71"/>
      <c r="K723" s="71"/>
      <c r="L723" s="1">
        <v>40375</v>
      </c>
      <c r="M723" s="73">
        <f t="shared" si="90"/>
        <v>0</v>
      </c>
      <c r="N723" s="73">
        <f t="shared" si="91"/>
        <v>0</v>
      </c>
      <c r="O723" s="73">
        <f t="shared" si="92"/>
        <v>0</v>
      </c>
      <c r="P723" s="73">
        <f t="shared" si="93"/>
        <v>143550000</v>
      </c>
      <c r="Q723" s="73"/>
      <c r="R723" s="73">
        <v>0</v>
      </c>
      <c r="S723" s="75">
        <f t="shared" si="95"/>
        <v>143550000</v>
      </c>
      <c r="T723" s="77">
        <v>0</v>
      </c>
      <c r="U723" s="66">
        <v>40373</v>
      </c>
      <c r="V723" s="79">
        <v>34449</v>
      </c>
      <c r="W723" s="66" t="s">
        <v>1606</v>
      </c>
      <c r="X723" s="24" t="s">
        <v>1607</v>
      </c>
      <c r="Y723" s="83" t="s">
        <v>683</v>
      </c>
      <c r="Z723" s="177" t="s">
        <v>2237</v>
      </c>
      <c r="AA723" s="80"/>
      <c r="AB723" s="3"/>
      <c r="AC723" s="4"/>
      <c r="AD723" s="5"/>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6"/>
      <c r="CE723" s="7"/>
      <c r="CF723" s="6"/>
      <c r="CG723" s="7"/>
      <c r="CH723" s="6"/>
      <c r="CI723" s="7"/>
      <c r="CJ723" s="8">
        <f t="shared" si="94"/>
        <v>0</v>
      </c>
      <c r="CK723" s="9">
        <f>100000+50000</f>
        <v>150000</v>
      </c>
      <c r="CL723" s="10">
        <f>100000*986+50000*899</f>
        <v>143550000</v>
      </c>
      <c r="CM723" s="11"/>
      <c r="CN723" s="12"/>
      <c r="CO723" s="28"/>
      <c r="CP723" s="12"/>
      <c r="CQ723" s="9"/>
      <c r="CR723" s="10"/>
      <c r="CS723" s="68"/>
      <c r="EC723" s="344" t="str">
        <f t="shared" si="89"/>
        <v>BOLIVAR_DEPARTAMENTO</v>
      </c>
      <c r="ED723" s="341"/>
      <c r="EE723" s="341" t="s">
        <v>3168</v>
      </c>
      <c r="EF723" s="349" t="s">
        <v>5004</v>
      </c>
      <c r="EG723" s="341" t="s">
        <v>3932</v>
      </c>
      <c r="EH723" s="341" t="s">
        <v>4776</v>
      </c>
      <c r="EI723" s="341" t="str">
        <f t="shared" si="96"/>
        <v>Meta_San Martin</v>
      </c>
    </row>
    <row r="724" spans="1:139" ht="25.5">
      <c r="A724" s="235">
        <v>40356</v>
      </c>
      <c r="B724" s="224" t="s">
        <v>1972</v>
      </c>
      <c r="C724" s="224" t="s">
        <v>514</v>
      </c>
      <c r="D724" s="236" t="s">
        <v>2606</v>
      </c>
      <c r="E724" s="324" t="s">
        <v>3292</v>
      </c>
      <c r="F724" s="324"/>
      <c r="G724" s="210"/>
      <c r="H724" s="71"/>
      <c r="I724" s="71"/>
      <c r="J724" s="71">
        <v>60</v>
      </c>
      <c r="K724" s="71">
        <v>15</v>
      </c>
      <c r="L724" s="1"/>
      <c r="M724" s="73">
        <f t="shared" si="90"/>
        <v>0</v>
      </c>
      <c r="N724" s="73">
        <f t="shared" si="91"/>
        <v>0</v>
      </c>
      <c r="O724" s="73">
        <f t="shared" si="92"/>
        <v>0</v>
      </c>
      <c r="P724" s="73">
        <f t="shared" si="93"/>
        <v>0</v>
      </c>
      <c r="Q724" s="73"/>
      <c r="R724" s="73">
        <v>0</v>
      </c>
      <c r="S724" s="75">
        <f t="shared" si="95"/>
        <v>0</v>
      </c>
      <c r="T724" s="77">
        <v>0</v>
      </c>
      <c r="U724" s="66">
        <v>40357</v>
      </c>
      <c r="V724" s="79"/>
      <c r="W724" s="66" t="s">
        <v>1585</v>
      </c>
      <c r="X724" s="24" t="s">
        <v>1586</v>
      </c>
      <c r="Y724" s="62"/>
      <c r="Z724" s="177" t="s">
        <v>894</v>
      </c>
      <c r="AA724" s="80" t="s">
        <v>1353</v>
      </c>
      <c r="AB724" s="3"/>
      <c r="AC724" s="4"/>
      <c r="AD724" s="5"/>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6"/>
      <c r="CE724" s="7"/>
      <c r="CF724" s="6"/>
      <c r="CG724" s="7"/>
      <c r="CH724" s="6"/>
      <c r="CI724" s="7"/>
      <c r="CJ724" s="8">
        <f t="shared" si="94"/>
        <v>0</v>
      </c>
      <c r="CK724" s="9"/>
      <c r="CL724" s="10"/>
      <c r="CM724" s="11"/>
      <c r="CN724" s="12"/>
      <c r="CO724" s="28"/>
      <c r="CP724" s="12"/>
      <c r="CQ724" s="9"/>
      <c r="CR724" s="10"/>
      <c r="CS724" s="68"/>
      <c r="EC724" s="344" t="str">
        <f t="shared" si="89"/>
        <v>ANTIOQUIA_LA UNION</v>
      </c>
      <c r="ED724" s="341"/>
      <c r="EE724" s="341" t="s">
        <v>3171</v>
      </c>
      <c r="EF724" s="349" t="s">
        <v>3172</v>
      </c>
      <c r="EG724" s="341" t="s">
        <v>3934</v>
      </c>
      <c r="EH724" s="341" t="s">
        <v>5028</v>
      </c>
      <c r="EI724" s="341" t="str">
        <f t="shared" si="96"/>
        <v>Nariño_Pasto</v>
      </c>
    </row>
    <row r="725" spans="1:139" ht="36">
      <c r="A725" s="228">
        <v>40356</v>
      </c>
      <c r="B725" s="102" t="s">
        <v>1821</v>
      </c>
      <c r="C725" s="102" t="s">
        <v>1995</v>
      </c>
      <c r="D725" s="206" t="s">
        <v>1594</v>
      </c>
      <c r="E725" s="320" t="s">
        <v>3643</v>
      </c>
      <c r="F725" s="320"/>
      <c r="G725" s="210">
        <v>1</v>
      </c>
      <c r="H725" s="71"/>
      <c r="I725" s="71"/>
      <c r="J725" s="71"/>
      <c r="K725" s="71"/>
      <c r="L725" s="1"/>
      <c r="M725" s="73">
        <f t="shared" si="90"/>
        <v>0</v>
      </c>
      <c r="N725" s="73">
        <f t="shared" si="91"/>
        <v>0</v>
      </c>
      <c r="O725" s="73">
        <f t="shared" si="92"/>
        <v>0</v>
      </c>
      <c r="P725" s="73">
        <f t="shared" si="93"/>
        <v>0</v>
      </c>
      <c r="Q725" s="73"/>
      <c r="R725" s="73">
        <v>0</v>
      </c>
      <c r="S725" s="75">
        <f t="shared" si="95"/>
        <v>0</v>
      </c>
      <c r="T725" s="77">
        <v>0</v>
      </c>
      <c r="U725" s="66">
        <v>40357</v>
      </c>
      <c r="V725" s="79"/>
      <c r="W725" s="66" t="s">
        <v>1585</v>
      </c>
      <c r="X725" s="24" t="s">
        <v>1586</v>
      </c>
      <c r="Y725" s="62"/>
      <c r="Z725" s="196" t="s">
        <v>894</v>
      </c>
      <c r="AA725" s="80" t="s">
        <v>1431</v>
      </c>
      <c r="AB725" s="3"/>
      <c r="AC725" s="4"/>
      <c r="AD725" s="5"/>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6"/>
      <c r="CE725" s="7"/>
      <c r="CF725" s="6"/>
      <c r="CG725" s="7"/>
      <c r="CH725" s="6"/>
      <c r="CI725" s="7"/>
      <c r="CJ725" s="8">
        <f t="shared" si="94"/>
        <v>0</v>
      </c>
      <c r="CK725" s="9"/>
      <c r="CL725" s="10"/>
      <c r="CM725" s="11"/>
      <c r="CN725" s="12"/>
      <c r="CO725" s="28"/>
      <c r="CP725" s="12"/>
      <c r="CQ725" s="9"/>
      <c r="CR725" s="10"/>
      <c r="CS725" s="68"/>
      <c r="EC725" s="344" t="str">
        <f t="shared" si="89"/>
        <v>CESAR_MANAURE</v>
      </c>
      <c r="ED725" s="341"/>
      <c r="EE725" s="341" t="s">
        <v>3171</v>
      </c>
      <c r="EF725" s="349" t="s">
        <v>3172</v>
      </c>
      <c r="EG725" s="341" t="s">
        <v>3935</v>
      </c>
      <c r="EH725" s="341" t="s">
        <v>4804</v>
      </c>
      <c r="EI725" s="341" t="str">
        <f t="shared" si="96"/>
        <v>Nariño_Alban</v>
      </c>
    </row>
    <row r="726" spans="1:139" ht="51">
      <c r="A726" s="228">
        <v>40356</v>
      </c>
      <c r="B726" s="102" t="s">
        <v>1609</v>
      </c>
      <c r="C726" s="102" t="s">
        <v>1708</v>
      </c>
      <c r="D726" s="206" t="s">
        <v>1201</v>
      </c>
      <c r="E726" s="320" t="s">
        <v>4062</v>
      </c>
      <c r="F726" s="320"/>
      <c r="G726" s="210"/>
      <c r="H726" s="71"/>
      <c r="I726" s="71"/>
      <c r="J726" s="71">
        <f>28*5</f>
        <v>140</v>
      </c>
      <c r="K726" s="71">
        <v>28</v>
      </c>
      <c r="L726" s="1"/>
      <c r="M726" s="73">
        <f t="shared" si="90"/>
        <v>0</v>
      </c>
      <c r="N726" s="73">
        <f t="shared" si="91"/>
        <v>0</v>
      </c>
      <c r="O726" s="73">
        <f t="shared" si="92"/>
        <v>0</v>
      </c>
      <c r="P726" s="73">
        <f t="shared" si="93"/>
        <v>0</v>
      </c>
      <c r="Q726" s="73"/>
      <c r="R726" s="73">
        <v>0</v>
      </c>
      <c r="S726" s="75">
        <f t="shared" si="95"/>
        <v>0</v>
      </c>
      <c r="T726" s="77">
        <v>0</v>
      </c>
      <c r="U726" s="66">
        <v>40358</v>
      </c>
      <c r="V726" s="79"/>
      <c r="W726" s="66" t="s">
        <v>1585</v>
      </c>
      <c r="X726" s="24" t="s">
        <v>1586</v>
      </c>
      <c r="Y726" s="62"/>
      <c r="Z726" s="177" t="s">
        <v>894</v>
      </c>
      <c r="AA726" s="80" t="s">
        <v>2447</v>
      </c>
      <c r="AB726" s="3"/>
      <c r="AC726" s="4"/>
      <c r="AD726" s="5"/>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6"/>
      <c r="CE726" s="7"/>
      <c r="CF726" s="6"/>
      <c r="CG726" s="7"/>
      <c r="CH726" s="6"/>
      <c r="CI726" s="7"/>
      <c r="CJ726" s="8">
        <f t="shared" si="94"/>
        <v>0</v>
      </c>
      <c r="CK726" s="9"/>
      <c r="CL726" s="10"/>
      <c r="CM726" s="11"/>
      <c r="CN726" s="12"/>
      <c r="CO726" s="28"/>
      <c r="CP726" s="12"/>
      <c r="CQ726" s="9"/>
      <c r="CR726" s="10"/>
      <c r="CS726" s="68"/>
      <c r="EC726" s="344" t="str">
        <f t="shared" si="89"/>
        <v>RISARALDA_SANTA ROSA DE CABAL</v>
      </c>
      <c r="ED726" s="341"/>
      <c r="EE726" s="341" t="s">
        <v>3171</v>
      </c>
      <c r="EF726" s="349" t="s">
        <v>3172</v>
      </c>
      <c r="EG726" s="341" t="s">
        <v>3936</v>
      </c>
      <c r="EH726" s="341" t="s">
        <v>5029</v>
      </c>
      <c r="EI726" s="341" t="str">
        <f t="shared" si="96"/>
        <v>Nariño_Aldana</v>
      </c>
    </row>
    <row r="727" spans="1:139" ht="36">
      <c r="A727" s="235">
        <v>40357</v>
      </c>
      <c r="B727" s="224" t="s">
        <v>1972</v>
      </c>
      <c r="C727" s="224" t="s">
        <v>1218</v>
      </c>
      <c r="D727" s="236" t="s">
        <v>1201</v>
      </c>
      <c r="E727" s="324" t="s">
        <v>3245</v>
      </c>
      <c r="F727" s="324"/>
      <c r="G727" s="210"/>
      <c r="H727" s="71"/>
      <c r="I727" s="71"/>
      <c r="J727" s="71">
        <v>400</v>
      </c>
      <c r="K727" s="71">
        <v>80</v>
      </c>
      <c r="L727" s="1"/>
      <c r="M727" s="73">
        <f t="shared" si="90"/>
        <v>0</v>
      </c>
      <c r="N727" s="73">
        <f t="shared" si="91"/>
        <v>0</v>
      </c>
      <c r="O727" s="73">
        <f t="shared" si="92"/>
        <v>0</v>
      </c>
      <c r="P727" s="73">
        <f t="shared" si="93"/>
        <v>0</v>
      </c>
      <c r="Q727" s="73"/>
      <c r="R727" s="73">
        <v>0</v>
      </c>
      <c r="S727" s="75">
        <f t="shared" si="95"/>
        <v>0</v>
      </c>
      <c r="T727" s="77">
        <v>0</v>
      </c>
      <c r="U727" s="66">
        <v>40360</v>
      </c>
      <c r="V727" s="79"/>
      <c r="W727" s="66" t="s">
        <v>1585</v>
      </c>
      <c r="X727" s="24" t="s">
        <v>1586</v>
      </c>
      <c r="Y727" s="62"/>
      <c r="Z727" s="177" t="s">
        <v>894</v>
      </c>
      <c r="AA727" s="80" t="s">
        <v>1092</v>
      </c>
      <c r="AB727" s="3"/>
      <c r="AC727" s="4"/>
      <c r="AD727" s="5"/>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6"/>
      <c r="CE727" s="7"/>
      <c r="CF727" s="6"/>
      <c r="CG727" s="7"/>
      <c r="CH727" s="6"/>
      <c r="CI727" s="7"/>
      <c r="CJ727" s="8">
        <f t="shared" si="94"/>
        <v>0</v>
      </c>
      <c r="CK727" s="9"/>
      <c r="CL727" s="10"/>
      <c r="CM727" s="11"/>
      <c r="CN727" s="12"/>
      <c r="CO727" s="28"/>
      <c r="CP727" s="12"/>
      <c r="CQ727" s="9"/>
      <c r="CR727" s="10"/>
      <c r="CS727" s="68"/>
      <c r="EC727" s="344" t="str">
        <f t="shared" si="89"/>
        <v>ANTIOQUIA_BELLO</v>
      </c>
      <c r="ED727" s="341"/>
      <c r="EE727" s="341" t="s">
        <v>3171</v>
      </c>
      <c r="EF727" s="349" t="s">
        <v>3172</v>
      </c>
      <c r="EG727" s="341" t="s">
        <v>3937</v>
      </c>
      <c r="EH727" s="341" t="s">
        <v>5030</v>
      </c>
      <c r="EI727" s="341" t="str">
        <f t="shared" si="96"/>
        <v>Nariño_Ancuya</v>
      </c>
    </row>
    <row r="728" spans="1:139" ht="25.5">
      <c r="A728" s="235">
        <v>40357</v>
      </c>
      <c r="B728" s="224" t="s">
        <v>1972</v>
      </c>
      <c r="C728" s="224" t="s">
        <v>514</v>
      </c>
      <c r="D728" s="236" t="s">
        <v>2606</v>
      </c>
      <c r="E728" s="324" t="s">
        <v>3292</v>
      </c>
      <c r="F728" s="324"/>
      <c r="G728" s="210"/>
      <c r="H728" s="71"/>
      <c r="I728" s="71"/>
      <c r="J728" s="71">
        <v>70</v>
      </c>
      <c r="K728" s="71">
        <v>14</v>
      </c>
      <c r="L728" s="1"/>
      <c r="M728" s="73">
        <f t="shared" si="90"/>
        <v>0</v>
      </c>
      <c r="N728" s="73">
        <f t="shared" si="91"/>
        <v>0</v>
      </c>
      <c r="O728" s="73">
        <f t="shared" si="92"/>
        <v>0</v>
      </c>
      <c r="P728" s="73">
        <f t="shared" si="93"/>
        <v>0</v>
      </c>
      <c r="Q728" s="73"/>
      <c r="R728" s="73">
        <v>0</v>
      </c>
      <c r="S728" s="75">
        <f t="shared" si="95"/>
        <v>0</v>
      </c>
      <c r="T728" s="77">
        <v>0</v>
      </c>
      <c r="U728" s="66">
        <v>40360</v>
      </c>
      <c r="V728" s="79"/>
      <c r="W728" s="66" t="s">
        <v>1585</v>
      </c>
      <c r="X728" s="24" t="s">
        <v>1586</v>
      </c>
      <c r="Y728" s="62"/>
      <c r="Z728" s="177" t="s">
        <v>894</v>
      </c>
      <c r="AA728" s="80" t="s">
        <v>902</v>
      </c>
      <c r="AB728" s="3"/>
      <c r="AC728" s="4"/>
      <c r="AD728" s="5"/>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6"/>
      <c r="CE728" s="7"/>
      <c r="CF728" s="6"/>
      <c r="CG728" s="7"/>
      <c r="CH728" s="6"/>
      <c r="CI728" s="7"/>
      <c r="CJ728" s="8">
        <f t="shared" si="94"/>
        <v>0</v>
      </c>
      <c r="CK728" s="9"/>
      <c r="CL728" s="10"/>
      <c r="CM728" s="11"/>
      <c r="CN728" s="12"/>
      <c r="CO728" s="28"/>
      <c r="CP728" s="12"/>
      <c r="CQ728" s="9"/>
      <c r="CR728" s="10"/>
      <c r="CS728" s="68"/>
      <c r="EC728" s="344" t="str">
        <f t="shared" si="89"/>
        <v>ANTIOQUIA_LA UNION</v>
      </c>
      <c r="ED728" s="341"/>
      <c r="EE728" s="341" t="s">
        <v>3171</v>
      </c>
      <c r="EF728" s="349" t="s">
        <v>3172</v>
      </c>
      <c r="EG728" s="341" t="s">
        <v>3938</v>
      </c>
      <c r="EH728" s="341" t="s">
        <v>5031</v>
      </c>
      <c r="EI728" s="341" t="str">
        <f t="shared" si="96"/>
        <v>Nariño_Arboleda</v>
      </c>
    </row>
    <row r="729" spans="1:139" ht="36">
      <c r="A729" s="235">
        <v>40357</v>
      </c>
      <c r="B729" s="224" t="s">
        <v>1972</v>
      </c>
      <c r="C729" s="224" t="s">
        <v>588</v>
      </c>
      <c r="D729" s="236" t="s">
        <v>1201</v>
      </c>
      <c r="E729" s="324" t="s">
        <v>3332</v>
      </c>
      <c r="F729" s="324"/>
      <c r="G729" s="210"/>
      <c r="H729" s="71"/>
      <c r="I729" s="71"/>
      <c r="J729" s="71">
        <v>30</v>
      </c>
      <c r="K729" s="71">
        <v>6</v>
      </c>
      <c r="L729" s="1"/>
      <c r="M729" s="73">
        <f t="shared" si="90"/>
        <v>0</v>
      </c>
      <c r="N729" s="73">
        <f t="shared" si="91"/>
        <v>0</v>
      </c>
      <c r="O729" s="73">
        <f t="shared" si="92"/>
        <v>0</v>
      </c>
      <c r="P729" s="73">
        <f t="shared" si="93"/>
        <v>0</v>
      </c>
      <c r="Q729" s="73"/>
      <c r="R729" s="73">
        <v>0</v>
      </c>
      <c r="S729" s="75">
        <f t="shared" si="95"/>
        <v>0</v>
      </c>
      <c r="T729" s="77">
        <v>0</v>
      </c>
      <c r="U729" s="66">
        <v>40360</v>
      </c>
      <c r="V729" s="79"/>
      <c r="W729" s="66" t="s">
        <v>1585</v>
      </c>
      <c r="X729" s="24" t="s">
        <v>1586</v>
      </c>
      <c r="Y729" s="62"/>
      <c r="Z729" s="177" t="s">
        <v>894</v>
      </c>
      <c r="AA729" s="80" t="s">
        <v>1094</v>
      </c>
      <c r="AB729" s="3"/>
      <c r="AC729" s="4"/>
      <c r="AD729" s="5"/>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6"/>
      <c r="CE729" s="7"/>
      <c r="CF729" s="6"/>
      <c r="CG729" s="7"/>
      <c r="CH729" s="6"/>
      <c r="CI729" s="7"/>
      <c r="CJ729" s="8">
        <f t="shared" si="94"/>
        <v>0</v>
      </c>
      <c r="CK729" s="9"/>
      <c r="CL729" s="10"/>
      <c r="CM729" s="11"/>
      <c r="CN729" s="12"/>
      <c r="CO729" s="28"/>
      <c r="CP729" s="12"/>
      <c r="CQ729" s="9"/>
      <c r="CR729" s="10"/>
      <c r="CS729" s="68"/>
      <c r="EC729" s="344" t="str">
        <f t="shared" si="89"/>
        <v>ANTIOQUIA_SONSON</v>
      </c>
      <c r="ED729" s="341"/>
      <c r="EE729" s="341" t="s">
        <v>3171</v>
      </c>
      <c r="EF729" s="349" t="s">
        <v>3172</v>
      </c>
      <c r="EG729" s="341" t="s">
        <v>3939</v>
      </c>
      <c r="EH729" s="341" t="s">
        <v>5032</v>
      </c>
      <c r="EI729" s="341" t="str">
        <f t="shared" si="96"/>
        <v>Nariño_Barbacoas</v>
      </c>
    </row>
    <row r="730" spans="1:139" ht="25.5">
      <c r="A730" s="235">
        <v>40357</v>
      </c>
      <c r="B730" s="224" t="s">
        <v>1972</v>
      </c>
      <c r="C730" s="224" t="s">
        <v>1174</v>
      </c>
      <c r="D730" s="236" t="s">
        <v>1878</v>
      </c>
      <c r="E730" s="324" t="s">
        <v>3342</v>
      </c>
      <c r="F730" s="324"/>
      <c r="G730" s="210"/>
      <c r="H730" s="71"/>
      <c r="I730" s="71"/>
      <c r="J730" s="71">
        <v>200</v>
      </c>
      <c r="K730" s="71">
        <v>40</v>
      </c>
      <c r="L730" s="1"/>
      <c r="M730" s="73">
        <f t="shared" si="90"/>
        <v>0</v>
      </c>
      <c r="N730" s="73">
        <f t="shared" si="91"/>
        <v>0</v>
      </c>
      <c r="O730" s="73">
        <f t="shared" si="92"/>
        <v>0</v>
      </c>
      <c r="P730" s="73">
        <f t="shared" si="93"/>
        <v>0</v>
      </c>
      <c r="Q730" s="73"/>
      <c r="R730" s="73">
        <v>0</v>
      </c>
      <c r="S730" s="75">
        <f t="shared" si="95"/>
        <v>0</v>
      </c>
      <c r="T730" s="77">
        <v>0</v>
      </c>
      <c r="U730" s="66">
        <v>40360</v>
      </c>
      <c r="V730" s="79"/>
      <c r="W730" s="66" t="s">
        <v>1585</v>
      </c>
      <c r="X730" s="24" t="s">
        <v>1586</v>
      </c>
      <c r="Y730" s="62"/>
      <c r="Z730" s="177" t="s">
        <v>894</v>
      </c>
      <c r="AA730" s="80" t="s">
        <v>1093</v>
      </c>
      <c r="AB730" s="3"/>
      <c r="AC730" s="4"/>
      <c r="AD730" s="5"/>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6"/>
      <c r="CE730" s="7"/>
      <c r="CF730" s="6"/>
      <c r="CG730" s="7"/>
      <c r="CH730" s="6"/>
      <c r="CI730" s="7"/>
      <c r="CJ730" s="8">
        <f t="shared" si="94"/>
        <v>0</v>
      </c>
      <c r="CK730" s="9"/>
      <c r="CL730" s="10"/>
      <c r="CM730" s="11"/>
      <c r="CN730" s="12"/>
      <c r="CO730" s="28"/>
      <c r="CP730" s="12"/>
      <c r="CQ730" s="9"/>
      <c r="CR730" s="10"/>
      <c r="CS730" s="68"/>
      <c r="EC730" s="344" t="str">
        <f t="shared" si="89"/>
        <v>ANTIOQUIA_VALDIVIA</v>
      </c>
      <c r="ED730" s="341"/>
      <c r="EE730" s="341" t="s">
        <v>3171</v>
      </c>
      <c r="EF730" s="349" t="s">
        <v>3172</v>
      </c>
      <c r="EG730" s="341" t="s">
        <v>3940</v>
      </c>
      <c r="EH730" s="341" t="s">
        <v>4568</v>
      </c>
      <c r="EI730" s="341" t="str">
        <f t="shared" si="96"/>
        <v>Nariño_Belen</v>
      </c>
    </row>
    <row r="731" spans="1:139" ht="84">
      <c r="A731" s="228">
        <v>40357</v>
      </c>
      <c r="B731" s="102" t="s">
        <v>1314</v>
      </c>
      <c r="C731" s="102" t="s">
        <v>2720</v>
      </c>
      <c r="D731" s="206" t="s">
        <v>1902</v>
      </c>
      <c r="E731" s="320" t="s">
        <v>3606</v>
      </c>
      <c r="F731" s="320"/>
      <c r="G731" s="210"/>
      <c r="H731" s="71"/>
      <c r="I731" s="71"/>
      <c r="J731" s="71">
        <v>100</v>
      </c>
      <c r="K731" s="71">
        <v>20</v>
      </c>
      <c r="L731" s="1">
        <v>40456</v>
      </c>
      <c r="M731" s="73">
        <f t="shared" si="90"/>
        <v>0</v>
      </c>
      <c r="N731" s="73">
        <f t="shared" si="91"/>
        <v>0</v>
      </c>
      <c r="O731" s="73">
        <f t="shared" si="92"/>
        <v>0</v>
      </c>
      <c r="P731" s="73">
        <f t="shared" si="93"/>
        <v>0</v>
      </c>
      <c r="Q731" s="73">
        <f>200*23652+600*10634+150*25481+25*1949+6*195002+2*240503</f>
        <v>16632693</v>
      </c>
      <c r="R731" s="73">
        <v>0</v>
      </c>
      <c r="S731" s="75">
        <f t="shared" si="95"/>
        <v>16632693</v>
      </c>
      <c r="T731" s="77">
        <v>0</v>
      </c>
      <c r="U731" s="66">
        <v>40380</v>
      </c>
      <c r="V731" s="79">
        <v>35466</v>
      </c>
      <c r="W731" s="66" t="s">
        <v>1606</v>
      </c>
      <c r="X731" s="24" t="s">
        <v>1607</v>
      </c>
      <c r="Y731" s="62">
        <v>19932</v>
      </c>
      <c r="Z731" s="177" t="s">
        <v>2087</v>
      </c>
      <c r="AA731" s="80" t="s">
        <v>2214</v>
      </c>
      <c r="AB731" s="3"/>
      <c r="AC731" s="4"/>
      <c r="AD731" s="5"/>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6"/>
      <c r="CE731" s="7"/>
      <c r="CF731" s="6"/>
      <c r="CG731" s="7"/>
      <c r="CH731" s="6"/>
      <c r="CI731" s="7"/>
      <c r="CJ731" s="8">
        <f t="shared" si="94"/>
        <v>0</v>
      </c>
      <c r="CK731" s="9"/>
      <c r="CL731" s="10"/>
      <c r="CM731" s="11"/>
      <c r="CN731" s="12"/>
      <c r="CO731" s="28"/>
      <c r="CP731" s="12"/>
      <c r="CQ731" s="9"/>
      <c r="CR731" s="10"/>
      <c r="CS731" s="68"/>
      <c r="CT731" s="22">
        <v>1185</v>
      </c>
      <c r="EC731" s="344" t="str">
        <f t="shared" si="89"/>
        <v>CAUCA_MIRANDA</v>
      </c>
      <c r="ED731" s="341"/>
      <c r="EE731" s="341" t="s">
        <v>3171</v>
      </c>
      <c r="EF731" s="349" t="s">
        <v>3172</v>
      </c>
      <c r="EG731" s="341" t="s">
        <v>3941</v>
      </c>
      <c r="EH731" s="341" t="s">
        <v>5033</v>
      </c>
      <c r="EI731" s="341" t="str">
        <f t="shared" si="96"/>
        <v>Nariño_Buesaco</v>
      </c>
    </row>
    <row r="732" spans="1:139" ht="96">
      <c r="A732" s="228">
        <v>40357</v>
      </c>
      <c r="B732" s="102" t="s">
        <v>396</v>
      </c>
      <c r="C732" s="102" t="s">
        <v>1899</v>
      </c>
      <c r="D732" s="206" t="s">
        <v>1316</v>
      </c>
      <c r="E732" s="320" t="s">
        <v>3905</v>
      </c>
      <c r="F732" s="320"/>
      <c r="G732" s="210"/>
      <c r="H732" s="71"/>
      <c r="I732" s="71"/>
      <c r="J732" s="71"/>
      <c r="K732" s="71"/>
      <c r="L732" s="1"/>
      <c r="M732" s="73">
        <f t="shared" si="90"/>
        <v>0</v>
      </c>
      <c r="N732" s="73">
        <f t="shared" si="91"/>
        <v>0</v>
      </c>
      <c r="O732" s="73">
        <v>150021709.91999999</v>
      </c>
      <c r="P732" s="73">
        <f t="shared" si="93"/>
        <v>0</v>
      </c>
      <c r="Q732" s="73"/>
      <c r="R732" s="73">
        <v>0</v>
      </c>
      <c r="S732" s="75">
        <f t="shared" si="95"/>
        <v>150021709.91999999</v>
      </c>
      <c r="T732" s="77">
        <v>0</v>
      </c>
      <c r="U732" s="66">
        <v>40358</v>
      </c>
      <c r="V732" s="79"/>
      <c r="W732" s="66" t="s">
        <v>1606</v>
      </c>
      <c r="X732" s="24" t="s">
        <v>1607</v>
      </c>
      <c r="Y732" s="62"/>
      <c r="Z732" s="177" t="s">
        <v>2580</v>
      </c>
      <c r="AA732" s="80" t="s">
        <v>2169</v>
      </c>
      <c r="AB732" s="3"/>
      <c r="AC732" s="4"/>
      <c r="AD732" s="5"/>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6"/>
      <c r="CE732" s="7"/>
      <c r="CF732" s="6"/>
      <c r="CG732" s="7"/>
      <c r="CH732" s="6"/>
      <c r="CI732" s="7"/>
      <c r="CJ732" s="8">
        <f t="shared" si="94"/>
        <v>0</v>
      </c>
      <c r="CK732" s="9"/>
      <c r="CL732" s="10"/>
      <c r="CM732" s="11"/>
      <c r="CN732" s="12"/>
      <c r="CO732" s="28"/>
      <c r="CP732" s="12"/>
      <c r="CQ732" s="9"/>
      <c r="CR732" s="10"/>
      <c r="CS732" s="68"/>
      <c r="EC732" s="344" t="str">
        <f t="shared" si="89"/>
        <v>META_VILLAVICENCIO</v>
      </c>
      <c r="ED732" s="341"/>
      <c r="EE732" s="341" t="s">
        <v>3171</v>
      </c>
      <c r="EF732" s="349" t="s">
        <v>3172</v>
      </c>
      <c r="EG732" s="341" t="s">
        <v>3942</v>
      </c>
      <c r="EH732" s="341" t="s">
        <v>5034</v>
      </c>
      <c r="EI732" s="341" t="str">
        <f t="shared" si="96"/>
        <v>Nariño_Colon</v>
      </c>
    </row>
    <row r="733" spans="1:139" ht="38.25">
      <c r="A733" s="228">
        <v>40358</v>
      </c>
      <c r="B733" s="102" t="s">
        <v>1295</v>
      </c>
      <c r="C733" s="102" t="s">
        <v>1095</v>
      </c>
      <c r="D733" s="206" t="s">
        <v>2606</v>
      </c>
      <c r="E733" s="320" t="s">
        <v>3678</v>
      </c>
      <c r="F733" s="320"/>
      <c r="G733" s="210"/>
      <c r="H733" s="71"/>
      <c r="I733" s="71"/>
      <c r="J733" s="71">
        <v>140</v>
      </c>
      <c r="K733" s="71">
        <v>28</v>
      </c>
      <c r="L733" s="1"/>
      <c r="M733" s="73">
        <f t="shared" si="90"/>
        <v>0</v>
      </c>
      <c r="N733" s="73">
        <f t="shared" si="91"/>
        <v>0</v>
      </c>
      <c r="O733" s="73">
        <f t="shared" ref="O733:O764" si="97">CP733+CR733</f>
        <v>0</v>
      </c>
      <c r="P733" s="73">
        <f t="shared" si="93"/>
        <v>0</v>
      </c>
      <c r="Q733" s="73"/>
      <c r="R733" s="73">
        <v>0</v>
      </c>
      <c r="S733" s="75">
        <f t="shared" si="95"/>
        <v>0</v>
      </c>
      <c r="T733" s="77">
        <v>0</v>
      </c>
      <c r="U733" s="66">
        <v>40360</v>
      </c>
      <c r="V733" s="79"/>
      <c r="W733" s="66" t="s">
        <v>1585</v>
      </c>
      <c r="X733" s="24" t="s">
        <v>1586</v>
      </c>
      <c r="Y733" s="62"/>
      <c r="Z733" s="177" t="s">
        <v>894</v>
      </c>
      <c r="AA733" s="80" t="s">
        <v>1096</v>
      </c>
      <c r="AB733" s="3"/>
      <c r="AC733" s="4"/>
      <c r="AD733" s="5"/>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6"/>
      <c r="CE733" s="7"/>
      <c r="CF733" s="6"/>
      <c r="CG733" s="7"/>
      <c r="CH733" s="6"/>
      <c r="CI733" s="7"/>
      <c r="CJ733" s="8">
        <f t="shared" si="94"/>
        <v>0</v>
      </c>
      <c r="CK733" s="9"/>
      <c r="CL733" s="10"/>
      <c r="CM733" s="11"/>
      <c r="CN733" s="12"/>
      <c r="CO733" s="28"/>
      <c r="CP733" s="12"/>
      <c r="CQ733" s="9"/>
      <c r="CR733" s="10"/>
      <c r="CS733" s="68"/>
      <c r="EC733" s="344" t="str">
        <f t="shared" si="89"/>
        <v>CORDOBA_SAN PELAYO</v>
      </c>
      <c r="ED733" s="341"/>
      <c r="EE733" s="341" t="s">
        <v>3171</v>
      </c>
      <c r="EF733" s="349" t="s">
        <v>3172</v>
      </c>
      <c r="EG733" s="341" t="s">
        <v>3943</v>
      </c>
      <c r="EH733" s="341" t="s">
        <v>5035</v>
      </c>
      <c r="EI733" s="341" t="str">
        <f t="shared" si="96"/>
        <v>Nariño_Consaca</v>
      </c>
    </row>
    <row r="734" spans="1:139" ht="25.5">
      <c r="A734" s="228">
        <v>40358</v>
      </c>
      <c r="B734" s="102" t="s">
        <v>396</v>
      </c>
      <c r="C734" s="102" t="s">
        <v>2348</v>
      </c>
      <c r="D734" s="206" t="s">
        <v>1201</v>
      </c>
      <c r="E734" s="320" t="s">
        <v>3928</v>
      </c>
      <c r="F734" s="320"/>
      <c r="G734" s="210"/>
      <c r="H734" s="71"/>
      <c r="I734" s="71"/>
      <c r="J734" s="71">
        <v>40</v>
      </c>
      <c r="K734" s="71">
        <v>8</v>
      </c>
      <c r="L734" s="1"/>
      <c r="M734" s="73">
        <f t="shared" si="90"/>
        <v>0</v>
      </c>
      <c r="N734" s="73">
        <f t="shared" si="91"/>
        <v>0</v>
      </c>
      <c r="O734" s="73">
        <f t="shared" si="97"/>
        <v>0</v>
      </c>
      <c r="P734" s="73">
        <f t="shared" si="93"/>
        <v>0</v>
      </c>
      <c r="Q734" s="73"/>
      <c r="R734" s="73">
        <v>0</v>
      </c>
      <c r="S734" s="75">
        <f t="shared" si="95"/>
        <v>0</v>
      </c>
      <c r="T734" s="77">
        <v>0</v>
      </c>
      <c r="U734" s="66">
        <v>40360</v>
      </c>
      <c r="V734" s="79"/>
      <c r="W734" s="66" t="s">
        <v>1585</v>
      </c>
      <c r="X734" s="24" t="s">
        <v>1586</v>
      </c>
      <c r="Y734" s="62"/>
      <c r="Z734" s="177" t="s">
        <v>894</v>
      </c>
      <c r="AA734" s="80" t="s">
        <v>2349</v>
      </c>
      <c r="AB734" s="3"/>
      <c r="AC734" s="4"/>
      <c r="AD734" s="5"/>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6"/>
      <c r="CE734" s="7"/>
      <c r="CF734" s="6"/>
      <c r="CG734" s="7"/>
      <c r="CH734" s="6"/>
      <c r="CI734" s="7"/>
      <c r="CJ734" s="8">
        <f t="shared" si="94"/>
        <v>0</v>
      </c>
      <c r="CK734" s="9"/>
      <c r="CL734" s="10"/>
      <c r="CM734" s="11"/>
      <c r="CN734" s="12"/>
      <c r="CO734" s="28"/>
      <c r="CP734" s="12"/>
      <c r="CQ734" s="9"/>
      <c r="CR734" s="10"/>
      <c r="CS734" s="68"/>
      <c r="EC734" s="344" t="str">
        <f t="shared" si="89"/>
        <v>META_RESTREPO</v>
      </c>
      <c r="ED734" s="341"/>
      <c r="EE734" s="341" t="s">
        <v>3171</v>
      </c>
      <c r="EF734" s="349" t="s">
        <v>3172</v>
      </c>
      <c r="EG734" s="341" t="s">
        <v>3944</v>
      </c>
      <c r="EH734" s="341" t="s">
        <v>5036</v>
      </c>
      <c r="EI734" s="341" t="str">
        <f t="shared" si="96"/>
        <v>Nariño_Contadero</v>
      </c>
    </row>
    <row r="735" spans="1:139" ht="36">
      <c r="A735" s="228">
        <v>40358</v>
      </c>
      <c r="B735" s="102" t="s">
        <v>396</v>
      </c>
      <c r="C735" s="102" t="s">
        <v>1899</v>
      </c>
      <c r="D735" s="206" t="s">
        <v>2346</v>
      </c>
      <c r="E735" s="320" t="s">
        <v>3905</v>
      </c>
      <c r="F735" s="320"/>
      <c r="G735" s="210">
        <v>1</v>
      </c>
      <c r="H735" s="71"/>
      <c r="I735" s="71">
        <v>1</v>
      </c>
      <c r="J735" s="71"/>
      <c r="K735" s="71"/>
      <c r="L735" s="1"/>
      <c r="M735" s="73">
        <f t="shared" si="90"/>
        <v>0</v>
      </c>
      <c r="N735" s="73">
        <f t="shared" si="91"/>
        <v>0</v>
      </c>
      <c r="O735" s="73">
        <f t="shared" si="97"/>
        <v>0</v>
      </c>
      <c r="P735" s="73">
        <f t="shared" si="93"/>
        <v>0</v>
      </c>
      <c r="Q735" s="73"/>
      <c r="R735" s="73">
        <v>0</v>
      </c>
      <c r="S735" s="75">
        <f t="shared" si="95"/>
        <v>0</v>
      </c>
      <c r="T735" s="77">
        <v>0</v>
      </c>
      <c r="U735" s="66">
        <v>40360</v>
      </c>
      <c r="V735" s="79"/>
      <c r="W735" s="66" t="s">
        <v>1585</v>
      </c>
      <c r="X735" s="24" t="s">
        <v>1586</v>
      </c>
      <c r="Y735" s="62"/>
      <c r="Z735" s="177" t="s">
        <v>894</v>
      </c>
      <c r="AA735" s="80" t="s">
        <v>2347</v>
      </c>
      <c r="AB735" s="3"/>
      <c r="AC735" s="4"/>
      <c r="AD735" s="5"/>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6"/>
      <c r="CE735" s="7"/>
      <c r="CF735" s="6"/>
      <c r="CG735" s="7"/>
      <c r="CH735" s="6"/>
      <c r="CI735" s="7"/>
      <c r="CJ735" s="8">
        <f t="shared" si="94"/>
        <v>0</v>
      </c>
      <c r="CK735" s="9"/>
      <c r="CL735" s="10"/>
      <c r="CM735" s="11"/>
      <c r="CN735" s="12"/>
      <c r="CO735" s="28"/>
      <c r="CP735" s="12"/>
      <c r="CQ735" s="9"/>
      <c r="CR735" s="10"/>
      <c r="CS735" s="68"/>
      <c r="EC735" s="344" t="str">
        <f t="shared" si="89"/>
        <v>META_VILLAVICENCIO</v>
      </c>
      <c r="ED735" s="341"/>
      <c r="EE735" s="341" t="s">
        <v>3171</v>
      </c>
      <c r="EF735" s="349" t="s">
        <v>3172</v>
      </c>
      <c r="EG735" s="341" t="s">
        <v>3945</v>
      </c>
      <c r="EH735" s="341" t="s">
        <v>3137</v>
      </c>
      <c r="EI735" s="341" t="str">
        <f t="shared" si="96"/>
        <v>Nariño_Cordoba</v>
      </c>
    </row>
    <row r="736" spans="1:139" ht="38.25">
      <c r="A736" s="228">
        <v>40358</v>
      </c>
      <c r="B736" s="102" t="s">
        <v>965</v>
      </c>
      <c r="C736" s="102" t="s">
        <v>312</v>
      </c>
      <c r="D736" s="206" t="s">
        <v>1201</v>
      </c>
      <c r="E736" s="320" t="s">
        <v>3999</v>
      </c>
      <c r="F736" s="320"/>
      <c r="G736" s="210"/>
      <c r="H736" s="71"/>
      <c r="I736" s="71"/>
      <c r="J736" s="71">
        <f>4403-830</f>
        <v>3573</v>
      </c>
      <c r="K736" s="71">
        <f>818-166</f>
        <v>652</v>
      </c>
      <c r="L736" s="1"/>
      <c r="M736" s="73">
        <f t="shared" si="90"/>
        <v>0</v>
      </c>
      <c r="N736" s="73">
        <f t="shared" si="91"/>
        <v>0</v>
      </c>
      <c r="O736" s="73">
        <f t="shared" si="97"/>
        <v>0</v>
      </c>
      <c r="P736" s="73">
        <f t="shared" si="93"/>
        <v>0</v>
      </c>
      <c r="Q736" s="73"/>
      <c r="R736" s="73">
        <v>0</v>
      </c>
      <c r="S736" s="75">
        <f t="shared" si="95"/>
        <v>0</v>
      </c>
      <c r="T736" s="77">
        <v>0</v>
      </c>
      <c r="U736" s="66">
        <v>40360</v>
      </c>
      <c r="V736" s="79"/>
      <c r="W736" s="66" t="s">
        <v>1585</v>
      </c>
      <c r="X736" s="24" t="s">
        <v>1586</v>
      </c>
      <c r="Y736" s="62"/>
      <c r="Z736" s="177" t="s">
        <v>894</v>
      </c>
      <c r="AA736" s="80" t="s">
        <v>1097</v>
      </c>
      <c r="AB736" s="3"/>
      <c r="AC736" s="4"/>
      <c r="AD736" s="5"/>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6"/>
      <c r="CE736" s="7"/>
      <c r="CF736" s="6"/>
      <c r="CG736" s="7"/>
      <c r="CH736" s="6"/>
      <c r="CI736" s="7"/>
      <c r="CJ736" s="8">
        <f t="shared" si="94"/>
        <v>0</v>
      </c>
      <c r="CK736" s="9"/>
      <c r="CL736" s="10"/>
      <c r="CM736" s="11"/>
      <c r="CN736" s="12"/>
      <c r="CO736" s="28"/>
      <c r="CP736" s="12"/>
      <c r="CQ736" s="9"/>
      <c r="CR736" s="10"/>
      <c r="CS736" s="68"/>
      <c r="EC736" s="344" t="str">
        <f t="shared" si="89"/>
        <v>NORTE DE SANTANDER_ABREGO</v>
      </c>
      <c r="ED736" s="341"/>
      <c r="EE736" s="341" t="s">
        <v>3171</v>
      </c>
      <c r="EF736" s="349" t="s">
        <v>3172</v>
      </c>
      <c r="EG736" s="341" t="s">
        <v>3946</v>
      </c>
      <c r="EH736" s="341" t="s">
        <v>5037</v>
      </c>
      <c r="EI736" s="341" t="str">
        <f t="shared" si="96"/>
        <v>Nariño_Cuaspud</v>
      </c>
    </row>
    <row r="737" spans="1:139" ht="38.25">
      <c r="A737" s="228">
        <v>40358</v>
      </c>
      <c r="B737" s="102" t="s">
        <v>1088</v>
      </c>
      <c r="C737" s="102" t="s">
        <v>3204</v>
      </c>
      <c r="D737" s="206" t="s">
        <v>1316</v>
      </c>
      <c r="E737" s="320" t="s">
        <v>4224</v>
      </c>
      <c r="F737" s="320"/>
      <c r="G737" s="210"/>
      <c r="H737" s="71"/>
      <c r="I737" s="71"/>
      <c r="J737" s="71">
        <v>37</v>
      </c>
      <c r="K737" s="71">
        <v>9</v>
      </c>
      <c r="L737" s="1"/>
      <c r="M737" s="73">
        <f t="shared" si="90"/>
        <v>0</v>
      </c>
      <c r="N737" s="73">
        <f t="shared" si="91"/>
        <v>0</v>
      </c>
      <c r="O737" s="73">
        <f t="shared" si="97"/>
        <v>0</v>
      </c>
      <c r="P737" s="73">
        <f t="shared" si="93"/>
        <v>0</v>
      </c>
      <c r="Q737" s="73"/>
      <c r="R737" s="73">
        <v>0</v>
      </c>
      <c r="S737" s="75">
        <f t="shared" si="95"/>
        <v>0</v>
      </c>
      <c r="T737" s="77">
        <v>0</v>
      </c>
      <c r="U737" s="66">
        <v>40360</v>
      </c>
      <c r="V737" s="79"/>
      <c r="W737" s="66" t="s">
        <v>1585</v>
      </c>
      <c r="X737" s="24" t="s">
        <v>1586</v>
      </c>
      <c r="Y737" s="62"/>
      <c r="Z737" s="177" t="s">
        <v>894</v>
      </c>
      <c r="AA737" s="80" t="s">
        <v>1098</v>
      </c>
      <c r="AB737" s="3"/>
      <c r="AC737" s="4"/>
      <c r="AD737" s="5"/>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6"/>
      <c r="CE737" s="7"/>
      <c r="CF737" s="6"/>
      <c r="CG737" s="7"/>
      <c r="CH737" s="6"/>
      <c r="CI737" s="7"/>
      <c r="CJ737" s="8">
        <f t="shared" si="94"/>
        <v>0</v>
      </c>
      <c r="CK737" s="9"/>
      <c r="CL737" s="10"/>
      <c r="CM737" s="11"/>
      <c r="CN737" s="12"/>
      <c r="CO737" s="28"/>
      <c r="CP737" s="12"/>
      <c r="CQ737" s="9"/>
      <c r="CR737" s="10"/>
      <c r="CS737" s="68"/>
      <c r="EC737" s="344" t="str">
        <f t="shared" si="89"/>
        <v>VALLE DEL CAUCA_CALI</v>
      </c>
      <c r="ED737" s="341"/>
      <c r="EE737" s="341" t="s">
        <v>3171</v>
      </c>
      <c r="EF737" s="349" t="s">
        <v>3172</v>
      </c>
      <c r="EG737" s="341" t="s">
        <v>3947</v>
      </c>
      <c r="EH737" s="341" t="s">
        <v>5038</v>
      </c>
      <c r="EI737" s="341" t="str">
        <f t="shared" si="96"/>
        <v>Nariño_Cumbal</v>
      </c>
    </row>
    <row r="738" spans="1:139" ht="25.5">
      <c r="A738" s="228">
        <v>40360</v>
      </c>
      <c r="B738" s="102" t="s">
        <v>1617</v>
      </c>
      <c r="C738" s="102" t="s">
        <v>1985</v>
      </c>
      <c r="D738" s="206" t="s">
        <v>1201</v>
      </c>
      <c r="E738" s="320" t="s">
        <v>4278</v>
      </c>
      <c r="F738" s="320"/>
      <c r="G738" s="210"/>
      <c r="H738" s="71"/>
      <c r="I738" s="71"/>
      <c r="J738" s="71">
        <v>102</v>
      </c>
      <c r="K738" s="71">
        <v>18</v>
      </c>
      <c r="L738" s="1"/>
      <c r="M738" s="73">
        <f t="shared" si="90"/>
        <v>0</v>
      </c>
      <c r="N738" s="73">
        <f t="shared" si="91"/>
        <v>0</v>
      </c>
      <c r="O738" s="73">
        <f t="shared" si="97"/>
        <v>0</v>
      </c>
      <c r="P738" s="73">
        <f t="shared" si="93"/>
        <v>0</v>
      </c>
      <c r="Q738" s="73"/>
      <c r="R738" s="73">
        <v>0</v>
      </c>
      <c r="S738" s="75">
        <f t="shared" si="95"/>
        <v>0</v>
      </c>
      <c r="T738" s="77">
        <v>0</v>
      </c>
      <c r="U738" s="66">
        <v>40361</v>
      </c>
      <c r="V738" s="79"/>
      <c r="W738" s="66" t="s">
        <v>1585</v>
      </c>
      <c r="X738" s="24" t="s">
        <v>1586</v>
      </c>
      <c r="Y738" s="62"/>
      <c r="Z738" s="177" t="s">
        <v>894</v>
      </c>
      <c r="AA738" s="80" t="s">
        <v>610</v>
      </c>
      <c r="AB738" s="3"/>
      <c r="AC738" s="4"/>
      <c r="AD738" s="5"/>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6"/>
      <c r="CE738" s="7"/>
      <c r="CF738" s="6"/>
      <c r="CG738" s="7"/>
      <c r="CH738" s="6"/>
      <c r="CI738" s="7"/>
      <c r="CJ738" s="8">
        <f t="shared" si="94"/>
        <v>0</v>
      </c>
      <c r="CK738" s="9"/>
      <c r="CL738" s="10"/>
      <c r="CM738" s="11"/>
      <c r="CN738" s="12"/>
      <c r="CO738" s="28"/>
      <c r="CP738" s="12"/>
      <c r="CQ738" s="9"/>
      <c r="CR738" s="10"/>
      <c r="CS738" s="68"/>
      <c r="CT738" s="22">
        <v>1139</v>
      </c>
      <c r="EC738" s="344" t="str">
        <f t="shared" si="89"/>
        <v>CASANARE_MANI</v>
      </c>
      <c r="ED738" s="341"/>
      <c r="EE738" s="341" t="s">
        <v>3171</v>
      </c>
      <c r="EF738" s="349" t="s">
        <v>3172</v>
      </c>
      <c r="EG738" s="341" t="s">
        <v>3948</v>
      </c>
      <c r="EH738" s="341" t="s">
        <v>5039</v>
      </c>
      <c r="EI738" s="341" t="str">
        <f t="shared" si="96"/>
        <v>Nariño_Cumbitara</v>
      </c>
    </row>
    <row r="739" spans="1:139" ht="38.25">
      <c r="A739" s="228">
        <v>40360</v>
      </c>
      <c r="B739" s="102" t="s">
        <v>4321</v>
      </c>
      <c r="C739" s="102" t="s">
        <v>699</v>
      </c>
      <c r="D739" s="206" t="s">
        <v>1201</v>
      </c>
      <c r="E739" s="320" t="s">
        <v>3860</v>
      </c>
      <c r="F739" s="320"/>
      <c r="G739" s="210"/>
      <c r="H739" s="71"/>
      <c r="I739" s="71"/>
      <c r="J739" s="71">
        <f>425*5</f>
        <v>2125</v>
      </c>
      <c r="K739" s="71">
        <v>425</v>
      </c>
      <c r="L739" s="1"/>
      <c r="M739" s="73">
        <f t="shared" si="90"/>
        <v>0</v>
      </c>
      <c r="N739" s="73">
        <f t="shared" si="91"/>
        <v>0</v>
      </c>
      <c r="O739" s="73">
        <f t="shared" si="97"/>
        <v>0</v>
      </c>
      <c r="P739" s="73">
        <f t="shared" si="93"/>
        <v>0</v>
      </c>
      <c r="Q739" s="73"/>
      <c r="R739" s="73">
        <v>0</v>
      </c>
      <c r="S739" s="75">
        <f t="shared" si="95"/>
        <v>0</v>
      </c>
      <c r="T739" s="77">
        <v>0</v>
      </c>
      <c r="U739" s="66">
        <v>40392</v>
      </c>
      <c r="V739" s="79"/>
      <c r="W739" s="66" t="s">
        <v>1606</v>
      </c>
      <c r="X739" s="24" t="s">
        <v>1607</v>
      </c>
      <c r="Y739" s="62"/>
      <c r="Z739" s="198" t="s">
        <v>830</v>
      </c>
      <c r="AA739" s="80" t="s">
        <v>700</v>
      </c>
      <c r="AB739" s="3"/>
      <c r="AC739" s="4"/>
      <c r="AD739" s="5"/>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6"/>
      <c r="CE739" s="7"/>
      <c r="CF739" s="6"/>
      <c r="CG739" s="7"/>
      <c r="CH739" s="6"/>
      <c r="CI739" s="7"/>
      <c r="CJ739" s="8">
        <f t="shared" si="94"/>
        <v>0</v>
      </c>
      <c r="CK739" s="9"/>
      <c r="CL739" s="10"/>
      <c r="CM739" s="11"/>
      <c r="CN739" s="12"/>
      <c r="CO739" s="28"/>
      <c r="CP739" s="12"/>
      <c r="CQ739" s="9"/>
      <c r="CR739" s="10"/>
      <c r="CS739" s="68"/>
      <c r="EC739" s="344" t="str">
        <f t="shared" si="89"/>
        <v>LA GUAJIRA_RIOHACHA</v>
      </c>
      <c r="ED739" s="341"/>
      <c r="EE739" s="341" t="s">
        <v>3171</v>
      </c>
      <c r="EF739" s="349" t="s">
        <v>3172</v>
      </c>
      <c r="EG739" s="341" t="s">
        <v>3949</v>
      </c>
      <c r="EH739" s="341" t="s">
        <v>5040</v>
      </c>
      <c r="EI739" s="341" t="str">
        <f t="shared" si="96"/>
        <v>Nariño_Chachagui</v>
      </c>
    </row>
    <row r="740" spans="1:139" ht="45">
      <c r="A740" s="228">
        <v>40360</v>
      </c>
      <c r="B740" s="102" t="s">
        <v>1612</v>
      </c>
      <c r="C740" s="102" t="s">
        <v>1593</v>
      </c>
      <c r="D740" s="206" t="s">
        <v>2606</v>
      </c>
      <c r="E740" s="320" t="s">
        <v>4045</v>
      </c>
      <c r="F740" s="320"/>
      <c r="G740" s="210"/>
      <c r="H740" s="71"/>
      <c r="I740" s="71"/>
      <c r="J740" s="71">
        <v>50</v>
      </c>
      <c r="K740" s="71">
        <v>10</v>
      </c>
      <c r="L740" s="1">
        <v>40386</v>
      </c>
      <c r="M740" s="73">
        <f t="shared" si="90"/>
        <v>1344000</v>
      </c>
      <c r="N740" s="73">
        <f t="shared" si="91"/>
        <v>0</v>
      </c>
      <c r="O740" s="73">
        <f t="shared" si="97"/>
        <v>1925000</v>
      </c>
      <c r="P740" s="73">
        <f t="shared" si="93"/>
        <v>0</v>
      </c>
      <c r="Q740" s="73"/>
      <c r="R740" s="73">
        <v>0</v>
      </c>
      <c r="S740" s="75">
        <f t="shared" si="95"/>
        <v>3269000</v>
      </c>
      <c r="T740" s="77">
        <v>0</v>
      </c>
      <c r="U740" s="66">
        <v>40365</v>
      </c>
      <c r="V740" s="79">
        <v>32813</v>
      </c>
      <c r="W740" s="66" t="s">
        <v>1606</v>
      </c>
      <c r="X740" s="24" t="s">
        <v>1607</v>
      </c>
      <c r="Y740" s="62">
        <v>218</v>
      </c>
      <c r="Z740" s="177" t="s">
        <v>2580</v>
      </c>
      <c r="AA740" s="80" t="s">
        <v>1399</v>
      </c>
      <c r="AB740" s="3"/>
      <c r="AC740" s="4"/>
      <c r="AD740" s="5"/>
      <c r="AE740" s="4"/>
      <c r="AF740" s="4"/>
      <c r="AG740" s="4"/>
      <c r="AH740" s="4"/>
      <c r="AI740" s="4"/>
      <c r="AJ740" s="4"/>
      <c r="AK740" s="4"/>
      <c r="AL740" s="4"/>
      <c r="AM740" s="4"/>
      <c r="AN740" s="4">
        <v>24</v>
      </c>
      <c r="AO740" s="4">
        <f>24*56000</f>
        <v>1344000</v>
      </c>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6"/>
      <c r="CE740" s="7"/>
      <c r="CF740" s="6"/>
      <c r="CG740" s="7"/>
      <c r="CH740" s="6"/>
      <c r="CI740" s="7"/>
      <c r="CJ740" s="8">
        <f t="shared" si="94"/>
        <v>1344000</v>
      </c>
      <c r="CK740" s="9"/>
      <c r="CL740" s="10"/>
      <c r="CM740" s="11"/>
      <c r="CN740" s="12"/>
      <c r="CO740" s="28"/>
      <c r="CP740" s="12"/>
      <c r="CQ740" s="9">
        <f>55+20</f>
        <v>75</v>
      </c>
      <c r="CR740" s="10">
        <f>55*27000+20*22000</f>
        <v>1925000</v>
      </c>
      <c r="CS740" s="68"/>
      <c r="EC740" s="344" t="str">
        <f t="shared" si="89"/>
        <v>QUINDIO_LA TEBAIDA</v>
      </c>
      <c r="ED740" s="341"/>
      <c r="EE740" s="341" t="s">
        <v>3171</v>
      </c>
      <c r="EF740" s="349" t="s">
        <v>3172</v>
      </c>
      <c r="EG740" s="341" t="s">
        <v>3950</v>
      </c>
      <c r="EH740" s="341" t="s">
        <v>5041</v>
      </c>
      <c r="EI740" s="341" t="str">
        <f t="shared" si="96"/>
        <v>Nariño_El Charco</v>
      </c>
    </row>
    <row r="741" spans="1:139" ht="48">
      <c r="A741" s="228">
        <v>40360</v>
      </c>
      <c r="B741" s="102" t="s">
        <v>1612</v>
      </c>
      <c r="C741" s="102" t="s">
        <v>611</v>
      </c>
      <c r="D741" s="206" t="s">
        <v>2606</v>
      </c>
      <c r="E741" s="320" t="s">
        <v>4046</v>
      </c>
      <c r="F741" s="320"/>
      <c r="G741" s="210"/>
      <c r="H741" s="71"/>
      <c r="I741" s="71"/>
      <c r="J741" s="71">
        <f>150*5</f>
        <v>750</v>
      </c>
      <c r="K741" s="71">
        <v>150</v>
      </c>
      <c r="L741" s="1">
        <v>40386</v>
      </c>
      <c r="M741" s="73">
        <f t="shared" si="90"/>
        <v>4480000</v>
      </c>
      <c r="N741" s="73">
        <f t="shared" si="91"/>
        <v>0</v>
      </c>
      <c r="O741" s="73">
        <f t="shared" si="97"/>
        <v>7990000</v>
      </c>
      <c r="P741" s="73">
        <f t="shared" si="93"/>
        <v>0</v>
      </c>
      <c r="Q741" s="73"/>
      <c r="R741" s="73">
        <v>0</v>
      </c>
      <c r="S741" s="75">
        <f t="shared" si="95"/>
        <v>12470000</v>
      </c>
      <c r="T741" s="77">
        <v>0</v>
      </c>
      <c r="U741" s="66">
        <v>40365</v>
      </c>
      <c r="V741" s="79">
        <v>32813</v>
      </c>
      <c r="W741" s="66" t="s">
        <v>1606</v>
      </c>
      <c r="X741" s="24" t="s">
        <v>1607</v>
      </c>
      <c r="Y741" s="62">
        <v>218</v>
      </c>
      <c r="Z741" s="177" t="s">
        <v>2580</v>
      </c>
      <c r="AA741" s="80" t="s">
        <v>612</v>
      </c>
      <c r="AB741" s="3"/>
      <c r="AC741" s="4"/>
      <c r="AD741" s="5"/>
      <c r="AE741" s="4"/>
      <c r="AF741" s="4"/>
      <c r="AG741" s="4"/>
      <c r="AH741" s="4"/>
      <c r="AI741" s="4"/>
      <c r="AJ741" s="4"/>
      <c r="AK741" s="4"/>
      <c r="AL741" s="4"/>
      <c r="AM741" s="4"/>
      <c r="AN741" s="4">
        <v>80</v>
      </c>
      <c r="AO741" s="4">
        <f>80*56000</f>
        <v>4480000</v>
      </c>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6"/>
      <c r="CE741" s="7"/>
      <c r="CF741" s="6"/>
      <c r="CG741" s="7"/>
      <c r="CH741" s="6"/>
      <c r="CI741" s="7"/>
      <c r="CJ741" s="8">
        <f t="shared" si="94"/>
        <v>4480000</v>
      </c>
      <c r="CK741" s="9"/>
      <c r="CL741" s="10"/>
      <c r="CM741" s="11"/>
      <c r="CN741" s="12"/>
      <c r="CO741" s="28"/>
      <c r="CP741" s="12"/>
      <c r="CQ741" s="9">
        <f>190+130</f>
        <v>320</v>
      </c>
      <c r="CR741" s="10">
        <f>190*27000+130*22000</f>
        <v>7990000</v>
      </c>
      <c r="CS741" s="68"/>
      <c r="EC741" s="344" t="str">
        <f t="shared" si="89"/>
        <v>QUINDIO_MONTENEGRO</v>
      </c>
      <c r="ED741" s="341"/>
      <c r="EE741" s="341" t="s">
        <v>3171</v>
      </c>
      <c r="EF741" s="349" t="s">
        <v>3172</v>
      </c>
      <c r="EG741" s="341" t="s">
        <v>3951</v>
      </c>
      <c r="EH741" s="341" t="s">
        <v>5042</v>
      </c>
      <c r="EI741" s="341" t="str">
        <f t="shared" si="96"/>
        <v>Nariño_El Peñol</v>
      </c>
    </row>
    <row r="742" spans="1:139" ht="45">
      <c r="A742" s="228">
        <v>40360</v>
      </c>
      <c r="B742" s="102" t="s">
        <v>1612</v>
      </c>
      <c r="C742" s="102" t="s">
        <v>1578</v>
      </c>
      <c r="D742" s="206" t="s">
        <v>2606</v>
      </c>
      <c r="E742" s="320" t="s">
        <v>4048</v>
      </c>
      <c r="F742" s="320"/>
      <c r="G742" s="210"/>
      <c r="H742" s="71"/>
      <c r="I742" s="71"/>
      <c r="J742" s="71">
        <f>21*5</f>
        <v>105</v>
      </c>
      <c r="K742" s="71">
        <v>21</v>
      </c>
      <c r="L742" s="1">
        <v>40386</v>
      </c>
      <c r="M742" s="73">
        <f t="shared" si="90"/>
        <v>3080000</v>
      </c>
      <c r="N742" s="73">
        <f t="shared" si="91"/>
        <v>0</v>
      </c>
      <c r="O742" s="73">
        <f t="shared" si="97"/>
        <v>4290000</v>
      </c>
      <c r="P742" s="73">
        <f t="shared" si="93"/>
        <v>0</v>
      </c>
      <c r="Q742" s="73"/>
      <c r="R742" s="73">
        <v>0</v>
      </c>
      <c r="S742" s="75">
        <f t="shared" si="95"/>
        <v>7370000</v>
      </c>
      <c r="T742" s="77">
        <v>0</v>
      </c>
      <c r="U742" s="66">
        <v>40365</v>
      </c>
      <c r="V742" s="79">
        <v>32813</v>
      </c>
      <c r="W742" s="66" t="s">
        <v>1606</v>
      </c>
      <c r="X742" s="24" t="s">
        <v>1607</v>
      </c>
      <c r="Y742" s="62">
        <v>218</v>
      </c>
      <c r="Z742" s="177" t="s">
        <v>2580</v>
      </c>
      <c r="AA742" s="80" t="s">
        <v>647</v>
      </c>
      <c r="AB742" s="3"/>
      <c r="AC742" s="4"/>
      <c r="AD742" s="5"/>
      <c r="AE742" s="4"/>
      <c r="AF742" s="4"/>
      <c r="AG742" s="4"/>
      <c r="AH742" s="4"/>
      <c r="AI742" s="4"/>
      <c r="AJ742" s="4"/>
      <c r="AK742" s="4"/>
      <c r="AL742" s="4"/>
      <c r="AM742" s="4"/>
      <c r="AN742" s="4">
        <v>55</v>
      </c>
      <c r="AO742" s="4">
        <f>55*56000</f>
        <v>3080000</v>
      </c>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6"/>
      <c r="CE742" s="7"/>
      <c r="CF742" s="6"/>
      <c r="CG742" s="7"/>
      <c r="CH742" s="6"/>
      <c r="CI742" s="7"/>
      <c r="CJ742" s="8">
        <f t="shared" si="94"/>
        <v>3080000</v>
      </c>
      <c r="CK742" s="9"/>
      <c r="CL742" s="10"/>
      <c r="CM742" s="11"/>
      <c r="CN742" s="12"/>
      <c r="CO742" s="28"/>
      <c r="CP742" s="12"/>
      <c r="CQ742" s="9">
        <f>110+60</f>
        <v>170</v>
      </c>
      <c r="CR742" s="10">
        <f>110*27000+60*22000</f>
        <v>4290000</v>
      </c>
      <c r="CS742" s="68"/>
      <c r="CT742" s="22">
        <v>1145</v>
      </c>
      <c r="EC742" s="344" t="str">
        <f t="shared" si="89"/>
        <v>QUINDIO_QUIMBAYA</v>
      </c>
      <c r="ED742" s="341"/>
      <c r="EE742" s="341" t="s">
        <v>3171</v>
      </c>
      <c r="EF742" s="349" t="s">
        <v>3172</v>
      </c>
      <c r="EG742" s="341" t="s">
        <v>3952</v>
      </c>
      <c r="EH742" s="341" t="s">
        <v>5043</v>
      </c>
      <c r="EI742" s="341" t="str">
        <f t="shared" si="96"/>
        <v>Nariño_El Rosario</v>
      </c>
    </row>
    <row r="743" spans="1:139" ht="51">
      <c r="A743" s="228">
        <v>40360</v>
      </c>
      <c r="B743" s="102" t="s">
        <v>1998</v>
      </c>
      <c r="C743" s="102" t="s">
        <v>1083</v>
      </c>
      <c r="D743" s="206" t="s">
        <v>2606</v>
      </c>
      <c r="E743" s="320" t="s">
        <v>4070</v>
      </c>
      <c r="F743" s="320"/>
      <c r="G743" s="265"/>
      <c r="H743" s="71"/>
      <c r="I743" s="71"/>
      <c r="J743" s="71">
        <v>105</v>
      </c>
      <c r="K743" s="71">
        <v>21</v>
      </c>
      <c r="L743" s="1"/>
      <c r="M743" s="73">
        <f t="shared" si="90"/>
        <v>0</v>
      </c>
      <c r="N743" s="73">
        <f t="shared" si="91"/>
        <v>0</v>
      </c>
      <c r="O743" s="73">
        <f t="shared" si="97"/>
        <v>0</v>
      </c>
      <c r="P743" s="73">
        <f t="shared" si="93"/>
        <v>0</v>
      </c>
      <c r="Q743" s="73"/>
      <c r="R743" s="73">
        <v>0</v>
      </c>
      <c r="S743" s="75">
        <f t="shared" si="95"/>
        <v>0</v>
      </c>
      <c r="T743" s="77">
        <v>0</v>
      </c>
      <c r="U743" s="66">
        <v>40367</v>
      </c>
      <c r="V743" s="79">
        <v>38854</v>
      </c>
      <c r="W743" s="66" t="s">
        <v>1606</v>
      </c>
      <c r="X743" s="24" t="s">
        <v>1607</v>
      </c>
      <c r="Y743" s="62"/>
      <c r="Z743" s="198" t="s">
        <v>822</v>
      </c>
      <c r="AA743" s="80"/>
      <c r="AB743" s="3"/>
      <c r="AC743" s="4"/>
      <c r="AD743" s="5"/>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6"/>
      <c r="CE743" s="7"/>
      <c r="CF743" s="6"/>
      <c r="CG743" s="7"/>
      <c r="CH743" s="6"/>
      <c r="CI743" s="7"/>
      <c r="CJ743" s="8">
        <f t="shared" si="94"/>
        <v>0</v>
      </c>
      <c r="CK743" s="9"/>
      <c r="CL743" s="10"/>
      <c r="CM743" s="11"/>
      <c r="CN743" s="12"/>
      <c r="CO743" s="28"/>
      <c r="CP743" s="12"/>
      <c r="CQ743" s="9"/>
      <c r="CR743" s="10"/>
      <c r="CS743" s="68"/>
      <c r="CT743" s="22">
        <v>1140</v>
      </c>
      <c r="EC743" s="344" t="str">
        <f t="shared" ref="EC743:EC801" si="98">B743&amp;"_"&amp;C743</f>
        <v>SANTANDER_BARRANCABERMEJA</v>
      </c>
      <c r="ED743" s="341"/>
      <c r="EE743" s="341" t="s">
        <v>3171</v>
      </c>
      <c r="EF743" s="349" t="s">
        <v>3172</v>
      </c>
      <c r="EG743" s="341" t="s">
        <v>3953</v>
      </c>
      <c r="EH743" s="341" t="s">
        <v>5044</v>
      </c>
      <c r="EI743" s="341" t="str">
        <f t="shared" si="96"/>
        <v>Nariño_El Tablon de Gomez</v>
      </c>
    </row>
    <row r="744" spans="1:139" ht="25.5">
      <c r="A744" s="228">
        <v>40360</v>
      </c>
      <c r="B744" s="205" t="s">
        <v>2400</v>
      </c>
      <c r="C744" s="205" t="s">
        <v>2613</v>
      </c>
      <c r="D744" s="207" t="s">
        <v>1201</v>
      </c>
      <c r="E744" s="323" t="s">
        <v>4201</v>
      </c>
      <c r="F744" s="323"/>
      <c r="G744" s="204"/>
      <c r="H744" s="151"/>
      <c r="I744" s="151"/>
      <c r="J744" s="151">
        <v>572</v>
      </c>
      <c r="K744" s="151">
        <v>127</v>
      </c>
      <c r="L744" s="1"/>
      <c r="M744" s="73">
        <f t="shared" si="90"/>
        <v>0</v>
      </c>
      <c r="N744" s="73">
        <f t="shared" si="91"/>
        <v>0</v>
      </c>
      <c r="O744" s="73">
        <f t="shared" si="97"/>
        <v>0</v>
      </c>
      <c r="P744" s="73">
        <f t="shared" si="93"/>
        <v>0</v>
      </c>
      <c r="Q744" s="73"/>
      <c r="R744" s="73">
        <v>0</v>
      </c>
      <c r="S744" s="75">
        <f t="shared" si="95"/>
        <v>0</v>
      </c>
      <c r="T744" s="77">
        <v>0</v>
      </c>
      <c r="U744" s="66"/>
      <c r="V744" s="79"/>
      <c r="W744" s="66" t="s">
        <v>1585</v>
      </c>
      <c r="X744" s="24" t="s">
        <v>1586</v>
      </c>
      <c r="Y744" s="62"/>
      <c r="Z744" s="169" t="s">
        <v>894</v>
      </c>
      <c r="AA744" s="166" t="s">
        <v>155</v>
      </c>
      <c r="AB744" s="152"/>
      <c r="AC744" s="153"/>
      <c r="AD744" s="154"/>
      <c r="AE744" s="153"/>
      <c r="AF744" s="153"/>
      <c r="AG744" s="153"/>
      <c r="AH744" s="153"/>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c r="BI744" s="153"/>
      <c r="BJ744" s="153"/>
      <c r="BK744" s="153"/>
      <c r="BL744" s="153"/>
      <c r="BM744" s="153"/>
      <c r="BN744" s="153"/>
      <c r="BO744" s="153"/>
      <c r="BP744" s="153"/>
      <c r="BQ744" s="153"/>
      <c r="BR744" s="153"/>
      <c r="BS744" s="153"/>
      <c r="BT744" s="153"/>
      <c r="BU744" s="153"/>
      <c r="BV744" s="153"/>
      <c r="BW744" s="153"/>
      <c r="BX744" s="153"/>
      <c r="BY744" s="153"/>
      <c r="BZ744" s="153"/>
      <c r="CA744" s="153"/>
      <c r="CB744" s="153"/>
      <c r="CC744" s="153"/>
      <c r="CD744" s="155"/>
      <c r="CE744" s="156"/>
      <c r="CF744" s="155"/>
      <c r="CG744" s="156"/>
      <c r="CH744" s="155"/>
      <c r="CI744" s="156"/>
      <c r="CJ744" s="157">
        <f t="shared" si="94"/>
        <v>0</v>
      </c>
      <c r="CK744" s="158"/>
      <c r="CL744" s="159"/>
      <c r="CM744" s="160"/>
      <c r="CN744" s="161"/>
      <c r="CO744" s="162"/>
      <c r="CP744" s="161"/>
      <c r="CQ744" s="158"/>
      <c r="CR744" s="159"/>
      <c r="CS744" s="68"/>
      <c r="CT744" s="163"/>
      <c r="EC744" s="344" t="str">
        <f t="shared" si="98"/>
        <v>TOLIMA_LIBANO</v>
      </c>
      <c r="ED744" s="341"/>
      <c r="EE744" s="341" t="s">
        <v>3171</v>
      </c>
      <c r="EF744" s="349" t="s">
        <v>3172</v>
      </c>
      <c r="EG744" s="341" t="s">
        <v>3955</v>
      </c>
      <c r="EH744" s="341" t="s">
        <v>5045</v>
      </c>
      <c r="EI744" s="341" t="str">
        <f t="shared" si="96"/>
        <v>Nariño_Funes</v>
      </c>
    </row>
    <row r="745" spans="1:139" ht="25.5">
      <c r="A745" s="228">
        <v>40361</v>
      </c>
      <c r="B745" s="102" t="s">
        <v>2367</v>
      </c>
      <c r="C745" s="102" t="s">
        <v>2367</v>
      </c>
      <c r="D745" s="206" t="s">
        <v>1201</v>
      </c>
      <c r="E745" s="320" t="s">
        <v>4266</v>
      </c>
      <c r="F745" s="320"/>
      <c r="G745" s="210"/>
      <c r="H745" s="71"/>
      <c r="I745" s="71"/>
      <c r="J745" s="71">
        <v>232</v>
      </c>
      <c r="K745" s="71">
        <v>43</v>
      </c>
      <c r="L745" s="1"/>
      <c r="M745" s="73">
        <f t="shared" si="90"/>
        <v>0</v>
      </c>
      <c r="N745" s="73">
        <f t="shared" si="91"/>
        <v>0</v>
      </c>
      <c r="O745" s="73">
        <f t="shared" si="97"/>
        <v>0</v>
      </c>
      <c r="P745" s="73">
        <f t="shared" si="93"/>
        <v>0</v>
      </c>
      <c r="Q745" s="73"/>
      <c r="R745" s="73">
        <v>0</v>
      </c>
      <c r="S745" s="75">
        <f t="shared" si="95"/>
        <v>0</v>
      </c>
      <c r="T745" s="77">
        <v>0</v>
      </c>
      <c r="U745" s="66">
        <v>40367</v>
      </c>
      <c r="V745" s="79"/>
      <c r="W745" s="66" t="s">
        <v>1606</v>
      </c>
      <c r="X745" s="24" t="s">
        <v>1607</v>
      </c>
      <c r="Y745" s="62"/>
      <c r="Z745" s="198" t="s">
        <v>1270</v>
      </c>
      <c r="AA745" s="80" t="s">
        <v>2774</v>
      </c>
      <c r="AB745" s="3"/>
      <c r="AC745" s="4"/>
      <c r="AD745" s="5"/>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6"/>
      <c r="CE745" s="7"/>
      <c r="CF745" s="6"/>
      <c r="CG745" s="7"/>
      <c r="CH745" s="6"/>
      <c r="CI745" s="7"/>
      <c r="CJ745" s="8">
        <f t="shared" si="94"/>
        <v>0</v>
      </c>
      <c r="CK745" s="9"/>
      <c r="CL745" s="10"/>
      <c r="CM745" s="11"/>
      <c r="CN745" s="12"/>
      <c r="CO745" s="28"/>
      <c r="CP745" s="12"/>
      <c r="CQ745" s="9"/>
      <c r="CR745" s="10"/>
      <c r="CS745" s="68"/>
      <c r="EC745" s="344" t="str">
        <f t="shared" si="98"/>
        <v>ARAUCA_ARAUCA</v>
      </c>
      <c r="ED745" s="341"/>
      <c r="EE745" s="341" t="s">
        <v>3171</v>
      </c>
      <c r="EF745" s="349" t="s">
        <v>3172</v>
      </c>
      <c r="EG745" s="341" t="s">
        <v>3956</v>
      </c>
      <c r="EH745" s="341" t="s">
        <v>5046</v>
      </c>
      <c r="EI745" s="341" t="str">
        <f t="shared" si="96"/>
        <v>Nariño_Guachucal</v>
      </c>
    </row>
    <row r="746" spans="1:139" ht="36">
      <c r="A746" s="228">
        <v>40361</v>
      </c>
      <c r="B746" s="102" t="s">
        <v>1615</v>
      </c>
      <c r="C746" s="102" t="s">
        <v>1642</v>
      </c>
      <c r="D746" s="206" t="s">
        <v>1201</v>
      </c>
      <c r="E746" s="320" t="s">
        <v>3376</v>
      </c>
      <c r="F746" s="320"/>
      <c r="G746" s="210"/>
      <c r="H746" s="71"/>
      <c r="I746" s="71"/>
      <c r="J746" s="71">
        <v>1250</v>
      </c>
      <c r="K746" s="71">
        <v>250</v>
      </c>
      <c r="L746" s="1"/>
      <c r="M746" s="73">
        <f t="shared" si="90"/>
        <v>0</v>
      </c>
      <c r="N746" s="73">
        <f t="shared" si="91"/>
        <v>0</v>
      </c>
      <c r="O746" s="73">
        <f t="shared" si="97"/>
        <v>0</v>
      </c>
      <c r="P746" s="73">
        <f t="shared" si="93"/>
        <v>0</v>
      </c>
      <c r="Q746" s="73"/>
      <c r="R746" s="73">
        <v>0</v>
      </c>
      <c r="S746" s="75">
        <f t="shared" si="95"/>
        <v>0</v>
      </c>
      <c r="T746" s="77">
        <v>0</v>
      </c>
      <c r="U746" s="66">
        <v>40367</v>
      </c>
      <c r="V746" s="79"/>
      <c r="W746" s="66" t="s">
        <v>1585</v>
      </c>
      <c r="X746" s="24" t="s">
        <v>1586</v>
      </c>
      <c r="Y746" s="62"/>
      <c r="Z746" s="177" t="s">
        <v>894</v>
      </c>
      <c r="AA746" s="80" t="s">
        <v>2772</v>
      </c>
      <c r="AB746" s="3"/>
      <c r="AC746" s="4"/>
      <c r="AD746" s="5"/>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6"/>
      <c r="CE746" s="7"/>
      <c r="CF746" s="6"/>
      <c r="CG746" s="7"/>
      <c r="CH746" s="6"/>
      <c r="CI746" s="7"/>
      <c r="CJ746" s="8">
        <f t="shared" si="94"/>
        <v>0</v>
      </c>
      <c r="CK746" s="9"/>
      <c r="CL746" s="10"/>
      <c r="CM746" s="11"/>
      <c r="CN746" s="12"/>
      <c r="CO746" s="28"/>
      <c r="CP746" s="12"/>
      <c r="CQ746" s="9"/>
      <c r="CR746" s="10"/>
      <c r="CS746" s="68"/>
      <c r="EC746" s="344" t="str">
        <f t="shared" si="98"/>
        <v>BOLIVAR_CARTAGENA</v>
      </c>
      <c r="ED746" s="341"/>
      <c r="EE746" s="341" t="s">
        <v>3171</v>
      </c>
      <c r="EF746" s="349" t="s">
        <v>3172</v>
      </c>
      <c r="EG746" s="341" t="s">
        <v>3957</v>
      </c>
      <c r="EH746" s="341" t="s">
        <v>5047</v>
      </c>
      <c r="EI746" s="341" t="str">
        <f t="shared" si="96"/>
        <v>Nariño_Guaitarilla</v>
      </c>
    </row>
    <row r="747" spans="1:139" ht="38.25">
      <c r="A747" s="228">
        <v>40361</v>
      </c>
      <c r="B747" s="102" t="s">
        <v>1615</v>
      </c>
      <c r="C747" s="102" t="s">
        <v>1562</v>
      </c>
      <c r="D747" s="206" t="s">
        <v>1316</v>
      </c>
      <c r="E747" s="320" t="s">
        <v>3392</v>
      </c>
      <c r="F747" s="320"/>
      <c r="G747" s="210"/>
      <c r="H747" s="71"/>
      <c r="I747" s="71"/>
      <c r="J747" s="71"/>
      <c r="K747" s="71"/>
      <c r="L747" s="1"/>
      <c r="M747" s="73">
        <f t="shared" si="90"/>
        <v>0</v>
      </c>
      <c r="N747" s="73">
        <f t="shared" si="91"/>
        <v>0</v>
      </c>
      <c r="O747" s="73">
        <f t="shared" si="97"/>
        <v>0</v>
      </c>
      <c r="P747" s="73">
        <f t="shared" si="93"/>
        <v>0</v>
      </c>
      <c r="Q747" s="73"/>
      <c r="R747" s="73">
        <v>0</v>
      </c>
      <c r="S747" s="75">
        <f t="shared" si="95"/>
        <v>0</v>
      </c>
      <c r="T747" s="77">
        <v>0</v>
      </c>
      <c r="U747" s="66">
        <v>40367</v>
      </c>
      <c r="V747" s="79"/>
      <c r="W747" s="66" t="s">
        <v>1585</v>
      </c>
      <c r="X747" s="24" t="s">
        <v>1586</v>
      </c>
      <c r="Y747" s="62"/>
      <c r="Z747" s="177" t="s">
        <v>894</v>
      </c>
      <c r="AA747" s="80"/>
      <c r="AB747" s="3"/>
      <c r="AC747" s="4"/>
      <c r="AD747" s="5"/>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6"/>
      <c r="CE747" s="7"/>
      <c r="CF747" s="6"/>
      <c r="CG747" s="7"/>
      <c r="CH747" s="6"/>
      <c r="CI747" s="7"/>
      <c r="CJ747" s="8">
        <f t="shared" si="94"/>
        <v>0</v>
      </c>
      <c r="CK747" s="9"/>
      <c r="CL747" s="10"/>
      <c r="CM747" s="11"/>
      <c r="CN747" s="12"/>
      <c r="CO747" s="28"/>
      <c r="CP747" s="12"/>
      <c r="CQ747" s="9"/>
      <c r="CR747" s="10"/>
      <c r="CS747" s="68"/>
      <c r="EC747" s="344" t="str">
        <f t="shared" si="98"/>
        <v>BOLIVAR_MAGANGUE</v>
      </c>
      <c r="ED747" s="341"/>
      <c r="EE747" s="341" t="s">
        <v>3171</v>
      </c>
      <c r="EF747" s="349" t="s">
        <v>3172</v>
      </c>
      <c r="EG747" s="341" t="s">
        <v>3958</v>
      </c>
      <c r="EH747" s="341" t="s">
        <v>5048</v>
      </c>
      <c r="EI747" s="341" t="str">
        <f t="shared" si="96"/>
        <v>Nariño_Gualmatan</v>
      </c>
    </row>
    <row r="748" spans="1:139" ht="38.25">
      <c r="A748" s="228">
        <v>40361</v>
      </c>
      <c r="B748" s="102" t="s">
        <v>4321</v>
      </c>
      <c r="C748" s="102" t="s">
        <v>2773</v>
      </c>
      <c r="D748" s="206" t="s">
        <v>1201</v>
      </c>
      <c r="E748" s="320" t="s">
        <v>3866</v>
      </c>
      <c r="F748" s="320"/>
      <c r="G748" s="210"/>
      <c r="H748" s="71"/>
      <c r="I748" s="71"/>
      <c r="J748" s="71"/>
      <c r="K748" s="71"/>
      <c r="L748" s="1"/>
      <c r="M748" s="73">
        <f t="shared" si="90"/>
        <v>0</v>
      </c>
      <c r="N748" s="73">
        <f t="shared" si="91"/>
        <v>0</v>
      </c>
      <c r="O748" s="73">
        <f t="shared" si="97"/>
        <v>0</v>
      </c>
      <c r="P748" s="73">
        <f t="shared" si="93"/>
        <v>0</v>
      </c>
      <c r="Q748" s="73"/>
      <c r="R748" s="73">
        <v>0</v>
      </c>
      <c r="S748" s="75">
        <f t="shared" si="95"/>
        <v>0</v>
      </c>
      <c r="T748" s="77">
        <v>0</v>
      </c>
      <c r="U748" s="66">
        <v>40367</v>
      </c>
      <c r="V748" s="79"/>
      <c r="W748" s="66" t="s">
        <v>1606</v>
      </c>
      <c r="X748" s="24" t="s">
        <v>1607</v>
      </c>
      <c r="Y748" s="62"/>
      <c r="Z748" s="198" t="s">
        <v>830</v>
      </c>
      <c r="AA748" s="80" t="s">
        <v>688</v>
      </c>
      <c r="AB748" s="3"/>
      <c r="AC748" s="4"/>
      <c r="AD748" s="5"/>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6"/>
      <c r="CE748" s="7"/>
      <c r="CF748" s="6"/>
      <c r="CG748" s="7"/>
      <c r="CH748" s="6"/>
      <c r="CI748" s="7"/>
      <c r="CJ748" s="8">
        <f t="shared" si="94"/>
        <v>0</v>
      </c>
      <c r="CK748" s="9"/>
      <c r="CL748" s="10"/>
      <c r="CM748" s="11"/>
      <c r="CN748" s="12"/>
      <c r="CO748" s="28"/>
      <c r="CP748" s="12"/>
      <c r="CQ748" s="9"/>
      <c r="CR748" s="10"/>
      <c r="CS748" s="68"/>
      <c r="EC748" s="344" t="str">
        <f t="shared" si="98"/>
        <v>LA GUAJIRA_FONSECA</v>
      </c>
      <c r="ED748" s="341"/>
      <c r="EE748" s="341" t="s">
        <v>3171</v>
      </c>
      <c r="EF748" s="349" t="s">
        <v>3172</v>
      </c>
      <c r="EG748" s="341" t="s">
        <v>3959</v>
      </c>
      <c r="EH748" s="341" t="s">
        <v>5049</v>
      </c>
      <c r="EI748" s="341" t="str">
        <f t="shared" si="96"/>
        <v>Nariño_Iles</v>
      </c>
    </row>
    <row r="749" spans="1:139" ht="25.5">
      <c r="A749" s="228">
        <v>40362</v>
      </c>
      <c r="B749" s="102" t="s">
        <v>1972</v>
      </c>
      <c r="C749" s="102" t="s">
        <v>2358</v>
      </c>
      <c r="D749" s="206" t="s">
        <v>1316</v>
      </c>
      <c r="E749" s="320" t="s">
        <v>3227</v>
      </c>
      <c r="F749" s="320"/>
      <c r="G749" s="210"/>
      <c r="H749" s="71"/>
      <c r="I749" s="71"/>
      <c r="J749" s="71">
        <v>60</v>
      </c>
      <c r="K749" s="71">
        <v>12</v>
      </c>
      <c r="L749" s="1"/>
      <c r="M749" s="73">
        <f t="shared" si="90"/>
        <v>0</v>
      </c>
      <c r="N749" s="73">
        <f t="shared" si="91"/>
        <v>0</v>
      </c>
      <c r="O749" s="73">
        <f t="shared" si="97"/>
        <v>0</v>
      </c>
      <c r="P749" s="73">
        <f t="shared" si="93"/>
        <v>0</v>
      </c>
      <c r="Q749" s="73"/>
      <c r="R749" s="73">
        <v>0</v>
      </c>
      <c r="S749" s="75">
        <f t="shared" si="95"/>
        <v>0</v>
      </c>
      <c r="T749" s="77">
        <v>0</v>
      </c>
      <c r="U749" s="66">
        <v>40367</v>
      </c>
      <c r="V749" s="79"/>
      <c r="W749" s="66" t="s">
        <v>1585</v>
      </c>
      <c r="X749" s="24" t="s">
        <v>1586</v>
      </c>
      <c r="Y749" s="62"/>
      <c r="Z749" s="177" t="s">
        <v>894</v>
      </c>
      <c r="AA749" s="80" t="s">
        <v>2769</v>
      </c>
      <c r="AB749" s="3"/>
      <c r="AC749" s="4"/>
      <c r="AD749" s="5"/>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6"/>
      <c r="CE749" s="7"/>
      <c r="CF749" s="6"/>
      <c r="CG749" s="7"/>
      <c r="CH749" s="6"/>
      <c r="CI749" s="7"/>
      <c r="CJ749" s="8">
        <f t="shared" si="94"/>
        <v>0</v>
      </c>
      <c r="CK749" s="9"/>
      <c r="CL749" s="10"/>
      <c r="CM749" s="11"/>
      <c r="CN749" s="12"/>
      <c r="CO749" s="28"/>
      <c r="CP749" s="12"/>
      <c r="CQ749" s="9"/>
      <c r="CR749" s="10"/>
      <c r="CS749" s="68"/>
      <c r="EC749" s="344" t="str">
        <f t="shared" si="98"/>
        <v>ANTIOQUIA_MEDELLIN</v>
      </c>
      <c r="ED749" s="341"/>
      <c r="EE749" s="341" t="s">
        <v>3171</v>
      </c>
      <c r="EF749" s="349" t="s">
        <v>3172</v>
      </c>
      <c r="EG749" s="341" t="s">
        <v>3960</v>
      </c>
      <c r="EH749" s="341" t="s">
        <v>5050</v>
      </c>
      <c r="EI749" s="341" t="str">
        <f t="shared" si="96"/>
        <v>Nariño_Imues</v>
      </c>
    </row>
    <row r="750" spans="1:139" ht="38.25">
      <c r="A750" s="228">
        <v>40362</v>
      </c>
      <c r="B750" s="102" t="s">
        <v>1551</v>
      </c>
      <c r="C750" s="102" t="s">
        <v>1590</v>
      </c>
      <c r="D750" s="206" t="s">
        <v>1201</v>
      </c>
      <c r="E750" s="320" t="s">
        <v>3352</v>
      </c>
      <c r="F750" s="320"/>
      <c r="G750" s="210"/>
      <c r="H750" s="71"/>
      <c r="I750" s="71"/>
      <c r="J750" s="71">
        <v>520</v>
      </c>
      <c r="K750" s="71">
        <v>104</v>
      </c>
      <c r="L750" s="1"/>
      <c r="M750" s="73">
        <f t="shared" si="90"/>
        <v>0</v>
      </c>
      <c r="N750" s="73">
        <f t="shared" si="91"/>
        <v>0</v>
      </c>
      <c r="O750" s="73">
        <f t="shared" si="97"/>
        <v>0</v>
      </c>
      <c r="P750" s="73">
        <f t="shared" si="93"/>
        <v>0</v>
      </c>
      <c r="Q750" s="73"/>
      <c r="R750" s="73">
        <v>0</v>
      </c>
      <c r="S750" s="75">
        <f t="shared" si="95"/>
        <v>0</v>
      </c>
      <c r="T750" s="77">
        <v>0</v>
      </c>
      <c r="U750" s="66">
        <v>40367</v>
      </c>
      <c r="V750" s="79"/>
      <c r="W750" s="66" t="s">
        <v>1585</v>
      </c>
      <c r="X750" s="24" t="s">
        <v>1586</v>
      </c>
      <c r="Y750" s="62"/>
      <c r="Z750" s="177" t="s">
        <v>894</v>
      </c>
      <c r="AA750" s="80" t="s">
        <v>2770</v>
      </c>
      <c r="AB750" s="3"/>
      <c r="AC750" s="4"/>
      <c r="AD750" s="5"/>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6"/>
      <c r="CE750" s="7"/>
      <c r="CF750" s="6"/>
      <c r="CG750" s="7"/>
      <c r="CH750" s="6"/>
      <c r="CI750" s="7"/>
      <c r="CJ750" s="8">
        <f t="shared" si="94"/>
        <v>0</v>
      </c>
      <c r="CK750" s="9"/>
      <c r="CL750" s="10"/>
      <c r="CM750" s="11"/>
      <c r="CN750" s="12"/>
      <c r="CO750" s="28"/>
      <c r="CP750" s="12"/>
      <c r="CQ750" s="9"/>
      <c r="CR750" s="10"/>
      <c r="CS750" s="68"/>
      <c r="EC750" s="344" t="str">
        <f t="shared" si="98"/>
        <v>ATLANTICO_BARRANQUILLA</v>
      </c>
      <c r="ED750" s="341"/>
      <c r="EE750" s="341" t="s">
        <v>3171</v>
      </c>
      <c r="EF750" s="349" t="s">
        <v>3172</v>
      </c>
      <c r="EG750" s="341" t="s">
        <v>3961</v>
      </c>
      <c r="EH750" s="341" t="s">
        <v>5051</v>
      </c>
      <c r="EI750" s="341" t="str">
        <f t="shared" si="96"/>
        <v>Nariño_Ipiales</v>
      </c>
    </row>
    <row r="751" spans="1:139" ht="25.5">
      <c r="A751" s="228">
        <v>40362</v>
      </c>
      <c r="B751" s="102" t="s">
        <v>1551</v>
      </c>
      <c r="C751" s="102" t="s">
        <v>1061</v>
      </c>
      <c r="D751" s="206" t="s">
        <v>1201</v>
      </c>
      <c r="E751" s="320" t="s">
        <v>3371</v>
      </c>
      <c r="F751" s="320"/>
      <c r="G751" s="210"/>
      <c r="H751" s="71"/>
      <c r="I751" s="71"/>
      <c r="J751" s="71">
        <f>53*5</f>
        <v>265</v>
      </c>
      <c r="K751" s="71">
        <v>53</v>
      </c>
      <c r="L751" s="1"/>
      <c r="M751" s="73">
        <f t="shared" si="90"/>
        <v>0</v>
      </c>
      <c r="N751" s="73">
        <f t="shared" si="91"/>
        <v>0</v>
      </c>
      <c r="O751" s="73">
        <f t="shared" si="97"/>
        <v>0</v>
      </c>
      <c r="P751" s="73">
        <f t="shared" si="93"/>
        <v>0</v>
      </c>
      <c r="Q751" s="73"/>
      <c r="R751" s="73">
        <v>0</v>
      </c>
      <c r="S751" s="75">
        <f t="shared" si="95"/>
        <v>0</v>
      </c>
      <c r="T751" s="77">
        <v>0</v>
      </c>
      <c r="U751" s="66">
        <v>40367</v>
      </c>
      <c r="V751" s="79"/>
      <c r="W751" s="66" t="s">
        <v>1585</v>
      </c>
      <c r="X751" s="24" t="s">
        <v>1586</v>
      </c>
      <c r="Y751" s="62"/>
      <c r="Z751" s="177" t="s">
        <v>894</v>
      </c>
      <c r="AA751" s="165" t="s">
        <v>2771</v>
      </c>
      <c r="AB751" s="3"/>
      <c r="AC751" s="4"/>
      <c r="AD751" s="5"/>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6"/>
      <c r="CE751" s="7"/>
      <c r="CF751" s="6"/>
      <c r="CG751" s="7"/>
      <c r="CH751" s="6"/>
      <c r="CI751" s="7"/>
      <c r="CJ751" s="8">
        <f t="shared" si="94"/>
        <v>0</v>
      </c>
      <c r="CK751" s="9"/>
      <c r="CL751" s="10"/>
      <c r="CM751" s="11"/>
      <c r="CN751" s="12"/>
      <c r="CO751" s="28"/>
      <c r="CP751" s="12"/>
      <c r="CQ751" s="9"/>
      <c r="CR751" s="10"/>
      <c r="CS751" s="68"/>
      <c r="EC751" s="344" t="str">
        <f t="shared" si="98"/>
        <v>ATLANTICO_SOLEDAD</v>
      </c>
      <c r="ED751" s="341"/>
      <c r="EE751" s="341" t="s">
        <v>3171</v>
      </c>
      <c r="EF751" s="349" t="s">
        <v>3172</v>
      </c>
      <c r="EG751" s="341" t="s">
        <v>3962</v>
      </c>
      <c r="EH751" s="341" t="s">
        <v>5052</v>
      </c>
      <c r="EI751" s="341" t="str">
        <f t="shared" si="96"/>
        <v>Nariño_La Cruz</v>
      </c>
    </row>
    <row r="752" spans="1:139" ht="48">
      <c r="A752" s="228">
        <v>40362</v>
      </c>
      <c r="B752" s="102" t="s">
        <v>1088</v>
      </c>
      <c r="C752" s="102" t="s">
        <v>993</v>
      </c>
      <c r="D752" s="206" t="s">
        <v>1201</v>
      </c>
      <c r="E752" s="320" t="s">
        <v>4245</v>
      </c>
      <c r="F752" s="320"/>
      <c r="G752" s="210"/>
      <c r="H752" s="71"/>
      <c r="I752" s="71"/>
      <c r="J752" s="71">
        <v>600</v>
      </c>
      <c r="K752" s="71">
        <v>120</v>
      </c>
      <c r="L752" s="1"/>
      <c r="M752" s="73">
        <f t="shared" si="90"/>
        <v>0</v>
      </c>
      <c r="N752" s="73">
        <f t="shared" si="91"/>
        <v>0</v>
      </c>
      <c r="O752" s="73">
        <f t="shared" si="97"/>
        <v>0</v>
      </c>
      <c r="P752" s="73">
        <f t="shared" si="93"/>
        <v>0</v>
      </c>
      <c r="Q752" s="73"/>
      <c r="R752" s="73">
        <v>0</v>
      </c>
      <c r="S752" s="75">
        <f t="shared" si="95"/>
        <v>0</v>
      </c>
      <c r="T752" s="77">
        <v>0</v>
      </c>
      <c r="U752" s="66">
        <v>40367</v>
      </c>
      <c r="V752" s="79"/>
      <c r="W752" s="66" t="s">
        <v>1585</v>
      </c>
      <c r="X752" s="24" t="s">
        <v>1586</v>
      </c>
      <c r="Y752" s="62"/>
      <c r="Z752" s="177" t="s">
        <v>894</v>
      </c>
      <c r="AA752" s="80" t="s">
        <v>1257</v>
      </c>
      <c r="AB752" s="3"/>
      <c r="AC752" s="4"/>
      <c r="AD752" s="5"/>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6"/>
      <c r="CE752" s="7"/>
      <c r="CF752" s="6"/>
      <c r="CG752" s="7"/>
      <c r="CH752" s="6"/>
      <c r="CI752" s="7"/>
      <c r="CJ752" s="8">
        <f t="shared" si="94"/>
        <v>0</v>
      </c>
      <c r="CK752" s="9"/>
      <c r="CL752" s="10"/>
      <c r="CM752" s="11"/>
      <c r="CN752" s="12"/>
      <c r="CO752" s="28"/>
      <c r="CP752" s="12"/>
      <c r="CQ752" s="9"/>
      <c r="CR752" s="10"/>
      <c r="CS752" s="68"/>
      <c r="EC752" s="344" t="str">
        <f t="shared" si="98"/>
        <v>VALLE DEL CAUCA_JAMUNDI</v>
      </c>
      <c r="ED752" s="341"/>
      <c r="EE752" s="341" t="s">
        <v>3171</v>
      </c>
      <c r="EF752" s="349" t="s">
        <v>3172</v>
      </c>
      <c r="EG752" s="341" t="s">
        <v>3965</v>
      </c>
      <c r="EH752" s="341" t="s">
        <v>5053</v>
      </c>
      <c r="EI752" s="341" t="str">
        <f t="shared" si="96"/>
        <v>Nariño_La Tola</v>
      </c>
    </row>
    <row r="753" spans="1:139" ht="25.5">
      <c r="A753" s="228">
        <v>40363</v>
      </c>
      <c r="B753" s="102" t="s">
        <v>1824</v>
      </c>
      <c r="C753" s="102" t="s">
        <v>1255</v>
      </c>
      <c r="D753" s="206" t="s">
        <v>1201</v>
      </c>
      <c r="E753" s="320" t="s">
        <v>3939</v>
      </c>
      <c r="F753" s="320"/>
      <c r="G753" s="210"/>
      <c r="H753" s="71"/>
      <c r="I753" s="71"/>
      <c r="J753" s="71">
        <v>1200</v>
      </c>
      <c r="K753" s="71">
        <v>345</v>
      </c>
      <c r="L753" s="1"/>
      <c r="M753" s="73">
        <f t="shared" si="90"/>
        <v>0</v>
      </c>
      <c r="N753" s="73">
        <f t="shared" si="91"/>
        <v>0</v>
      </c>
      <c r="O753" s="73">
        <f t="shared" si="97"/>
        <v>0</v>
      </c>
      <c r="P753" s="73">
        <f t="shared" si="93"/>
        <v>0</v>
      </c>
      <c r="Q753" s="73"/>
      <c r="R753" s="73">
        <v>0</v>
      </c>
      <c r="S753" s="75">
        <f t="shared" si="95"/>
        <v>0</v>
      </c>
      <c r="T753" s="77">
        <v>0</v>
      </c>
      <c r="U753" s="66">
        <v>40367</v>
      </c>
      <c r="V753" s="79"/>
      <c r="W753" s="66" t="s">
        <v>1585</v>
      </c>
      <c r="X753" s="24" t="s">
        <v>1586</v>
      </c>
      <c r="Y753" s="62"/>
      <c r="Z753" s="177" t="s">
        <v>894</v>
      </c>
      <c r="AA753" s="80" t="s">
        <v>2398</v>
      </c>
      <c r="AB753" s="3"/>
      <c r="AC753" s="4"/>
      <c r="AD753" s="5"/>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6"/>
      <c r="CE753" s="7"/>
      <c r="CF753" s="6"/>
      <c r="CG753" s="7"/>
      <c r="CH753" s="6"/>
      <c r="CI753" s="7"/>
      <c r="CJ753" s="8">
        <f t="shared" si="94"/>
        <v>0</v>
      </c>
      <c r="CK753" s="9"/>
      <c r="CL753" s="10"/>
      <c r="CM753" s="11"/>
      <c r="CN753" s="12"/>
      <c r="CO753" s="28"/>
      <c r="CP753" s="12"/>
      <c r="CQ753" s="9"/>
      <c r="CR753" s="10"/>
      <c r="CS753" s="68"/>
      <c r="EC753" s="344" t="str">
        <f t="shared" si="98"/>
        <v>NARIÑO_BARBACOAS</v>
      </c>
      <c r="ED753" s="341"/>
      <c r="EE753" s="341" t="s">
        <v>3171</v>
      </c>
      <c r="EF753" s="349" t="s">
        <v>3172</v>
      </c>
      <c r="EG753" s="341" t="s">
        <v>3966</v>
      </c>
      <c r="EH753" s="341" t="s">
        <v>4435</v>
      </c>
      <c r="EI753" s="341" t="str">
        <f t="shared" si="96"/>
        <v>Nariño_La Union</v>
      </c>
    </row>
    <row r="754" spans="1:139" ht="25.5">
      <c r="A754" s="228">
        <v>40363</v>
      </c>
      <c r="B754" s="205" t="s">
        <v>1824</v>
      </c>
      <c r="C754" s="205" t="s">
        <v>2045</v>
      </c>
      <c r="D754" s="207" t="s">
        <v>1201</v>
      </c>
      <c r="E754" s="323"/>
      <c r="F754" s="323"/>
      <c r="G754" s="204"/>
      <c r="H754" s="151"/>
      <c r="I754" s="151"/>
      <c r="J754" s="151">
        <v>250</v>
      </c>
      <c r="K754" s="151">
        <v>50</v>
      </c>
      <c r="L754" s="1"/>
      <c r="M754" s="73">
        <f t="shared" si="90"/>
        <v>0</v>
      </c>
      <c r="N754" s="73">
        <f t="shared" si="91"/>
        <v>0</v>
      </c>
      <c r="O754" s="73">
        <f t="shared" si="97"/>
        <v>0</v>
      </c>
      <c r="P754" s="73">
        <f t="shared" si="93"/>
        <v>0</v>
      </c>
      <c r="Q754" s="73"/>
      <c r="R754" s="73">
        <v>0</v>
      </c>
      <c r="S754" s="75">
        <f t="shared" si="95"/>
        <v>0</v>
      </c>
      <c r="T754" s="77">
        <v>0</v>
      </c>
      <c r="U754" s="66">
        <v>40624</v>
      </c>
      <c r="V754" s="79"/>
      <c r="W754" s="66" t="s">
        <v>1585</v>
      </c>
      <c r="X754" s="24" t="s">
        <v>1586</v>
      </c>
      <c r="Y754" s="62"/>
      <c r="Z754" s="177" t="s">
        <v>894</v>
      </c>
      <c r="AA754" s="80" t="s">
        <v>155</v>
      </c>
      <c r="AB754" s="3"/>
      <c r="AC754" s="4"/>
      <c r="AD754" s="5"/>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6"/>
      <c r="CE754" s="7"/>
      <c r="CF754" s="6"/>
      <c r="CG754" s="7"/>
      <c r="CH754" s="6"/>
      <c r="CI754" s="7"/>
      <c r="CJ754" s="8">
        <f t="shared" si="94"/>
        <v>0</v>
      </c>
      <c r="CK754" s="9"/>
      <c r="CL754" s="10"/>
      <c r="CM754" s="11"/>
      <c r="CN754" s="12"/>
      <c r="CO754" s="28"/>
      <c r="CP754" s="12"/>
      <c r="CQ754" s="9"/>
      <c r="CR754" s="10"/>
      <c r="CS754" s="68"/>
      <c r="CT754" s="163"/>
      <c r="EC754" s="344" t="str">
        <f t="shared" si="98"/>
        <v>NARIÑO_MOSQUERA</v>
      </c>
      <c r="ED754" s="341"/>
      <c r="EE754" s="341" t="s">
        <v>3171</v>
      </c>
      <c r="EF754" s="349" t="s">
        <v>3172</v>
      </c>
      <c r="EG754" s="341" t="s">
        <v>3967</v>
      </c>
      <c r="EH754" s="341" t="s">
        <v>5054</v>
      </c>
      <c r="EI754" s="341" t="str">
        <f t="shared" si="96"/>
        <v>Nariño_Leiva</v>
      </c>
    </row>
    <row r="755" spans="1:139" ht="38.25">
      <c r="A755" s="228">
        <v>40364</v>
      </c>
      <c r="B755" s="102" t="s">
        <v>1551</v>
      </c>
      <c r="C755" s="102" t="s">
        <v>1590</v>
      </c>
      <c r="D755" s="206" t="s">
        <v>2606</v>
      </c>
      <c r="E755" s="320" t="s">
        <v>3352</v>
      </c>
      <c r="F755" s="320"/>
      <c r="G755" s="210"/>
      <c r="H755" s="71">
        <v>7</v>
      </c>
      <c r="I755" s="71"/>
      <c r="J755" s="71">
        <v>390</v>
      </c>
      <c r="K755" s="71">
        <v>78</v>
      </c>
      <c r="L755" s="1"/>
      <c r="M755" s="73">
        <f t="shared" si="90"/>
        <v>0</v>
      </c>
      <c r="N755" s="73">
        <f t="shared" si="91"/>
        <v>0</v>
      </c>
      <c r="O755" s="73">
        <f t="shared" si="97"/>
        <v>0</v>
      </c>
      <c r="P755" s="73">
        <f t="shared" si="93"/>
        <v>0</v>
      </c>
      <c r="Q755" s="73"/>
      <c r="R755" s="73">
        <v>0</v>
      </c>
      <c r="S755" s="75">
        <f t="shared" si="95"/>
        <v>0</v>
      </c>
      <c r="T755" s="77">
        <v>0</v>
      </c>
      <c r="U755" s="66">
        <v>40367</v>
      </c>
      <c r="V755" s="79"/>
      <c r="W755" s="66" t="s">
        <v>1585</v>
      </c>
      <c r="X755" s="24" t="s">
        <v>1586</v>
      </c>
      <c r="Y755" s="62"/>
      <c r="Z755" s="177" t="s">
        <v>894</v>
      </c>
      <c r="AA755" s="80" t="s">
        <v>2776</v>
      </c>
      <c r="AB755" s="3"/>
      <c r="AC755" s="4"/>
      <c r="AD755" s="5"/>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6"/>
      <c r="CE755" s="7"/>
      <c r="CF755" s="6"/>
      <c r="CG755" s="7"/>
      <c r="CH755" s="6"/>
      <c r="CI755" s="7"/>
      <c r="CJ755" s="8">
        <f t="shared" si="94"/>
        <v>0</v>
      </c>
      <c r="CK755" s="9"/>
      <c r="CL755" s="10"/>
      <c r="CM755" s="11"/>
      <c r="CN755" s="12"/>
      <c r="CO755" s="28"/>
      <c r="CP755" s="12"/>
      <c r="CQ755" s="9"/>
      <c r="CR755" s="10"/>
      <c r="CS755" s="68"/>
      <c r="EC755" s="344" t="str">
        <f t="shared" si="98"/>
        <v>ATLANTICO_BARRANQUILLA</v>
      </c>
      <c r="ED755" s="341"/>
      <c r="EE755" s="341" t="s">
        <v>3171</v>
      </c>
      <c r="EF755" s="349" t="s">
        <v>3172</v>
      </c>
      <c r="EG755" s="341" t="s">
        <v>3970</v>
      </c>
      <c r="EH755" s="341" t="s">
        <v>5055</v>
      </c>
      <c r="EI755" s="341" t="str">
        <f t="shared" si="96"/>
        <v>Nariño_Magui</v>
      </c>
    </row>
    <row r="756" spans="1:139" ht="72">
      <c r="A756" s="228">
        <v>40364</v>
      </c>
      <c r="B756" s="222" t="s">
        <v>1996</v>
      </c>
      <c r="C756" s="222" t="s">
        <v>334</v>
      </c>
      <c r="D756" s="233" t="s">
        <v>1201</v>
      </c>
      <c r="E756" s="325" t="s">
        <v>3794</v>
      </c>
      <c r="F756" s="325"/>
      <c r="G756" s="204"/>
      <c r="H756" s="151"/>
      <c r="I756" s="151"/>
      <c r="J756" s="151">
        <v>2698</v>
      </c>
      <c r="K756" s="151">
        <v>575</v>
      </c>
      <c r="L756" s="1">
        <v>40417</v>
      </c>
      <c r="M756" s="73">
        <f t="shared" si="90"/>
        <v>6660000</v>
      </c>
      <c r="N756" s="73">
        <f t="shared" si="91"/>
        <v>71400000</v>
      </c>
      <c r="O756" s="73">
        <f t="shared" si="97"/>
        <v>0</v>
      </c>
      <c r="P756" s="73">
        <f t="shared" si="93"/>
        <v>0</v>
      </c>
      <c r="Q756" s="73"/>
      <c r="R756" s="73">
        <v>55154567</v>
      </c>
      <c r="S756" s="75">
        <f t="shared" si="95"/>
        <v>133214567</v>
      </c>
      <c r="T756" s="77">
        <v>0</v>
      </c>
      <c r="U756" s="66">
        <v>40375</v>
      </c>
      <c r="V756" s="79">
        <v>35353</v>
      </c>
      <c r="W756" s="66" t="s">
        <v>1606</v>
      </c>
      <c r="X756" s="24" t="s">
        <v>1607</v>
      </c>
      <c r="Y756" s="62">
        <v>22559</v>
      </c>
      <c r="Z756" s="169" t="s">
        <v>2580</v>
      </c>
      <c r="AA756" s="166" t="s">
        <v>335</v>
      </c>
      <c r="AB756" s="152"/>
      <c r="AC756" s="153"/>
      <c r="AD756" s="154"/>
      <c r="AE756" s="153"/>
      <c r="AF756" s="153"/>
      <c r="AG756" s="153"/>
      <c r="AH756" s="153"/>
      <c r="AI756" s="153"/>
      <c r="AJ756" s="153"/>
      <c r="AK756" s="153"/>
      <c r="AL756" s="153"/>
      <c r="AM756" s="153"/>
      <c r="AN756" s="153"/>
      <c r="AO756" s="153"/>
      <c r="AP756" s="153">
        <v>90</v>
      </c>
      <c r="AQ756" s="153">
        <f>90*56000</f>
        <v>5040000</v>
      </c>
      <c r="AR756" s="153"/>
      <c r="AS756" s="153"/>
      <c r="AT756" s="153"/>
      <c r="AU756" s="153"/>
      <c r="AV756" s="153"/>
      <c r="AW756" s="153"/>
      <c r="AX756" s="153"/>
      <c r="AY756" s="153"/>
      <c r="AZ756" s="153"/>
      <c r="BA756" s="153"/>
      <c r="BB756" s="153"/>
      <c r="BC756" s="153"/>
      <c r="BD756" s="153"/>
      <c r="BE756" s="153"/>
      <c r="BF756" s="153"/>
      <c r="BG756" s="153"/>
      <c r="BH756" s="153"/>
      <c r="BI756" s="153"/>
      <c r="BJ756" s="153"/>
      <c r="BK756" s="153"/>
      <c r="BL756" s="153"/>
      <c r="BM756" s="153"/>
      <c r="BN756" s="153"/>
      <c r="BO756" s="153"/>
      <c r="BP756" s="153"/>
      <c r="BQ756" s="153"/>
      <c r="BR756" s="153"/>
      <c r="BS756" s="153"/>
      <c r="BT756" s="153"/>
      <c r="BU756" s="153"/>
      <c r="BV756" s="153"/>
      <c r="BW756" s="153"/>
      <c r="BX756" s="153"/>
      <c r="BY756" s="153"/>
      <c r="BZ756" s="153"/>
      <c r="CA756" s="153"/>
      <c r="CB756" s="153">
        <v>90</v>
      </c>
      <c r="CC756" s="153">
        <f>90*18000</f>
        <v>1620000</v>
      </c>
      <c r="CD756" s="155"/>
      <c r="CE756" s="156"/>
      <c r="CF756" s="155"/>
      <c r="CG756" s="156"/>
      <c r="CH756" s="155"/>
      <c r="CI756" s="156"/>
      <c r="CJ756" s="157">
        <f t="shared" si="94"/>
        <v>6660000</v>
      </c>
      <c r="CK756" s="158"/>
      <c r="CL756" s="159"/>
      <c r="CM756" s="160">
        <f>750+90</f>
        <v>840</v>
      </c>
      <c r="CN756" s="161">
        <f>750*85000+90*85000</f>
        <v>71400000</v>
      </c>
      <c r="CO756" s="162"/>
      <c r="CP756" s="161"/>
      <c r="CQ756" s="158"/>
      <c r="CR756" s="159"/>
      <c r="CS756" s="68">
        <v>2</v>
      </c>
      <c r="CT756" s="163"/>
      <c r="EC756" s="344" t="str">
        <f t="shared" si="98"/>
        <v>CHOCO_ACANDI</v>
      </c>
      <c r="ED756" s="341"/>
      <c r="EE756" s="341" t="s">
        <v>3171</v>
      </c>
      <c r="EF756" s="349" t="s">
        <v>3172</v>
      </c>
      <c r="EG756" s="341" t="s">
        <v>3971</v>
      </c>
      <c r="EH756" s="341" t="s">
        <v>5056</v>
      </c>
      <c r="EI756" s="341" t="str">
        <f t="shared" si="96"/>
        <v>Nariño_Mallama</v>
      </c>
    </row>
    <row r="757" spans="1:139" ht="72">
      <c r="A757" s="228">
        <v>40365</v>
      </c>
      <c r="B757" s="222" t="s">
        <v>1314</v>
      </c>
      <c r="C757" s="222" t="s">
        <v>331</v>
      </c>
      <c r="D757" s="233" t="s">
        <v>1201</v>
      </c>
      <c r="E757" s="325" t="s">
        <v>3596</v>
      </c>
      <c r="F757" s="325"/>
      <c r="G757" s="204"/>
      <c r="H757" s="151"/>
      <c r="I757" s="151"/>
      <c r="J757" s="151">
        <f>2180*5</f>
        <v>10900</v>
      </c>
      <c r="K757" s="151">
        <f>2720-540</f>
        <v>2180</v>
      </c>
      <c r="L757" s="1">
        <v>40466</v>
      </c>
      <c r="M757" s="73">
        <f t="shared" si="90"/>
        <v>106805617.80000001</v>
      </c>
      <c r="N757" s="73">
        <f t="shared" si="91"/>
        <v>92819159.159999996</v>
      </c>
      <c r="O757" s="73">
        <f t="shared" si="97"/>
        <v>38999940</v>
      </c>
      <c r="P757" s="73">
        <f t="shared" si="93"/>
        <v>0</v>
      </c>
      <c r="Q757" s="73"/>
      <c r="R757" s="73">
        <v>45474800</v>
      </c>
      <c r="S757" s="75">
        <f t="shared" si="95"/>
        <v>284099516.96000004</v>
      </c>
      <c r="T757" s="77">
        <v>0</v>
      </c>
      <c r="U757" s="66">
        <v>40393</v>
      </c>
      <c r="V757" s="79">
        <v>38287</v>
      </c>
      <c r="W757" s="66" t="s">
        <v>1606</v>
      </c>
      <c r="X757" s="24" t="s">
        <v>1607</v>
      </c>
      <c r="Y757" s="83" t="s">
        <v>800</v>
      </c>
      <c r="Z757" s="169" t="s">
        <v>1272</v>
      </c>
      <c r="AA757" s="166" t="s">
        <v>34</v>
      </c>
      <c r="AB757" s="152"/>
      <c r="AC757" s="153"/>
      <c r="AD757" s="154"/>
      <c r="AE757" s="153"/>
      <c r="AF757" s="153"/>
      <c r="AG757" s="153"/>
      <c r="AH757" s="153"/>
      <c r="AI757" s="153"/>
      <c r="AJ757" s="153"/>
      <c r="AK757" s="153"/>
      <c r="AL757" s="153"/>
      <c r="AM757" s="153"/>
      <c r="AN757" s="153">
        <v>600</v>
      </c>
      <c r="AO757" s="153">
        <f>600*56000</f>
        <v>33600000</v>
      </c>
      <c r="AP757" s="153"/>
      <c r="AQ757" s="153"/>
      <c r="AR757" s="153"/>
      <c r="AS757" s="153"/>
      <c r="AT757" s="153"/>
      <c r="AU757" s="153"/>
      <c r="AV757" s="153"/>
      <c r="AW757" s="153"/>
      <c r="AX757" s="153"/>
      <c r="AY757" s="153"/>
      <c r="AZ757" s="153"/>
      <c r="BA757" s="153"/>
      <c r="BB757" s="153"/>
      <c r="BC757" s="153"/>
      <c r="BD757" s="153"/>
      <c r="BE757" s="153"/>
      <c r="BF757" s="153"/>
      <c r="BG757" s="153"/>
      <c r="BH757" s="153"/>
      <c r="BI757" s="153"/>
      <c r="BJ757" s="153"/>
      <c r="BK757" s="153"/>
      <c r="BL757" s="153"/>
      <c r="BM757" s="153"/>
      <c r="BN757" s="153"/>
      <c r="BO757" s="153"/>
      <c r="BP757" s="153"/>
      <c r="BQ757" s="153"/>
      <c r="BR757" s="153"/>
      <c r="BS757" s="153"/>
      <c r="BT757" s="153"/>
      <c r="BU757" s="153"/>
      <c r="BV757" s="153"/>
      <c r="BW757" s="153"/>
      <c r="BX757" s="153">
        <v>600</v>
      </c>
      <c r="BY757" s="153">
        <f>600*21000</f>
        <v>12600000</v>
      </c>
      <c r="BZ757" s="153"/>
      <c r="CA757" s="153"/>
      <c r="CB757" s="153"/>
      <c r="CC757" s="153"/>
      <c r="CD757" s="155">
        <f>546+546</f>
        <v>1092</v>
      </c>
      <c r="CE757" s="156">
        <f>546*37999.86+546*37000</f>
        <v>40949923.560000002</v>
      </c>
      <c r="CF757" s="155">
        <v>546</v>
      </c>
      <c r="CG757" s="156">
        <f>546*35999.44</f>
        <v>19655694.240000002</v>
      </c>
      <c r="CH757" s="155"/>
      <c r="CI757" s="156"/>
      <c r="CJ757" s="157">
        <f t="shared" si="94"/>
        <v>106805617.80000001</v>
      </c>
      <c r="CK757" s="158"/>
      <c r="CL757" s="159"/>
      <c r="CM757" s="160">
        <f>546+546</f>
        <v>1092</v>
      </c>
      <c r="CN757" s="161">
        <f>546*84998.46+546*85000</f>
        <v>92819159.159999996</v>
      </c>
      <c r="CO757" s="162"/>
      <c r="CP757" s="161"/>
      <c r="CQ757" s="158">
        <v>2000</v>
      </c>
      <c r="CR757" s="159">
        <f>2000*18999.99+4000*249.99</f>
        <v>38999940</v>
      </c>
      <c r="CS757" s="68">
        <v>2</v>
      </c>
      <c r="CT757" s="163"/>
      <c r="EC757" s="344" t="str">
        <f t="shared" si="98"/>
        <v>CAUCA_EL TAMBO</v>
      </c>
      <c r="ED757" s="341"/>
      <c r="EE757" s="341" t="s">
        <v>3171</v>
      </c>
      <c r="EF757" s="349" t="s">
        <v>3172</v>
      </c>
      <c r="EG757" s="341" t="s">
        <v>3972</v>
      </c>
      <c r="EH757" s="341" t="s">
        <v>4852</v>
      </c>
      <c r="EI757" s="341" t="str">
        <f t="shared" si="96"/>
        <v>Nariño_Mosquera</v>
      </c>
    </row>
    <row r="758" spans="1:139" ht="38.25">
      <c r="A758" s="228">
        <v>40365</v>
      </c>
      <c r="B758" s="102" t="s">
        <v>1604</v>
      </c>
      <c r="C758" s="102" t="s">
        <v>1258</v>
      </c>
      <c r="D758" s="206" t="s">
        <v>1201</v>
      </c>
      <c r="E758" s="320" t="s">
        <v>3781</v>
      </c>
      <c r="F758" s="320"/>
      <c r="G758" s="210"/>
      <c r="H758" s="71"/>
      <c r="I758" s="71"/>
      <c r="J758" s="71">
        <v>488</v>
      </c>
      <c r="K758" s="71">
        <v>144</v>
      </c>
      <c r="L758" s="1"/>
      <c r="M758" s="73">
        <f t="shared" si="90"/>
        <v>0</v>
      </c>
      <c r="N758" s="73">
        <f t="shared" si="91"/>
        <v>0</v>
      </c>
      <c r="O758" s="73">
        <f t="shared" si="97"/>
        <v>0</v>
      </c>
      <c r="P758" s="73">
        <f t="shared" si="93"/>
        <v>0</v>
      </c>
      <c r="Q758" s="73"/>
      <c r="R758" s="73">
        <v>0</v>
      </c>
      <c r="S758" s="75">
        <f t="shared" si="95"/>
        <v>0</v>
      </c>
      <c r="T758" s="77">
        <v>0</v>
      </c>
      <c r="U758" s="66">
        <v>40371</v>
      </c>
      <c r="V758" s="79"/>
      <c r="W758" s="66" t="s">
        <v>1585</v>
      </c>
      <c r="X758" s="24" t="s">
        <v>1586</v>
      </c>
      <c r="Y758" s="62"/>
      <c r="Z758" s="177" t="s">
        <v>894</v>
      </c>
      <c r="AA758" s="80" t="s">
        <v>1070</v>
      </c>
      <c r="AB758" s="3"/>
      <c r="AC758" s="4"/>
      <c r="AD758" s="5"/>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6"/>
      <c r="CE758" s="7"/>
      <c r="CF758" s="6"/>
      <c r="CG758" s="7"/>
      <c r="CH758" s="6"/>
      <c r="CI758" s="7"/>
      <c r="CJ758" s="8">
        <f t="shared" si="94"/>
        <v>0</v>
      </c>
      <c r="CK758" s="9"/>
      <c r="CL758" s="10"/>
      <c r="CM758" s="11"/>
      <c r="CN758" s="12"/>
      <c r="CO758" s="28"/>
      <c r="CP758" s="12"/>
      <c r="CQ758" s="9"/>
      <c r="CR758" s="10"/>
      <c r="CS758" s="68"/>
      <c r="EC758" s="344" t="str">
        <f t="shared" si="98"/>
        <v>CUNDINAMARCA_UBAQUE</v>
      </c>
      <c r="ED758" s="341"/>
      <c r="EE758" s="341" t="s">
        <v>3171</v>
      </c>
      <c r="EF758" s="349" t="s">
        <v>3172</v>
      </c>
      <c r="EG758" s="341" t="s">
        <v>3973</v>
      </c>
      <c r="EH758" s="341" t="s">
        <v>3172</v>
      </c>
      <c r="EI758" s="341" t="str">
        <f t="shared" si="96"/>
        <v>Nariño_Nariño</v>
      </c>
    </row>
    <row r="759" spans="1:139" ht="36">
      <c r="A759" s="228">
        <v>40366</v>
      </c>
      <c r="B759" s="102" t="s">
        <v>1821</v>
      </c>
      <c r="C759" s="102" t="s">
        <v>595</v>
      </c>
      <c r="D759" s="206" t="s">
        <v>1201</v>
      </c>
      <c r="E759" s="320" t="s">
        <v>3628</v>
      </c>
      <c r="F759" s="320"/>
      <c r="G759" s="210"/>
      <c r="H759" s="71"/>
      <c r="I759" s="71"/>
      <c r="J759" s="71">
        <v>2500</v>
      </c>
      <c r="K759" s="71">
        <v>500</v>
      </c>
      <c r="L759" s="1">
        <v>40389</v>
      </c>
      <c r="M759" s="73">
        <f t="shared" si="90"/>
        <v>73476000</v>
      </c>
      <c r="N759" s="73">
        <f t="shared" si="91"/>
        <v>42500000</v>
      </c>
      <c r="O759" s="73">
        <f t="shared" si="97"/>
        <v>0</v>
      </c>
      <c r="P759" s="73">
        <f t="shared" si="93"/>
        <v>0</v>
      </c>
      <c r="Q759" s="73"/>
      <c r="R759" s="73">
        <v>0</v>
      </c>
      <c r="S759" s="75">
        <f t="shared" si="95"/>
        <v>115976000</v>
      </c>
      <c r="T759" s="77">
        <v>0</v>
      </c>
      <c r="U759" s="66">
        <v>40368</v>
      </c>
      <c r="V759" s="79">
        <v>33531</v>
      </c>
      <c r="W759" s="66" t="s">
        <v>1606</v>
      </c>
      <c r="X759" s="24" t="s">
        <v>1607</v>
      </c>
      <c r="Y759" s="62">
        <v>226</v>
      </c>
      <c r="Z759" s="177" t="s">
        <v>1435</v>
      </c>
      <c r="AA759" s="80" t="s">
        <v>1256</v>
      </c>
      <c r="AB759" s="3"/>
      <c r="AC759" s="4"/>
      <c r="AD759" s="5"/>
      <c r="AE759" s="4"/>
      <c r="AF759" s="4"/>
      <c r="AG759" s="4"/>
      <c r="AH759" s="4"/>
      <c r="AI759" s="4"/>
      <c r="AJ759" s="4"/>
      <c r="AK759" s="4"/>
      <c r="AL759" s="4"/>
      <c r="AM759" s="4"/>
      <c r="AN759" s="4">
        <v>500</v>
      </c>
      <c r="AO759" s="4">
        <f>500*56000</f>
        <v>28000000</v>
      </c>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v>500</v>
      </c>
      <c r="BY759" s="4">
        <f>500*18000</f>
        <v>9000000</v>
      </c>
      <c r="BZ759" s="4"/>
      <c r="CA759" s="4"/>
      <c r="CB759" s="4"/>
      <c r="CC759" s="4"/>
      <c r="CD759" s="6">
        <v>500</v>
      </c>
      <c r="CE759" s="7">
        <f>500*36952</f>
        <v>18476000</v>
      </c>
      <c r="CF759" s="6">
        <v>500</v>
      </c>
      <c r="CG759" s="7">
        <f>500*36000</f>
        <v>18000000</v>
      </c>
      <c r="CH759" s="6"/>
      <c r="CI759" s="7"/>
      <c r="CJ759" s="8">
        <f t="shared" si="94"/>
        <v>73476000</v>
      </c>
      <c r="CK759" s="9"/>
      <c r="CL759" s="10"/>
      <c r="CM759" s="11">
        <v>500</v>
      </c>
      <c r="CN759" s="12">
        <f>500*85000</f>
        <v>42500000</v>
      </c>
      <c r="CO759" s="28"/>
      <c r="CP759" s="12"/>
      <c r="CQ759" s="9"/>
      <c r="CR759" s="10"/>
      <c r="CS759" s="68"/>
      <c r="EC759" s="344" t="str">
        <f t="shared" si="98"/>
        <v>CESAR_VALLEDUPAR</v>
      </c>
      <c r="ED759" s="341"/>
      <c r="EE759" s="341" t="s">
        <v>3171</v>
      </c>
      <c r="EF759" s="349" t="s">
        <v>3172</v>
      </c>
      <c r="EG759" s="341" t="s">
        <v>3974</v>
      </c>
      <c r="EH759" s="341" t="s">
        <v>5057</v>
      </c>
      <c r="EI759" s="341" t="str">
        <f t="shared" si="96"/>
        <v>Nariño_Olaya Herrera</v>
      </c>
    </row>
    <row r="760" spans="1:139" ht="96">
      <c r="A760" s="228">
        <v>40366</v>
      </c>
      <c r="B760" s="102" t="s">
        <v>1604</v>
      </c>
      <c r="C760" s="102" t="s">
        <v>2351</v>
      </c>
      <c r="D760" s="206" t="s">
        <v>1201</v>
      </c>
      <c r="E760" s="320" t="s">
        <v>3764</v>
      </c>
      <c r="F760" s="320"/>
      <c r="G760" s="210"/>
      <c r="H760" s="71"/>
      <c r="I760" s="71"/>
      <c r="J760" s="71">
        <v>2300</v>
      </c>
      <c r="K760" s="71">
        <v>639</v>
      </c>
      <c r="L760" s="1">
        <v>40381</v>
      </c>
      <c r="M760" s="73">
        <f t="shared" si="90"/>
        <v>95525000</v>
      </c>
      <c r="N760" s="73">
        <f t="shared" si="91"/>
        <v>0</v>
      </c>
      <c r="O760" s="73">
        <f t="shared" si="97"/>
        <v>0</v>
      </c>
      <c r="P760" s="73">
        <f t="shared" si="93"/>
        <v>0</v>
      </c>
      <c r="Q760" s="73"/>
      <c r="R760" s="73">
        <v>0</v>
      </c>
      <c r="S760" s="75">
        <f t="shared" si="95"/>
        <v>95525000</v>
      </c>
      <c r="T760" s="77">
        <v>0</v>
      </c>
      <c r="U760" s="66">
        <v>40375</v>
      </c>
      <c r="V760" s="79">
        <v>35428</v>
      </c>
      <c r="W760" s="66" t="s">
        <v>1606</v>
      </c>
      <c r="X760" s="24" t="s">
        <v>1607</v>
      </c>
      <c r="Y760" s="62">
        <v>211</v>
      </c>
      <c r="Z760" s="177" t="s">
        <v>1435</v>
      </c>
      <c r="AA760" s="80" t="s">
        <v>1421</v>
      </c>
      <c r="AB760" s="3"/>
      <c r="AC760" s="4"/>
      <c r="AD760" s="5"/>
      <c r="AE760" s="4"/>
      <c r="AF760" s="4"/>
      <c r="AG760" s="4"/>
      <c r="AH760" s="4"/>
      <c r="AI760" s="4"/>
      <c r="AJ760" s="4">
        <v>750</v>
      </c>
      <c r="AK760" s="4">
        <f>750*18000</f>
        <v>13500000</v>
      </c>
      <c r="AL760" s="4"/>
      <c r="AM760" s="4"/>
      <c r="AN760" s="4">
        <v>133</v>
      </c>
      <c r="AO760" s="4">
        <f>133*56000</f>
        <v>7448000</v>
      </c>
      <c r="AP760" s="4">
        <v>967</v>
      </c>
      <c r="AQ760" s="4">
        <f>967*56000</f>
        <v>54152000</v>
      </c>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6">
        <v>250</v>
      </c>
      <c r="CE760" s="7">
        <f>250*38500</f>
        <v>9625000</v>
      </c>
      <c r="CF760" s="6">
        <v>300</v>
      </c>
      <c r="CG760" s="7">
        <f>300*36000</f>
        <v>10800000</v>
      </c>
      <c r="CH760" s="6"/>
      <c r="CI760" s="7"/>
      <c r="CJ760" s="8">
        <f t="shared" si="94"/>
        <v>95525000</v>
      </c>
      <c r="CK760" s="9"/>
      <c r="CL760" s="10"/>
      <c r="CM760" s="11"/>
      <c r="CN760" s="12"/>
      <c r="CO760" s="28"/>
      <c r="CP760" s="12"/>
      <c r="CQ760" s="9"/>
      <c r="CR760" s="10"/>
      <c r="CS760" s="68"/>
      <c r="EC760" s="344" t="str">
        <f t="shared" si="98"/>
        <v>CUNDINAMARCA_SOACHA</v>
      </c>
      <c r="ED760" s="341"/>
      <c r="EE760" s="341" t="s">
        <v>3171</v>
      </c>
      <c r="EF760" s="349" t="s">
        <v>3172</v>
      </c>
      <c r="EG760" s="341" t="s">
        <v>3975</v>
      </c>
      <c r="EH760" s="341" t="s">
        <v>5058</v>
      </c>
      <c r="EI760" s="341" t="str">
        <f t="shared" si="96"/>
        <v>Nariño_Ospina</v>
      </c>
    </row>
    <row r="761" spans="1:139" ht="38.25">
      <c r="A761" s="228">
        <v>40367</v>
      </c>
      <c r="B761" s="222" t="s">
        <v>1551</v>
      </c>
      <c r="C761" s="222" t="s">
        <v>1465</v>
      </c>
      <c r="D761" s="233" t="s">
        <v>1201</v>
      </c>
      <c r="E761" s="325" t="s">
        <v>3357</v>
      </c>
      <c r="F761" s="325"/>
      <c r="G761" s="204"/>
      <c r="H761" s="151"/>
      <c r="I761" s="151"/>
      <c r="J761" s="151">
        <f>45*5</f>
        <v>225</v>
      </c>
      <c r="K761" s="151">
        <v>45</v>
      </c>
      <c r="L761" s="1"/>
      <c r="M761" s="73">
        <f t="shared" si="90"/>
        <v>0</v>
      </c>
      <c r="N761" s="73">
        <f t="shared" si="91"/>
        <v>0</v>
      </c>
      <c r="O761" s="73">
        <f t="shared" si="97"/>
        <v>0</v>
      </c>
      <c r="P761" s="73">
        <f t="shared" si="93"/>
        <v>0</v>
      </c>
      <c r="Q761" s="73"/>
      <c r="R761" s="73">
        <v>0</v>
      </c>
      <c r="S761" s="75">
        <f t="shared" si="95"/>
        <v>0</v>
      </c>
      <c r="T761" s="77">
        <v>0</v>
      </c>
      <c r="U761" s="66">
        <v>40413</v>
      </c>
      <c r="V761" s="79">
        <v>42603</v>
      </c>
      <c r="W761" s="66" t="s">
        <v>1606</v>
      </c>
      <c r="X761" s="24" t="s">
        <v>1624</v>
      </c>
      <c r="Y761" s="62"/>
      <c r="Z761" s="177" t="s">
        <v>346</v>
      </c>
      <c r="AA761" s="166" t="s">
        <v>345</v>
      </c>
      <c r="AB761" s="152"/>
      <c r="AC761" s="153"/>
      <c r="AD761" s="154"/>
      <c r="AE761" s="153"/>
      <c r="AF761" s="153"/>
      <c r="AG761" s="153"/>
      <c r="AH761" s="153"/>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c r="BI761" s="153"/>
      <c r="BJ761" s="153"/>
      <c r="BK761" s="153"/>
      <c r="BL761" s="153"/>
      <c r="BM761" s="153"/>
      <c r="BN761" s="153"/>
      <c r="BO761" s="153"/>
      <c r="BP761" s="153"/>
      <c r="BQ761" s="153"/>
      <c r="BR761" s="153"/>
      <c r="BS761" s="153"/>
      <c r="BT761" s="153"/>
      <c r="BU761" s="153"/>
      <c r="BV761" s="153"/>
      <c r="BW761" s="153"/>
      <c r="BX761" s="153"/>
      <c r="BY761" s="153"/>
      <c r="BZ761" s="153"/>
      <c r="CA761" s="153"/>
      <c r="CB761" s="153"/>
      <c r="CC761" s="153"/>
      <c r="CD761" s="155"/>
      <c r="CE761" s="156"/>
      <c r="CF761" s="155"/>
      <c r="CG761" s="156"/>
      <c r="CH761" s="155"/>
      <c r="CI761" s="156"/>
      <c r="CJ761" s="157">
        <f t="shared" si="94"/>
        <v>0</v>
      </c>
      <c r="CK761" s="158"/>
      <c r="CL761" s="159"/>
      <c r="CM761" s="160"/>
      <c r="CN761" s="161"/>
      <c r="CO761" s="162"/>
      <c r="CP761" s="161"/>
      <c r="CQ761" s="158"/>
      <c r="CR761" s="159"/>
      <c r="CS761" s="68"/>
      <c r="CT761" s="163"/>
      <c r="EC761" s="344" t="str">
        <f t="shared" si="98"/>
        <v>ATLANTICO_JUAN DE ACOSTA</v>
      </c>
      <c r="ED761" s="341"/>
      <c r="EE761" s="341" t="s">
        <v>3171</v>
      </c>
      <c r="EF761" s="349" t="s">
        <v>3172</v>
      </c>
      <c r="EG761" s="341" t="s">
        <v>3976</v>
      </c>
      <c r="EH761" s="341" t="s">
        <v>5059</v>
      </c>
      <c r="EI761" s="341" t="str">
        <f t="shared" si="96"/>
        <v>Nariño_Francisco Pizarro</v>
      </c>
    </row>
    <row r="762" spans="1:139" ht="36">
      <c r="A762" s="228">
        <v>40367</v>
      </c>
      <c r="B762" s="102" t="s">
        <v>1615</v>
      </c>
      <c r="C762" s="102" t="s">
        <v>1642</v>
      </c>
      <c r="D762" s="206" t="s">
        <v>1201</v>
      </c>
      <c r="E762" s="320" t="s">
        <v>3376</v>
      </c>
      <c r="F762" s="320"/>
      <c r="G762" s="210"/>
      <c r="H762" s="71"/>
      <c r="I762" s="71"/>
      <c r="J762" s="71"/>
      <c r="K762" s="71"/>
      <c r="L762" s="1"/>
      <c r="M762" s="73">
        <f t="shared" si="90"/>
        <v>0</v>
      </c>
      <c r="N762" s="73">
        <f t="shared" si="91"/>
        <v>0</v>
      </c>
      <c r="O762" s="73">
        <f t="shared" si="97"/>
        <v>0</v>
      </c>
      <c r="P762" s="73">
        <f t="shared" si="93"/>
        <v>0</v>
      </c>
      <c r="Q762" s="73"/>
      <c r="R762" s="73">
        <v>0</v>
      </c>
      <c r="S762" s="75">
        <f t="shared" si="95"/>
        <v>0</v>
      </c>
      <c r="T762" s="77">
        <v>0</v>
      </c>
      <c r="U762" s="66">
        <v>40371</v>
      </c>
      <c r="V762" s="79"/>
      <c r="W762" s="66" t="s">
        <v>1585</v>
      </c>
      <c r="X762" s="24" t="s">
        <v>1586</v>
      </c>
      <c r="Y762" s="62"/>
      <c r="Z762" s="177" t="s">
        <v>894</v>
      </c>
      <c r="AA762" s="80" t="s">
        <v>2245</v>
      </c>
      <c r="AB762" s="3"/>
      <c r="AC762" s="4"/>
      <c r="AD762" s="5"/>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6"/>
      <c r="CE762" s="7"/>
      <c r="CF762" s="6"/>
      <c r="CG762" s="7"/>
      <c r="CH762" s="6"/>
      <c r="CI762" s="7"/>
      <c r="CJ762" s="8">
        <f t="shared" si="94"/>
        <v>0</v>
      </c>
      <c r="CK762" s="9"/>
      <c r="CL762" s="10"/>
      <c r="CM762" s="11"/>
      <c r="CN762" s="12"/>
      <c r="CO762" s="28"/>
      <c r="CP762" s="12"/>
      <c r="CQ762" s="9"/>
      <c r="CR762" s="10"/>
      <c r="CS762" s="68"/>
      <c r="EC762" s="344" t="str">
        <f t="shared" si="98"/>
        <v>BOLIVAR_CARTAGENA</v>
      </c>
      <c r="ED762" s="341"/>
      <c r="EE762" s="341" t="s">
        <v>3171</v>
      </c>
      <c r="EF762" s="349" t="s">
        <v>3172</v>
      </c>
      <c r="EG762" s="341" t="s">
        <v>3977</v>
      </c>
      <c r="EH762" s="341" t="s">
        <v>5060</v>
      </c>
      <c r="EI762" s="341" t="str">
        <f t="shared" si="96"/>
        <v>Nariño_Policarpa</v>
      </c>
    </row>
    <row r="763" spans="1:139" ht="36">
      <c r="A763" s="228">
        <v>40367</v>
      </c>
      <c r="B763" s="102" t="s">
        <v>1821</v>
      </c>
      <c r="C763" s="102" t="s">
        <v>2246</v>
      </c>
      <c r="D763" s="206" t="s">
        <v>1201</v>
      </c>
      <c r="E763" s="320" t="s">
        <v>3636</v>
      </c>
      <c r="F763" s="320"/>
      <c r="G763" s="210"/>
      <c r="H763" s="71"/>
      <c r="I763" s="71"/>
      <c r="J763" s="71">
        <f>27*5</f>
        <v>135</v>
      </c>
      <c r="K763" s="71">
        <v>27</v>
      </c>
      <c r="L763" s="1"/>
      <c r="M763" s="73">
        <f t="shared" si="90"/>
        <v>0</v>
      </c>
      <c r="N763" s="73">
        <f t="shared" si="91"/>
        <v>0</v>
      </c>
      <c r="O763" s="73">
        <f t="shared" si="97"/>
        <v>0</v>
      </c>
      <c r="P763" s="73">
        <f t="shared" si="93"/>
        <v>0</v>
      </c>
      <c r="Q763" s="73"/>
      <c r="R763" s="73">
        <v>0</v>
      </c>
      <c r="S763" s="75">
        <f t="shared" si="95"/>
        <v>0</v>
      </c>
      <c r="T763" s="77">
        <v>0</v>
      </c>
      <c r="U763" s="66">
        <v>40371</v>
      </c>
      <c r="V763" s="79"/>
      <c r="W763" s="66" t="s">
        <v>1585</v>
      </c>
      <c r="X763" s="24" t="s">
        <v>1586</v>
      </c>
      <c r="Y763" s="62"/>
      <c r="Z763" s="177" t="s">
        <v>894</v>
      </c>
      <c r="AA763" s="80" t="s">
        <v>1656</v>
      </c>
      <c r="AB763" s="3"/>
      <c r="AC763" s="4"/>
      <c r="AD763" s="5"/>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6"/>
      <c r="CE763" s="7"/>
      <c r="CF763" s="6"/>
      <c r="CG763" s="7"/>
      <c r="CH763" s="6"/>
      <c r="CI763" s="7"/>
      <c r="CJ763" s="8">
        <f t="shared" si="94"/>
        <v>0</v>
      </c>
      <c r="CK763" s="9"/>
      <c r="CL763" s="10"/>
      <c r="CM763" s="11"/>
      <c r="CN763" s="12"/>
      <c r="CO763" s="28"/>
      <c r="CP763" s="12"/>
      <c r="CQ763" s="9"/>
      <c r="CR763" s="10"/>
      <c r="CS763" s="68"/>
      <c r="EC763" s="344" t="str">
        <f t="shared" si="98"/>
        <v>CESAR_CURUMANI</v>
      </c>
      <c r="ED763" s="341"/>
      <c r="EE763" s="341" t="s">
        <v>3171</v>
      </c>
      <c r="EF763" s="349" t="s">
        <v>3172</v>
      </c>
      <c r="EG763" s="341" t="s">
        <v>3978</v>
      </c>
      <c r="EH763" s="341" t="s">
        <v>5061</v>
      </c>
      <c r="EI763" s="341" t="str">
        <f t="shared" si="96"/>
        <v>Nariño_Potosi</v>
      </c>
    </row>
    <row r="764" spans="1:139" ht="38.25">
      <c r="A764" s="228">
        <v>40367</v>
      </c>
      <c r="B764" s="102" t="s">
        <v>1604</v>
      </c>
      <c r="C764" s="102" t="s">
        <v>848</v>
      </c>
      <c r="D764" s="206" t="s">
        <v>1201</v>
      </c>
      <c r="E764" s="320" t="s">
        <v>3761</v>
      </c>
      <c r="F764" s="320"/>
      <c r="G764" s="210"/>
      <c r="H764" s="71"/>
      <c r="I764" s="71"/>
      <c r="J764" s="71">
        <v>35</v>
      </c>
      <c r="K764" s="71">
        <v>7</v>
      </c>
      <c r="L764" s="1"/>
      <c r="M764" s="73">
        <f t="shared" si="90"/>
        <v>0</v>
      </c>
      <c r="N764" s="73">
        <f t="shared" si="91"/>
        <v>0</v>
      </c>
      <c r="O764" s="73">
        <f t="shared" si="97"/>
        <v>0</v>
      </c>
      <c r="P764" s="73">
        <f t="shared" si="93"/>
        <v>0</v>
      </c>
      <c r="Q764" s="73"/>
      <c r="R764" s="73">
        <v>0</v>
      </c>
      <c r="S764" s="75">
        <f t="shared" si="95"/>
        <v>0</v>
      </c>
      <c r="T764" s="77">
        <v>0</v>
      </c>
      <c r="U764" s="66">
        <v>40371</v>
      </c>
      <c r="V764" s="79"/>
      <c r="W764" s="66" t="s">
        <v>1585</v>
      </c>
      <c r="X764" s="24" t="s">
        <v>1586</v>
      </c>
      <c r="Y764" s="62"/>
      <c r="Z764" s="177" t="s">
        <v>894</v>
      </c>
      <c r="AA764" s="80" t="s">
        <v>1416</v>
      </c>
      <c r="AB764" s="3"/>
      <c r="AC764" s="4"/>
      <c r="AD764" s="5"/>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6"/>
      <c r="CE764" s="7"/>
      <c r="CF764" s="6"/>
      <c r="CG764" s="7"/>
      <c r="CH764" s="6"/>
      <c r="CI764" s="7"/>
      <c r="CJ764" s="8">
        <f t="shared" si="94"/>
        <v>0</v>
      </c>
      <c r="CK764" s="9"/>
      <c r="CL764" s="10"/>
      <c r="CM764" s="11"/>
      <c r="CN764" s="12"/>
      <c r="CO764" s="28"/>
      <c r="CP764" s="12"/>
      <c r="CQ764" s="9"/>
      <c r="CR764" s="10"/>
      <c r="CS764" s="68"/>
      <c r="EC764" s="344" t="str">
        <f t="shared" si="98"/>
        <v>CUNDINAMARCA_SIBATE</v>
      </c>
      <c r="ED764" s="341"/>
      <c r="EE764" s="341" t="s">
        <v>3171</v>
      </c>
      <c r="EF764" s="349" t="s">
        <v>3172</v>
      </c>
      <c r="EG764" s="341" t="s">
        <v>3979</v>
      </c>
      <c r="EH764" s="341" t="s">
        <v>5062</v>
      </c>
      <c r="EI764" s="341" t="str">
        <f t="shared" si="96"/>
        <v>Nariño_Providencia</v>
      </c>
    </row>
    <row r="765" spans="1:139" ht="38.25">
      <c r="A765" s="228">
        <v>40367</v>
      </c>
      <c r="B765" s="102" t="s">
        <v>1604</v>
      </c>
      <c r="C765" s="102" t="s">
        <v>2351</v>
      </c>
      <c r="D765" s="206" t="s">
        <v>1878</v>
      </c>
      <c r="E765" s="320" t="s">
        <v>3764</v>
      </c>
      <c r="F765" s="320"/>
      <c r="G765" s="210">
        <v>1</v>
      </c>
      <c r="H765" s="71"/>
      <c r="I765" s="71"/>
      <c r="J765" s="71">
        <v>15</v>
      </c>
      <c r="K765" s="71">
        <v>3</v>
      </c>
      <c r="L765" s="1"/>
      <c r="M765" s="73">
        <f t="shared" si="90"/>
        <v>0</v>
      </c>
      <c r="N765" s="73">
        <f t="shared" si="91"/>
        <v>0</v>
      </c>
      <c r="O765" s="73">
        <f t="shared" ref="O765:O796" si="99">CP765+CR765</f>
        <v>0</v>
      </c>
      <c r="P765" s="73">
        <f t="shared" si="93"/>
        <v>0</v>
      </c>
      <c r="Q765" s="73"/>
      <c r="R765" s="73">
        <v>0</v>
      </c>
      <c r="S765" s="75">
        <f t="shared" si="95"/>
        <v>0</v>
      </c>
      <c r="T765" s="77">
        <v>0</v>
      </c>
      <c r="U765" s="66">
        <v>40371</v>
      </c>
      <c r="V765" s="79"/>
      <c r="W765" s="66" t="s">
        <v>1585</v>
      </c>
      <c r="X765" s="24" t="s">
        <v>1586</v>
      </c>
      <c r="Y765" s="62"/>
      <c r="Z765" s="177" t="s">
        <v>894</v>
      </c>
      <c r="AA765" s="80" t="s">
        <v>1415</v>
      </c>
      <c r="AB765" s="3"/>
      <c r="AC765" s="4"/>
      <c r="AD765" s="5"/>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6"/>
      <c r="CE765" s="7"/>
      <c r="CF765" s="6"/>
      <c r="CG765" s="7"/>
      <c r="CH765" s="6"/>
      <c r="CI765" s="7"/>
      <c r="CJ765" s="8">
        <f t="shared" si="94"/>
        <v>0</v>
      </c>
      <c r="CK765" s="9"/>
      <c r="CL765" s="10"/>
      <c r="CM765" s="11"/>
      <c r="CN765" s="12"/>
      <c r="CO765" s="28"/>
      <c r="CP765" s="12"/>
      <c r="CQ765" s="9"/>
      <c r="CR765" s="10"/>
      <c r="CS765" s="68"/>
      <c r="EC765" s="344" t="str">
        <f t="shared" si="98"/>
        <v>CUNDINAMARCA_SOACHA</v>
      </c>
      <c r="ED765" s="341"/>
      <c r="EE765" s="341" t="s">
        <v>3171</v>
      </c>
      <c r="EF765" s="349" t="s">
        <v>3172</v>
      </c>
      <c r="EG765" s="341" t="s">
        <v>3980</v>
      </c>
      <c r="EH765" s="341" t="s">
        <v>5063</v>
      </c>
      <c r="EI765" s="341" t="str">
        <f t="shared" si="96"/>
        <v>Nariño_Puerres</v>
      </c>
    </row>
    <row r="766" spans="1:139" ht="108">
      <c r="A766" s="228">
        <v>40367</v>
      </c>
      <c r="B766" s="102" t="s">
        <v>4321</v>
      </c>
      <c r="C766" s="102" t="s">
        <v>1236</v>
      </c>
      <c r="D766" s="206" t="s">
        <v>1201</v>
      </c>
      <c r="E766" s="320" t="s">
        <v>3869</v>
      </c>
      <c r="F766" s="320"/>
      <c r="G766" s="210"/>
      <c r="H766" s="71"/>
      <c r="I766" s="71"/>
      <c r="J766" s="71">
        <f>395*5</f>
        <v>1975</v>
      </c>
      <c r="K766" s="133">
        <v>395</v>
      </c>
      <c r="L766" s="1"/>
      <c r="M766" s="73">
        <f t="shared" si="90"/>
        <v>0</v>
      </c>
      <c r="N766" s="73">
        <f t="shared" si="91"/>
        <v>0</v>
      </c>
      <c r="O766" s="73">
        <f t="shared" si="99"/>
        <v>0</v>
      </c>
      <c r="P766" s="73">
        <f t="shared" si="93"/>
        <v>0</v>
      </c>
      <c r="Q766" s="73"/>
      <c r="R766" s="73">
        <v>0</v>
      </c>
      <c r="S766" s="75">
        <f t="shared" si="95"/>
        <v>0</v>
      </c>
      <c r="T766" s="77">
        <v>0</v>
      </c>
      <c r="U766" s="66">
        <v>40371</v>
      </c>
      <c r="V766" s="79"/>
      <c r="W766" s="66" t="s">
        <v>1606</v>
      </c>
      <c r="X766" s="24" t="s">
        <v>1607</v>
      </c>
      <c r="Y766" s="62"/>
      <c r="Z766" s="198" t="s">
        <v>830</v>
      </c>
      <c r="AA766" s="80" t="s">
        <v>5400</v>
      </c>
      <c r="AB766" s="3"/>
      <c r="AC766" s="4"/>
      <c r="AD766" s="5"/>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6"/>
      <c r="CE766" s="7"/>
      <c r="CF766" s="6"/>
      <c r="CG766" s="7"/>
      <c r="CH766" s="6"/>
      <c r="CI766" s="7"/>
      <c r="CJ766" s="8">
        <f t="shared" si="94"/>
        <v>0</v>
      </c>
      <c r="CK766" s="9"/>
      <c r="CL766" s="10"/>
      <c r="CM766" s="11"/>
      <c r="CN766" s="12"/>
      <c r="CO766" s="28"/>
      <c r="CP766" s="12"/>
      <c r="CQ766" s="9"/>
      <c r="CR766" s="10"/>
      <c r="CS766" s="68"/>
      <c r="EC766" s="344" t="str">
        <f t="shared" si="98"/>
        <v>LA GUAJIRA_MAICAO</v>
      </c>
      <c r="ED766" s="341"/>
      <c r="EE766" s="341" t="s">
        <v>3171</v>
      </c>
      <c r="EF766" s="349" t="s">
        <v>3172</v>
      </c>
      <c r="EG766" s="341" t="s">
        <v>3981</v>
      </c>
      <c r="EH766" s="341" t="s">
        <v>5064</v>
      </c>
      <c r="EI766" s="341" t="str">
        <f t="shared" si="96"/>
        <v>Nariño_Pupiales</v>
      </c>
    </row>
    <row r="767" spans="1:139" ht="25.5">
      <c r="A767" s="228">
        <v>40367</v>
      </c>
      <c r="B767" s="102" t="s">
        <v>2400</v>
      </c>
      <c r="C767" s="102" t="s">
        <v>1545</v>
      </c>
      <c r="D767" s="206" t="s">
        <v>1201</v>
      </c>
      <c r="E767" s="320" t="s">
        <v>4177</v>
      </c>
      <c r="F767" s="320"/>
      <c r="G767" s="210"/>
      <c r="H767" s="71"/>
      <c r="I767" s="71"/>
      <c r="J767" s="71">
        <v>95</v>
      </c>
      <c r="K767" s="71">
        <v>18</v>
      </c>
      <c r="L767" s="1"/>
      <c r="M767" s="73">
        <f t="shared" si="90"/>
        <v>0</v>
      </c>
      <c r="N767" s="73">
        <f t="shared" si="91"/>
        <v>0</v>
      </c>
      <c r="O767" s="73">
        <f t="shared" si="99"/>
        <v>0</v>
      </c>
      <c r="P767" s="73">
        <f t="shared" si="93"/>
        <v>0</v>
      </c>
      <c r="Q767" s="73"/>
      <c r="R767" s="73">
        <v>0</v>
      </c>
      <c r="S767" s="75">
        <f t="shared" si="95"/>
        <v>0</v>
      </c>
      <c r="T767" s="77">
        <v>0</v>
      </c>
      <c r="U767" s="66">
        <v>40367</v>
      </c>
      <c r="V767" s="79"/>
      <c r="W767" s="66" t="s">
        <v>1585</v>
      </c>
      <c r="X767" s="24" t="s">
        <v>1586</v>
      </c>
      <c r="Y767" s="62"/>
      <c r="Z767" s="177" t="s">
        <v>894</v>
      </c>
      <c r="AA767" s="80" t="s">
        <v>1071</v>
      </c>
      <c r="AB767" s="3"/>
      <c r="AC767" s="4"/>
      <c r="AD767" s="5"/>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6"/>
      <c r="CE767" s="7"/>
      <c r="CF767" s="6"/>
      <c r="CG767" s="7"/>
      <c r="CH767" s="6"/>
      <c r="CI767" s="7"/>
      <c r="CJ767" s="8">
        <f t="shared" si="94"/>
        <v>0</v>
      </c>
      <c r="CK767" s="9"/>
      <c r="CL767" s="10"/>
      <c r="CM767" s="11"/>
      <c r="CN767" s="12"/>
      <c r="CO767" s="28"/>
      <c r="CP767" s="12"/>
      <c r="CQ767" s="9"/>
      <c r="CR767" s="10"/>
      <c r="CS767" s="68"/>
      <c r="EC767" s="344" t="str">
        <f t="shared" si="98"/>
        <v>TOLIMA_IBAGUE</v>
      </c>
      <c r="ED767" s="341"/>
      <c r="EE767" s="341" t="s">
        <v>3171</v>
      </c>
      <c r="EF767" s="349" t="s">
        <v>3172</v>
      </c>
      <c r="EG767" s="341" t="s">
        <v>3982</v>
      </c>
      <c r="EH767" s="341" t="s">
        <v>4868</v>
      </c>
      <c r="EI767" s="341" t="str">
        <f t="shared" si="96"/>
        <v>Nariño_Ricaurte</v>
      </c>
    </row>
    <row r="768" spans="1:139" ht="25.5">
      <c r="A768" s="228">
        <v>40367</v>
      </c>
      <c r="B768" s="102" t="s">
        <v>2400</v>
      </c>
      <c r="C768" s="102" t="s">
        <v>1545</v>
      </c>
      <c r="D768" s="206" t="s">
        <v>1878</v>
      </c>
      <c r="E768" s="320" t="s">
        <v>4177</v>
      </c>
      <c r="F768" s="320"/>
      <c r="G768" s="210"/>
      <c r="H768" s="71"/>
      <c r="I768" s="71"/>
      <c r="J768" s="71">
        <v>5</v>
      </c>
      <c r="K768" s="71">
        <v>1</v>
      </c>
      <c r="L768" s="1"/>
      <c r="M768" s="73">
        <f t="shared" si="90"/>
        <v>0</v>
      </c>
      <c r="N768" s="73">
        <f t="shared" si="91"/>
        <v>0</v>
      </c>
      <c r="O768" s="73">
        <f t="shared" si="99"/>
        <v>0</v>
      </c>
      <c r="P768" s="73">
        <f t="shared" si="93"/>
        <v>0</v>
      </c>
      <c r="Q768" s="73"/>
      <c r="R768" s="73">
        <v>0</v>
      </c>
      <c r="S768" s="75">
        <f t="shared" si="95"/>
        <v>0</v>
      </c>
      <c r="T768" s="77">
        <v>0</v>
      </c>
      <c r="U768" s="66">
        <v>40371</v>
      </c>
      <c r="V768" s="79"/>
      <c r="W768" s="66" t="s">
        <v>1585</v>
      </c>
      <c r="X768" s="24" t="s">
        <v>1586</v>
      </c>
      <c r="Y768" s="62"/>
      <c r="Z768" s="177" t="s">
        <v>894</v>
      </c>
      <c r="AA768" s="80" t="s">
        <v>1735</v>
      </c>
      <c r="AB768" s="3"/>
      <c r="AC768" s="4"/>
      <c r="AD768" s="5"/>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6"/>
      <c r="CE768" s="7"/>
      <c r="CF768" s="6"/>
      <c r="CG768" s="7"/>
      <c r="CH768" s="6"/>
      <c r="CI768" s="7"/>
      <c r="CJ768" s="8">
        <f t="shared" si="94"/>
        <v>0</v>
      </c>
      <c r="CK768" s="9"/>
      <c r="CL768" s="10"/>
      <c r="CM768" s="11"/>
      <c r="CN768" s="12"/>
      <c r="CO768" s="28"/>
      <c r="CP768" s="12"/>
      <c r="CQ768" s="9"/>
      <c r="CR768" s="10"/>
      <c r="CS768" s="68"/>
      <c r="EC768" s="344" t="str">
        <f t="shared" si="98"/>
        <v>TOLIMA_IBAGUE</v>
      </c>
      <c r="ED768" s="341"/>
      <c r="EE768" s="341" t="s">
        <v>3171</v>
      </c>
      <c r="EF768" s="349" t="s">
        <v>3172</v>
      </c>
      <c r="EG768" s="341" t="s">
        <v>3983</v>
      </c>
      <c r="EH768" s="341" t="s">
        <v>5065</v>
      </c>
      <c r="EI768" s="341" t="str">
        <f t="shared" si="96"/>
        <v>Nariño_Roberto Payan</v>
      </c>
    </row>
    <row r="769" spans="1:139" ht="38.25">
      <c r="A769" s="228">
        <v>40367</v>
      </c>
      <c r="B769" s="102" t="s">
        <v>1088</v>
      </c>
      <c r="C769" s="102" t="s">
        <v>993</v>
      </c>
      <c r="D769" s="206" t="s">
        <v>1878</v>
      </c>
      <c r="E769" s="320" t="s">
        <v>4245</v>
      </c>
      <c r="F769" s="320"/>
      <c r="G769" s="210"/>
      <c r="H769" s="71"/>
      <c r="I769" s="71"/>
      <c r="J769" s="71">
        <v>5</v>
      </c>
      <c r="K769" s="71">
        <v>1</v>
      </c>
      <c r="L769" s="1"/>
      <c r="M769" s="73">
        <f t="shared" si="90"/>
        <v>0</v>
      </c>
      <c r="N769" s="73">
        <f t="shared" si="91"/>
        <v>0</v>
      </c>
      <c r="O769" s="73">
        <f t="shared" si="99"/>
        <v>0</v>
      </c>
      <c r="P769" s="73">
        <f t="shared" si="93"/>
        <v>0</v>
      </c>
      <c r="Q769" s="73"/>
      <c r="R769" s="73">
        <v>0</v>
      </c>
      <c r="S769" s="75">
        <f t="shared" si="95"/>
        <v>0</v>
      </c>
      <c r="T769" s="77">
        <v>0</v>
      </c>
      <c r="U769" s="66">
        <v>40371</v>
      </c>
      <c r="V769" s="79"/>
      <c r="W769" s="66" t="s">
        <v>1585</v>
      </c>
      <c r="X769" s="24" t="s">
        <v>1586</v>
      </c>
      <c r="Y769" s="62"/>
      <c r="Z769" s="177" t="s">
        <v>894</v>
      </c>
      <c r="AA769" s="80" t="s">
        <v>1417</v>
      </c>
      <c r="AB769" s="3"/>
      <c r="AC769" s="4"/>
      <c r="AD769" s="5"/>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6"/>
      <c r="CE769" s="7"/>
      <c r="CF769" s="6"/>
      <c r="CG769" s="7"/>
      <c r="CH769" s="6"/>
      <c r="CI769" s="7"/>
      <c r="CJ769" s="8">
        <f t="shared" si="94"/>
        <v>0</v>
      </c>
      <c r="CK769" s="9"/>
      <c r="CL769" s="10"/>
      <c r="CM769" s="11"/>
      <c r="CN769" s="12"/>
      <c r="CO769" s="28"/>
      <c r="CP769" s="12"/>
      <c r="CQ769" s="9"/>
      <c r="CR769" s="10"/>
      <c r="CS769" s="68"/>
      <c r="EC769" s="344" t="str">
        <f t="shared" si="98"/>
        <v>VALLE DEL CAUCA_JAMUNDI</v>
      </c>
      <c r="ED769" s="341"/>
      <c r="EE769" s="341" t="s">
        <v>3171</v>
      </c>
      <c r="EF769" s="349" t="s">
        <v>3172</v>
      </c>
      <c r="EG769" s="341" t="s">
        <v>3984</v>
      </c>
      <c r="EH769" s="341" t="s">
        <v>5066</v>
      </c>
      <c r="EI769" s="341" t="str">
        <f t="shared" si="96"/>
        <v>Nariño_Samaniego</v>
      </c>
    </row>
    <row r="770" spans="1:139" ht="60">
      <c r="A770" s="228">
        <v>40368</v>
      </c>
      <c r="B770" s="102" t="s">
        <v>1192</v>
      </c>
      <c r="C770" s="102" t="s">
        <v>1004</v>
      </c>
      <c r="D770" s="206" t="s">
        <v>1201</v>
      </c>
      <c r="E770" s="320" t="s">
        <v>3421</v>
      </c>
      <c r="F770" s="320"/>
      <c r="G770" s="210"/>
      <c r="H770" s="71"/>
      <c r="I770" s="71"/>
      <c r="J770" s="71">
        <v>600</v>
      </c>
      <c r="K770" s="71">
        <v>120</v>
      </c>
      <c r="L770" s="1"/>
      <c r="M770" s="73">
        <f t="shared" si="90"/>
        <v>0</v>
      </c>
      <c r="N770" s="73">
        <f t="shared" si="91"/>
        <v>0</v>
      </c>
      <c r="O770" s="73">
        <f t="shared" si="99"/>
        <v>0</v>
      </c>
      <c r="P770" s="73">
        <f t="shared" si="93"/>
        <v>0</v>
      </c>
      <c r="Q770" s="73"/>
      <c r="R770" s="73">
        <v>0</v>
      </c>
      <c r="S770" s="75">
        <f t="shared" si="95"/>
        <v>0</v>
      </c>
      <c r="T770" s="77">
        <v>0</v>
      </c>
      <c r="U770" s="66">
        <v>40371</v>
      </c>
      <c r="V770" s="79"/>
      <c r="W770" s="66" t="s">
        <v>1606</v>
      </c>
      <c r="X770" s="24" t="s">
        <v>1607</v>
      </c>
      <c r="Y770" s="62"/>
      <c r="Z770" s="176" t="s">
        <v>1274</v>
      </c>
      <c r="AA770" s="80" t="s">
        <v>1296</v>
      </c>
      <c r="AB770" s="3"/>
      <c r="AC770" s="4"/>
      <c r="AD770" s="5"/>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6"/>
      <c r="CE770" s="7"/>
      <c r="CF770" s="6"/>
      <c r="CG770" s="7"/>
      <c r="CH770" s="6"/>
      <c r="CI770" s="7"/>
      <c r="CJ770" s="8">
        <f t="shared" si="94"/>
        <v>0</v>
      </c>
      <c r="CK770" s="9"/>
      <c r="CL770" s="10"/>
      <c r="CM770" s="11"/>
      <c r="CN770" s="12"/>
      <c r="CO770" s="28"/>
      <c r="CP770" s="12"/>
      <c r="CQ770" s="9"/>
      <c r="CR770" s="10"/>
      <c r="CS770" s="68"/>
      <c r="EC770" s="344" t="str">
        <f t="shared" si="98"/>
        <v>BOYACA_TUNJA</v>
      </c>
      <c r="ED770" s="341"/>
      <c r="EE770" s="341" t="s">
        <v>3171</v>
      </c>
      <c r="EF770" s="349" t="s">
        <v>3172</v>
      </c>
      <c r="EG770" s="341" t="s">
        <v>3985</v>
      </c>
      <c r="EH770" s="341" t="s">
        <v>5067</v>
      </c>
      <c r="EI770" s="341" t="str">
        <f t="shared" si="96"/>
        <v>Nariño_Sandona</v>
      </c>
    </row>
    <row r="771" spans="1:139" ht="38.25">
      <c r="A771" s="228">
        <v>40368</v>
      </c>
      <c r="B771" s="102" t="s">
        <v>1604</v>
      </c>
      <c r="C771" s="102" t="s">
        <v>2351</v>
      </c>
      <c r="D771" s="206" t="s">
        <v>1878</v>
      </c>
      <c r="E771" s="320" t="s">
        <v>3764</v>
      </c>
      <c r="F771" s="320"/>
      <c r="G771" s="210"/>
      <c r="H771" s="71"/>
      <c r="I771" s="71"/>
      <c r="J771" s="71">
        <v>5</v>
      </c>
      <c r="K771" s="71">
        <v>1</v>
      </c>
      <c r="L771" s="1"/>
      <c r="M771" s="73">
        <f t="shared" ref="M771:M834" si="100">CJ771</f>
        <v>0</v>
      </c>
      <c r="N771" s="73">
        <f t="shared" ref="N771:N834" si="101">CN771</f>
        <v>0</v>
      </c>
      <c r="O771" s="73">
        <f t="shared" si="99"/>
        <v>0</v>
      </c>
      <c r="P771" s="73">
        <f t="shared" ref="P771:P834" si="102">CL771</f>
        <v>0</v>
      </c>
      <c r="Q771" s="73"/>
      <c r="R771" s="73">
        <v>0</v>
      </c>
      <c r="S771" s="75">
        <f t="shared" si="95"/>
        <v>0</v>
      </c>
      <c r="T771" s="77">
        <v>0</v>
      </c>
      <c r="U771" s="66">
        <v>40371</v>
      </c>
      <c r="V771" s="79"/>
      <c r="W771" s="66" t="s">
        <v>1585</v>
      </c>
      <c r="X771" s="24" t="s">
        <v>1586</v>
      </c>
      <c r="Y771" s="62"/>
      <c r="Z771" s="177" t="s">
        <v>894</v>
      </c>
      <c r="AA771" s="80" t="s">
        <v>2233</v>
      </c>
      <c r="AB771" s="3"/>
      <c r="AC771" s="4"/>
      <c r="AD771" s="5"/>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6"/>
      <c r="CE771" s="7"/>
      <c r="CF771" s="6"/>
      <c r="CG771" s="7"/>
      <c r="CH771" s="6"/>
      <c r="CI771" s="7"/>
      <c r="CJ771" s="8">
        <f t="shared" ref="CJ771:CJ834" si="103">AC771+AE771+AG771+AI771+AK771+AM771+AO771+AQ771+AS771+AU771+AW771+AY771+BA771+BC771+BE771+BG771+BI771+BK771+BM771+BO771+BQ771+BS771+BU771+BW771+BY771+CA771+CC771+CE771+CG771+CI771</f>
        <v>0</v>
      </c>
      <c r="CK771" s="9"/>
      <c r="CL771" s="10"/>
      <c r="CM771" s="11"/>
      <c r="CN771" s="12"/>
      <c r="CO771" s="28"/>
      <c r="CP771" s="12"/>
      <c r="CQ771" s="9"/>
      <c r="CR771" s="10"/>
      <c r="CS771" s="68"/>
      <c r="EC771" s="344" t="str">
        <f t="shared" si="98"/>
        <v>CUNDINAMARCA_SOACHA</v>
      </c>
      <c r="ED771" s="341"/>
      <c r="EE771" s="341" t="s">
        <v>3171</v>
      </c>
      <c r="EF771" s="349" t="s">
        <v>3172</v>
      </c>
      <c r="EG771" s="341" t="s">
        <v>3986</v>
      </c>
      <c r="EH771" s="341" t="s">
        <v>4870</v>
      </c>
      <c r="EI771" s="341" t="str">
        <f t="shared" si="96"/>
        <v>Nariño_San Bernardo</v>
      </c>
    </row>
    <row r="772" spans="1:139" ht="38.25">
      <c r="A772" s="228">
        <v>40368</v>
      </c>
      <c r="B772" s="102" t="s">
        <v>1440</v>
      </c>
      <c r="C772" s="102" t="s">
        <v>1418</v>
      </c>
      <c r="D772" s="206" t="s">
        <v>1878</v>
      </c>
      <c r="E772" s="320" t="s">
        <v>3875</v>
      </c>
      <c r="F772" s="320"/>
      <c r="G772" s="210"/>
      <c r="H772" s="71"/>
      <c r="I772" s="71"/>
      <c r="J772" s="71">
        <v>25</v>
      </c>
      <c r="K772" s="71">
        <v>5</v>
      </c>
      <c r="L772" s="1"/>
      <c r="M772" s="73">
        <f t="shared" si="100"/>
        <v>0</v>
      </c>
      <c r="N772" s="73">
        <f t="shared" si="101"/>
        <v>0</v>
      </c>
      <c r="O772" s="73">
        <f t="shared" si="99"/>
        <v>0</v>
      </c>
      <c r="P772" s="73">
        <f t="shared" si="102"/>
        <v>0</v>
      </c>
      <c r="Q772" s="73"/>
      <c r="R772" s="73">
        <v>0</v>
      </c>
      <c r="S772" s="75">
        <f t="shared" si="95"/>
        <v>0</v>
      </c>
      <c r="T772" s="77">
        <v>0</v>
      </c>
      <c r="U772" s="66">
        <v>40371</v>
      </c>
      <c r="V772" s="79"/>
      <c r="W772" s="66" t="s">
        <v>1585</v>
      </c>
      <c r="X772" s="24" t="s">
        <v>1586</v>
      </c>
      <c r="Y772" s="62"/>
      <c r="Z772" s="177" t="s">
        <v>894</v>
      </c>
      <c r="AA772" s="80" t="s">
        <v>1419</v>
      </c>
      <c r="AB772" s="3"/>
      <c r="AC772" s="4"/>
      <c r="AD772" s="5"/>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6"/>
      <c r="CE772" s="7"/>
      <c r="CF772" s="6"/>
      <c r="CG772" s="7"/>
      <c r="CH772" s="6"/>
      <c r="CI772" s="7"/>
      <c r="CJ772" s="8">
        <f t="shared" si="103"/>
        <v>0</v>
      </c>
      <c r="CK772" s="9"/>
      <c r="CL772" s="10"/>
      <c r="CM772" s="11"/>
      <c r="CN772" s="12"/>
      <c r="CO772" s="28"/>
      <c r="CP772" s="12"/>
      <c r="CQ772" s="9"/>
      <c r="CR772" s="10"/>
      <c r="CS772" s="68"/>
      <c r="EC772" s="344" t="str">
        <f t="shared" si="98"/>
        <v>MAGDALENA_SANTA MARTA</v>
      </c>
      <c r="ED772" s="341"/>
      <c r="EE772" s="341" t="s">
        <v>3171</v>
      </c>
      <c r="EF772" s="349" t="s">
        <v>3172</v>
      </c>
      <c r="EG772" s="341" t="s">
        <v>3987</v>
      </c>
      <c r="EH772" s="341" t="s">
        <v>5068</v>
      </c>
      <c r="EI772" s="341" t="str">
        <f t="shared" ref="EI772:EI830" si="104">EF772&amp;"_"&amp;EH772</f>
        <v>Nariño_San Lorenzo</v>
      </c>
    </row>
    <row r="773" spans="1:139" ht="108">
      <c r="A773" s="228">
        <v>40368</v>
      </c>
      <c r="B773" s="102" t="s">
        <v>1440</v>
      </c>
      <c r="C773" s="102" t="s">
        <v>1418</v>
      </c>
      <c r="D773" s="206" t="s">
        <v>1201</v>
      </c>
      <c r="E773" s="320" t="s">
        <v>3875</v>
      </c>
      <c r="F773" s="320"/>
      <c r="G773" s="210"/>
      <c r="H773" s="71"/>
      <c r="I773" s="71"/>
      <c r="J773" s="71">
        <v>11000</v>
      </c>
      <c r="K773" s="71">
        <v>2200</v>
      </c>
      <c r="L773" s="1">
        <v>40392</v>
      </c>
      <c r="M773" s="73">
        <f t="shared" si="100"/>
        <v>101000000</v>
      </c>
      <c r="N773" s="73">
        <f t="shared" si="101"/>
        <v>84900000</v>
      </c>
      <c r="O773" s="73">
        <f t="shared" si="99"/>
        <v>0</v>
      </c>
      <c r="P773" s="73">
        <f t="shared" si="102"/>
        <v>9001600</v>
      </c>
      <c r="Q773" s="73"/>
      <c r="R773" s="73">
        <v>0</v>
      </c>
      <c r="S773" s="75">
        <f t="shared" si="95"/>
        <v>194901600</v>
      </c>
      <c r="T773" s="77">
        <v>0</v>
      </c>
      <c r="U773" s="66">
        <v>40388</v>
      </c>
      <c r="V773" s="79">
        <v>37438</v>
      </c>
      <c r="W773" s="66" t="s">
        <v>1606</v>
      </c>
      <c r="X773" s="24" t="s">
        <v>1607</v>
      </c>
      <c r="Y773" s="83" t="s">
        <v>1485</v>
      </c>
      <c r="Z773" s="177" t="s">
        <v>1435</v>
      </c>
      <c r="AA773" s="80" t="s">
        <v>1727</v>
      </c>
      <c r="AB773" s="3"/>
      <c r="AC773" s="4"/>
      <c r="AD773" s="5"/>
      <c r="AE773" s="4"/>
      <c r="AF773" s="4"/>
      <c r="AG773" s="4"/>
      <c r="AH773" s="4"/>
      <c r="AI773" s="4"/>
      <c r="AJ773" s="4"/>
      <c r="AK773" s="4"/>
      <c r="AL773" s="4"/>
      <c r="AM773" s="4"/>
      <c r="AN773" s="4">
        <v>500</v>
      </c>
      <c r="AO773" s="4">
        <f>500*56000</f>
        <v>28000000</v>
      </c>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6">
        <v>1000</v>
      </c>
      <c r="CE773" s="7">
        <f>1000*37000</f>
        <v>37000000</v>
      </c>
      <c r="CF773" s="6">
        <v>1000</v>
      </c>
      <c r="CG773" s="7">
        <f>1000*36000</f>
        <v>36000000</v>
      </c>
      <c r="CH773" s="6"/>
      <c r="CI773" s="7"/>
      <c r="CJ773" s="8">
        <f t="shared" si="103"/>
        <v>101000000</v>
      </c>
      <c r="CK773" s="9">
        <v>10000</v>
      </c>
      <c r="CL773" s="10">
        <f>10000*900.16</f>
        <v>9001600</v>
      </c>
      <c r="CM773" s="11">
        <v>1000</v>
      </c>
      <c r="CN773" s="12">
        <f>1000*84900</f>
        <v>84900000</v>
      </c>
      <c r="CO773" s="28"/>
      <c r="CP773" s="12"/>
      <c r="CQ773" s="9"/>
      <c r="CR773" s="10"/>
      <c r="CS773" s="68"/>
      <c r="EC773" s="344" t="str">
        <f t="shared" si="98"/>
        <v>MAGDALENA_SANTA MARTA</v>
      </c>
      <c r="ED773" s="341"/>
      <c r="EE773" s="341" t="s">
        <v>3171</v>
      </c>
      <c r="EF773" s="349" t="s">
        <v>3172</v>
      </c>
      <c r="EG773" s="341" t="s">
        <v>3988</v>
      </c>
      <c r="EH773" s="341" t="s">
        <v>4551</v>
      </c>
      <c r="EI773" s="341" t="str">
        <f t="shared" si="104"/>
        <v>Nariño_San Pablo</v>
      </c>
    </row>
    <row r="774" spans="1:139" ht="38.25">
      <c r="A774" s="228">
        <v>40368</v>
      </c>
      <c r="B774" s="102" t="s">
        <v>1088</v>
      </c>
      <c r="C774" s="102" t="s">
        <v>993</v>
      </c>
      <c r="D774" s="206" t="s">
        <v>1923</v>
      </c>
      <c r="E774" s="320" t="s">
        <v>4245</v>
      </c>
      <c r="F774" s="320"/>
      <c r="G774" s="210">
        <v>3</v>
      </c>
      <c r="H774" s="71"/>
      <c r="I774" s="71"/>
      <c r="J774" s="71"/>
      <c r="K774" s="71"/>
      <c r="L774" s="1"/>
      <c r="M774" s="73">
        <f t="shared" si="100"/>
        <v>0</v>
      </c>
      <c r="N774" s="73">
        <f t="shared" si="101"/>
        <v>0</v>
      </c>
      <c r="O774" s="73">
        <f t="shared" si="99"/>
        <v>0</v>
      </c>
      <c r="P774" s="73">
        <f t="shared" si="102"/>
        <v>0</v>
      </c>
      <c r="Q774" s="73"/>
      <c r="R774" s="73">
        <v>0</v>
      </c>
      <c r="S774" s="75">
        <f t="shared" si="95"/>
        <v>0</v>
      </c>
      <c r="T774" s="77">
        <v>0</v>
      </c>
      <c r="U774" s="66">
        <v>40371</v>
      </c>
      <c r="V774" s="79"/>
      <c r="W774" s="66" t="s">
        <v>1585</v>
      </c>
      <c r="X774" s="24" t="s">
        <v>1586</v>
      </c>
      <c r="Y774" s="62"/>
      <c r="Z774" s="177" t="s">
        <v>894</v>
      </c>
      <c r="AA774" s="80" t="s">
        <v>2244</v>
      </c>
      <c r="AB774" s="3"/>
      <c r="AC774" s="4"/>
      <c r="AD774" s="5"/>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6"/>
      <c r="CE774" s="7"/>
      <c r="CF774" s="6"/>
      <c r="CG774" s="7"/>
      <c r="CH774" s="6"/>
      <c r="CI774" s="7"/>
      <c r="CJ774" s="8">
        <f t="shared" si="103"/>
        <v>0</v>
      </c>
      <c r="CK774" s="9"/>
      <c r="CL774" s="10"/>
      <c r="CM774" s="11"/>
      <c r="CN774" s="12"/>
      <c r="CO774" s="28"/>
      <c r="CP774" s="12"/>
      <c r="CQ774" s="9"/>
      <c r="CR774" s="10"/>
      <c r="CS774" s="68"/>
      <c r="EC774" s="344" t="str">
        <f t="shared" si="98"/>
        <v>VALLE DEL CAUCA_JAMUNDI</v>
      </c>
      <c r="ED774" s="341"/>
      <c r="EE774" s="341" t="s">
        <v>3171</v>
      </c>
      <c r="EF774" s="349" t="s">
        <v>3172</v>
      </c>
      <c r="EG774" s="341" t="s">
        <v>3989</v>
      </c>
      <c r="EH774" s="341" t="s">
        <v>5069</v>
      </c>
      <c r="EI774" s="341" t="str">
        <f t="shared" si="104"/>
        <v>Nariño_San Pedro de Cartago</v>
      </c>
    </row>
    <row r="775" spans="1:139" ht="38.25">
      <c r="A775" s="228">
        <v>40368.053472222222</v>
      </c>
      <c r="B775" s="205" t="s">
        <v>2298</v>
      </c>
      <c r="C775" s="205" t="s">
        <v>1610</v>
      </c>
      <c r="D775" s="207" t="s">
        <v>1878</v>
      </c>
      <c r="E775" s="323"/>
      <c r="F775" s="323"/>
      <c r="G775" s="204"/>
      <c r="H775" s="151"/>
      <c r="I775" s="151"/>
      <c r="J775" s="151">
        <v>144</v>
      </c>
      <c r="K775" s="409">
        <v>36</v>
      </c>
      <c r="L775" s="1"/>
      <c r="M775" s="73">
        <f t="shared" si="100"/>
        <v>0</v>
      </c>
      <c r="N775" s="73">
        <f t="shared" si="101"/>
        <v>0</v>
      </c>
      <c r="O775" s="73">
        <f t="shared" si="99"/>
        <v>0</v>
      </c>
      <c r="P775" s="73">
        <f t="shared" si="102"/>
        <v>0</v>
      </c>
      <c r="Q775" s="73"/>
      <c r="R775" s="73">
        <v>0</v>
      </c>
      <c r="S775" s="75">
        <f t="shared" si="95"/>
        <v>0</v>
      </c>
      <c r="T775" s="77">
        <v>0</v>
      </c>
      <c r="U775" s="296">
        <v>40624</v>
      </c>
      <c r="V775" s="297"/>
      <c r="W775" s="296" t="s">
        <v>1585</v>
      </c>
      <c r="X775" s="298" t="s">
        <v>1586</v>
      </c>
      <c r="Y775" s="299"/>
      <c r="Z775" s="300" t="s">
        <v>894</v>
      </c>
      <c r="AA775" s="414" t="s">
        <v>5412</v>
      </c>
      <c r="AB775" s="152"/>
      <c r="AC775" s="153"/>
      <c r="AD775" s="154"/>
      <c r="AE775" s="153"/>
      <c r="AF775" s="153"/>
      <c r="AG775" s="153"/>
      <c r="AH775" s="153"/>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c r="BI775" s="153"/>
      <c r="BJ775" s="153"/>
      <c r="BK775" s="153"/>
      <c r="BL775" s="153"/>
      <c r="BM775" s="153"/>
      <c r="BN775" s="153"/>
      <c r="BO775" s="153"/>
      <c r="BP775" s="153"/>
      <c r="BQ775" s="153"/>
      <c r="BR775" s="153"/>
      <c r="BS775" s="153"/>
      <c r="BT775" s="153"/>
      <c r="BU775" s="153"/>
      <c r="BV775" s="153"/>
      <c r="BW775" s="153"/>
      <c r="BX775" s="153"/>
      <c r="BY775" s="153"/>
      <c r="BZ775" s="153"/>
      <c r="CA775" s="153"/>
      <c r="CB775" s="153"/>
      <c r="CC775" s="153"/>
      <c r="CD775" s="155"/>
      <c r="CE775" s="156"/>
      <c r="CF775" s="155"/>
      <c r="CG775" s="156"/>
      <c r="CH775" s="155"/>
      <c r="CI775" s="156"/>
      <c r="CJ775" s="157">
        <f t="shared" si="103"/>
        <v>0</v>
      </c>
      <c r="CK775" s="158"/>
      <c r="CL775" s="159"/>
      <c r="CM775" s="160"/>
      <c r="CN775" s="161"/>
      <c r="CO775" s="162"/>
      <c r="CP775" s="161"/>
      <c r="CQ775" s="158"/>
      <c r="CR775" s="159"/>
      <c r="CS775" s="68"/>
      <c r="CT775" s="163"/>
      <c r="EC775" s="344" t="str">
        <f t="shared" si="98"/>
        <v>BOGOTA D.C._BOGOTA</v>
      </c>
      <c r="ED775" s="341"/>
      <c r="EE775" s="341" t="s">
        <v>3171</v>
      </c>
      <c r="EF775" s="349" t="s">
        <v>3172</v>
      </c>
      <c r="EG775" s="341" t="s">
        <v>3990</v>
      </c>
      <c r="EH775" s="341" t="s">
        <v>4469</v>
      </c>
      <c r="EI775" s="341" t="str">
        <f t="shared" si="104"/>
        <v>Nariño_Santa Barbara</v>
      </c>
    </row>
    <row r="776" spans="1:139" ht="45">
      <c r="A776" s="235">
        <v>40369</v>
      </c>
      <c r="B776" s="224" t="s">
        <v>1972</v>
      </c>
      <c r="C776" s="224" t="s">
        <v>1428</v>
      </c>
      <c r="D776" s="236" t="s">
        <v>1878</v>
      </c>
      <c r="E776" s="324" t="s">
        <v>3334</v>
      </c>
      <c r="F776" s="324"/>
      <c r="G776" s="210"/>
      <c r="H776" s="71"/>
      <c r="I776" s="71"/>
      <c r="J776" s="71">
        <f>491-250</f>
        <v>241</v>
      </c>
      <c r="K776" s="71">
        <f>128-50</f>
        <v>78</v>
      </c>
      <c r="L776" s="1">
        <v>40421</v>
      </c>
      <c r="M776" s="73">
        <f t="shared" si="100"/>
        <v>11185650</v>
      </c>
      <c r="N776" s="73">
        <f t="shared" si="101"/>
        <v>12750000</v>
      </c>
      <c r="O776" s="73">
        <f t="shared" si="99"/>
        <v>0</v>
      </c>
      <c r="P776" s="73">
        <f t="shared" si="102"/>
        <v>0</v>
      </c>
      <c r="Q776" s="73"/>
      <c r="R776" s="73">
        <v>0</v>
      </c>
      <c r="S776" s="75">
        <f t="shared" si="95"/>
        <v>23935650</v>
      </c>
      <c r="T776" s="77">
        <v>0</v>
      </c>
      <c r="U776" s="66">
        <v>40371</v>
      </c>
      <c r="V776" s="79">
        <v>35524</v>
      </c>
      <c r="W776" s="66" t="s">
        <v>1606</v>
      </c>
      <c r="X776" s="24" t="s">
        <v>1607</v>
      </c>
      <c r="Y776" s="62">
        <v>283</v>
      </c>
      <c r="Z776" s="177" t="s">
        <v>2580</v>
      </c>
      <c r="AA776" s="80" t="s">
        <v>686</v>
      </c>
      <c r="AB776" s="3"/>
      <c r="AC776" s="4"/>
      <c r="AD776" s="5"/>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6">
        <v>150</v>
      </c>
      <c r="CE776" s="7">
        <f>150*36595</f>
        <v>5489250</v>
      </c>
      <c r="CF776" s="6">
        <v>150</v>
      </c>
      <c r="CG776" s="7">
        <f>150*37976</f>
        <v>5696400</v>
      </c>
      <c r="CH776" s="6"/>
      <c r="CI776" s="7"/>
      <c r="CJ776" s="8">
        <f t="shared" si="103"/>
        <v>11185650</v>
      </c>
      <c r="CK776" s="9"/>
      <c r="CL776" s="10"/>
      <c r="CM776" s="11">
        <v>150</v>
      </c>
      <c r="CN776" s="12">
        <f>150*85000</f>
        <v>12750000</v>
      </c>
      <c r="CO776" s="28"/>
      <c r="CP776" s="12"/>
      <c r="CQ776" s="9"/>
      <c r="CR776" s="10"/>
      <c r="CS776" s="68"/>
      <c r="EC776" s="344" t="str">
        <f t="shared" si="98"/>
        <v>ANTIOQUIA_TAMESIS</v>
      </c>
      <c r="ED776" s="341"/>
      <c r="EE776" s="341" t="s">
        <v>3171</v>
      </c>
      <c r="EF776" s="349" t="s">
        <v>3172</v>
      </c>
      <c r="EG776" s="341" t="s">
        <v>3991</v>
      </c>
      <c r="EH776" s="341" t="s">
        <v>5070</v>
      </c>
      <c r="EI776" s="341" t="str">
        <f t="shared" si="104"/>
        <v>Nariño_Santacruz</v>
      </c>
    </row>
    <row r="777" spans="1:139" ht="36">
      <c r="A777" s="228">
        <v>40369</v>
      </c>
      <c r="B777" s="102" t="s">
        <v>1551</v>
      </c>
      <c r="C777" s="102" t="s">
        <v>1422</v>
      </c>
      <c r="D777" s="206" t="s">
        <v>1201</v>
      </c>
      <c r="E777" s="320" t="s">
        <v>3374</v>
      </c>
      <c r="F777" s="320"/>
      <c r="G777" s="210"/>
      <c r="H777" s="71"/>
      <c r="I777" s="71"/>
      <c r="J777" s="71">
        <f>12*5</f>
        <v>60</v>
      </c>
      <c r="K777" s="71">
        <v>12</v>
      </c>
      <c r="L777" s="1"/>
      <c r="M777" s="73">
        <f t="shared" si="100"/>
        <v>0</v>
      </c>
      <c r="N777" s="73">
        <f t="shared" si="101"/>
        <v>0</v>
      </c>
      <c r="O777" s="73">
        <f t="shared" si="99"/>
        <v>0</v>
      </c>
      <c r="P777" s="73">
        <f t="shared" si="102"/>
        <v>0</v>
      </c>
      <c r="Q777" s="73"/>
      <c r="R777" s="73">
        <v>0</v>
      </c>
      <c r="S777" s="75">
        <f t="shared" ref="S777:S840" si="105">M777+N777+O777+P777+Q777+R777</f>
        <v>0</v>
      </c>
      <c r="T777" s="77">
        <v>0</v>
      </c>
      <c r="U777" s="66">
        <v>40371</v>
      </c>
      <c r="V777" s="79"/>
      <c r="W777" s="66" t="s">
        <v>1585</v>
      </c>
      <c r="X777" s="24" t="s">
        <v>1586</v>
      </c>
      <c r="Y777" s="62"/>
      <c r="Z777" s="177" t="s">
        <v>894</v>
      </c>
      <c r="AA777" s="80" t="s">
        <v>1728</v>
      </c>
      <c r="AB777" s="3"/>
      <c r="AC777" s="4"/>
      <c r="AD777" s="5"/>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6"/>
      <c r="CE777" s="7"/>
      <c r="CF777" s="6"/>
      <c r="CG777" s="7"/>
      <c r="CH777" s="6"/>
      <c r="CI777" s="7"/>
      <c r="CJ777" s="8">
        <f t="shared" si="103"/>
        <v>0</v>
      </c>
      <c r="CK777" s="9"/>
      <c r="CL777" s="10"/>
      <c r="CM777" s="11"/>
      <c r="CN777" s="12"/>
      <c r="CO777" s="28"/>
      <c r="CP777" s="12"/>
      <c r="CQ777" s="9"/>
      <c r="CR777" s="10"/>
      <c r="CS777" s="68"/>
      <c r="EC777" s="344" t="str">
        <f t="shared" si="98"/>
        <v>ATLANTICO_USIACURI</v>
      </c>
      <c r="ED777" s="341"/>
      <c r="EE777" s="341" t="s">
        <v>3171</v>
      </c>
      <c r="EF777" s="349" t="s">
        <v>3172</v>
      </c>
      <c r="EG777" s="341" t="s">
        <v>3992</v>
      </c>
      <c r="EH777" s="341" t="s">
        <v>5071</v>
      </c>
      <c r="EI777" s="341" t="str">
        <f t="shared" si="104"/>
        <v>Nariño_Sapuyes</v>
      </c>
    </row>
    <row r="778" spans="1:139" ht="25.5">
      <c r="A778" s="228">
        <v>40369</v>
      </c>
      <c r="B778" s="102" t="s">
        <v>1551</v>
      </c>
      <c r="C778" s="102" t="s">
        <v>1422</v>
      </c>
      <c r="D778" s="206" t="s">
        <v>1878</v>
      </c>
      <c r="E778" s="320" t="s">
        <v>3374</v>
      </c>
      <c r="F778" s="320"/>
      <c r="G778" s="210"/>
      <c r="H778" s="71"/>
      <c r="I778" s="71"/>
      <c r="J778" s="71">
        <v>40</v>
      </c>
      <c r="K778" s="71">
        <v>8</v>
      </c>
      <c r="L778" s="1"/>
      <c r="M778" s="73">
        <f t="shared" si="100"/>
        <v>0</v>
      </c>
      <c r="N778" s="73">
        <f t="shared" si="101"/>
        <v>0</v>
      </c>
      <c r="O778" s="73">
        <f t="shared" si="99"/>
        <v>0</v>
      </c>
      <c r="P778" s="73">
        <f t="shared" si="102"/>
        <v>0</v>
      </c>
      <c r="Q778" s="73"/>
      <c r="R778" s="73">
        <v>0</v>
      </c>
      <c r="S778" s="75">
        <f t="shared" si="105"/>
        <v>0</v>
      </c>
      <c r="T778" s="77">
        <v>0</v>
      </c>
      <c r="U778" s="66">
        <v>40371</v>
      </c>
      <c r="V778" s="79"/>
      <c r="W778" s="66" t="s">
        <v>1585</v>
      </c>
      <c r="X778" s="24" t="s">
        <v>1586</v>
      </c>
      <c r="Y778" s="62"/>
      <c r="Z778" s="196" t="s">
        <v>894</v>
      </c>
      <c r="AA778" s="80" t="s">
        <v>1729</v>
      </c>
      <c r="AB778" s="3"/>
      <c r="AC778" s="4"/>
      <c r="AD778" s="5"/>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6"/>
      <c r="CE778" s="7"/>
      <c r="CF778" s="6"/>
      <c r="CG778" s="7"/>
      <c r="CH778" s="6"/>
      <c r="CI778" s="7"/>
      <c r="CJ778" s="8">
        <f t="shared" si="103"/>
        <v>0</v>
      </c>
      <c r="CK778" s="9"/>
      <c r="CL778" s="10"/>
      <c r="CM778" s="11"/>
      <c r="CN778" s="12"/>
      <c r="CO778" s="28"/>
      <c r="CP778" s="12"/>
      <c r="CQ778" s="9"/>
      <c r="CR778" s="10"/>
      <c r="CS778" s="68"/>
      <c r="EC778" s="344" t="str">
        <f t="shared" si="98"/>
        <v>ATLANTICO_USIACURI</v>
      </c>
      <c r="ED778" s="341"/>
      <c r="EE778" s="341" t="s">
        <v>3171</v>
      </c>
      <c r="EF778" s="349" t="s">
        <v>3172</v>
      </c>
      <c r="EG778" s="341" t="s">
        <v>3993</v>
      </c>
      <c r="EH778" s="341" t="s">
        <v>5072</v>
      </c>
      <c r="EI778" s="341" t="str">
        <f t="shared" si="104"/>
        <v>Nariño_Taminango</v>
      </c>
    </row>
    <row r="779" spans="1:139" ht="38.25">
      <c r="A779" s="228">
        <v>40369</v>
      </c>
      <c r="B779" s="102" t="s">
        <v>1604</v>
      </c>
      <c r="C779" s="102" t="s">
        <v>2234</v>
      </c>
      <c r="D779" s="206" t="s">
        <v>1878</v>
      </c>
      <c r="E779" s="320" t="s">
        <v>3690</v>
      </c>
      <c r="F779" s="320"/>
      <c r="G779" s="210"/>
      <c r="H779" s="71"/>
      <c r="I779" s="71"/>
      <c r="J779" s="71">
        <v>5</v>
      </c>
      <c r="K779" s="71">
        <v>1</v>
      </c>
      <c r="L779" s="1"/>
      <c r="M779" s="73">
        <f t="shared" si="100"/>
        <v>0</v>
      </c>
      <c r="N779" s="73">
        <f t="shared" si="101"/>
        <v>0</v>
      </c>
      <c r="O779" s="73">
        <f t="shared" si="99"/>
        <v>0</v>
      </c>
      <c r="P779" s="73">
        <f t="shared" si="102"/>
        <v>0</v>
      </c>
      <c r="Q779" s="73"/>
      <c r="R779" s="73">
        <v>0</v>
      </c>
      <c r="S779" s="75">
        <f t="shared" si="105"/>
        <v>0</v>
      </c>
      <c r="T779" s="77">
        <v>0</v>
      </c>
      <c r="U779" s="66">
        <v>40375</v>
      </c>
      <c r="V779" s="79"/>
      <c r="W779" s="66" t="s">
        <v>1585</v>
      </c>
      <c r="X779" s="24" t="s">
        <v>1586</v>
      </c>
      <c r="Y779" s="62"/>
      <c r="Z779" s="177" t="s">
        <v>894</v>
      </c>
      <c r="AA779" s="80" t="s">
        <v>2235</v>
      </c>
      <c r="AB779" s="3"/>
      <c r="AC779" s="4"/>
      <c r="AD779" s="5"/>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6"/>
      <c r="CE779" s="7"/>
      <c r="CF779" s="6"/>
      <c r="CG779" s="7"/>
      <c r="CH779" s="6"/>
      <c r="CI779" s="7"/>
      <c r="CJ779" s="8">
        <f t="shared" si="103"/>
        <v>0</v>
      </c>
      <c r="CK779" s="9"/>
      <c r="CL779" s="10"/>
      <c r="CM779" s="11"/>
      <c r="CN779" s="12"/>
      <c r="CO779" s="28"/>
      <c r="CP779" s="12"/>
      <c r="CQ779" s="9"/>
      <c r="CR779" s="10"/>
      <c r="CS779" s="68"/>
      <c r="EC779" s="344" t="str">
        <f t="shared" si="98"/>
        <v>CUNDINAMARCA_CAJICA</v>
      </c>
      <c r="ED779" s="341"/>
      <c r="EE779" s="341" t="s">
        <v>3171</v>
      </c>
      <c r="EF779" s="349" t="s">
        <v>3172</v>
      </c>
      <c r="EG779" s="341" t="s">
        <v>3994</v>
      </c>
      <c r="EH779" s="341" t="s">
        <v>5073</v>
      </c>
      <c r="EI779" s="341" t="str">
        <f t="shared" si="104"/>
        <v>Nariño_Tangua</v>
      </c>
    </row>
    <row r="780" spans="1:139" ht="84">
      <c r="A780" s="228">
        <v>40369</v>
      </c>
      <c r="B780" s="102" t="s">
        <v>1604</v>
      </c>
      <c r="C780" s="102" t="s">
        <v>1958</v>
      </c>
      <c r="D780" s="206" t="s">
        <v>2606</v>
      </c>
      <c r="E780" s="320" t="s">
        <v>3727</v>
      </c>
      <c r="F780" s="320"/>
      <c r="G780" s="210"/>
      <c r="H780" s="71"/>
      <c r="I780" s="71"/>
      <c r="J780" s="71">
        <v>300</v>
      </c>
      <c r="K780" s="71">
        <v>100</v>
      </c>
      <c r="L780" s="1"/>
      <c r="M780" s="73">
        <f t="shared" si="100"/>
        <v>0</v>
      </c>
      <c r="N780" s="73">
        <f t="shared" si="101"/>
        <v>0</v>
      </c>
      <c r="O780" s="73">
        <f t="shared" si="99"/>
        <v>0</v>
      </c>
      <c r="P780" s="73">
        <f t="shared" si="102"/>
        <v>0</v>
      </c>
      <c r="Q780" s="73"/>
      <c r="R780" s="73">
        <v>0</v>
      </c>
      <c r="S780" s="75">
        <f t="shared" si="105"/>
        <v>0</v>
      </c>
      <c r="T780" s="77">
        <v>0</v>
      </c>
      <c r="U780" s="66">
        <v>40371</v>
      </c>
      <c r="V780" s="79"/>
      <c r="W780" s="66" t="s">
        <v>1585</v>
      </c>
      <c r="X780" s="24" t="s">
        <v>1586</v>
      </c>
      <c r="Y780" s="62"/>
      <c r="Z780" s="177" t="s">
        <v>894</v>
      </c>
      <c r="AA780" s="80" t="s">
        <v>1425</v>
      </c>
      <c r="AB780" s="3"/>
      <c r="AC780" s="4"/>
      <c r="AD780" s="5"/>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6"/>
      <c r="CE780" s="7"/>
      <c r="CF780" s="6"/>
      <c r="CG780" s="7"/>
      <c r="CH780" s="6"/>
      <c r="CI780" s="7"/>
      <c r="CJ780" s="8">
        <f t="shared" si="103"/>
        <v>0</v>
      </c>
      <c r="CK780" s="9"/>
      <c r="CL780" s="10"/>
      <c r="CM780" s="11"/>
      <c r="CN780" s="12"/>
      <c r="CO780" s="28"/>
      <c r="CP780" s="12"/>
      <c r="CQ780" s="9"/>
      <c r="CR780" s="10"/>
      <c r="CS780" s="68"/>
      <c r="EC780" s="344" t="str">
        <f t="shared" si="98"/>
        <v>CUNDINAMARCA_LA PALMA</v>
      </c>
      <c r="ED780" s="341"/>
      <c r="EE780" s="341" t="s">
        <v>3171</v>
      </c>
      <c r="EF780" s="349" t="s">
        <v>3172</v>
      </c>
      <c r="EG780" s="341" t="s">
        <v>3995</v>
      </c>
      <c r="EH780" s="341" t="s">
        <v>5074</v>
      </c>
      <c r="EI780" s="341" t="str">
        <f t="shared" si="104"/>
        <v>Nariño_San Andres de Tumaco</v>
      </c>
    </row>
    <row r="781" spans="1:139" ht="25.5">
      <c r="A781" s="228">
        <v>40369</v>
      </c>
      <c r="B781" s="102" t="s">
        <v>1612</v>
      </c>
      <c r="C781" s="102" t="s">
        <v>1613</v>
      </c>
      <c r="D781" s="206" t="s">
        <v>2606</v>
      </c>
      <c r="E781" s="320" t="s">
        <v>4038</v>
      </c>
      <c r="F781" s="320"/>
      <c r="G781" s="210"/>
      <c r="H781" s="71"/>
      <c r="I781" s="71"/>
      <c r="J781" s="71">
        <v>10</v>
      </c>
      <c r="K781" s="71">
        <v>2</v>
      </c>
      <c r="L781" s="1"/>
      <c r="M781" s="73">
        <f t="shared" si="100"/>
        <v>0</v>
      </c>
      <c r="N781" s="73">
        <f t="shared" si="101"/>
        <v>0</v>
      </c>
      <c r="O781" s="73">
        <f t="shared" si="99"/>
        <v>0</v>
      </c>
      <c r="P781" s="73">
        <f t="shared" si="102"/>
        <v>0</v>
      </c>
      <c r="Q781" s="73"/>
      <c r="R781" s="73">
        <v>0</v>
      </c>
      <c r="S781" s="75">
        <f t="shared" si="105"/>
        <v>0</v>
      </c>
      <c r="T781" s="77">
        <v>0</v>
      </c>
      <c r="U781" s="66">
        <v>40371</v>
      </c>
      <c r="V781" s="79"/>
      <c r="W781" s="66" t="s">
        <v>1585</v>
      </c>
      <c r="X781" s="24" t="s">
        <v>1586</v>
      </c>
      <c r="Y781" s="62"/>
      <c r="Z781" s="177" t="s">
        <v>894</v>
      </c>
      <c r="AA781" s="80" t="s">
        <v>1423</v>
      </c>
      <c r="AB781" s="3"/>
      <c r="AC781" s="4"/>
      <c r="AD781" s="5"/>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6"/>
      <c r="CE781" s="7"/>
      <c r="CF781" s="6"/>
      <c r="CG781" s="7"/>
      <c r="CH781" s="6"/>
      <c r="CI781" s="7"/>
      <c r="CJ781" s="8">
        <f t="shared" si="103"/>
        <v>0</v>
      </c>
      <c r="CK781" s="9"/>
      <c r="CL781" s="10"/>
      <c r="CM781" s="11"/>
      <c r="CN781" s="12"/>
      <c r="CO781" s="28"/>
      <c r="CP781" s="12"/>
      <c r="CQ781" s="9"/>
      <c r="CR781" s="10"/>
      <c r="CS781" s="68"/>
      <c r="EC781" s="344" t="str">
        <f t="shared" si="98"/>
        <v>QUINDIO_ARMENIA</v>
      </c>
      <c r="ED781" s="341"/>
      <c r="EE781" s="341" t="s">
        <v>3171</v>
      </c>
      <c r="EF781" s="349" t="s">
        <v>3172</v>
      </c>
      <c r="EG781" s="341" t="s">
        <v>3996</v>
      </c>
      <c r="EH781" s="341" t="s">
        <v>5075</v>
      </c>
      <c r="EI781" s="341" t="str">
        <f t="shared" si="104"/>
        <v>Nariño_Tuquerres</v>
      </c>
    </row>
    <row r="782" spans="1:139" ht="75.75" customHeight="1">
      <c r="A782" s="228">
        <v>40369</v>
      </c>
      <c r="B782" s="102" t="s">
        <v>1998</v>
      </c>
      <c r="C782" s="102" t="s">
        <v>1491</v>
      </c>
      <c r="D782" s="206" t="s">
        <v>2606</v>
      </c>
      <c r="E782" s="320" t="s">
        <v>4097</v>
      </c>
      <c r="F782" s="320"/>
      <c r="G782" s="265"/>
      <c r="H782" s="71"/>
      <c r="I782" s="71"/>
      <c r="J782" s="71">
        <v>1500</v>
      </c>
      <c r="K782" s="71">
        <v>300</v>
      </c>
      <c r="L782" s="1"/>
      <c r="M782" s="73">
        <f t="shared" si="100"/>
        <v>0</v>
      </c>
      <c r="N782" s="73">
        <f t="shared" si="101"/>
        <v>0</v>
      </c>
      <c r="O782" s="73">
        <f t="shared" si="99"/>
        <v>0</v>
      </c>
      <c r="P782" s="73">
        <f t="shared" si="102"/>
        <v>0</v>
      </c>
      <c r="Q782" s="73"/>
      <c r="R782" s="73">
        <v>0</v>
      </c>
      <c r="S782" s="75">
        <f t="shared" si="105"/>
        <v>0</v>
      </c>
      <c r="T782" s="77">
        <v>0</v>
      </c>
      <c r="U782" s="66">
        <v>40399</v>
      </c>
      <c r="V782" s="79">
        <v>39494</v>
      </c>
      <c r="W782" s="66" t="s">
        <v>1606</v>
      </c>
      <c r="X782" s="24" t="s">
        <v>1607</v>
      </c>
      <c r="Y782" s="62"/>
      <c r="Z782" s="198" t="s">
        <v>822</v>
      </c>
      <c r="AA782" s="80" t="s">
        <v>647</v>
      </c>
      <c r="AB782" s="3"/>
      <c r="AC782" s="4"/>
      <c r="AD782" s="5"/>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6"/>
      <c r="CE782" s="7"/>
      <c r="CF782" s="6"/>
      <c r="CG782" s="7"/>
      <c r="CH782" s="6"/>
      <c r="CI782" s="7"/>
      <c r="CJ782" s="8">
        <f t="shared" si="103"/>
        <v>0</v>
      </c>
      <c r="CK782" s="9"/>
      <c r="CL782" s="10"/>
      <c r="CM782" s="11"/>
      <c r="CN782" s="12"/>
      <c r="CO782" s="28"/>
      <c r="CP782" s="12"/>
      <c r="CQ782" s="9"/>
      <c r="CR782" s="10"/>
      <c r="CS782" s="68"/>
      <c r="EC782" s="344" t="str">
        <f t="shared" si="98"/>
        <v>SANTANDER_GALAN</v>
      </c>
      <c r="ED782" s="341"/>
      <c r="EE782" s="341" t="s">
        <v>3171</v>
      </c>
      <c r="EF782" s="349" t="s">
        <v>3172</v>
      </c>
      <c r="EG782" s="341" t="s">
        <v>3997</v>
      </c>
      <c r="EH782" s="341" t="s">
        <v>5076</v>
      </c>
      <c r="EI782" s="341" t="str">
        <f t="shared" si="104"/>
        <v>Nariño_Yacuanquer</v>
      </c>
    </row>
    <row r="783" spans="1:139" ht="51">
      <c r="A783" s="228">
        <v>40369</v>
      </c>
      <c r="B783" s="102" t="s">
        <v>1998</v>
      </c>
      <c r="C783" s="102" t="s">
        <v>1492</v>
      </c>
      <c r="D783" s="206" t="s">
        <v>2606</v>
      </c>
      <c r="E783" s="320" t="s">
        <v>4122</v>
      </c>
      <c r="F783" s="320"/>
      <c r="G783" s="265"/>
      <c r="H783" s="71"/>
      <c r="I783" s="71"/>
      <c r="J783" s="71">
        <f>60*5</f>
        <v>300</v>
      </c>
      <c r="K783" s="71">
        <v>60</v>
      </c>
      <c r="L783" s="1"/>
      <c r="M783" s="73">
        <f t="shared" si="100"/>
        <v>0</v>
      </c>
      <c r="N783" s="73">
        <f t="shared" si="101"/>
        <v>0</v>
      </c>
      <c r="O783" s="73">
        <f t="shared" si="99"/>
        <v>0</v>
      </c>
      <c r="P783" s="73">
        <f t="shared" si="102"/>
        <v>0</v>
      </c>
      <c r="Q783" s="73"/>
      <c r="R783" s="73">
        <v>0</v>
      </c>
      <c r="S783" s="75">
        <f t="shared" si="105"/>
        <v>0</v>
      </c>
      <c r="T783" s="77">
        <v>0</v>
      </c>
      <c r="U783" s="66">
        <v>40399</v>
      </c>
      <c r="V783" s="79">
        <v>39494</v>
      </c>
      <c r="W783" s="66" t="s">
        <v>1606</v>
      </c>
      <c r="X783" s="24" t="s">
        <v>1607</v>
      </c>
      <c r="Y783" s="62"/>
      <c r="Z783" s="198" t="s">
        <v>822</v>
      </c>
      <c r="AA783" s="80" t="s">
        <v>647</v>
      </c>
      <c r="AB783" s="3"/>
      <c r="AC783" s="4"/>
      <c r="AD783" s="5"/>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6"/>
      <c r="CE783" s="7"/>
      <c r="CF783" s="6"/>
      <c r="CG783" s="7"/>
      <c r="CH783" s="6"/>
      <c r="CI783" s="7"/>
      <c r="CJ783" s="8">
        <f t="shared" si="103"/>
        <v>0</v>
      </c>
      <c r="CK783" s="9"/>
      <c r="CL783" s="10"/>
      <c r="CM783" s="11"/>
      <c r="CN783" s="12"/>
      <c r="CO783" s="28"/>
      <c r="CP783" s="12"/>
      <c r="CQ783" s="9"/>
      <c r="CR783" s="10"/>
      <c r="CS783" s="68"/>
      <c r="EC783" s="344" t="str">
        <f t="shared" si="98"/>
        <v>SANTANDER_PALMAS DEL SOCORRO</v>
      </c>
      <c r="ED783" s="341"/>
      <c r="EE783" s="341" t="s">
        <v>3176</v>
      </c>
      <c r="EF783" s="349" t="s">
        <v>3177</v>
      </c>
      <c r="EG783" s="341" t="s">
        <v>3998</v>
      </c>
      <c r="EH783" s="341" t="s">
        <v>5077</v>
      </c>
      <c r="EI783" s="341" t="str">
        <f t="shared" si="104"/>
        <v>Norte de Santander_Cucuta</v>
      </c>
    </row>
    <row r="784" spans="1:139" ht="38.25">
      <c r="A784" s="228">
        <v>40369</v>
      </c>
      <c r="B784" s="102" t="s">
        <v>1998</v>
      </c>
      <c r="C784" s="102" t="s">
        <v>1426</v>
      </c>
      <c r="D784" s="206" t="s">
        <v>2606</v>
      </c>
      <c r="E784" s="320" t="s">
        <v>4127</v>
      </c>
      <c r="F784" s="320"/>
      <c r="G784" s="265"/>
      <c r="H784" s="71"/>
      <c r="I784" s="71"/>
      <c r="J784" s="71">
        <f>37*5</f>
        <v>185</v>
      </c>
      <c r="K784" s="71">
        <v>37</v>
      </c>
      <c r="L784" s="1"/>
      <c r="M784" s="73">
        <f t="shared" si="100"/>
        <v>0</v>
      </c>
      <c r="N784" s="73">
        <f t="shared" si="101"/>
        <v>0</v>
      </c>
      <c r="O784" s="73">
        <f t="shared" si="99"/>
        <v>0</v>
      </c>
      <c r="P784" s="73">
        <f t="shared" si="102"/>
        <v>0</v>
      </c>
      <c r="Q784" s="73"/>
      <c r="R784" s="73">
        <v>0</v>
      </c>
      <c r="S784" s="75">
        <f t="shared" si="105"/>
        <v>0</v>
      </c>
      <c r="T784" s="77">
        <v>0</v>
      </c>
      <c r="U784" s="66">
        <v>40399</v>
      </c>
      <c r="V784" s="79">
        <v>39494</v>
      </c>
      <c r="W784" s="66" t="s">
        <v>1606</v>
      </c>
      <c r="X784" s="24" t="s">
        <v>1607</v>
      </c>
      <c r="Y784" s="62"/>
      <c r="Z784" s="198" t="s">
        <v>822</v>
      </c>
      <c r="AA784" s="80" t="s">
        <v>1427</v>
      </c>
      <c r="AB784" s="3"/>
      <c r="AC784" s="4"/>
      <c r="AD784" s="5"/>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6"/>
      <c r="CE784" s="7"/>
      <c r="CF784" s="6"/>
      <c r="CG784" s="7"/>
      <c r="CH784" s="6"/>
      <c r="CI784" s="7"/>
      <c r="CJ784" s="8">
        <f t="shared" si="103"/>
        <v>0</v>
      </c>
      <c r="CK784" s="9"/>
      <c r="CL784" s="10"/>
      <c r="CM784" s="11"/>
      <c r="CN784" s="12"/>
      <c r="CO784" s="28"/>
      <c r="CP784" s="12"/>
      <c r="CQ784" s="9"/>
      <c r="CR784" s="10"/>
      <c r="CS784" s="68"/>
      <c r="EC784" s="344" t="str">
        <f t="shared" si="98"/>
        <v>SANTANDER_PUERTO PARRA</v>
      </c>
      <c r="ED784" s="341"/>
      <c r="EE784" s="341" t="s">
        <v>3176</v>
      </c>
      <c r="EF784" s="349" t="s">
        <v>3177</v>
      </c>
      <c r="EG784" s="341" t="s">
        <v>3999</v>
      </c>
      <c r="EH784" s="341" t="s">
        <v>5078</v>
      </c>
      <c r="EI784" s="341" t="str">
        <f t="shared" si="104"/>
        <v>Norte de Santander_Abrego</v>
      </c>
    </row>
    <row r="785" spans="1:139" ht="72">
      <c r="A785" s="228">
        <v>40369</v>
      </c>
      <c r="B785" s="102" t="s">
        <v>1943</v>
      </c>
      <c r="C785" s="102" t="s">
        <v>1896</v>
      </c>
      <c r="D785" s="206" t="s">
        <v>1201</v>
      </c>
      <c r="E785" s="320" t="s">
        <v>4170</v>
      </c>
      <c r="F785" s="320"/>
      <c r="G785" s="210"/>
      <c r="H785" s="71"/>
      <c r="I785" s="71"/>
      <c r="J785" s="71">
        <v>8031</v>
      </c>
      <c r="K785" s="71">
        <v>2071</v>
      </c>
      <c r="L785" s="1">
        <v>40445</v>
      </c>
      <c r="M785" s="73">
        <f t="shared" si="100"/>
        <v>141306000</v>
      </c>
      <c r="N785" s="73">
        <f t="shared" si="101"/>
        <v>471070000</v>
      </c>
      <c r="O785" s="73">
        <f t="shared" si="99"/>
        <v>0</v>
      </c>
      <c r="P785" s="73">
        <f t="shared" si="102"/>
        <v>0</v>
      </c>
      <c r="Q785" s="73"/>
      <c r="R785" s="73">
        <v>0</v>
      </c>
      <c r="S785" s="75">
        <f t="shared" si="105"/>
        <v>612376000</v>
      </c>
      <c r="T785" s="77">
        <v>0</v>
      </c>
      <c r="U785" s="66">
        <v>40375</v>
      </c>
      <c r="V785" s="79">
        <v>41524</v>
      </c>
      <c r="W785" s="66" t="s">
        <v>1606</v>
      </c>
      <c r="X785" s="24" t="s">
        <v>1607</v>
      </c>
      <c r="Y785" s="62">
        <v>20208</v>
      </c>
      <c r="Z785" s="177" t="s">
        <v>1275</v>
      </c>
      <c r="AA785" s="80" t="s">
        <v>1372</v>
      </c>
      <c r="AB785" s="3"/>
      <c r="AC785" s="4"/>
      <c r="AD785" s="5"/>
      <c r="AE785" s="4"/>
      <c r="AF785" s="4"/>
      <c r="AG785" s="4"/>
      <c r="AH785" s="4"/>
      <c r="AI785" s="4"/>
      <c r="AJ785" s="4"/>
      <c r="AK785" s="4"/>
      <c r="AL785" s="4"/>
      <c r="AM785" s="4"/>
      <c r="AN785" s="4"/>
      <c r="AO785" s="4"/>
      <c r="AP785" s="4"/>
      <c r="AQ785" s="4"/>
      <c r="AR785" s="4"/>
      <c r="AS785" s="4"/>
      <c r="AT785" s="4"/>
      <c r="AU785" s="4"/>
      <c r="AV785" s="4"/>
      <c r="AW785" s="4"/>
      <c r="AX785" s="4"/>
      <c r="AY785" s="4"/>
      <c r="AZ785" s="4">
        <v>500</v>
      </c>
      <c r="BA785" s="4">
        <f>500*25500</f>
        <v>12750000</v>
      </c>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f>3000+4142</f>
        <v>7142</v>
      </c>
      <c r="CC785" s="4">
        <f>3000*18000+4142*18000</f>
        <v>128556000</v>
      </c>
      <c r="CD785" s="6"/>
      <c r="CE785" s="7"/>
      <c r="CF785" s="6"/>
      <c r="CG785" s="7"/>
      <c r="CH785" s="6"/>
      <c r="CI785" s="7"/>
      <c r="CJ785" s="8">
        <f t="shared" si="103"/>
        <v>141306000</v>
      </c>
      <c r="CK785" s="9"/>
      <c r="CL785" s="10"/>
      <c r="CM785" s="11">
        <f>1400+2071+2071</f>
        <v>5542</v>
      </c>
      <c r="CN785" s="12">
        <f>1400*85000+2071*85000+2071*85000</f>
        <v>471070000</v>
      </c>
      <c r="CO785" s="28"/>
      <c r="CP785" s="12"/>
      <c r="CQ785" s="9"/>
      <c r="CR785" s="10"/>
      <c r="CS785" s="68"/>
      <c r="EC785" s="344" t="str">
        <f t="shared" si="98"/>
        <v>SUCRE_SAN MARCOS</v>
      </c>
      <c r="ED785" s="341"/>
      <c r="EE785" s="341" t="s">
        <v>3176</v>
      </c>
      <c r="EF785" s="349" t="s">
        <v>3177</v>
      </c>
      <c r="EG785" s="341" t="s">
        <v>4000</v>
      </c>
      <c r="EH785" s="341" t="s">
        <v>5079</v>
      </c>
      <c r="EI785" s="341" t="str">
        <f t="shared" si="104"/>
        <v>Norte de Santander_Arboledas</v>
      </c>
    </row>
    <row r="786" spans="1:139" ht="48">
      <c r="A786" s="228">
        <v>40369</v>
      </c>
      <c r="B786" s="102" t="s">
        <v>2400</v>
      </c>
      <c r="C786" s="102" t="s">
        <v>1545</v>
      </c>
      <c r="D786" s="206" t="s">
        <v>1878</v>
      </c>
      <c r="E786" s="320" t="s">
        <v>4177</v>
      </c>
      <c r="F786" s="320"/>
      <c r="G786" s="210"/>
      <c r="H786" s="71"/>
      <c r="I786" s="71"/>
      <c r="J786" s="71">
        <v>7</v>
      </c>
      <c r="K786" s="71">
        <v>1</v>
      </c>
      <c r="L786" s="1"/>
      <c r="M786" s="73">
        <f t="shared" si="100"/>
        <v>0</v>
      </c>
      <c r="N786" s="73">
        <f t="shared" si="101"/>
        <v>0</v>
      </c>
      <c r="O786" s="73">
        <f t="shared" si="99"/>
        <v>0</v>
      </c>
      <c r="P786" s="73">
        <f t="shared" si="102"/>
        <v>0</v>
      </c>
      <c r="Q786" s="73"/>
      <c r="R786" s="73">
        <v>0</v>
      </c>
      <c r="S786" s="75">
        <f t="shared" si="105"/>
        <v>0</v>
      </c>
      <c r="T786" s="77">
        <v>0</v>
      </c>
      <c r="U786" s="66">
        <v>40371</v>
      </c>
      <c r="V786" s="79"/>
      <c r="W786" s="66" t="s">
        <v>1585</v>
      </c>
      <c r="X786" s="24" t="s">
        <v>1586</v>
      </c>
      <c r="Y786" s="62"/>
      <c r="Z786" s="177" t="s">
        <v>894</v>
      </c>
      <c r="AA786" s="80" t="s">
        <v>1420</v>
      </c>
      <c r="AB786" s="3"/>
      <c r="AC786" s="4"/>
      <c r="AD786" s="5"/>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6"/>
      <c r="CE786" s="7"/>
      <c r="CF786" s="6"/>
      <c r="CG786" s="7"/>
      <c r="CH786" s="6"/>
      <c r="CI786" s="7"/>
      <c r="CJ786" s="8">
        <f t="shared" si="103"/>
        <v>0</v>
      </c>
      <c r="CK786" s="9"/>
      <c r="CL786" s="10"/>
      <c r="CM786" s="11"/>
      <c r="CN786" s="12"/>
      <c r="CO786" s="28"/>
      <c r="CP786" s="12"/>
      <c r="CQ786" s="9"/>
      <c r="CR786" s="10"/>
      <c r="CS786" s="68"/>
      <c r="EC786" s="344" t="str">
        <f t="shared" si="98"/>
        <v>TOLIMA_IBAGUE</v>
      </c>
      <c r="ED786" s="341"/>
      <c r="EE786" s="341" t="s">
        <v>3176</v>
      </c>
      <c r="EF786" s="349" t="s">
        <v>3177</v>
      </c>
      <c r="EG786" s="341" t="s">
        <v>4001</v>
      </c>
      <c r="EH786" s="341" t="s">
        <v>5080</v>
      </c>
      <c r="EI786" s="341" t="str">
        <f t="shared" si="104"/>
        <v>Norte de Santander_Bochalema</v>
      </c>
    </row>
    <row r="787" spans="1:139" ht="38.25">
      <c r="A787" s="228">
        <v>40369</v>
      </c>
      <c r="B787" s="102" t="s">
        <v>1088</v>
      </c>
      <c r="C787" s="102" t="s">
        <v>3205</v>
      </c>
      <c r="D787" s="206" t="s">
        <v>1201</v>
      </c>
      <c r="E787" s="320" t="s">
        <v>4234</v>
      </c>
      <c r="F787" s="320"/>
      <c r="G787" s="210"/>
      <c r="H787" s="71"/>
      <c r="I787" s="71"/>
      <c r="J787" s="71"/>
      <c r="K787" s="71"/>
      <c r="L787" s="1"/>
      <c r="M787" s="73">
        <f t="shared" si="100"/>
        <v>0</v>
      </c>
      <c r="N787" s="73">
        <f t="shared" si="101"/>
        <v>0</v>
      </c>
      <c r="O787" s="73">
        <f t="shared" si="99"/>
        <v>0</v>
      </c>
      <c r="P787" s="73">
        <f t="shared" si="102"/>
        <v>0</v>
      </c>
      <c r="Q787" s="73"/>
      <c r="R787" s="73">
        <v>0</v>
      </c>
      <c r="S787" s="75">
        <f t="shared" si="105"/>
        <v>0</v>
      </c>
      <c r="T787" s="77">
        <v>0</v>
      </c>
      <c r="U787" s="66">
        <v>40371</v>
      </c>
      <c r="V787" s="79"/>
      <c r="W787" s="66" t="s">
        <v>1585</v>
      </c>
      <c r="X787" s="24" t="s">
        <v>1586</v>
      </c>
      <c r="Y787" s="62"/>
      <c r="Z787" s="177" t="s">
        <v>894</v>
      </c>
      <c r="AA787" s="80" t="s">
        <v>1424</v>
      </c>
      <c r="AB787" s="3"/>
      <c r="AC787" s="4"/>
      <c r="AD787" s="5"/>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6"/>
      <c r="CE787" s="7"/>
      <c r="CF787" s="6"/>
      <c r="CG787" s="7"/>
      <c r="CH787" s="6"/>
      <c r="CI787" s="7"/>
      <c r="CJ787" s="8">
        <f t="shared" si="103"/>
        <v>0</v>
      </c>
      <c r="CK787" s="9"/>
      <c r="CL787" s="10"/>
      <c r="CM787" s="11"/>
      <c r="CN787" s="12"/>
      <c r="CO787" s="28"/>
      <c r="CP787" s="12"/>
      <c r="CQ787" s="9"/>
      <c r="CR787" s="10"/>
      <c r="CS787" s="68"/>
      <c r="EC787" s="344" t="str">
        <f t="shared" si="98"/>
        <v>VALLE DEL CAUCA_CALIMA</v>
      </c>
      <c r="ED787" s="341"/>
      <c r="EE787" s="341" t="s">
        <v>3176</v>
      </c>
      <c r="EF787" s="349" t="s">
        <v>3177</v>
      </c>
      <c r="EG787" s="341" t="s">
        <v>4002</v>
      </c>
      <c r="EH787" s="341" t="s">
        <v>5081</v>
      </c>
      <c r="EI787" s="341" t="str">
        <f t="shared" si="104"/>
        <v>Norte de Santander_Bucarasica</v>
      </c>
    </row>
    <row r="788" spans="1:139" ht="38.25">
      <c r="A788" s="228">
        <v>40370</v>
      </c>
      <c r="B788" s="102" t="s">
        <v>2367</v>
      </c>
      <c r="C788" s="102" t="s">
        <v>2367</v>
      </c>
      <c r="D788" s="206" t="s">
        <v>2606</v>
      </c>
      <c r="E788" s="320" t="s">
        <v>4266</v>
      </c>
      <c r="F788" s="320"/>
      <c r="G788" s="210"/>
      <c r="H788" s="71"/>
      <c r="I788" s="71"/>
      <c r="J788" s="71">
        <f>1398-165-232</f>
        <v>1001</v>
      </c>
      <c r="K788" s="71">
        <f>296-33-43</f>
        <v>220</v>
      </c>
      <c r="L788" s="1"/>
      <c r="M788" s="73">
        <f t="shared" si="100"/>
        <v>0</v>
      </c>
      <c r="N788" s="73">
        <f t="shared" si="101"/>
        <v>0</v>
      </c>
      <c r="O788" s="73">
        <f t="shared" si="99"/>
        <v>0</v>
      </c>
      <c r="P788" s="73">
        <f t="shared" si="102"/>
        <v>0</v>
      </c>
      <c r="Q788" s="73"/>
      <c r="R788" s="73">
        <v>0</v>
      </c>
      <c r="S788" s="75">
        <f t="shared" si="105"/>
        <v>0</v>
      </c>
      <c r="T788" s="77">
        <v>0</v>
      </c>
      <c r="U788" s="66">
        <v>40371</v>
      </c>
      <c r="V788" s="79"/>
      <c r="W788" s="66" t="s">
        <v>1606</v>
      </c>
      <c r="X788" s="24" t="s">
        <v>1607</v>
      </c>
      <c r="Y788" s="62"/>
      <c r="Z788" s="198" t="s">
        <v>1270</v>
      </c>
      <c r="AA788" s="80" t="s">
        <v>904</v>
      </c>
      <c r="AB788" s="3"/>
      <c r="AC788" s="4"/>
      <c r="AD788" s="5"/>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6"/>
      <c r="CE788" s="7"/>
      <c r="CF788" s="6"/>
      <c r="CG788" s="7"/>
      <c r="CH788" s="6"/>
      <c r="CI788" s="7"/>
      <c r="CJ788" s="8">
        <f t="shared" si="103"/>
        <v>0</v>
      </c>
      <c r="CK788" s="9"/>
      <c r="CL788" s="10"/>
      <c r="CM788" s="11"/>
      <c r="CN788" s="12"/>
      <c r="CO788" s="28"/>
      <c r="CP788" s="12"/>
      <c r="CQ788" s="9"/>
      <c r="CR788" s="10"/>
      <c r="CS788" s="68"/>
      <c r="EC788" s="344" t="str">
        <f t="shared" si="98"/>
        <v>ARAUCA_ARAUCA</v>
      </c>
      <c r="ED788" s="341"/>
      <c r="EE788" s="341" t="s">
        <v>3176</v>
      </c>
      <c r="EF788" s="349" t="s">
        <v>3177</v>
      </c>
      <c r="EG788" s="341" t="s">
        <v>4003</v>
      </c>
      <c r="EH788" s="341" t="s">
        <v>5082</v>
      </c>
      <c r="EI788" s="341" t="str">
        <f t="shared" si="104"/>
        <v>Norte de Santander_Cacota</v>
      </c>
    </row>
    <row r="789" spans="1:139" ht="60">
      <c r="A789" s="228">
        <v>40370</v>
      </c>
      <c r="B789" s="102" t="s">
        <v>2367</v>
      </c>
      <c r="C789" s="102" t="s">
        <v>1542</v>
      </c>
      <c r="D789" s="206" t="s">
        <v>1201</v>
      </c>
      <c r="E789" s="320" t="s">
        <v>4271</v>
      </c>
      <c r="F789" s="320"/>
      <c r="G789" s="210">
        <v>1</v>
      </c>
      <c r="H789" s="71"/>
      <c r="I789" s="71"/>
      <c r="J789" s="71">
        <v>25</v>
      </c>
      <c r="K789" s="71">
        <v>5</v>
      </c>
      <c r="L789" s="1"/>
      <c r="M789" s="73">
        <f t="shared" si="100"/>
        <v>0</v>
      </c>
      <c r="N789" s="73">
        <f t="shared" si="101"/>
        <v>0</v>
      </c>
      <c r="O789" s="73">
        <f t="shared" si="99"/>
        <v>0</v>
      </c>
      <c r="P789" s="73">
        <f t="shared" si="102"/>
        <v>0</v>
      </c>
      <c r="Q789" s="73"/>
      <c r="R789" s="73">
        <v>0</v>
      </c>
      <c r="S789" s="75">
        <f t="shared" si="105"/>
        <v>0</v>
      </c>
      <c r="T789" s="77">
        <v>0</v>
      </c>
      <c r="U789" s="66">
        <v>40371</v>
      </c>
      <c r="V789" s="79"/>
      <c r="W789" s="66" t="s">
        <v>1606</v>
      </c>
      <c r="X789" s="24" t="s">
        <v>1607</v>
      </c>
      <c r="Y789" s="62"/>
      <c r="Z789" s="198" t="s">
        <v>1270</v>
      </c>
      <c r="AA789" s="80" t="s">
        <v>1073</v>
      </c>
      <c r="AB789" s="3"/>
      <c r="AC789" s="4"/>
      <c r="AD789" s="5"/>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6"/>
      <c r="CE789" s="7"/>
      <c r="CF789" s="6"/>
      <c r="CG789" s="7"/>
      <c r="CH789" s="6"/>
      <c r="CI789" s="7"/>
      <c r="CJ789" s="8">
        <f t="shared" si="103"/>
        <v>0</v>
      </c>
      <c r="CK789" s="9"/>
      <c r="CL789" s="10"/>
      <c r="CM789" s="11"/>
      <c r="CN789" s="12"/>
      <c r="CO789" s="28"/>
      <c r="CP789" s="12"/>
      <c r="CQ789" s="9"/>
      <c r="CR789" s="10"/>
      <c r="CS789" s="68"/>
      <c r="EC789" s="344" t="str">
        <f t="shared" si="98"/>
        <v>ARAUCA_SARAVENA</v>
      </c>
      <c r="ED789" s="341"/>
      <c r="EE789" s="341" t="s">
        <v>3176</v>
      </c>
      <c r="EF789" s="349" t="s">
        <v>3177</v>
      </c>
      <c r="EG789" s="341" t="s">
        <v>4004</v>
      </c>
      <c r="EH789" s="341" t="s">
        <v>5083</v>
      </c>
      <c r="EI789" s="341" t="str">
        <f t="shared" si="104"/>
        <v>Norte de Santander_Cachira</v>
      </c>
    </row>
    <row r="790" spans="1:139" ht="38.25">
      <c r="A790" s="228">
        <v>40370</v>
      </c>
      <c r="B790" s="102" t="s">
        <v>2367</v>
      </c>
      <c r="C790" s="102" t="s">
        <v>1002</v>
      </c>
      <c r="D790" s="206" t="s">
        <v>2606</v>
      </c>
      <c r="E790" s="320" t="s">
        <v>4272</v>
      </c>
      <c r="F790" s="320"/>
      <c r="G790" s="210"/>
      <c r="H790" s="71"/>
      <c r="I790" s="71"/>
      <c r="J790" s="71">
        <v>35</v>
      </c>
      <c r="K790" s="71">
        <v>7</v>
      </c>
      <c r="L790" s="1"/>
      <c r="M790" s="73">
        <f t="shared" si="100"/>
        <v>0</v>
      </c>
      <c r="N790" s="73">
        <f t="shared" si="101"/>
        <v>0</v>
      </c>
      <c r="O790" s="73">
        <f t="shared" si="99"/>
        <v>0</v>
      </c>
      <c r="P790" s="73">
        <f t="shared" si="102"/>
        <v>0</v>
      </c>
      <c r="Q790" s="73"/>
      <c r="R790" s="73">
        <v>0</v>
      </c>
      <c r="S790" s="75">
        <f t="shared" si="105"/>
        <v>0</v>
      </c>
      <c r="T790" s="77">
        <v>0</v>
      </c>
      <c r="U790" s="66">
        <v>40371</v>
      </c>
      <c r="V790" s="79"/>
      <c r="W790" s="66" t="s">
        <v>1585</v>
      </c>
      <c r="X790" s="24" t="s">
        <v>1586</v>
      </c>
      <c r="Y790" s="62"/>
      <c r="Z790" s="177" t="s">
        <v>894</v>
      </c>
      <c r="AA790" s="80" t="s">
        <v>903</v>
      </c>
      <c r="AB790" s="3"/>
      <c r="AC790" s="4"/>
      <c r="AD790" s="5"/>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6"/>
      <c r="CE790" s="7"/>
      <c r="CF790" s="6"/>
      <c r="CG790" s="7"/>
      <c r="CH790" s="6"/>
      <c r="CI790" s="7"/>
      <c r="CJ790" s="8">
        <f t="shared" si="103"/>
        <v>0</v>
      </c>
      <c r="CK790" s="9"/>
      <c r="CL790" s="10"/>
      <c r="CM790" s="11"/>
      <c r="CN790" s="12"/>
      <c r="CO790" s="28"/>
      <c r="CP790" s="12"/>
      <c r="CQ790" s="9"/>
      <c r="CR790" s="10"/>
      <c r="CS790" s="68"/>
      <c r="EC790" s="344" t="str">
        <f t="shared" si="98"/>
        <v>ARAUCA_TAME</v>
      </c>
      <c r="ED790" s="341"/>
      <c r="EE790" s="341" t="s">
        <v>3176</v>
      </c>
      <c r="EF790" s="349" t="s">
        <v>3177</v>
      </c>
      <c r="EG790" s="341" t="s">
        <v>4005</v>
      </c>
      <c r="EH790" s="341" t="s">
        <v>5084</v>
      </c>
      <c r="EI790" s="341" t="str">
        <f t="shared" si="104"/>
        <v>Norte de Santander_Chinacota</v>
      </c>
    </row>
    <row r="791" spans="1:139" ht="38.25">
      <c r="A791" s="228">
        <v>40370</v>
      </c>
      <c r="B791" s="102" t="s">
        <v>1551</v>
      </c>
      <c r="C791" s="102" t="s">
        <v>1590</v>
      </c>
      <c r="D791" s="206" t="s">
        <v>1201</v>
      </c>
      <c r="E791" s="320" t="s">
        <v>3352</v>
      </c>
      <c r="F791" s="320"/>
      <c r="G791" s="210"/>
      <c r="H791" s="71"/>
      <c r="I791" s="71"/>
      <c r="J791" s="71">
        <v>1175</v>
      </c>
      <c r="K791" s="71">
        <v>235</v>
      </c>
      <c r="L791" s="1"/>
      <c r="M791" s="73">
        <f t="shared" si="100"/>
        <v>0</v>
      </c>
      <c r="N791" s="73">
        <f t="shared" si="101"/>
        <v>0</v>
      </c>
      <c r="O791" s="73">
        <f t="shared" si="99"/>
        <v>0</v>
      </c>
      <c r="P791" s="73">
        <f t="shared" si="102"/>
        <v>0</v>
      </c>
      <c r="Q791" s="73"/>
      <c r="R791" s="73">
        <v>0</v>
      </c>
      <c r="S791" s="75">
        <f t="shared" si="105"/>
        <v>0</v>
      </c>
      <c r="T791" s="77">
        <v>0</v>
      </c>
      <c r="U791" s="66">
        <v>40371</v>
      </c>
      <c r="V791" s="79"/>
      <c r="W791" s="66" t="s">
        <v>1585</v>
      </c>
      <c r="X791" s="24" t="s">
        <v>1586</v>
      </c>
      <c r="Y791" s="62"/>
      <c r="Z791" s="177" t="s">
        <v>894</v>
      </c>
      <c r="AA791" s="80" t="s">
        <v>1733</v>
      </c>
      <c r="AB791" s="3"/>
      <c r="AC791" s="4"/>
      <c r="AD791" s="5"/>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6"/>
      <c r="CE791" s="7"/>
      <c r="CF791" s="6"/>
      <c r="CG791" s="7"/>
      <c r="CH791" s="6"/>
      <c r="CI791" s="7"/>
      <c r="CJ791" s="8">
        <f t="shared" si="103"/>
        <v>0</v>
      </c>
      <c r="CK791" s="9"/>
      <c r="CL791" s="10"/>
      <c r="CM791" s="11"/>
      <c r="CN791" s="12"/>
      <c r="CO791" s="28"/>
      <c r="CP791" s="12"/>
      <c r="CQ791" s="9"/>
      <c r="CR791" s="10"/>
      <c r="CS791" s="68"/>
      <c r="EC791" s="344" t="str">
        <f t="shared" si="98"/>
        <v>ATLANTICO_BARRANQUILLA</v>
      </c>
      <c r="ED791" s="341"/>
      <c r="EE791" s="341" t="s">
        <v>3176</v>
      </c>
      <c r="EF791" s="349" t="s">
        <v>3177</v>
      </c>
      <c r="EG791" s="341" t="s">
        <v>4006</v>
      </c>
      <c r="EH791" s="341" t="s">
        <v>5085</v>
      </c>
      <c r="EI791" s="341" t="str">
        <f t="shared" si="104"/>
        <v>Norte de Santander_Chitaga</v>
      </c>
    </row>
    <row r="792" spans="1:139" ht="38.25">
      <c r="A792" s="228">
        <v>40370</v>
      </c>
      <c r="B792" s="102" t="s">
        <v>1617</v>
      </c>
      <c r="C792" s="102" t="s">
        <v>1987</v>
      </c>
      <c r="D792" s="206" t="s">
        <v>1201</v>
      </c>
      <c r="E792" s="320" t="s">
        <v>4273</v>
      </c>
      <c r="F792" s="320"/>
      <c r="G792" s="210"/>
      <c r="H792" s="71"/>
      <c r="I792" s="71"/>
      <c r="J792" s="71">
        <v>311</v>
      </c>
      <c r="K792" s="71">
        <v>78</v>
      </c>
      <c r="L792" s="1"/>
      <c r="M792" s="73">
        <f t="shared" si="100"/>
        <v>0</v>
      </c>
      <c r="N792" s="73">
        <f t="shared" si="101"/>
        <v>0</v>
      </c>
      <c r="O792" s="73">
        <f t="shared" si="99"/>
        <v>0</v>
      </c>
      <c r="P792" s="73">
        <f t="shared" si="102"/>
        <v>0</v>
      </c>
      <c r="Q792" s="73"/>
      <c r="R792" s="73">
        <v>0</v>
      </c>
      <c r="S792" s="75">
        <f t="shared" si="105"/>
        <v>0</v>
      </c>
      <c r="T792" s="77">
        <v>0</v>
      </c>
      <c r="U792" s="66">
        <v>40371</v>
      </c>
      <c r="V792" s="79"/>
      <c r="W792" s="66" t="s">
        <v>1585</v>
      </c>
      <c r="X792" s="24" t="s">
        <v>1586</v>
      </c>
      <c r="Y792" s="62"/>
      <c r="Z792" s="177" t="s">
        <v>894</v>
      </c>
      <c r="AA792" s="80" t="s">
        <v>1072</v>
      </c>
      <c r="AB792" s="3"/>
      <c r="AC792" s="4"/>
      <c r="AD792" s="5"/>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6"/>
      <c r="CE792" s="7"/>
      <c r="CF792" s="6"/>
      <c r="CG792" s="7"/>
      <c r="CH792" s="6"/>
      <c r="CI792" s="7"/>
      <c r="CJ792" s="8">
        <f t="shared" si="103"/>
        <v>0</v>
      </c>
      <c r="CK792" s="9"/>
      <c r="CL792" s="10"/>
      <c r="CM792" s="11"/>
      <c r="CN792" s="12"/>
      <c r="CO792" s="28"/>
      <c r="CP792" s="12"/>
      <c r="CQ792" s="9"/>
      <c r="CR792" s="10"/>
      <c r="CS792" s="68"/>
      <c r="EC792" s="344" t="str">
        <f t="shared" si="98"/>
        <v>CASANARE_YOPAL</v>
      </c>
      <c r="ED792" s="341"/>
      <c r="EE792" s="341" t="s">
        <v>3176</v>
      </c>
      <c r="EF792" s="349" t="s">
        <v>3177</v>
      </c>
      <c r="EG792" s="341" t="s">
        <v>4007</v>
      </c>
      <c r="EH792" s="341" t="s">
        <v>5086</v>
      </c>
      <c r="EI792" s="341" t="str">
        <f t="shared" si="104"/>
        <v>Norte de Santander_Convencion</v>
      </c>
    </row>
    <row r="793" spans="1:139" ht="38.25">
      <c r="A793" s="228">
        <v>40370</v>
      </c>
      <c r="B793" s="102" t="s">
        <v>1609</v>
      </c>
      <c r="C793" s="102" t="s">
        <v>2004</v>
      </c>
      <c r="D793" s="206" t="s">
        <v>2606</v>
      </c>
      <c r="E793" s="320" t="s">
        <v>4050</v>
      </c>
      <c r="F793" s="320"/>
      <c r="G793" s="210"/>
      <c r="H793" s="71"/>
      <c r="I793" s="71"/>
      <c r="J793" s="71">
        <v>35</v>
      </c>
      <c r="K793" s="71">
        <v>7</v>
      </c>
      <c r="L793" s="1"/>
      <c r="M793" s="73">
        <f t="shared" si="100"/>
        <v>0</v>
      </c>
      <c r="N793" s="73">
        <f t="shared" si="101"/>
        <v>0</v>
      </c>
      <c r="O793" s="73">
        <f t="shared" si="99"/>
        <v>0</v>
      </c>
      <c r="P793" s="73">
        <f t="shared" si="102"/>
        <v>0</v>
      </c>
      <c r="Q793" s="73"/>
      <c r="R793" s="73">
        <v>0</v>
      </c>
      <c r="S793" s="75">
        <f t="shared" si="105"/>
        <v>0</v>
      </c>
      <c r="T793" s="77">
        <v>0</v>
      </c>
      <c r="U793" s="66">
        <v>40371</v>
      </c>
      <c r="V793" s="79"/>
      <c r="W793" s="66" t="s">
        <v>1585</v>
      </c>
      <c r="X793" s="24" t="s">
        <v>1586</v>
      </c>
      <c r="Y793" s="62"/>
      <c r="Z793" s="177" t="s">
        <v>894</v>
      </c>
      <c r="AA793" s="80" t="s">
        <v>1734</v>
      </c>
      <c r="AB793" s="3"/>
      <c r="AC793" s="4"/>
      <c r="AD793" s="5"/>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6"/>
      <c r="CE793" s="7"/>
      <c r="CF793" s="6"/>
      <c r="CG793" s="7"/>
      <c r="CH793" s="6"/>
      <c r="CI793" s="7"/>
      <c r="CJ793" s="8">
        <f t="shared" si="103"/>
        <v>0</v>
      </c>
      <c r="CK793" s="9"/>
      <c r="CL793" s="10"/>
      <c r="CM793" s="11"/>
      <c r="CN793" s="12"/>
      <c r="CO793" s="28"/>
      <c r="CP793" s="12"/>
      <c r="CQ793" s="9"/>
      <c r="CR793" s="10"/>
      <c r="CS793" s="68"/>
      <c r="EC793" s="344" t="str">
        <f t="shared" si="98"/>
        <v>RISARALDA_PEREIRA</v>
      </c>
      <c r="ED793" s="341"/>
      <c r="EE793" s="341" t="s">
        <v>3176</v>
      </c>
      <c r="EF793" s="349" t="s">
        <v>3177</v>
      </c>
      <c r="EG793" s="341" t="s">
        <v>4008</v>
      </c>
      <c r="EH793" s="341" t="s">
        <v>5087</v>
      </c>
      <c r="EI793" s="341" t="str">
        <f t="shared" si="104"/>
        <v>Norte de Santander_Cucutilla</v>
      </c>
    </row>
    <row r="794" spans="1:139" ht="216">
      <c r="A794" s="228">
        <v>40370</v>
      </c>
      <c r="B794" s="102" t="s">
        <v>1943</v>
      </c>
      <c r="C794" s="102" t="s">
        <v>1943</v>
      </c>
      <c r="D794" s="206" t="s">
        <v>1201</v>
      </c>
      <c r="E794" s="320" t="s">
        <v>4174</v>
      </c>
      <c r="F794" s="320"/>
      <c r="G794" s="210"/>
      <c r="H794" s="71"/>
      <c r="I794" s="71"/>
      <c r="J794" s="417">
        <f>7532*3</f>
        <v>22596</v>
      </c>
      <c r="K794" s="71">
        <v>7532</v>
      </c>
      <c r="L794" s="1">
        <v>40392</v>
      </c>
      <c r="M794" s="73">
        <f t="shared" si="100"/>
        <v>351799000</v>
      </c>
      <c r="N794" s="73">
        <f t="shared" si="101"/>
        <v>1150220000</v>
      </c>
      <c r="O794" s="73">
        <f t="shared" si="99"/>
        <v>0</v>
      </c>
      <c r="P794" s="73">
        <f t="shared" si="102"/>
        <v>0</v>
      </c>
      <c r="Q794" s="73">
        <v>11460800</v>
      </c>
      <c r="R794" s="73">
        <v>75000000</v>
      </c>
      <c r="S794" s="75">
        <f t="shared" si="105"/>
        <v>1588479800</v>
      </c>
      <c r="T794" s="77">
        <v>0</v>
      </c>
      <c r="U794" s="69">
        <v>40367</v>
      </c>
      <c r="V794" s="411" t="s">
        <v>1051</v>
      </c>
      <c r="W794" s="69" t="s">
        <v>1606</v>
      </c>
      <c r="X794" s="55" t="s">
        <v>1607</v>
      </c>
      <c r="Y794" s="413" t="s">
        <v>1052</v>
      </c>
      <c r="Z794" s="195" t="s">
        <v>1435</v>
      </c>
      <c r="AA794" s="80" t="s">
        <v>187</v>
      </c>
      <c r="AB794" s="3"/>
      <c r="AC794" s="4"/>
      <c r="AD794" s="5"/>
      <c r="AE794" s="4"/>
      <c r="AF794" s="4"/>
      <c r="AG794" s="4"/>
      <c r="AH794" s="4"/>
      <c r="AI794" s="4"/>
      <c r="AJ794" s="4"/>
      <c r="AK794" s="4"/>
      <c r="AL794" s="4"/>
      <c r="AM794" s="4"/>
      <c r="AN794" s="4">
        <v>1000</v>
      </c>
      <c r="AO794" s="4">
        <f>1000*57758</f>
        <v>57758000</v>
      </c>
      <c r="AP794" s="4"/>
      <c r="AQ794" s="4"/>
      <c r="AR794" s="4"/>
      <c r="AS794" s="4"/>
      <c r="AT794" s="4"/>
      <c r="AU794" s="4"/>
      <c r="AV794" s="4"/>
      <c r="AW794" s="4"/>
      <c r="AX794" s="4"/>
      <c r="AY794" s="4"/>
      <c r="AZ794" s="4">
        <v>1000</v>
      </c>
      <c r="BA794" s="4">
        <f>1000*25500</f>
        <v>25500000</v>
      </c>
      <c r="BB794" s="4"/>
      <c r="BC794" s="4"/>
      <c r="BD794" s="4"/>
      <c r="BE794" s="4"/>
      <c r="BF794" s="4"/>
      <c r="BG794" s="4"/>
      <c r="BH794" s="4"/>
      <c r="BI794" s="4"/>
      <c r="BJ794" s="4"/>
      <c r="BK794" s="4"/>
      <c r="BL794" s="4"/>
      <c r="BM794" s="4"/>
      <c r="BN794" s="4">
        <f>15+15</f>
        <v>30</v>
      </c>
      <c r="BO794" s="4">
        <f>15*504600+15*468000</f>
        <v>14589000</v>
      </c>
      <c r="BP794" s="4"/>
      <c r="BQ794" s="4"/>
      <c r="BR794" s="4"/>
      <c r="BS794" s="4"/>
      <c r="BT794" s="4"/>
      <c r="BU794" s="4"/>
      <c r="BV794" s="4"/>
      <c r="BW794" s="4"/>
      <c r="BX794" s="4"/>
      <c r="BY794" s="4"/>
      <c r="BZ794" s="4"/>
      <c r="CA794" s="4"/>
      <c r="CB794" s="4">
        <f>7000+1000</f>
        <v>8000</v>
      </c>
      <c r="CC794" s="4">
        <f>7000*18000+1000*18000</f>
        <v>144000000</v>
      </c>
      <c r="CD794" s="6">
        <f>1000+1000</f>
        <v>2000</v>
      </c>
      <c r="CE794" s="7">
        <f>1000*37000+1000*36952</f>
        <v>73952000</v>
      </c>
      <c r="CF794" s="6">
        <v>1000</v>
      </c>
      <c r="CG794" s="7">
        <f>1000*36000</f>
        <v>36000000</v>
      </c>
      <c r="CH794" s="6"/>
      <c r="CI794" s="7"/>
      <c r="CJ794" s="8">
        <f t="shared" si="103"/>
        <v>351799000</v>
      </c>
      <c r="CK794" s="9"/>
      <c r="CL794" s="10"/>
      <c r="CM794" s="11">
        <f>1000+1000+2000+2000+7532</f>
        <v>13532</v>
      </c>
      <c r="CN794" s="12">
        <f>1000*85000+1000*85000+2000*85000+2000*85000+7532*85000</f>
        <v>1150220000</v>
      </c>
      <c r="CO794" s="28"/>
      <c r="CP794" s="12"/>
      <c r="CQ794" s="9"/>
      <c r="CR794" s="10"/>
      <c r="CS794" s="68">
        <v>2</v>
      </c>
      <c r="EC794" s="344" t="str">
        <f t="shared" si="98"/>
        <v>SUCRE_SUCRE</v>
      </c>
      <c r="ED794" s="341"/>
      <c r="EE794" s="341" t="s">
        <v>3176</v>
      </c>
      <c r="EF794" s="349" t="s">
        <v>3177</v>
      </c>
      <c r="EG794" s="341" t="s">
        <v>4009</v>
      </c>
      <c r="EH794" s="341" t="s">
        <v>5088</v>
      </c>
      <c r="EI794" s="341" t="str">
        <f t="shared" si="104"/>
        <v>Norte de Santander_Durania</v>
      </c>
    </row>
    <row r="795" spans="1:139" ht="38.25">
      <c r="A795" s="228">
        <v>40370</v>
      </c>
      <c r="B795" s="102" t="s">
        <v>1088</v>
      </c>
      <c r="C795" s="102" t="s">
        <v>2743</v>
      </c>
      <c r="D795" s="206" t="s">
        <v>1201</v>
      </c>
      <c r="E795" s="320" t="s">
        <v>4226</v>
      </c>
      <c r="F795" s="320"/>
      <c r="G795" s="210"/>
      <c r="H795" s="71"/>
      <c r="I795" s="71"/>
      <c r="J795" s="71">
        <v>72</v>
      </c>
      <c r="K795" s="71">
        <v>17</v>
      </c>
      <c r="L795" s="1"/>
      <c r="M795" s="73">
        <f t="shared" si="100"/>
        <v>0</v>
      </c>
      <c r="N795" s="73">
        <f t="shared" si="101"/>
        <v>0</v>
      </c>
      <c r="O795" s="73">
        <f t="shared" si="99"/>
        <v>0</v>
      </c>
      <c r="P795" s="73">
        <f t="shared" si="102"/>
        <v>0</v>
      </c>
      <c r="Q795" s="73"/>
      <c r="R795" s="73">
        <v>0</v>
      </c>
      <c r="S795" s="75">
        <f t="shared" si="105"/>
        <v>0</v>
      </c>
      <c r="T795" s="77">
        <v>0</v>
      </c>
      <c r="U795" s="66">
        <v>40371</v>
      </c>
      <c r="V795" s="79"/>
      <c r="W795" s="66" t="s">
        <v>1585</v>
      </c>
      <c r="X795" s="24" t="s">
        <v>1586</v>
      </c>
      <c r="Y795" s="62"/>
      <c r="Z795" s="177" t="s">
        <v>894</v>
      </c>
      <c r="AA795" s="80" t="s">
        <v>902</v>
      </c>
      <c r="AB795" s="3"/>
      <c r="AC795" s="4"/>
      <c r="AD795" s="5"/>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6"/>
      <c r="CE795" s="7"/>
      <c r="CF795" s="6"/>
      <c r="CG795" s="7"/>
      <c r="CH795" s="6"/>
      <c r="CI795" s="7"/>
      <c r="CJ795" s="8">
        <f t="shared" si="103"/>
        <v>0</v>
      </c>
      <c r="CK795" s="9"/>
      <c r="CL795" s="10"/>
      <c r="CM795" s="11"/>
      <c r="CN795" s="12"/>
      <c r="CO795" s="28"/>
      <c r="CP795" s="12"/>
      <c r="CQ795" s="9"/>
      <c r="CR795" s="10"/>
      <c r="CS795" s="68"/>
      <c r="EC795" s="344" t="str">
        <f t="shared" si="98"/>
        <v>VALLE DEL CAUCA_ANDALUCIA</v>
      </c>
      <c r="ED795" s="341"/>
      <c r="EE795" s="341" t="s">
        <v>3176</v>
      </c>
      <c r="EF795" s="349" t="s">
        <v>3177</v>
      </c>
      <c r="EG795" s="341" t="s">
        <v>4010</v>
      </c>
      <c r="EH795" s="341" t="s">
        <v>5089</v>
      </c>
      <c r="EI795" s="341" t="str">
        <f t="shared" si="104"/>
        <v>Norte de Santander_El Carmen</v>
      </c>
    </row>
    <row r="796" spans="1:139" ht="38.25">
      <c r="A796" s="228">
        <v>40371</v>
      </c>
      <c r="B796" s="102" t="s">
        <v>2367</v>
      </c>
      <c r="C796" s="102" t="s">
        <v>2229</v>
      </c>
      <c r="D796" s="206" t="s">
        <v>1201</v>
      </c>
      <c r="E796" s="320" t="s">
        <v>4267</v>
      </c>
      <c r="F796" s="320"/>
      <c r="G796" s="210"/>
      <c r="H796" s="71"/>
      <c r="I796" s="71"/>
      <c r="J796" s="71">
        <v>2396</v>
      </c>
      <c r="K796" s="71">
        <v>499</v>
      </c>
      <c r="L796" s="1"/>
      <c r="M796" s="73">
        <f t="shared" si="100"/>
        <v>0</v>
      </c>
      <c r="N796" s="73">
        <f t="shared" si="101"/>
        <v>0</v>
      </c>
      <c r="O796" s="73">
        <f t="shared" si="99"/>
        <v>0</v>
      </c>
      <c r="P796" s="73">
        <f t="shared" si="102"/>
        <v>0</v>
      </c>
      <c r="Q796" s="73"/>
      <c r="R796" s="73">
        <v>0</v>
      </c>
      <c r="S796" s="75">
        <f t="shared" si="105"/>
        <v>0</v>
      </c>
      <c r="T796" s="77">
        <v>0</v>
      </c>
      <c r="U796" s="66">
        <v>40343</v>
      </c>
      <c r="V796" s="79"/>
      <c r="W796" s="66" t="s">
        <v>1606</v>
      </c>
      <c r="X796" s="24" t="s">
        <v>1607</v>
      </c>
      <c r="Y796" s="62"/>
      <c r="Z796" s="198" t="s">
        <v>1270</v>
      </c>
      <c r="AA796" s="80" t="s">
        <v>2230</v>
      </c>
      <c r="AB796" s="3"/>
      <c r="AC796" s="4"/>
      <c r="AD796" s="5"/>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6"/>
      <c r="CE796" s="7"/>
      <c r="CF796" s="6"/>
      <c r="CG796" s="7"/>
      <c r="CH796" s="6"/>
      <c r="CI796" s="7"/>
      <c r="CJ796" s="8">
        <f t="shared" si="103"/>
        <v>0</v>
      </c>
      <c r="CK796" s="9"/>
      <c r="CL796" s="10"/>
      <c r="CM796" s="11"/>
      <c r="CN796" s="12"/>
      <c r="CO796" s="28"/>
      <c r="CP796" s="12"/>
      <c r="CQ796" s="9"/>
      <c r="CR796" s="10"/>
      <c r="CS796" s="68"/>
      <c r="EC796" s="344" t="str">
        <f t="shared" si="98"/>
        <v>ARAUCA_ARAUQUITA</v>
      </c>
      <c r="ED796" s="341"/>
      <c r="EE796" s="341" t="s">
        <v>3176</v>
      </c>
      <c r="EF796" s="349" t="s">
        <v>3177</v>
      </c>
      <c r="EG796" s="341" t="s">
        <v>4011</v>
      </c>
      <c r="EH796" s="341" t="s">
        <v>5090</v>
      </c>
      <c r="EI796" s="341" t="str">
        <f t="shared" si="104"/>
        <v>Norte de Santander_El Tarra</v>
      </c>
    </row>
    <row r="797" spans="1:139" ht="38.25">
      <c r="A797" s="228">
        <v>40371</v>
      </c>
      <c r="B797" s="222" t="s">
        <v>2367</v>
      </c>
      <c r="C797" s="222" t="s">
        <v>2228</v>
      </c>
      <c r="D797" s="233" t="s">
        <v>1201</v>
      </c>
      <c r="E797" s="325" t="s">
        <v>4270</v>
      </c>
      <c r="F797" s="325"/>
      <c r="G797" s="204"/>
      <c r="H797" s="151"/>
      <c r="I797" s="151"/>
      <c r="J797" s="151">
        <v>332</v>
      </c>
      <c r="K797" s="151">
        <v>73</v>
      </c>
      <c r="L797" s="1"/>
      <c r="M797" s="73">
        <f t="shared" si="100"/>
        <v>0</v>
      </c>
      <c r="N797" s="73">
        <f t="shared" si="101"/>
        <v>0</v>
      </c>
      <c r="O797" s="73">
        <f t="shared" ref="O797:O828" si="106">CP797+CR797</f>
        <v>0</v>
      </c>
      <c r="P797" s="73">
        <f t="shared" si="102"/>
        <v>0</v>
      </c>
      <c r="Q797" s="73"/>
      <c r="R797" s="73">
        <v>0</v>
      </c>
      <c r="S797" s="75">
        <f t="shared" si="105"/>
        <v>0</v>
      </c>
      <c r="T797" s="77">
        <v>0</v>
      </c>
      <c r="U797" s="66">
        <v>40441</v>
      </c>
      <c r="V797" s="79"/>
      <c r="W797" s="66" t="s">
        <v>1606</v>
      </c>
      <c r="X797" s="24" t="s">
        <v>1607</v>
      </c>
      <c r="Y797" s="62"/>
      <c r="Z797" s="198" t="s">
        <v>1270</v>
      </c>
      <c r="AA797" s="166" t="s">
        <v>4326</v>
      </c>
      <c r="AB797" s="152"/>
      <c r="AC797" s="153"/>
      <c r="AD797" s="154"/>
      <c r="AE797" s="153"/>
      <c r="AF797" s="153"/>
      <c r="AG797" s="153"/>
      <c r="AH797" s="153"/>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c r="BF797" s="153"/>
      <c r="BG797" s="153"/>
      <c r="BH797" s="153"/>
      <c r="BI797" s="153"/>
      <c r="BJ797" s="153"/>
      <c r="BK797" s="153"/>
      <c r="BL797" s="153"/>
      <c r="BM797" s="153"/>
      <c r="BN797" s="153"/>
      <c r="BO797" s="153"/>
      <c r="BP797" s="153"/>
      <c r="BQ797" s="153"/>
      <c r="BR797" s="153"/>
      <c r="BS797" s="153"/>
      <c r="BT797" s="153"/>
      <c r="BU797" s="153"/>
      <c r="BV797" s="153"/>
      <c r="BW797" s="153"/>
      <c r="BX797" s="153"/>
      <c r="BY797" s="153"/>
      <c r="BZ797" s="153"/>
      <c r="CA797" s="153"/>
      <c r="CB797" s="153"/>
      <c r="CC797" s="153"/>
      <c r="CD797" s="155"/>
      <c r="CE797" s="156"/>
      <c r="CF797" s="155"/>
      <c r="CG797" s="156"/>
      <c r="CH797" s="155"/>
      <c r="CI797" s="156"/>
      <c r="CJ797" s="157">
        <f t="shared" si="103"/>
        <v>0</v>
      </c>
      <c r="CK797" s="158"/>
      <c r="CL797" s="159"/>
      <c r="CM797" s="160"/>
      <c r="CN797" s="161"/>
      <c r="CO797" s="162"/>
      <c r="CP797" s="161"/>
      <c r="CQ797" s="158"/>
      <c r="CR797" s="159"/>
      <c r="CS797" s="68"/>
      <c r="CT797" s="163"/>
      <c r="EC797" s="344" t="str">
        <f t="shared" si="98"/>
        <v>ARAUCA_PUERTO RONDON</v>
      </c>
      <c r="ED797" s="341"/>
      <c r="EE797" s="341" t="s">
        <v>3176</v>
      </c>
      <c r="EF797" s="349" t="s">
        <v>3177</v>
      </c>
      <c r="EG797" s="341" t="s">
        <v>4012</v>
      </c>
      <c r="EH797" s="341" t="s">
        <v>5091</v>
      </c>
      <c r="EI797" s="341" t="str">
        <f t="shared" si="104"/>
        <v>Norte de Santander_El Zulia</v>
      </c>
    </row>
    <row r="798" spans="1:139" ht="156">
      <c r="A798" s="228">
        <v>40371</v>
      </c>
      <c r="B798" s="102" t="s">
        <v>1551</v>
      </c>
      <c r="C798" s="102" t="s">
        <v>1590</v>
      </c>
      <c r="D798" s="206" t="s">
        <v>1201</v>
      </c>
      <c r="E798" s="320" t="s">
        <v>3352</v>
      </c>
      <c r="F798" s="320"/>
      <c r="G798" s="210">
        <v>1</v>
      </c>
      <c r="H798" s="71"/>
      <c r="I798" s="71"/>
      <c r="J798" s="71">
        <f>2200*5</f>
        <v>11000</v>
      </c>
      <c r="K798" s="71">
        <v>2200</v>
      </c>
      <c r="L798" s="1">
        <v>40402</v>
      </c>
      <c r="M798" s="73">
        <f t="shared" si="100"/>
        <v>51100000</v>
      </c>
      <c r="N798" s="73">
        <f t="shared" si="101"/>
        <v>59500000</v>
      </c>
      <c r="O798" s="73">
        <f t="shared" si="106"/>
        <v>0</v>
      </c>
      <c r="P798" s="73">
        <f t="shared" si="102"/>
        <v>18000000</v>
      </c>
      <c r="Q798" s="73"/>
      <c r="R798" s="73">
        <v>0</v>
      </c>
      <c r="S798" s="75">
        <f t="shared" si="105"/>
        <v>128600000</v>
      </c>
      <c r="T798" s="77">
        <v>0</v>
      </c>
      <c r="U798" s="66"/>
      <c r="V798" s="79">
        <v>36755</v>
      </c>
      <c r="W798" s="66" t="s">
        <v>1606</v>
      </c>
      <c r="X798" s="24" t="s">
        <v>1607</v>
      </c>
      <c r="Y798" s="62">
        <v>241</v>
      </c>
      <c r="Z798" s="177" t="s">
        <v>1435</v>
      </c>
      <c r="AA798" s="80" t="s">
        <v>2225</v>
      </c>
      <c r="AB798" s="3"/>
      <c r="AC798" s="4"/>
      <c r="AD798" s="5"/>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6">
        <v>700</v>
      </c>
      <c r="CE798" s="7">
        <f>700*37000</f>
        <v>25900000</v>
      </c>
      <c r="CF798" s="6">
        <v>700</v>
      </c>
      <c r="CG798" s="7">
        <f>700*36000</f>
        <v>25200000</v>
      </c>
      <c r="CH798" s="6"/>
      <c r="CI798" s="7"/>
      <c r="CJ798" s="8">
        <f t="shared" si="103"/>
        <v>51100000</v>
      </c>
      <c r="CK798" s="9">
        <v>20000</v>
      </c>
      <c r="CL798" s="10">
        <f>20000*900</f>
        <v>18000000</v>
      </c>
      <c r="CM798" s="11">
        <v>700</v>
      </c>
      <c r="CN798" s="12">
        <f>700*85000</f>
        <v>59500000</v>
      </c>
      <c r="CO798" s="28"/>
      <c r="CP798" s="12"/>
      <c r="CQ798" s="9"/>
      <c r="CR798" s="10"/>
      <c r="CS798" s="68"/>
      <c r="EC798" s="344" t="str">
        <f t="shared" si="98"/>
        <v>ATLANTICO_BARRANQUILLA</v>
      </c>
      <c r="ED798" s="341"/>
      <c r="EE798" s="341" t="s">
        <v>3176</v>
      </c>
      <c r="EF798" s="349" t="s">
        <v>3177</v>
      </c>
      <c r="EG798" s="341" t="s">
        <v>4013</v>
      </c>
      <c r="EH798" s="341" t="s">
        <v>5092</v>
      </c>
      <c r="EI798" s="341" t="str">
        <f t="shared" si="104"/>
        <v>Norte de Santander_Gramalote</v>
      </c>
    </row>
    <row r="799" spans="1:139" ht="48">
      <c r="A799" s="228">
        <v>40371</v>
      </c>
      <c r="B799" s="102" t="s">
        <v>1551</v>
      </c>
      <c r="C799" s="102" t="s">
        <v>1605</v>
      </c>
      <c r="D799" s="206" t="s">
        <v>1201</v>
      </c>
      <c r="E799" s="320" t="s">
        <v>3110</v>
      </c>
      <c r="F799" s="320"/>
      <c r="G799" s="210"/>
      <c r="H799" s="71"/>
      <c r="I799" s="71"/>
      <c r="J799" s="71"/>
      <c r="K799" s="71"/>
      <c r="L799" s="1">
        <v>40386</v>
      </c>
      <c r="M799" s="73">
        <f t="shared" si="100"/>
        <v>94852000</v>
      </c>
      <c r="N799" s="73">
        <f t="shared" si="101"/>
        <v>110500000</v>
      </c>
      <c r="O799" s="73">
        <f t="shared" si="106"/>
        <v>0</v>
      </c>
      <c r="P799" s="73">
        <f t="shared" si="102"/>
        <v>45000000</v>
      </c>
      <c r="Q799" s="73"/>
      <c r="R799" s="73">
        <v>0</v>
      </c>
      <c r="S799" s="75">
        <f t="shared" si="105"/>
        <v>250352000</v>
      </c>
      <c r="T799" s="77">
        <v>0</v>
      </c>
      <c r="U799" s="66">
        <v>40384</v>
      </c>
      <c r="V799" s="89" t="s">
        <v>2403</v>
      </c>
      <c r="W799" s="66" t="s">
        <v>1606</v>
      </c>
      <c r="X799" s="24" t="s">
        <v>1607</v>
      </c>
      <c r="Y799" s="83" t="s">
        <v>1506</v>
      </c>
      <c r="Z799" s="177" t="s">
        <v>1435</v>
      </c>
      <c r="AA799" s="80" t="s">
        <v>2238</v>
      </c>
      <c r="AB799" s="3"/>
      <c r="AC799" s="4"/>
      <c r="AD799" s="5"/>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6">
        <f>1000+300</f>
        <v>1300</v>
      </c>
      <c r="CE799" s="7">
        <f>1000*36952+300*37000</f>
        <v>48052000</v>
      </c>
      <c r="CF799" s="6">
        <f>1000+300</f>
        <v>1300</v>
      </c>
      <c r="CG799" s="7">
        <f>1000*36000+300*36000</f>
        <v>46800000</v>
      </c>
      <c r="CH799" s="6"/>
      <c r="CI799" s="7"/>
      <c r="CJ799" s="8">
        <f t="shared" si="103"/>
        <v>94852000</v>
      </c>
      <c r="CK799" s="9">
        <v>50000</v>
      </c>
      <c r="CL799" s="10">
        <f>50000*900</f>
        <v>45000000</v>
      </c>
      <c r="CM799" s="11">
        <f>1000+300</f>
        <v>1300</v>
      </c>
      <c r="CN799" s="12">
        <f>1000*85000+300*85000</f>
        <v>110500000</v>
      </c>
      <c r="CO799" s="28"/>
      <c r="CP799" s="12"/>
      <c r="CQ799" s="9"/>
      <c r="CR799" s="10"/>
      <c r="CS799" s="68"/>
      <c r="EC799" s="344" t="str">
        <f t="shared" si="98"/>
        <v>ATLANTICO_DEPARTAMENTO</v>
      </c>
      <c r="ED799" s="341"/>
      <c r="EE799" s="341" t="s">
        <v>3176</v>
      </c>
      <c r="EF799" s="349" t="s">
        <v>3177</v>
      </c>
      <c r="EG799" s="341" t="s">
        <v>4014</v>
      </c>
      <c r="EH799" s="341" t="s">
        <v>5093</v>
      </c>
      <c r="EI799" s="341" t="str">
        <f t="shared" si="104"/>
        <v>Norte de Santander_Hacari</v>
      </c>
    </row>
    <row r="800" spans="1:139" ht="38.25">
      <c r="A800" s="228">
        <v>40371</v>
      </c>
      <c r="B800" s="102" t="s">
        <v>1551</v>
      </c>
      <c r="C800" s="102" t="s">
        <v>1374</v>
      </c>
      <c r="D800" s="206" t="s">
        <v>1201</v>
      </c>
      <c r="E800" s="320" t="s">
        <v>3359</v>
      </c>
      <c r="F800" s="320"/>
      <c r="G800" s="210"/>
      <c r="H800" s="71"/>
      <c r="I800" s="71"/>
      <c r="J800" s="71">
        <v>20</v>
      </c>
      <c r="K800" s="71">
        <v>4</v>
      </c>
      <c r="L800" s="1"/>
      <c r="M800" s="73">
        <f t="shared" si="100"/>
        <v>0</v>
      </c>
      <c r="N800" s="73">
        <f t="shared" si="101"/>
        <v>0</v>
      </c>
      <c r="O800" s="73">
        <f t="shared" si="106"/>
        <v>0</v>
      </c>
      <c r="P800" s="73">
        <f t="shared" si="102"/>
        <v>0</v>
      </c>
      <c r="Q800" s="73"/>
      <c r="R800" s="73">
        <v>0</v>
      </c>
      <c r="S800" s="75">
        <f t="shared" si="105"/>
        <v>0</v>
      </c>
      <c r="T800" s="77">
        <v>0</v>
      </c>
      <c r="U800" s="66">
        <v>40375</v>
      </c>
      <c r="V800" s="79"/>
      <c r="W800" s="66" t="s">
        <v>1585</v>
      </c>
      <c r="X800" s="24" t="s">
        <v>1586</v>
      </c>
      <c r="Y800" s="62"/>
      <c r="Z800" s="177" t="s">
        <v>894</v>
      </c>
      <c r="AA800" s="80" t="s">
        <v>1375</v>
      </c>
      <c r="AB800" s="3"/>
      <c r="AC800" s="4"/>
      <c r="AD800" s="5"/>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6"/>
      <c r="CE800" s="7"/>
      <c r="CF800" s="6"/>
      <c r="CG800" s="7"/>
      <c r="CH800" s="6"/>
      <c r="CI800" s="7"/>
      <c r="CJ800" s="8">
        <f t="shared" si="103"/>
        <v>0</v>
      </c>
      <c r="CK800" s="9"/>
      <c r="CL800" s="10"/>
      <c r="CM800" s="11"/>
      <c r="CN800" s="12"/>
      <c r="CO800" s="28"/>
      <c r="CP800" s="12"/>
      <c r="CQ800" s="9"/>
      <c r="CR800" s="10"/>
      <c r="CS800" s="68"/>
      <c r="EC800" s="344" t="str">
        <f t="shared" si="98"/>
        <v>ATLANTICO_MALAMBO</v>
      </c>
      <c r="ED800" s="341"/>
      <c r="EE800" s="341" t="s">
        <v>3176</v>
      </c>
      <c r="EF800" s="349" t="s">
        <v>3177</v>
      </c>
      <c r="EG800" s="341" t="s">
        <v>4015</v>
      </c>
      <c r="EH800" s="341" t="s">
        <v>5094</v>
      </c>
      <c r="EI800" s="341" t="str">
        <f t="shared" si="104"/>
        <v>Norte de Santander_Herran</v>
      </c>
    </row>
    <row r="801" spans="1:139" ht="120">
      <c r="A801" s="228">
        <v>40371</v>
      </c>
      <c r="B801" s="102" t="s">
        <v>1551</v>
      </c>
      <c r="C801" s="102" t="s">
        <v>1061</v>
      </c>
      <c r="D801" s="206" t="s">
        <v>1201</v>
      </c>
      <c r="E801" s="320" t="s">
        <v>3371</v>
      </c>
      <c r="F801" s="320"/>
      <c r="G801" s="210">
        <v>1</v>
      </c>
      <c r="H801" s="71"/>
      <c r="I801" s="71"/>
      <c r="J801" s="71">
        <f>1460*5</f>
        <v>7300</v>
      </c>
      <c r="K801" s="71">
        <v>1460</v>
      </c>
      <c r="L801" s="1">
        <v>40476</v>
      </c>
      <c r="M801" s="73">
        <f t="shared" si="100"/>
        <v>77435400</v>
      </c>
      <c r="N801" s="73">
        <f t="shared" si="101"/>
        <v>0</v>
      </c>
      <c r="O801" s="73">
        <f t="shared" si="106"/>
        <v>0</v>
      </c>
      <c r="P801" s="73">
        <f t="shared" si="102"/>
        <v>0</v>
      </c>
      <c r="Q801" s="73"/>
      <c r="R801" s="73">
        <v>0</v>
      </c>
      <c r="S801" s="75">
        <f t="shared" si="105"/>
        <v>77435400</v>
      </c>
      <c r="T801" s="77">
        <v>0</v>
      </c>
      <c r="U801" s="69">
        <v>40408</v>
      </c>
      <c r="V801" s="78">
        <v>41544</v>
      </c>
      <c r="W801" s="69" t="s">
        <v>1606</v>
      </c>
      <c r="X801" s="55" t="s">
        <v>1607</v>
      </c>
      <c r="Y801" s="61">
        <v>22559</v>
      </c>
      <c r="Z801" s="195" t="s">
        <v>1435</v>
      </c>
      <c r="AA801" s="165" t="s">
        <v>831</v>
      </c>
      <c r="AB801" s="3"/>
      <c r="AC801" s="4"/>
      <c r="AD801" s="5"/>
      <c r="AE801" s="4"/>
      <c r="AF801" s="4"/>
      <c r="AG801" s="4"/>
      <c r="AH801" s="4"/>
      <c r="AI801" s="4"/>
      <c r="AJ801" s="4"/>
      <c r="AK801" s="4"/>
      <c r="AL801" s="4"/>
      <c r="AM801" s="4"/>
      <c r="AN801" s="4">
        <v>1300</v>
      </c>
      <c r="AO801" s="4">
        <f>1300*57758</f>
        <v>75085400</v>
      </c>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v>5</v>
      </c>
      <c r="BO801" s="4">
        <f>5*470000</f>
        <v>2350000</v>
      </c>
      <c r="BP801" s="4"/>
      <c r="BQ801" s="4"/>
      <c r="BR801" s="4"/>
      <c r="BS801" s="4"/>
      <c r="BT801" s="4"/>
      <c r="BU801" s="4"/>
      <c r="BV801" s="4"/>
      <c r="BW801" s="4"/>
      <c r="BX801" s="4"/>
      <c r="BY801" s="4"/>
      <c r="BZ801" s="4"/>
      <c r="CA801" s="4"/>
      <c r="CB801" s="4"/>
      <c r="CC801" s="4"/>
      <c r="CD801" s="6"/>
      <c r="CE801" s="7"/>
      <c r="CF801" s="6"/>
      <c r="CG801" s="7"/>
      <c r="CH801" s="6"/>
      <c r="CI801" s="7"/>
      <c r="CJ801" s="8">
        <f t="shared" si="103"/>
        <v>77435400</v>
      </c>
      <c r="CK801" s="9"/>
      <c r="CL801" s="10"/>
      <c r="CM801" s="11"/>
      <c r="CN801" s="12"/>
      <c r="CO801" s="28"/>
      <c r="CP801" s="12"/>
      <c r="CQ801" s="9"/>
      <c r="CR801" s="10"/>
      <c r="CS801" s="68"/>
      <c r="EC801" s="344" t="str">
        <f t="shared" si="98"/>
        <v>ATLANTICO_SOLEDAD</v>
      </c>
      <c r="ED801" s="341"/>
      <c r="EE801" s="341" t="s">
        <v>3176</v>
      </c>
      <c r="EF801" s="349" t="s">
        <v>3177</v>
      </c>
      <c r="EG801" s="341" t="s">
        <v>4016</v>
      </c>
      <c r="EH801" s="341" t="s">
        <v>5095</v>
      </c>
      <c r="EI801" s="341" t="str">
        <f t="shared" si="104"/>
        <v>Norte de Santander_Labateca</v>
      </c>
    </row>
    <row r="802" spans="1:139" ht="38.25">
      <c r="A802" s="228">
        <v>40371</v>
      </c>
      <c r="B802" s="102" t="s">
        <v>1192</v>
      </c>
      <c r="C802" s="102" t="s">
        <v>2231</v>
      </c>
      <c r="D802" s="206" t="s">
        <v>1201</v>
      </c>
      <c r="E802" s="320" t="s">
        <v>3518</v>
      </c>
      <c r="F802" s="320"/>
      <c r="G802" s="210"/>
      <c r="H802" s="71"/>
      <c r="I802" s="71"/>
      <c r="J802" s="71">
        <f>171*5</f>
        <v>855</v>
      </c>
      <c r="K802" s="71">
        <v>171</v>
      </c>
      <c r="L802" s="1"/>
      <c r="M802" s="73">
        <f t="shared" si="100"/>
        <v>0</v>
      </c>
      <c r="N802" s="73">
        <f t="shared" si="101"/>
        <v>0</v>
      </c>
      <c r="O802" s="73">
        <f t="shared" si="106"/>
        <v>0</v>
      </c>
      <c r="P802" s="73">
        <f t="shared" si="102"/>
        <v>0</v>
      </c>
      <c r="Q802" s="73"/>
      <c r="R802" s="73">
        <v>0</v>
      </c>
      <c r="S802" s="75">
        <f t="shared" si="105"/>
        <v>0</v>
      </c>
      <c r="T802" s="77">
        <v>0</v>
      </c>
      <c r="U802" s="66">
        <v>40343</v>
      </c>
      <c r="V802" s="79"/>
      <c r="W802" s="66" t="s">
        <v>1585</v>
      </c>
      <c r="X802" s="24" t="s">
        <v>1586</v>
      </c>
      <c r="Y802" s="62"/>
      <c r="Z802" s="177" t="s">
        <v>894</v>
      </c>
      <c r="AA802" s="80" t="s">
        <v>2232</v>
      </c>
      <c r="AB802" s="3"/>
      <c r="AC802" s="4"/>
      <c r="AD802" s="5"/>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6"/>
      <c r="CE802" s="7"/>
      <c r="CF802" s="6"/>
      <c r="CG802" s="7"/>
      <c r="CH802" s="6"/>
      <c r="CI802" s="7"/>
      <c r="CJ802" s="8">
        <f t="shared" si="103"/>
        <v>0</v>
      </c>
      <c r="CK802" s="9"/>
      <c r="CL802" s="10"/>
      <c r="CM802" s="11"/>
      <c r="CN802" s="12"/>
      <c r="CO802" s="28"/>
      <c r="CP802" s="12"/>
      <c r="CQ802" s="9"/>
      <c r="CR802" s="10"/>
      <c r="CS802" s="68"/>
      <c r="EC802" s="344" t="str">
        <f t="shared" ref="EC802:EC857" si="107">B802&amp;"_"&amp;C802</f>
        <v>BOYACA_SOGAMOSO</v>
      </c>
      <c r="ED802" s="341"/>
      <c r="EE802" s="341" t="s">
        <v>3176</v>
      </c>
      <c r="EF802" s="349" t="s">
        <v>3177</v>
      </c>
      <c r="EG802" s="341" t="s">
        <v>4017</v>
      </c>
      <c r="EH802" s="341" t="s">
        <v>5096</v>
      </c>
      <c r="EI802" s="341" t="str">
        <f t="shared" si="104"/>
        <v>Norte de Santander_La Esperanza</v>
      </c>
    </row>
    <row r="803" spans="1:139" ht="60">
      <c r="A803" s="228">
        <v>40371</v>
      </c>
      <c r="B803" s="205" t="s">
        <v>1192</v>
      </c>
      <c r="C803" s="205" t="s">
        <v>1233</v>
      </c>
      <c r="D803" s="207" t="s">
        <v>1878</v>
      </c>
      <c r="E803" s="323" t="s">
        <v>3520</v>
      </c>
      <c r="F803" s="323"/>
      <c r="G803" s="204"/>
      <c r="H803" s="151"/>
      <c r="I803" s="151"/>
      <c r="J803" s="151">
        <f>52*5</f>
        <v>260</v>
      </c>
      <c r="K803" s="151">
        <v>52</v>
      </c>
      <c r="L803" s="1"/>
      <c r="M803" s="73">
        <f t="shared" si="100"/>
        <v>0</v>
      </c>
      <c r="N803" s="73">
        <f t="shared" si="101"/>
        <v>0</v>
      </c>
      <c r="O803" s="73">
        <f t="shared" si="106"/>
        <v>0</v>
      </c>
      <c r="P803" s="73">
        <f t="shared" si="102"/>
        <v>0</v>
      </c>
      <c r="Q803" s="73"/>
      <c r="R803" s="73">
        <v>0</v>
      </c>
      <c r="S803" s="75">
        <f t="shared" si="105"/>
        <v>0</v>
      </c>
      <c r="T803" s="77">
        <v>0</v>
      </c>
      <c r="U803" s="66">
        <v>40589</v>
      </c>
      <c r="V803" s="79"/>
      <c r="W803" s="66" t="s">
        <v>1585</v>
      </c>
      <c r="X803" s="24" t="s">
        <v>1586</v>
      </c>
      <c r="Y803" s="62"/>
      <c r="Z803" s="169" t="s">
        <v>894</v>
      </c>
      <c r="AA803" s="166" t="s">
        <v>151</v>
      </c>
      <c r="AB803" s="152"/>
      <c r="AC803" s="153"/>
      <c r="AD803" s="154"/>
      <c r="AE803" s="153"/>
      <c r="AF803" s="153"/>
      <c r="AG803" s="153"/>
      <c r="AH803" s="153"/>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c r="BF803" s="153"/>
      <c r="BG803" s="153"/>
      <c r="BH803" s="153"/>
      <c r="BI803" s="153"/>
      <c r="BJ803" s="153"/>
      <c r="BK803" s="153"/>
      <c r="BL803" s="153"/>
      <c r="BM803" s="153"/>
      <c r="BN803" s="153"/>
      <c r="BO803" s="153"/>
      <c r="BP803" s="153"/>
      <c r="BQ803" s="153"/>
      <c r="BR803" s="153"/>
      <c r="BS803" s="153"/>
      <c r="BT803" s="153"/>
      <c r="BU803" s="153"/>
      <c r="BV803" s="153"/>
      <c r="BW803" s="153"/>
      <c r="BX803" s="153"/>
      <c r="BY803" s="153"/>
      <c r="BZ803" s="153"/>
      <c r="CA803" s="153"/>
      <c r="CB803" s="153"/>
      <c r="CC803" s="153"/>
      <c r="CD803" s="155"/>
      <c r="CE803" s="156"/>
      <c r="CF803" s="155"/>
      <c r="CG803" s="156"/>
      <c r="CH803" s="155"/>
      <c r="CI803" s="156"/>
      <c r="CJ803" s="157">
        <f t="shared" si="103"/>
        <v>0</v>
      </c>
      <c r="CK803" s="158"/>
      <c r="CL803" s="159"/>
      <c r="CM803" s="160"/>
      <c r="CN803" s="161"/>
      <c r="CO803" s="162"/>
      <c r="CP803" s="161"/>
      <c r="CQ803" s="158"/>
      <c r="CR803" s="159"/>
      <c r="CS803" s="68"/>
      <c r="CT803" s="163"/>
      <c r="EC803" s="344" t="str">
        <f t="shared" si="107"/>
        <v>BOYACA_SORA</v>
      </c>
      <c r="ED803" s="341"/>
      <c r="EE803" s="341" t="s">
        <v>3176</v>
      </c>
      <c r="EF803" s="349" t="s">
        <v>3177</v>
      </c>
      <c r="EG803" s="341" t="s">
        <v>4018</v>
      </c>
      <c r="EH803" s="341" t="s">
        <v>5097</v>
      </c>
      <c r="EI803" s="341" t="str">
        <f t="shared" si="104"/>
        <v>Norte de Santander_La Playa</v>
      </c>
    </row>
    <row r="804" spans="1:139" ht="38.25">
      <c r="A804" s="228">
        <v>40371</v>
      </c>
      <c r="B804" s="205" t="s">
        <v>1192</v>
      </c>
      <c r="C804" s="205" t="s">
        <v>651</v>
      </c>
      <c r="D804" s="207" t="s">
        <v>1878</v>
      </c>
      <c r="E804" s="323" t="s">
        <v>3521</v>
      </c>
      <c r="F804" s="323"/>
      <c r="G804" s="204"/>
      <c r="H804" s="151"/>
      <c r="I804" s="151"/>
      <c r="J804" s="151">
        <v>150</v>
      </c>
      <c r="K804" s="151">
        <v>30</v>
      </c>
      <c r="L804" s="1"/>
      <c r="M804" s="73">
        <f t="shared" si="100"/>
        <v>0</v>
      </c>
      <c r="N804" s="73">
        <f t="shared" si="101"/>
        <v>0</v>
      </c>
      <c r="O804" s="73">
        <f t="shared" si="106"/>
        <v>0</v>
      </c>
      <c r="P804" s="73">
        <f t="shared" si="102"/>
        <v>0</v>
      </c>
      <c r="Q804" s="73"/>
      <c r="R804" s="73">
        <v>0</v>
      </c>
      <c r="S804" s="75">
        <f t="shared" si="105"/>
        <v>0</v>
      </c>
      <c r="T804" s="77">
        <v>0</v>
      </c>
      <c r="U804" s="66">
        <v>40589</v>
      </c>
      <c r="V804" s="79"/>
      <c r="W804" s="66" t="s">
        <v>1585</v>
      </c>
      <c r="X804" s="24" t="s">
        <v>1586</v>
      </c>
      <c r="Y804" s="62"/>
      <c r="Z804" s="169" t="s">
        <v>894</v>
      </c>
      <c r="AA804" s="166" t="s">
        <v>95</v>
      </c>
      <c r="AB804" s="152"/>
      <c r="AC804" s="153"/>
      <c r="AD804" s="154"/>
      <c r="AE804" s="153"/>
      <c r="AF804" s="153"/>
      <c r="AG804" s="153"/>
      <c r="AH804" s="153"/>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c r="BI804" s="153"/>
      <c r="BJ804" s="153"/>
      <c r="BK804" s="153"/>
      <c r="BL804" s="153"/>
      <c r="BM804" s="153"/>
      <c r="BN804" s="153"/>
      <c r="BO804" s="153"/>
      <c r="BP804" s="153"/>
      <c r="BQ804" s="153"/>
      <c r="BR804" s="153"/>
      <c r="BS804" s="153"/>
      <c r="BT804" s="153"/>
      <c r="BU804" s="153"/>
      <c r="BV804" s="153"/>
      <c r="BW804" s="153"/>
      <c r="BX804" s="153"/>
      <c r="BY804" s="153"/>
      <c r="BZ804" s="153"/>
      <c r="CA804" s="153"/>
      <c r="CB804" s="153"/>
      <c r="CC804" s="153"/>
      <c r="CD804" s="155"/>
      <c r="CE804" s="156"/>
      <c r="CF804" s="155"/>
      <c r="CG804" s="156"/>
      <c r="CH804" s="155"/>
      <c r="CI804" s="156"/>
      <c r="CJ804" s="157">
        <f t="shared" si="103"/>
        <v>0</v>
      </c>
      <c r="CK804" s="158"/>
      <c r="CL804" s="159"/>
      <c r="CM804" s="160"/>
      <c r="CN804" s="161"/>
      <c r="CO804" s="162"/>
      <c r="CP804" s="161"/>
      <c r="CQ804" s="158"/>
      <c r="CR804" s="159"/>
      <c r="CS804" s="68"/>
      <c r="CT804" s="163"/>
      <c r="EC804" s="344" t="str">
        <f t="shared" si="107"/>
        <v>BOYACA_SOTAQUIRA</v>
      </c>
      <c r="ED804" s="341"/>
      <c r="EE804" s="341" t="s">
        <v>3176</v>
      </c>
      <c r="EF804" s="349" t="s">
        <v>3177</v>
      </c>
      <c r="EG804" s="341" t="s">
        <v>4020</v>
      </c>
      <c r="EH804" s="341" t="s">
        <v>5098</v>
      </c>
      <c r="EI804" s="341" t="str">
        <f t="shared" si="104"/>
        <v>Norte de Santander_Lourdes</v>
      </c>
    </row>
    <row r="805" spans="1:139" ht="38.25">
      <c r="A805" s="228">
        <v>40371</v>
      </c>
      <c r="B805" s="102" t="s">
        <v>396</v>
      </c>
      <c r="C805" s="102" t="s">
        <v>1899</v>
      </c>
      <c r="D805" s="206" t="s">
        <v>1201</v>
      </c>
      <c r="E805" s="320" t="s">
        <v>3905</v>
      </c>
      <c r="F805" s="320"/>
      <c r="G805" s="210"/>
      <c r="H805" s="71"/>
      <c r="I805" s="71"/>
      <c r="J805" s="71">
        <v>18</v>
      </c>
      <c r="K805" s="71">
        <v>3</v>
      </c>
      <c r="L805" s="1"/>
      <c r="M805" s="73">
        <f t="shared" si="100"/>
        <v>0</v>
      </c>
      <c r="N805" s="73">
        <f t="shared" si="101"/>
        <v>0</v>
      </c>
      <c r="O805" s="73">
        <f t="shared" si="106"/>
        <v>0</v>
      </c>
      <c r="P805" s="73">
        <f t="shared" si="102"/>
        <v>0</v>
      </c>
      <c r="Q805" s="73"/>
      <c r="R805" s="73">
        <v>0</v>
      </c>
      <c r="S805" s="75">
        <f t="shared" si="105"/>
        <v>0</v>
      </c>
      <c r="T805" s="77">
        <v>0</v>
      </c>
      <c r="U805" s="66">
        <v>40343</v>
      </c>
      <c r="V805" s="79"/>
      <c r="W805" s="66" t="s">
        <v>1585</v>
      </c>
      <c r="X805" s="24" t="s">
        <v>1586</v>
      </c>
      <c r="Y805" s="62"/>
      <c r="Z805" s="177" t="s">
        <v>894</v>
      </c>
      <c r="AA805" s="80" t="s">
        <v>2226</v>
      </c>
      <c r="AB805" s="3"/>
      <c r="AC805" s="4"/>
      <c r="AD805" s="5"/>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6"/>
      <c r="CE805" s="7"/>
      <c r="CF805" s="6"/>
      <c r="CG805" s="7"/>
      <c r="CH805" s="6"/>
      <c r="CI805" s="7"/>
      <c r="CJ805" s="8">
        <f t="shared" si="103"/>
        <v>0</v>
      </c>
      <c r="CK805" s="9"/>
      <c r="CL805" s="10"/>
      <c r="CM805" s="11"/>
      <c r="CN805" s="12"/>
      <c r="CO805" s="28"/>
      <c r="CP805" s="12"/>
      <c r="CQ805" s="9"/>
      <c r="CR805" s="10"/>
      <c r="CS805" s="68"/>
      <c r="EC805" s="344" t="str">
        <f t="shared" si="107"/>
        <v>META_VILLAVICENCIO</v>
      </c>
      <c r="ED805" s="341"/>
      <c r="EE805" s="341" t="s">
        <v>3176</v>
      </c>
      <c r="EF805" s="349" t="s">
        <v>3177</v>
      </c>
      <c r="EG805" s="341" t="s">
        <v>4021</v>
      </c>
      <c r="EH805" s="341" t="s">
        <v>5099</v>
      </c>
      <c r="EI805" s="341" t="str">
        <f t="shared" si="104"/>
        <v>Norte de Santander_Mutiscua</v>
      </c>
    </row>
    <row r="806" spans="1:139" ht="108">
      <c r="A806" s="228">
        <v>40371</v>
      </c>
      <c r="B806" s="102" t="s">
        <v>1824</v>
      </c>
      <c r="C806" s="102" t="s">
        <v>1255</v>
      </c>
      <c r="D806" s="206" t="s">
        <v>1201</v>
      </c>
      <c r="E806" s="320" t="s">
        <v>3939</v>
      </c>
      <c r="F806" s="320"/>
      <c r="G806" s="210"/>
      <c r="H806" s="71"/>
      <c r="I806" s="71"/>
      <c r="J806" s="71">
        <v>9130</v>
      </c>
      <c r="K806" s="71">
        <v>2001</v>
      </c>
      <c r="L806" s="1"/>
      <c r="M806" s="73">
        <f t="shared" si="100"/>
        <v>0</v>
      </c>
      <c r="N806" s="73">
        <f t="shared" si="101"/>
        <v>0</v>
      </c>
      <c r="O806" s="73">
        <f t="shared" si="106"/>
        <v>0</v>
      </c>
      <c r="P806" s="73">
        <f t="shared" si="102"/>
        <v>0</v>
      </c>
      <c r="Q806" s="73"/>
      <c r="R806" s="73">
        <v>0</v>
      </c>
      <c r="S806" s="75">
        <f t="shared" si="105"/>
        <v>0</v>
      </c>
      <c r="T806" s="77">
        <v>0</v>
      </c>
      <c r="U806" s="66">
        <v>40375</v>
      </c>
      <c r="V806" s="79"/>
      <c r="W806" s="66" t="s">
        <v>1585</v>
      </c>
      <c r="X806" s="24" t="s">
        <v>1586</v>
      </c>
      <c r="Y806" s="62"/>
      <c r="Z806" s="177" t="s">
        <v>894</v>
      </c>
      <c r="AA806" s="80" t="s">
        <v>2309</v>
      </c>
      <c r="AB806" s="3"/>
      <c r="AC806" s="4"/>
      <c r="AD806" s="5"/>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6"/>
      <c r="CE806" s="7"/>
      <c r="CF806" s="6"/>
      <c r="CG806" s="7"/>
      <c r="CH806" s="6"/>
      <c r="CI806" s="7"/>
      <c r="CJ806" s="8">
        <f t="shared" si="103"/>
        <v>0</v>
      </c>
      <c r="CK806" s="9"/>
      <c r="CL806" s="10"/>
      <c r="CM806" s="11"/>
      <c r="CN806" s="12"/>
      <c r="CO806" s="28"/>
      <c r="CP806" s="12"/>
      <c r="CQ806" s="9"/>
      <c r="CR806" s="10"/>
      <c r="CS806" s="68"/>
      <c r="EC806" s="344" t="str">
        <f t="shared" si="107"/>
        <v>NARIÑO_BARBACOAS</v>
      </c>
      <c r="ED806" s="341"/>
      <c r="EE806" s="341" t="s">
        <v>3176</v>
      </c>
      <c r="EF806" s="349" t="s">
        <v>3177</v>
      </c>
      <c r="EG806" s="341" t="s">
        <v>4022</v>
      </c>
      <c r="EH806" s="341" t="s">
        <v>5100</v>
      </c>
      <c r="EI806" s="341" t="str">
        <f t="shared" si="104"/>
        <v>Norte de Santander_Ocaña</v>
      </c>
    </row>
    <row r="807" spans="1:139" ht="60">
      <c r="A807" s="228">
        <v>40371</v>
      </c>
      <c r="B807" s="102" t="s">
        <v>1824</v>
      </c>
      <c r="C807" s="102" t="s">
        <v>4323</v>
      </c>
      <c r="D807" s="206" t="s">
        <v>1201</v>
      </c>
      <c r="E807" s="320" t="s">
        <v>3970</v>
      </c>
      <c r="F807" s="320"/>
      <c r="G807" s="210"/>
      <c r="H807" s="71"/>
      <c r="I807" s="71"/>
      <c r="J807" s="71">
        <v>9424</v>
      </c>
      <c r="K807" s="71">
        <v>2097</v>
      </c>
      <c r="L807" s="1"/>
      <c r="M807" s="73">
        <f t="shared" si="100"/>
        <v>0</v>
      </c>
      <c r="N807" s="73">
        <f t="shared" si="101"/>
        <v>0</v>
      </c>
      <c r="O807" s="73">
        <f t="shared" si="106"/>
        <v>0</v>
      </c>
      <c r="P807" s="73">
        <f t="shared" si="102"/>
        <v>0</v>
      </c>
      <c r="Q807" s="73"/>
      <c r="R807" s="73">
        <v>0</v>
      </c>
      <c r="S807" s="75">
        <f t="shared" si="105"/>
        <v>0</v>
      </c>
      <c r="T807" s="77">
        <v>0</v>
      </c>
      <c r="U807" s="66">
        <v>40343</v>
      </c>
      <c r="V807" s="79"/>
      <c r="W807" s="66" t="s">
        <v>1585</v>
      </c>
      <c r="X807" s="24" t="s">
        <v>1586</v>
      </c>
      <c r="Y807" s="62"/>
      <c r="Z807" s="177" t="s">
        <v>894</v>
      </c>
      <c r="AA807" s="80" t="s">
        <v>2227</v>
      </c>
      <c r="AB807" s="3"/>
      <c r="AC807" s="4"/>
      <c r="AD807" s="5"/>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6"/>
      <c r="CE807" s="7"/>
      <c r="CF807" s="6"/>
      <c r="CG807" s="7"/>
      <c r="CH807" s="6"/>
      <c r="CI807" s="7"/>
      <c r="CJ807" s="8">
        <f t="shared" si="103"/>
        <v>0</v>
      </c>
      <c r="CK807" s="9"/>
      <c r="CL807" s="10"/>
      <c r="CM807" s="11"/>
      <c r="CN807" s="12"/>
      <c r="CO807" s="28"/>
      <c r="CP807" s="12"/>
      <c r="CQ807" s="9"/>
      <c r="CR807" s="10"/>
      <c r="CS807" s="68"/>
      <c r="EC807" s="344" t="str">
        <f t="shared" si="107"/>
        <v>NARIÑO_MAGUI</v>
      </c>
      <c r="ED807" s="341"/>
      <c r="EE807" s="341" t="s">
        <v>3176</v>
      </c>
      <c r="EF807" s="349" t="s">
        <v>3177</v>
      </c>
      <c r="EG807" s="341" t="s">
        <v>4023</v>
      </c>
      <c r="EH807" s="341" t="s">
        <v>5101</v>
      </c>
      <c r="EI807" s="341" t="str">
        <f t="shared" si="104"/>
        <v>Norte de Santander_Pamplona</v>
      </c>
    </row>
    <row r="808" spans="1:139" ht="38.25">
      <c r="A808" s="228">
        <v>40371</v>
      </c>
      <c r="B808" s="102" t="s">
        <v>1612</v>
      </c>
      <c r="C808" s="102" t="s">
        <v>1613</v>
      </c>
      <c r="D808" s="206" t="s">
        <v>1316</v>
      </c>
      <c r="E808" s="320" t="s">
        <v>4038</v>
      </c>
      <c r="F808" s="320"/>
      <c r="G808" s="210"/>
      <c r="H808" s="71"/>
      <c r="I808" s="71"/>
      <c r="J808" s="71">
        <v>1</v>
      </c>
      <c r="K808" s="71">
        <v>1</v>
      </c>
      <c r="L808" s="1"/>
      <c r="M808" s="73">
        <f t="shared" si="100"/>
        <v>0</v>
      </c>
      <c r="N808" s="73">
        <f t="shared" si="101"/>
        <v>0</v>
      </c>
      <c r="O808" s="73">
        <f t="shared" si="106"/>
        <v>0</v>
      </c>
      <c r="P808" s="73">
        <f t="shared" si="102"/>
        <v>0</v>
      </c>
      <c r="Q808" s="73"/>
      <c r="R808" s="73">
        <v>0</v>
      </c>
      <c r="S808" s="75">
        <f t="shared" si="105"/>
        <v>0</v>
      </c>
      <c r="T808" s="77">
        <v>0</v>
      </c>
      <c r="U808" s="66">
        <v>40343</v>
      </c>
      <c r="V808" s="79"/>
      <c r="W808" s="66" t="s">
        <v>1585</v>
      </c>
      <c r="X808" s="24" t="s">
        <v>1586</v>
      </c>
      <c r="Y808" s="62"/>
      <c r="Z808" s="177" t="s">
        <v>894</v>
      </c>
      <c r="AA808" s="80" t="s">
        <v>1098</v>
      </c>
      <c r="AB808" s="3"/>
      <c r="AC808" s="4"/>
      <c r="AD808" s="5"/>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6"/>
      <c r="CE808" s="7"/>
      <c r="CF808" s="6"/>
      <c r="CG808" s="7"/>
      <c r="CH808" s="6"/>
      <c r="CI808" s="7"/>
      <c r="CJ808" s="8">
        <f t="shared" si="103"/>
        <v>0</v>
      </c>
      <c r="CK808" s="9"/>
      <c r="CL808" s="10"/>
      <c r="CM808" s="11"/>
      <c r="CN808" s="12"/>
      <c r="CO808" s="28"/>
      <c r="CP808" s="12"/>
      <c r="CQ808" s="9"/>
      <c r="CR808" s="10"/>
      <c r="CS808" s="68"/>
      <c r="EC808" s="344" t="str">
        <f t="shared" si="107"/>
        <v>QUINDIO_ARMENIA</v>
      </c>
      <c r="ED808" s="341"/>
      <c r="EE808" s="341" t="s">
        <v>3176</v>
      </c>
      <c r="EF808" s="349" t="s">
        <v>3177</v>
      </c>
      <c r="EG808" s="341" t="s">
        <v>4024</v>
      </c>
      <c r="EH808" s="341" t="s">
        <v>5102</v>
      </c>
      <c r="EI808" s="341" t="str">
        <f t="shared" si="104"/>
        <v>Norte de Santander_Pamplonita</v>
      </c>
    </row>
    <row r="809" spans="1:139" ht="51">
      <c r="A809" s="228">
        <v>40371</v>
      </c>
      <c r="B809" s="102" t="s">
        <v>1572</v>
      </c>
      <c r="C809" s="102" t="s">
        <v>1572</v>
      </c>
      <c r="D809" s="206" t="s">
        <v>1316</v>
      </c>
      <c r="E809" s="320" t="s">
        <v>4305</v>
      </c>
      <c r="F809" s="320"/>
      <c r="G809" s="210"/>
      <c r="H809" s="71"/>
      <c r="I809" s="71"/>
      <c r="J809" s="71">
        <v>5</v>
      </c>
      <c r="K809" s="71">
        <v>1</v>
      </c>
      <c r="L809" s="1"/>
      <c r="M809" s="73">
        <f t="shared" si="100"/>
        <v>0</v>
      </c>
      <c r="N809" s="73">
        <f t="shared" si="101"/>
        <v>0</v>
      </c>
      <c r="O809" s="73">
        <f t="shared" si="106"/>
        <v>0</v>
      </c>
      <c r="P809" s="73">
        <f t="shared" si="102"/>
        <v>0</v>
      </c>
      <c r="Q809" s="73"/>
      <c r="R809" s="73">
        <v>0</v>
      </c>
      <c r="S809" s="75">
        <f t="shared" si="105"/>
        <v>0</v>
      </c>
      <c r="T809" s="77">
        <v>0</v>
      </c>
      <c r="U809" s="66">
        <v>40343</v>
      </c>
      <c r="V809" s="79"/>
      <c r="W809" s="66" t="s">
        <v>1585</v>
      </c>
      <c r="X809" s="24" t="s">
        <v>1586</v>
      </c>
      <c r="Y809" s="62"/>
      <c r="Z809" s="177" t="s">
        <v>894</v>
      </c>
      <c r="AA809" s="80" t="s">
        <v>2236</v>
      </c>
      <c r="AB809" s="3"/>
      <c r="AC809" s="4"/>
      <c r="AD809" s="5"/>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6"/>
      <c r="CE809" s="7"/>
      <c r="CF809" s="6"/>
      <c r="CG809" s="7"/>
      <c r="CH809" s="6"/>
      <c r="CI809" s="7"/>
      <c r="CJ809" s="8">
        <f t="shared" si="103"/>
        <v>0</v>
      </c>
      <c r="CK809" s="9"/>
      <c r="CL809" s="10"/>
      <c r="CM809" s="11"/>
      <c r="CN809" s="12"/>
      <c r="CO809" s="28"/>
      <c r="CP809" s="12"/>
      <c r="CQ809" s="9"/>
      <c r="CR809" s="10"/>
      <c r="CS809" s="68"/>
      <c r="EC809" s="344" t="str">
        <f t="shared" si="107"/>
        <v>SAN ANDRES_SAN ANDRES</v>
      </c>
      <c r="ED809" s="341"/>
      <c r="EE809" s="341" t="s">
        <v>3176</v>
      </c>
      <c r="EF809" s="349" t="s">
        <v>3177</v>
      </c>
      <c r="EG809" s="341" t="s">
        <v>4025</v>
      </c>
      <c r="EH809" s="341" t="s">
        <v>5103</v>
      </c>
      <c r="EI809" s="341" t="str">
        <f t="shared" si="104"/>
        <v>Norte de Santander_Puerto Santander</v>
      </c>
    </row>
    <row r="810" spans="1:139" ht="72">
      <c r="A810" s="228">
        <v>40372</v>
      </c>
      <c r="B810" s="205" t="s">
        <v>1612</v>
      </c>
      <c r="C810" s="205" t="s">
        <v>1605</v>
      </c>
      <c r="D810" s="207" t="s">
        <v>620</v>
      </c>
      <c r="E810" s="323" t="s">
        <v>3180</v>
      </c>
      <c r="F810" s="323"/>
      <c r="G810" s="204"/>
      <c r="H810" s="151"/>
      <c r="I810" s="151"/>
      <c r="J810" s="151"/>
      <c r="K810" s="151"/>
      <c r="L810" s="1">
        <v>40464</v>
      </c>
      <c r="M810" s="73">
        <f t="shared" si="100"/>
        <v>0</v>
      </c>
      <c r="N810" s="73">
        <f t="shared" si="101"/>
        <v>0</v>
      </c>
      <c r="O810" s="73">
        <f t="shared" si="106"/>
        <v>0</v>
      </c>
      <c r="P810" s="73">
        <f t="shared" si="102"/>
        <v>0</v>
      </c>
      <c r="Q810" s="73"/>
      <c r="R810" s="73">
        <v>92066000</v>
      </c>
      <c r="S810" s="75">
        <f t="shared" si="105"/>
        <v>92066000</v>
      </c>
      <c r="T810" s="77">
        <v>0</v>
      </c>
      <c r="U810" s="66">
        <v>40372</v>
      </c>
      <c r="V810" s="79">
        <v>34445</v>
      </c>
      <c r="W810" s="66" t="s">
        <v>1606</v>
      </c>
      <c r="X810" s="24" t="s">
        <v>1607</v>
      </c>
      <c r="Y810" s="62">
        <v>37144</v>
      </c>
      <c r="Z810" s="169" t="s">
        <v>2710</v>
      </c>
      <c r="AA810" s="170" t="s">
        <v>2711</v>
      </c>
      <c r="AB810" s="152"/>
      <c r="AC810" s="153"/>
      <c r="AD810" s="154"/>
      <c r="AE810" s="153"/>
      <c r="AF810" s="153"/>
      <c r="AG810" s="153"/>
      <c r="AH810" s="153"/>
      <c r="AI810" s="153"/>
      <c r="AJ810" s="153"/>
      <c r="AK810" s="153"/>
      <c r="AL810" s="153"/>
      <c r="AM810" s="153"/>
      <c r="AN810" s="153"/>
      <c r="AO810" s="153"/>
      <c r="AP810" s="153"/>
      <c r="AQ810" s="153"/>
      <c r="AR810" s="153"/>
      <c r="AS810" s="153"/>
      <c r="AT810" s="153"/>
      <c r="AU810" s="153"/>
      <c r="AV810" s="153"/>
      <c r="AW810" s="153"/>
      <c r="AX810" s="153"/>
      <c r="AY810" s="153"/>
      <c r="AZ810" s="153"/>
      <c r="BA810" s="153"/>
      <c r="BB810" s="153"/>
      <c r="BC810" s="153"/>
      <c r="BD810" s="153"/>
      <c r="BE810" s="153"/>
      <c r="BF810" s="153"/>
      <c r="BG810" s="153"/>
      <c r="BH810" s="153"/>
      <c r="BI810" s="153"/>
      <c r="BJ810" s="153"/>
      <c r="BK810" s="153"/>
      <c r="BL810" s="153"/>
      <c r="BM810" s="153"/>
      <c r="BN810" s="153"/>
      <c r="BO810" s="153"/>
      <c r="BP810" s="153"/>
      <c r="BQ810" s="153"/>
      <c r="BR810" s="153"/>
      <c r="BS810" s="153"/>
      <c r="BT810" s="153"/>
      <c r="BU810" s="153"/>
      <c r="BV810" s="153"/>
      <c r="BW810" s="153"/>
      <c r="BX810" s="153"/>
      <c r="BY810" s="153"/>
      <c r="BZ810" s="153"/>
      <c r="CA810" s="153"/>
      <c r="CB810" s="153"/>
      <c r="CC810" s="153"/>
      <c r="CD810" s="155"/>
      <c r="CE810" s="156"/>
      <c r="CF810" s="155"/>
      <c r="CG810" s="156"/>
      <c r="CH810" s="155"/>
      <c r="CI810" s="156"/>
      <c r="CJ810" s="157">
        <f t="shared" si="103"/>
        <v>0</v>
      </c>
      <c r="CK810" s="158"/>
      <c r="CL810" s="159"/>
      <c r="CM810" s="160"/>
      <c r="CN810" s="161"/>
      <c r="CO810" s="162"/>
      <c r="CP810" s="161"/>
      <c r="CQ810" s="158"/>
      <c r="CR810" s="159"/>
      <c r="CS810" s="68">
        <v>5</v>
      </c>
      <c r="CT810" s="163"/>
      <c r="EC810" s="344" t="str">
        <f t="shared" si="107"/>
        <v>QUINDIO_DEPARTAMENTO</v>
      </c>
      <c r="ED810" s="341"/>
      <c r="EE810" s="341" t="s">
        <v>3176</v>
      </c>
      <c r="EF810" s="349" t="s">
        <v>3177</v>
      </c>
      <c r="EG810" s="341" t="s">
        <v>4026</v>
      </c>
      <c r="EH810" s="341" t="s">
        <v>5104</v>
      </c>
      <c r="EI810" s="341" t="str">
        <f t="shared" si="104"/>
        <v>Norte de Santander_Ragonvalia</v>
      </c>
    </row>
    <row r="811" spans="1:139" ht="38.25">
      <c r="A811" s="228">
        <v>40372</v>
      </c>
      <c r="B811" s="102" t="s">
        <v>1609</v>
      </c>
      <c r="C811" s="102" t="s">
        <v>2372</v>
      </c>
      <c r="D811" s="206" t="s">
        <v>1878</v>
      </c>
      <c r="E811" s="320" t="s">
        <v>4051</v>
      </c>
      <c r="F811" s="320"/>
      <c r="G811" s="210"/>
      <c r="H811" s="71"/>
      <c r="I811" s="71"/>
      <c r="J811" s="71">
        <v>5</v>
      </c>
      <c r="K811" s="71">
        <v>1</v>
      </c>
      <c r="L811" s="1"/>
      <c r="M811" s="73">
        <f t="shared" si="100"/>
        <v>0</v>
      </c>
      <c r="N811" s="73">
        <f t="shared" si="101"/>
        <v>0</v>
      </c>
      <c r="O811" s="73">
        <f t="shared" si="106"/>
        <v>0</v>
      </c>
      <c r="P811" s="73">
        <f t="shared" si="102"/>
        <v>0</v>
      </c>
      <c r="Q811" s="73"/>
      <c r="R811" s="73">
        <v>0</v>
      </c>
      <c r="S811" s="75">
        <f t="shared" si="105"/>
        <v>0</v>
      </c>
      <c r="T811" s="77">
        <v>0</v>
      </c>
      <c r="U811" s="66">
        <v>40372</v>
      </c>
      <c r="V811" s="79"/>
      <c r="W811" s="66" t="s">
        <v>1585</v>
      </c>
      <c r="X811" s="24" t="s">
        <v>1586</v>
      </c>
      <c r="Y811" s="62"/>
      <c r="Z811" s="177" t="s">
        <v>894</v>
      </c>
      <c r="AA811" s="80" t="s">
        <v>162</v>
      </c>
      <c r="AB811" s="3"/>
      <c r="AC811" s="4"/>
      <c r="AD811" s="5"/>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6"/>
      <c r="CE811" s="7"/>
      <c r="CF811" s="6"/>
      <c r="CG811" s="7"/>
      <c r="CH811" s="6"/>
      <c r="CI811" s="7"/>
      <c r="CJ811" s="8">
        <f t="shared" si="103"/>
        <v>0</v>
      </c>
      <c r="CK811" s="9"/>
      <c r="CL811" s="10"/>
      <c r="CM811" s="11"/>
      <c r="CN811" s="12"/>
      <c r="CO811" s="28"/>
      <c r="CP811" s="12"/>
      <c r="CQ811" s="9"/>
      <c r="CR811" s="10"/>
      <c r="CS811" s="68"/>
      <c r="EC811" s="344" t="str">
        <f t="shared" si="107"/>
        <v>RISARALDA_APIA</v>
      </c>
      <c r="ED811" s="341"/>
      <c r="EE811" s="341" t="s">
        <v>3176</v>
      </c>
      <c r="EF811" s="349" t="s">
        <v>3177</v>
      </c>
      <c r="EG811" s="341" t="s">
        <v>4027</v>
      </c>
      <c r="EH811" s="341" t="s">
        <v>5105</v>
      </c>
      <c r="EI811" s="341" t="str">
        <f t="shared" si="104"/>
        <v>Norte de Santander_Salazar</v>
      </c>
    </row>
    <row r="812" spans="1:139" ht="120">
      <c r="A812" s="235">
        <v>40373</v>
      </c>
      <c r="B812" s="224" t="s">
        <v>1972</v>
      </c>
      <c r="C812" s="224" t="s">
        <v>1409</v>
      </c>
      <c r="D812" s="236" t="s">
        <v>1878</v>
      </c>
      <c r="E812" s="324" t="s">
        <v>3287</v>
      </c>
      <c r="F812" s="324"/>
      <c r="G812" s="210"/>
      <c r="H812" s="71"/>
      <c r="I812" s="71"/>
      <c r="J812" s="71">
        <v>145</v>
      </c>
      <c r="K812" s="71">
        <v>30</v>
      </c>
      <c r="L812" s="1">
        <v>40388</v>
      </c>
      <c r="M812" s="73">
        <f t="shared" si="100"/>
        <v>0</v>
      </c>
      <c r="N812" s="73">
        <f t="shared" si="101"/>
        <v>0</v>
      </c>
      <c r="O812" s="73">
        <f t="shared" si="106"/>
        <v>0</v>
      </c>
      <c r="P812" s="73">
        <f t="shared" si="102"/>
        <v>0</v>
      </c>
      <c r="Q812" s="73"/>
      <c r="R812" s="73">
        <v>67850933</v>
      </c>
      <c r="S812" s="75">
        <f t="shared" si="105"/>
        <v>67850933</v>
      </c>
      <c r="T812" s="77">
        <v>0</v>
      </c>
      <c r="U812" s="66">
        <v>40375</v>
      </c>
      <c r="V812" s="79">
        <v>35347</v>
      </c>
      <c r="W812" s="66" t="s">
        <v>1606</v>
      </c>
      <c r="X812" s="24" t="s">
        <v>1607</v>
      </c>
      <c r="Y812" s="62">
        <v>384</v>
      </c>
      <c r="Z812" s="177" t="s">
        <v>1410</v>
      </c>
      <c r="AA812" s="80" t="s">
        <v>669</v>
      </c>
      <c r="AB812" s="3"/>
      <c r="AC812" s="4"/>
      <c r="AD812" s="5"/>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6"/>
      <c r="CE812" s="7"/>
      <c r="CF812" s="6"/>
      <c r="CG812" s="7"/>
      <c r="CH812" s="6"/>
      <c r="CI812" s="7"/>
      <c r="CJ812" s="8">
        <f t="shared" si="103"/>
        <v>0</v>
      </c>
      <c r="CK812" s="9"/>
      <c r="CL812" s="10"/>
      <c r="CM812" s="11"/>
      <c r="CN812" s="12"/>
      <c r="CO812" s="28"/>
      <c r="CP812" s="12"/>
      <c r="CQ812" s="9"/>
      <c r="CR812" s="10"/>
      <c r="CS812" s="84" t="s">
        <v>1207</v>
      </c>
      <c r="EC812" s="344" t="str">
        <f t="shared" si="107"/>
        <v>ANTIOQUIA_JARDIN</v>
      </c>
      <c r="ED812" s="341"/>
      <c r="EE812" s="341" t="s">
        <v>3176</v>
      </c>
      <c r="EF812" s="349" t="s">
        <v>3177</v>
      </c>
      <c r="EG812" s="341" t="s">
        <v>4028</v>
      </c>
      <c r="EH812" s="341" t="s">
        <v>5106</v>
      </c>
      <c r="EI812" s="341" t="str">
        <f t="shared" si="104"/>
        <v>Norte de Santander_San Calixto</v>
      </c>
    </row>
    <row r="813" spans="1:139" ht="60">
      <c r="A813" s="228">
        <v>40373</v>
      </c>
      <c r="B813" s="102" t="s">
        <v>1615</v>
      </c>
      <c r="C813" s="102" t="s">
        <v>1642</v>
      </c>
      <c r="D813" s="206" t="s">
        <v>1878</v>
      </c>
      <c r="E813" s="320" t="s">
        <v>3376</v>
      </c>
      <c r="F813" s="320"/>
      <c r="G813" s="210">
        <v>3</v>
      </c>
      <c r="H813" s="71"/>
      <c r="I813" s="71"/>
      <c r="J813" s="71">
        <f>61*5</f>
        <v>305</v>
      </c>
      <c r="K813" s="71">
        <v>61</v>
      </c>
      <c r="L813" s="1"/>
      <c r="M813" s="73">
        <f t="shared" si="100"/>
        <v>0</v>
      </c>
      <c r="N813" s="73">
        <f t="shared" si="101"/>
        <v>0</v>
      </c>
      <c r="O813" s="73">
        <f t="shared" si="106"/>
        <v>0</v>
      </c>
      <c r="P813" s="73">
        <f t="shared" si="102"/>
        <v>0</v>
      </c>
      <c r="Q813" s="73"/>
      <c r="R813" s="73">
        <v>0</v>
      </c>
      <c r="S813" s="75">
        <f t="shared" si="105"/>
        <v>0</v>
      </c>
      <c r="T813" s="77">
        <v>0</v>
      </c>
      <c r="U813" s="66">
        <v>40375</v>
      </c>
      <c r="V813" s="79"/>
      <c r="W813" s="66" t="s">
        <v>1585</v>
      </c>
      <c r="X813" s="24" t="s">
        <v>1586</v>
      </c>
      <c r="Y813" s="62"/>
      <c r="Z813" s="177" t="s">
        <v>894</v>
      </c>
      <c r="AA813" s="80" t="s">
        <v>1368</v>
      </c>
      <c r="AB813" s="3"/>
      <c r="AC813" s="4"/>
      <c r="AD813" s="5"/>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6"/>
      <c r="CE813" s="7"/>
      <c r="CF813" s="6"/>
      <c r="CG813" s="7"/>
      <c r="CH813" s="6"/>
      <c r="CI813" s="7"/>
      <c r="CJ813" s="8">
        <f t="shared" si="103"/>
        <v>0</v>
      </c>
      <c r="CK813" s="9"/>
      <c r="CL813" s="10"/>
      <c r="CM813" s="11"/>
      <c r="CN813" s="12"/>
      <c r="CO813" s="28"/>
      <c r="CP813" s="12"/>
      <c r="CQ813" s="9"/>
      <c r="CR813" s="10"/>
      <c r="CS813" s="68"/>
      <c r="EC813" s="344" t="str">
        <f t="shared" si="107"/>
        <v>BOLIVAR_CARTAGENA</v>
      </c>
      <c r="ED813" s="341"/>
      <c r="EE813" s="341" t="s">
        <v>3176</v>
      </c>
      <c r="EF813" s="349" t="s">
        <v>3177</v>
      </c>
      <c r="EG813" s="341" t="s">
        <v>4029</v>
      </c>
      <c r="EH813" s="341" t="s">
        <v>4871</v>
      </c>
      <c r="EI813" s="341" t="str">
        <f t="shared" si="104"/>
        <v>Norte de Santander_San Cayetano</v>
      </c>
    </row>
    <row r="814" spans="1:139" ht="45">
      <c r="A814" s="228">
        <v>40373</v>
      </c>
      <c r="B814" s="102" t="s">
        <v>1314</v>
      </c>
      <c r="C814" s="102" t="s">
        <v>2750</v>
      </c>
      <c r="D814" s="206" t="s">
        <v>1201</v>
      </c>
      <c r="E814" s="320" t="s">
        <v>3627</v>
      </c>
      <c r="F814" s="320"/>
      <c r="G814" s="210"/>
      <c r="H814" s="71"/>
      <c r="I814" s="71"/>
      <c r="J814" s="71">
        <f>155*5</f>
        <v>775</v>
      </c>
      <c r="K814" s="71">
        <v>155</v>
      </c>
      <c r="L814" s="1">
        <v>40466</v>
      </c>
      <c r="M814" s="73">
        <f t="shared" si="100"/>
        <v>15399580</v>
      </c>
      <c r="N814" s="73">
        <f t="shared" si="101"/>
        <v>16999692</v>
      </c>
      <c r="O814" s="73">
        <f t="shared" si="106"/>
        <v>0</v>
      </c>
      <c r="P814" s="73">
        <f t="shared" si="102"/>
        <v>0</v>
      </c>
      <c r="Q814" s="73"/>
      <c r="R814" s="73">
        <v>0</v>
      </c>
      <c r="S814" s="75">
        <f t="shared" si="105"/>
        <v>32399272</v>
      </c>
      <c r="T814" s="77">
        <v>0</v>
      </c>
      <c r="U814" s="66">
        <v>40396</v>
      </c>
      <c r="V814" s="79">
        <v>39180</v>
      </c>
      <c r="W814" s="66" t="s">
        <v>1606</v>
      </c>
      <c r="X814" s="24" t="s">
        <v>1607</v>
      </c>
      <c r="Y814" s="62">
        <v>22122</v>
      </c>
      <c r="Z814" s="177" t="s">
        <v>2580</v>
      </c>
      <c r="AA814" s="80" t="s">
        <v>1486</v>
      </c>
      <c r="AB814" s="3"/>
      <c r="AC814" s="4"/>
      <c r="AD814" s="5"/>
      <c r="AE814" s="4"/>
      <c r="AF814" s="4"/>
      <c r="AG814" s="4"/>
      <c r="AH814" s="4"/>
      <c r="AI814" s="4"/>
      <c r="AJ814" s="4">
        <v>200</v>
      </c>
      <c r="AK814" s="4">
        <f>200*20998.32</f>
        <v>4199664</v>
      </c>
      <c r="AL814" s="4"/>
      <c r="AM814" s="4"/>
      <c r="AN814" s="4">
        <v>200</v>
      </c>
      <c r="AO814" s="4">
        <f>200*55999.58</f>
        <v>11199916</v>
      </c>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6"/>
      <c r="CE814" s="7"/>
      <c r="CF814" s="6"/>
      <c r="CG814" s="7"/>
      <c r="CH814" s="6"/>
      <c r="CI814" s="7"/>
      <c r="CJ814" s="8">
        <f t="shared" si="103"/>
        <v>15399580</v>
      </c>
      <c r="CK814" s="9"/>
      <c r="CL814" s="10"/>
      <c r="CM814" s="11">
        <v>200</v>
      </c>
      <c r="CN814" s="12">
        <f>200*84998.46</f>
        <v>16999692</v>
      </c>
      <c r="CO814" s="28"/>
      <c r="CP814" s="12"/>
      <c r="CQ814" s="9"/>
      <c r="CR814" s="10"/>
      <c r="CS814" s="68"/>
      <c r="EC814" s="344" t="str">
        <f t="shared" si="107"/>
        <v>CAUCA_VILLA RICA</v>
      </c>
      <c r="ED814" s="341"/>
      <c r="EE814" s="341" t="s">
        <v>3176</v>
      </c>
      <c r="EF814" s="349" t="s">
        <v>3177</v>
      </c>
      <c r="EG814" s="341" t="s">
        <v>4030</v>
      </c>
      <c r="EH814" s="341" t="s">
        <v>5107</v>
      </c>
      <c r="EI814" s="341" t="str">
        <f t="shared" si="104"/>
        <v>Norte de Santander_Santiago</v>
      </c>
    </row>
    <row r="815" spans="1:139" ht="38.25">
      <c r="A815" s="228">
        <v>40373</v>
      </c>
      <c r="B815" s="102" t="s">
        <v>1609</v>
      </c>
      <c r="C815" s="102" t="s">
        <v>1838</v>
      </c>
      <c r="D815" s="206" t="s">
        <v>1201</v>
      </c>
      <c r="E815" s="320" t="s">
        <v>4054</v>
      </c>
      <c r="F815" s="320"/>
      <c r="G815" s="210"/>
      <c r="H815" s="71"/>
      <c r="I815" s="71"/>
      <c r="J815" s="71">
        <f>326*5</f>
        <v>1630</v>
      </c>
      <c r="K815" s="71">
        <f>340-14</f>
        <v>326</v>
      </c>
      <c r="L815" s="1"/>
      <c r="M815" s="73">
        <f t="shared" si="100"/>
        <v>0</v>
      </c>
      <c r="N815" s="73">
        <f t="shared" si="101"/>
        <v>0</v>
      </c>
      <c r="O815" s="73">
        <f t="shared" si="106"/>
        <v>0</v>
      </c>
      <c r="P815" s="73">
        <f t="shared" si="102"/>
        <v>0</v>
      </c>
      <c r="Q815" s="73"/>
      <c r="R815" s="73">
        <v>0</v>
      </c>
      <c r="S815" s="75">
        <f t="shared" si="105"/>
        <v>0</v>
      </c>
      <c r="T815" s="77">
        <v>0</v>
      </c>
      <c r="U815" s="66">
        <v>40375</v>
      </c>
      <c r="V815" s="79"/>
      <c r="W815" s="66" t="s">
        <v>1585</v>
      </c>
      <c r="X815" s="24" t="s">
        <v>1586</v>
      </c>
      <c r="Y815" s="62"/>
      <c r="Z815" s="177" t="s">
        <v>894</v>
      </c>
      <c r="AA815" s="80" t="s">
        <v>1370</v>
      </c>
      <c r="AB815" s="3"/>
      <c r="AC815" s="4"/>
      <c r="AD815" s="5"/>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6"/>
      <c r="CE815" s="7"/>
      <c r="CF815" s="6"/>
      <c r="CG815" s="7"/>
      <c r="CH815" s="6"/>
      <c r="CI815" s="7"/>
      <c r="CJ815" s="8">
        <f t="shared" si="103"/>
        <v>0</v>
      </c>
      <c r="CK815" s="9"/>
      <c r="CL815" s="10"/>
      <c r="CM815" s="11"/>
      <c r="CN815" s="12"/>
      <c r="CO815" s="28"/>
      <c r="CP815" s="12"/>
      <c r="CQ815" s="9"/>
      <c r="CR815" s="10"/>
      <c r="CS815" s="68"/>
      <c r="EC815" s="344" t="str">
        <f t="shared" si="107"/>
        <v>RISARALDA_DOSQUEBRADAS</v>
      </c>
      <c r="ED815" s="341"/>
      <c r="EE815" s="341" t="s">
        <v>3176</v>
      </c>
      <c r="EF815" s="349" t="s">
        <v>3177</v>
      </c>
      <c r="EG815" s="341" t="s">
        <v>4031</v>
      </c>
      <c r="EH815" s="341" t="s">
        <v>5108</v>
      </c>
      <c r="EI815" s="341" t="str">
        <f t="shared" si="104"/>
        <v>Norte de Santander_Sardinata</v>
      </c>
    </row>
    <row r="816" spans="1:139" ht="60">
      <c r="A816" s="228">
        <v>40373</v>
      </c>
      <c r="B816" s="102" t="s">
        <v>1609</v>
      </c>
      <c r="C816" s="102" t="s">
        <v>1455</v>
      </c>
      <c r="D816" s="206" t="s">
        <v>1878</v>
      </c>
      <c r="E816" s="320" t="s">
        <v>4055</v>
      </c>
      <c r="F816" s="320"/>
      <c r="G816" s="210"/>
      <c r="H816" s="71"/>
      <c r="I816" s="71"/>
      <c r="J816" s="71">
        <v>50</v>
      </c>
      <c r="K816" s="71">
        <v>10</v>
      </c>
      <c r="L816" s="1"/>
      <c r="M816" s="73">
        <f t="shared" si="100"/>
        <v>0</v>
      </c>
      <c r="N816" s="73">
        <f t="shared" si="101"/>
        <v>0</v>
      </c>
      <c r="O816" s="73">
        <f t="shared" si="106"/>
        <v>0</v>
      </c>
      <c r="P816" s="73">
        <f t="shared" si="102"/>
        <v>0</v>
      </c>
      <c r="Q816" s="73"/>
      <c r="R816" s="73">
        <v>0</v>
      </c>
      <c r="S816" s="75">
        <f t="shared" si="105"/>
        <v>0</v>
      </c>
      <c r="T816" s="77">
        <v>0</v>
      </c>
      <c r="U816" s="66">
        <v>40373</v>
      </c>
      <c r="V816" s="79"/>
      <c r="W816" s="66" t="s">
        <v>1585</v>
      </c>
      <c r="X816" s="24" t="s">
        <v>1586</v>
      </c>
      <c r="Y816" s="62"/>
      <c r="Z816" s="177" t="s">
        <v>894</v>
      </c>
      <c r="AA816" s="80" t="s">
        <v>1456</v>
      </c>
      <c r="AB816" s="3"/>
      <c r="AC816" s="4"/>
      <c r="AD816" s="5"/>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6"/>
      <c r="CE816" s="7"/>
      <c r="CF816" s="6"/>
      <c r="CG816" s="7"/>
      <c r="CH816" s="6"/>
      <c r="CI816" s="7"/>
      <c r="CJ816" s="8">
        <f t="shared" si="103"/>
        <v>0</v>
      </c>
      <c r="CK816" s="9"/>
      <c r="CL816" s="10"/>
      <c r="CM816" s="11"/>
      <c r="CN816" s="12"/>
      <c r="CO816" s="28"/>
      <c r="CP816" s="12"/>
      <c r="CQ816" s="9"/>
      <c r="CR816" s="10"/>
      <c r="CS816" s="68"/>
      <c r="EC816" s="344" t="str">
        <f t="shared" si="107"/>
        <v>RISARALDA_GUATICA</v>
      </c>
      <c r="ED816" s="341"/>
      <c r="EE816" s="341" t="s">
        <v>3176</v>
      </c>
      <c r="EF816" s="349" t="s">
        <v>3177</v>
      </c>
      <c r="EG816" s="341" t="s">
        <v>4032</v>
      </c>
      <c r="EH816" s="341" t="s">
        <v>5109</v>
      </c>
      <c r="EI816" s="341" t="str">
        <f t="shared" si="104"/>
        <v>Norte de Santander_Silos</v>
      </c>
    </row>
    <row r="817" spans="1:139" ht="38.25">
      <c r="A817" s="228">
        <v>40373</v>
      </c>
      <c r="B817" s="102" t="s">
        <v>1609</v>
      </c>
      <c r="C817" s="102" t="s">
        <v>2004</v>
      </c>
      <c r="D817" s="206" t="s">
        <v>1878</v>
      </c>
      <c r="E817" s="320" t="s">
        <v>4050</v>
      </c>
      <c r="F817" s="320"/>
      <c r="G817" s="210"/>
      <c r="H817" s="71"/>
      <c r="I817" s="71"/>
      <c r="J817" s="71">
        <v>10</v>
      </c>
      <c r="K817" s="71">
        <v>2</v>
      </c>
      <c r="L817" s="1"/>
      <c r="M817" s="73">
        <f t="shared" si="100"/>
        <v>0</v>
      </c>
      <c r="N817" s="73">
        <f t="shared" si="101"/>
        <v>0</v>
      </c>
      <c r="O817" s="73">
        <f t="shared" si="106"/>
        <v>0</v>
      </c>
      <c r="P817" s="73">
        <f t="shared" si="102"/>
        <v>0</v>
      </c>
      <c r="Q817" s="73"/>
      <c r="R817" s="73">
        <v>0</v>
      </c>
      <c r="S817" s="75">
        <f t="shared" si="105"/>
        <v>0</v>
      </c>
      <c r="T817" s="77">
        <v>0</v>
      </c>
      <c r="U817" s="69">
        <v>40375</v>
      </c>
      <c r="V817" s="78"/>
      <c r="W817" s="69" t="s">
        <v>1585</v>
      </c>
      <c r="X817" s="55" t="s">
        <v>1586</v>
      </c>
      <c r="Y817" s="61"/>
      <c r="Z817" s="177" t="s">
        <v>894</v>
      </c>
      <c r="AA817" s="80" t="s">
        <v>1371</v>
      </c>
      <c r="AB817" s="3"/>
      <c r="AC817" s="4"/>
      <c r="AD817" s="5"/>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6"/>
      <c r="CE817" s="7"/>
      <c r="CF817" s="6"/>
      <c r="CG817" s="7"/>
      <c r="CH817" s="6"/>
      <c r="CI817" s="7"/>
      <c r="CJ817" s="8">
        <f t="shared" si="103"/>
        <v>0</v>
      </c>
      <c r="CK817" s="9"/>
      <c r="CL817" s="10"/>
      <c r="CM817" s="11"/>
      <c r="CN817" s="12"/>
      <c r="CO817" s="28"/>
      <c r="CP817" s="12"/>
      <c r="CQ817" s="9"/>
      <c r="CR817" s="10"/>
      <c r="CS817" s="68"/>
      <c r="EC817" s="344" t="str">
        <f t="shared" si="107"/>
        <v>RISARALDA_PEREIRA</v>
      </c>
      <c r="ED817" s="341"/>
      <c r="EE817" s="341" t="s">
        <v>3176</v>
      </c>
      <c r="EF817" s="349" t="s">
        <v>3177</v>
      </c>
      <c r="EG817" s="341" t="s">
        <v>4033</v>
      </c>
      <c r="EH817" s="341" t="s">
        <v>5110</v>
      </c>
      <c r="EI817" s="341" t="str">
        <f t="shared" si="104"/>
        <v>Norte de Santander_Teorama</v>
      </c>
    </row>
    <row r="818" spans="1:139" ht="51">
      <c r="A818" s="228">
        <v>40373</v>
      </c>
      <c r="B818" s="102" t="s">
        <v>1088</v>
      </c>
      <c r="C818" s="102" t="s">
        <v>1544</v>
      </c>
      <c r="D818" s="206" t="s">
        <v>2606</v>
      </c>
      <c r="E818" s="320" t="s">
        <v>4230</v>
      </c>
      <c r="F818" s="320"/>
      <c r="G818" s="210"/>
      <c r="H818" s="71"/>
      <c r="I818" s="71"/>
      <c r="J818" s="71">
        <v>115</v>
      </c>
      <c r="K818" s="71">
        <v>23</v>
      </c>
      <c r="L818" s="1"/>
      <c r="M818" s="73">
        <f t="shared" si="100"/>
        <v>0</v>
      </c>
      <c r="N818" s="73">
        <f t="shared" si="101"/>
        <v>0</v>
      </c>
      <c r="O818" s="73">
        <f t="shared" si="106"/>
        <v>0</v>
      </c>
      <c r="P818" s="73">
        <f t="shared" si="102"/>
        <v>0</v>
      </c>
      <c r="Q818" s="73"/>
      <c r="R818" s="73">
        <v>0</v>
      </c>
      <c r="S818" s="75">
        <f t="shared" si="105"/>
        <v>0</v>
      </c>
      <c r="T818" s="77">
        <v>0</v>
      </c>
      <c r="U818" s="66">
        <v>40375</v>
      </c>
      <c r="V818" s="79"/>
      <c r="W818" s="66" t="s">
        <v>1585</v>
      </c>
      <c r="X818" s="24" t="s">
        <v>1586</v>
      </c>
      <c r="Y818" s="62"/>
      <c r="Z818" s="177" t="s">
        <v>894</v>
      </c>
      <c r="AA818" s="80" t="s">
        <v>1369</v>
      </c>
      <c r="AB818" s="3"/>
      <c r="AC818" s="4"/>
      <c r="AD818" s="5"/>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6"/>
      <c r="CE818" s="7"/>
      <c r="CF818" s="6"/>
      <c r="CG818" s="7"/>
      <c r="CH818" s="6"/>
      <c r="CI818" s="7"/>
      <c r="CJ818" s="8">
        <f t="shared" si="103"/>
        <v>0</v>
      </c>
      <c r="CK818" s="9"/>
      <c r="CL818" s="10"/>
      <c r="CM818" s="11"/>
      <c r="CN818" s="12"/>
      <c r="CO818" s="28"/>
      <c r="CP818" s="12"/>
      <c r="CQ818" s="9"/>
      <c r="CR818" s="10"/>
      <c r="CS818" s="68"/>
      <c r="EC818" s="344" t="str">
        <f t="shared" si="107"/>
        <v>VALLE DEL CAUCA_BUENAVENTURA</v>
      </c>
      <c r="ED818" s="341"/>
      <c r="EE818" s="341" t="s">
        <v>3176</v>
      </c>
      <c r="EF818" s="349" t="s">
        <v>3177</v>
      </c>
      <c r="EG818" s="341" t="s">
        <v>4034</v>
      </c>
      <c r="EH818" s="341" t="s">
        <v>5111</v>
      </c>
      <c r="EI818" s="341" t="str">
        <f t="shared" si="104"/>
        <v>Norte de Santander_Tibu</v>
      </c>
    </row>
    <row r="819" spans="1:139" ht="38.25">
      <c r="A819" s="235">
        <v>40374</v>
      </c>
      <c r="B819" s="224" t="s">
        <v>1972</v>
      </c>
      <c r="C819" s="224" t="s">
        <v>1841</v>
      </c>
      <c r="D819" s="236" t="s">
        <v>1878</v>
      </c>
      <c r="E819" s="324" t="s">
        <v>3331</v>
      </c>
      <c r="F819" s="324"/>
      <c r="G819" s="210"/>
      <c r="H819" s="71"/>
      <c r="I819" s="71"/>
      <c r="J819" s="71">
        <v>30</v>
      </c>
      <c r="K819" s="71">
        <v>6</v>
      </c>
      <c r="L819" s="1"/>
      <c r="M819" s="73">
        <f t="shared" si="100"/>
        <v>0</v>
      </c>
      <c r="N819" s="73">
        <f t="shared" si="101"/>
        <v>0</v>
      </c>
      <c r="O819" s="73">
        <f t="shared" si="106"/>
        <v>0</v>
      </c>
      <c r="P819" s="73">
        <f t="shared" si="102"/>
        <v>0</v>
      </c>
      <c r="Q819" s="73"/>
      <c r="R819" s="73">
        <v>0</v>
      </c>
      <c r="S819" s="75">
        <f t="shared" si="105"/>
        <v>0</v>
      </c>
      <c r="T819" s="77">
        <v>0</v>
      </c>
      <c r="U819" s="66">
        <v>40375</v>
      </c>
      <c r="V819" s="79"/>
      <c r="W819" s="66" t="s">
        <v>1585</v>
      </c>
      <c r="X819" s="24" t="s">
        <v>1586</v>
      </c>
      <c r="Y819" s="62"/>
      <c r="Z819" s="177" t="s">
        <v>894</v>
      </c>
      <c r="AA819" s="80" t="s">
        <v>2397</v>
      </c>
      <c r="AB819" s="3"/>
      <c r="AC819" s="4"/>
      <c r="AD819" s="5"/>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6"/>
      <c r="CE819" s="7"/>
      <c r="CF819" s="6"/>
      <c r="CG819" s="7"/>
      <c r="CH819" s="6"/>
      <c r="CI819" s="7"/>
      <c r="CJ819" s="8">
        <f t="shared" si="103"/>
        <v>0</v>
      </c>
      <c r="CK819" s="9"/>
      <c r="CL819" s="10"/>
      <c r="CM819" s="11"/>
      <c r="CN819" s="12"/>
      <c r="CO819" s="28"/>
      <c r="CP819" s="12"/>
      <c r="CQ819" s="9"/>
      <c r="CR819" s="10"/>
      <c r="CS819" s="68"/>
      <c r="EC819" s="344" t="str">
        <f t="shared" si="107"/>
        <v>ANTIOQUIA_SEGOVIA</v>
      </c>
      <c r="ED819" s="341"/>
      <c r="EE819" s="341" t="s">
        <v>3176</v>
      </c>
      <c r="EF819" s="349" t="s">
        <v>3177</v>
      </c>
      <c r="EG819" s="341" t="s">
        <v>4035</v>
      </c>
      <c r="EH819" s="341" t="s">
        <v>4480</v>
      </c>
      <c r="EI819" s="341" t="str">
        <f t="shared" si="104"/>
        <v>Norte de Santander_Toledo</v>
      </c>
    </row>
    <row r="820" spans="1:139" ht="120">
      <c r="A820" s="228">
        <v>40374</v>
      </c>
      <c r="B820" s="205" t="s">
        <v>1192</v>
      </c>
      <c r="C820" s="205" t="s">
        <v>1605</v>
      </c>
      <c r="D820" s="207" t="s">
        <v>1201</v>
      </c>
      <c r="E820" s="323" t="s">
        <v>3120</v>
      </c>
      <c r="F820" s="323"/>
      <c r="G820" s="204"/>
      <c r="H820" s="151"/>
      <c r="I820" s="151"/>
      <c r="J820" s="151"/>
      <c r="K820" s="151"/>
      <c r="L820" s="1">
        <v>40480</v>
      </c>
      <c r="M820" s="73">
        <f t="shared" si="100"/>
        <v>76652000</v>
      </c>
      <c r="N820" s="73">
        <f t="shared" si="101"/>
        <v>85000000</v>
      </c>
      <c r="O820" s="73">
        <f t="shared" si="106"/>
        <v>0</v>
      </c>
      <c r="P820" s="73">
        <f t="shared" si="102"/>
        <v>0</v>
      </c>
      <c r="Q820" s="73"/>
      <c r="R820" s="73">
        <v>80000000</v>
      </c>
      <c r="S820" s="75">
        <f t="shared" si="105"/>
        <v>241652000</v>
      </c>
      <c r="T820" s="77">
        <v>0</v>
      </c>
      <c r="U820" s="66">
        <v>40480</v>
      </c>
      <c r="V820" s="79">
        <v>45198</v>
      </c>
      <c r="W820" s="66" t="s">
        <v>1606</v>
      </c>
      <c r="X820" s="24" t="s">
        <v>1607</v>
      </c>
      <c r="Y820" s="62">
        <v>23125</v>
      </c>
      <c r="Z820" s="176" t="s">
        <v>1274</v>
      </c>
      <c r="AA820" s="166" t="s">
        <v>2488</v>
      </c>
      <c r="AB820" s="152"/>
      <c r="AC820" s="153"/>
      <c r="AD820" s="154"/>
      <c r="AE820" s="153"/>
      <c r="AF820" s="153"/>
      <c r="AG820" s="153"/>
      <c r="AH820" s="153"/>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c r="BF820" s="153"/>
      <c r="BG820" s="153"/>
      <c r="BH820" s="153"/>
      <c r="BI820" s="153"/>
      <c r="BJ820" s="153"/>
      <c r="BK820" s="153"/>
      <c r="BL820" s="153"/>
      <c r="BM820" s="153"/>
      <c r="BN820" s="153"/>
      <c r="BO820" s="153"/>
      <c r="BP820" s="153"/>
      <c r="BQ820" s="153"/>
      <c r="BR820" s="153"/>
      <c r="BS820" s="153"/>
      <c r="BT820" s="153"/>
      <c r="BU820" s="153"/>
      <c r="BV820" s="153"/>
      <c r="BW820" s="153"/>
      <c r="BX820" s="153"/>
      <c r="BY820" s="153"/>
      <c r="BZ820" s="153"/>
      <c r="CA820" s="153"/>
      <c r="CB820" s="153"/>
      <c r="CC820" s="153"/>
      <c r="CD820" s="155">
        <v>1000</v>
      </c>
      <c r="CE820" s="156">
        <f>1000*36952</f>
        <v>36952000</v>
      </c>
      <c r="CF820" s="155">
        <v>1000</v>
      </c>
      <c r="CG820" s="156">
        <f>1000*39700</f>
        <v>39700000</v>
      </c>
      <c r="CH820" s="155"/>
      <c r="CI820" s="156"/>
      <c r="CJ820" s="157">
        <f t="shared" si="103"/>
        <v>76652000</v>
      </c>
      <c r="CK820" s="158"/>
      <c r="CL820" s="159"/>
      <c r="CM820" s="160">
        <v>1000</v>
      </c>
      <c r="CN820" s="161">
        <f>1000*85000</f>
        <v>85000000</v>
      </c>
      <c r="CO820" s="162"/>
      <c r="CP820" s="161"/>
      <c r="CQ820" s="158"/>
      <c r="CR820" s="159"/>
      <c r="CS820" s="68">
        <v>2</v>
      </c>
      <c r="CT820" s="163"/>
      <c r="EC820" s="344" t="str">
        <f t="shared" si="107"/>
        <v>BOYACA_DEPARTAMENTO</v>
      </c>
      <c r="ED820" s="341"/>
      <c r="EE820" s="341" t="s">
        <v>3176</v>
      </c>
      <c r="EF820" s="349" t="s">
        <v>3177</v>
      </c>
      <c r="EG820" s="341" t="s">
        <v>4036</v>
      </c>
      <c r="EH820" s="341" t="s">
        <v>5112</v>
      </c>
      <c r="EI820" s="341" t="str">
        <f t="shared" si="104"/>
        <v>Norte de Santander_Villa Caro</v>
      </c>
    </row>
    <row r="821" spans="1:139" ht="51">
      <c r="A821" s="228">
        <v>40374</v>
      </c>
      <c r="B821" s="102" t="s">
        <v>1192</v>
      </c>
      <c r="C821" s="102" t="s">
        <v>1918</v>
      </c>
      <c r="D821" s="206" t="s">
        <v>1201</v>
      </c>
      <c r="E821" s="320" t="s">
        <v>3452</v>
      </c>
      <c r="F821" s="320"/>
      <c r="G821" s="210"/>
      <c r="H821" s="71"/>
      <c r="I821" s="71"/>
      <c r="J821" s="71">
        <f>60*5</f>
        <v>300</v>
      </c>
      <c r="K821" s="71">
        <v>60</v>
      </c>
      <c r="L821" s="1"/>
      <c r="M821" s="73">
        <f t="shared" si="100"/>
        <v>0</v>
      </c>
      <c r="N821" s="73">
        <f t="shared" si="101"/>
        <v>0</v>
      </c>
      <c r="O821" s="73">
        <f t="shared" si="106"/>
        <v>0</v>
      </c>
      <c r="P821" s="73">
        <f t="shared" si="102"/>
        <v>0</v>
      </c>
      <c r="Q821" s="73"/>
      <c r="R821" s="73">
        <v>0</v>
      </c>
      <c r="S821" s="75">
        <f t="shared" si="105"/>
        <v>0</v>
      </c>
      <c r="T821" s="77">
        <v>0</v>
      </c>
      <c r="U821" s="66">
        <v>40379</v>
      </c>
      <c r="V821" s="79"/>
      <c r="W821" s="66" t="s">
        <v>1606</v>
      </c>
      <c r="X821" s="24" t="s">
        <v>1607</v>
      </c>
      <c r="Y821" s="62"/>
      <c r="Z821" s="176" t="s">
        <v>1274</v>
      </c>
      <c r="AA821" s="80" t="s">
        <v>1718</v>
      </c>
      <c r="AB821" s="3"/>
      <c r="AC821" s="4"/>
      <c r="AD821" s="5"/>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6"/>
      <c r="CE821" s="7"/>
      <c r="CF821" s="6"/>
      <c r="CG821" s="7"/>
      <c r="CH821" s="6"/>
      <c r="CI821" s="7"/>
      <c r="CJ821" s="8">
        <f t="shared" si="103"/>
        <v>0</v>
      </c>
      <c r="CK821" s="9"/>
      <c r="CL821" s="10"/>
      <c r="CM821" s="11"/>
      <c r="CN821" s="12"/>
      <c r="CO821" s="28"/>
      <c r="CP821" s="12"/>
      <c r="CQ821" s="9"/>
      <c r="CR821" s="10"/>
      <c r="CS821" s="68"/>
      <c r="EC821" s="344" t="str">
        <f t="shared" si="107"/>
        <v>BOYACA_DUITAMA</v>
      </c>
      <c r="ED821" s="341"/>
      <c r="EE821" s="341" t="s">
        <v>3176</v>
      </c>
      <c r="EF821" s="349" t="s">
        <v>3177</v>
      </c>
      <c r="EG821" s="341" t="s">
        <v>4037</v>
      </c>
      <c r="EH821" s="341" t="s">
        <v>5113</v>
      </c>
      <c r="EI821" s="341" t="str">
        <f t="shared" si="104"/>
        <v>Norte de Santander_Villa del Rosario</v>
      </c>
    </row>
    <row r="822" spans="1:139" ht="36">
      <c r="A822" s="228">
        <v>40374</v>
      </c>
      <c r="B822" s="222" t="s">
        <v>1192</v>
      </c>
      <c r="C822" s="222" t="s">
        <v>1919</v>
      </c>
      <c r="D822" s="233" t="s">
        <v>1201</v>
      </c>
      <c r="E822" s="325" t="s">
        <v>3455</v>
      </c>
      <c r="F822" s="325"/>
      <c r="G822" s="204"/>
      <c r="H822" s="151"/>
      <c r="I822" s="151"/>
      <c r="J822" s="151">
        <f>35*5</f>
        <v>175</v>
      </c>
      <c r="K822" s="151">
        <v>35</v>
      </c>
      <c r="L822" s="1"/>
      <c r="M822" s="73">
        <f t="shared" si="100"/>
        <v>0</v>
      </c>
      <c r="N822" s="73">
        <f t="shared" si="101"/>
        <v>0</v>
      </c>
      <c r="O822" s="73">
        <f t="shared" si="106"/>
        <v>0</v>
      </c>
      <c r="P822" s="73">
        <f t="shared" si="102"/>
        <v>0</v>
      </c>
      <c r="Q822" s="73"/>
      <c r="R822" s="73">
        <v>0</v>
      </c>
      <c r="S822" s="75">
        <f t="shared" si="105"/>
        <v>0</v>
      </c>
      <c r="T822" s="77">
        <v>0</v>
      </c>
      <c r="U822" s="66">
        <v>40441</v>
      </c>
      <c r="V822" s="79"/>
      <c r="W822" s="66" t="s">
        <v>1606</v>
      </c>
      <c r="X822" s="24" t="s">
        <v>1607</v>
      </c>
      <c r="Y822" s="62"/>
      <c r="Z822" s="176" t="s">
        <v>1274</v>
      </c>
      <c r="AA822" s="166" t="s">
        <v>1794</v>
      </c>
      <c r="AB822" s="152"/>
      <c r="AC822" s="153"/>
      <c r="AD822" s="154"/>
      <c r="AE822" s="153"/>
      <c r="AF822" s="153"/>
      <c r="AG822" s="153"/>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c r="BF822" s="153"/>
      <c r="BG822" s="153"/>
      <c r="BH822" s="153"/>
      <c r="BI822" s="153"/>
      <c r="BJ822" s="153"/>
      <c r="BK822" s="153"/>
      <c r="BL822" s="153"/>
      <c r="BM822" s="153"/>
      <c r="BN822" s="153"/>
      <c r="BO822" s="153"/>
      <c r="BP822" s="153"/>
      <c r="BQ822" s="153"/>
      <c r="BR822" s="153"/>
      <c r="BS822" s="153"/>
      <c r="BT822" s="153"/>
      <c r="BU822" s="153"/>
      <c r="BV822" s="153"/>
      <c r="BW822" s="153"/>
      <c r="BX822" s="153"/>
      <c r="BY822" s="153"/>
      <c r="BZ822" s="153"/>
      <c r="CA822" s="153"/>
      <c r="CB822" s="153"/>
      <c r="CC822" s="153"/>
      <c r="CD822" s="155"/>
      <c r="CE822" s="156"/>
      <c r="CF822" s="155"/>
      <c r="CG822" s="156"/>
      <c r="CH822" s="155"/>
      <c r="CI822" s="156"/>
      <c r="CJ822" s="157">
        <f t="shared" si="103"/>
        <v>0</v>
      </c>
      <c r="CK822" s="158"/>
      <c r="CL822" s="159"/>
      <c r="CM822" s="160"/>
      <c r="CN822" s="161"/>
      <c r="CO822" s="162"/>
      <c r="CP822" s="161"/>
      <c r="CQ822" s="158"/>
      <c r="CR822" s="159"/>
      <c r="CS822" s="68"/>
      <c r="CT822" s="163"/>
      <c r="EC822" s="344" t="str">
        <f t="shared" si="107"/>
        <v>BOYACA_FIRAVITOBA</v>
      </c>
      <c r="ED822" s="341"/>
      <c r="EE822" s="341" t="s">
        <v>3180</v>
      </c>
      <c r="EF822" s="349" t="s">
        <v>3181</v>
      </c>
      <c r="EG822" s="341" t="s">
        <v>4038</v>
      </c>
      <c r="EH822" s="341" t="s">
        <v>4386</v>
      </c>
      <c r="EI822" s="341" t="str">
        <f t="shared" si="104"/>
        <v>Quindio_Armenia</v>
      </c>
    </row>
    <row r="823" spans="1:139" ht="76.5">
      <c r="A823" s="228">
        <v>40374</v>
      </c>
      <c r="B823" s="102" t="s">
        <v>1192</v>
      </c>
      <c r="C823" s="102" t="s">
        <v>1451</v>
      </c>
      <c r="D823" s="206" t="s">
        <v>1201</v>
      </c>
      <c r="E823" s="320" t="e">
        <v>#N/A</v>
      </c>
      <c r="F823" s="320"/>
      <c r="G823" s="210"/>
      <c r="H823" s="71"/>
      <c r="I823" s="71"/>
      <c r="J823" s="71"/>
      <c r="K823" s="71"/>
      <c r="L823" s="1">
        <v>40392</v>
      </c>
      <c r="M823" s="73">
        <f t="shared" si="100"/>
        <v>0</v>
      </c>
      <c r="N823" s="73">
        <f t="shared" si="101"/>
        <v>0</v>
      </c>
      <c r="O823" s="73">
        <f t="shared" si="106"/>
        <v>0</v>
      </c>
      <c r="P823" s="73">
        <f t="shared" si="102"/>
        <v>27898000</v>
      </c>
      <c r="Q823" s="73">
        <v>54380800</v>
      </c>
      <c r="R823" s="73">
        <v>0</v>
      </c>
      <c r="S823" s="75">
        <f t="shared" si="105"/>
        <v>82278800</v>
      </c>
      <c r="T823" s="77">
        <v>0</v>
      </c>
      <c r="U823" s="66">
        <v>40392</v>
      </c>
      <c r="V823" s="79">
        <v>38281</v>
      </c>
      <c r="W823" s="66" t="s">
        <v>1606</v>
      </c>
      <c r="X823" s="24" t="s">
        <v>1607</v>
      </c>
      <c r="Y823" s="83" t="s">
        <v>320</v>
      </c>
      <c r="Z823" s="177" t="s">
        <v>2445</v>
      </c>
      <c r="AA823" s="80" t="s">
        <v>1507</v>
      </c>
      <c r="AB823" s="3"/>
      <c r="AC823" s="4"/>
      <c r="AD823" s="5"/>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6"/>
      <c r="CE823" s="7"/>
      <c r="CF823" s="6"/>
      <c r="CG823" s="7"/>
      <c r="CH823" s="6"/>
      <c r="CI823" s="7"/>
      <c r="CJ823" s="8">
        <f t="shared" si="103"/>
        <v>0</v>
      </c>
      <c r="CK823" s="9">
        <f>10000+10000+10000</f>
        <v>30000</v>
      </c>
      <c r="CL823" s="10">
        <f>10000*899+10000*986+10000*904.8</f>
        <v>27898000</v>
      </c>
      <c r="CM823" s="11"/>
      <c r="CN823" s="12"/>
      <c r="CO823" s="28"/>
      <c r="CP823" s="12"/>
      <c r="CQ823" s="9"/>
      <c r="CR823" s="10"/>
      <c r="CS823" s="68"/>
      <c r="EC823" s="344" t="str">
        <f t="shared" si="107"/>
        <v>BOYACA_NOBSA/FIRAVITOVA/ PAIPA/PUERTO BOYACA</v>
      </c>
      <c r="ED823" s="341"/>
      <c r="EE823" s="341" t="s">
        <v>3180</v>
      </c>
      <c r="EF823" s="349" t="s">
        <v>3181</v>
      </c>
      <c r="EG823" s="341" t="s">
        <v>4039</v>
      </c>
      <c r="EH823" s="341" t="s">
        <v>4572</v>
      </c>
      <c r="EI823" s="341" t="str">
        <f t="shared" si="104"/>
        <v>Quindio_Buenavista</v>
      </c>
    </row>
    <row r="824" spans="1:139" ht="38.25">
      <c r="A824" s="228">
        <v>40374</v>
      </c>
      <c r="B824" s="205" t="s">
        <v>1192</v>
      </c>
      <c r="C824" s="205" t="s">
        <v>101</v>
      </c>
      <c r="D824" s="207" t="s">
        <v>1878</v>
      </c>
      <c r="E824" s="323" t="s">
        <v>3481</v>
      </c>
      <c r="F824" s="323"/>
      <c r="G824" s="204"/>
      <c r="H824" s="151"/>
      <c r="I824" s="151"/>
      <c r="J824" s="151">
        <v>125</v>
      </c>
      <c r="K824" s="151">
        <v>25</v>
      </c>
      <c r="L824" s="1"/>
      <c r="M824" s="73">
        <f t="shared" si="100"/>
        <v>0</v>
      </c>
      <c r="N824" s="73">
        <f t="shared" si="101"/>
        <v>0</v>
      </c>
      <c r="O824" s="73">
        <f t="shared" si="106"/>
        <v>0</v>
      </c>
      <c r="P824" s="73">
        <f t="shared" si="102"/>
        <v>0</v>
      </c>
      <c r="Q824" s="73"/>
      <c r="R824" s="73">
        <v>0</v>
      </c>
      <c r="S824" s="75">
        <f t="shared" si="105"/>
        <v>0</v>
      </c>
      <c r="T824" s="77">
        <v>0</v>
      </c>
      <c r="U824" s="66">
        <v>40589</v>
      </c>
      <c r="V824" s="79"/>
      <c r="W824" s="66" t="s">
        <v>1585</v>
      </c>
      <c r="X824" s="24" t="s">
        <v>1586</v>
      </c>
      <c r="Y824" s="62"/>
      <c r="Z824" s="169" t="s">
        <v>894</v>
      </c>
      <c r="AA824" s="166" t="s">
        <v>95</v>
      </c>
      <c r="AB824" s="152"/>
      <c r="AC824" s="153"/>
      <c r="AD824" s="154"/>
      <c r="AE824" s="153"/>
      <c r="AF824" s="153"/>
      <c r="AG824" s="153"/>
      <c r="AH824" s="153"/>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c r="BF824" s="153"/>
      <c r="BG824" s="153"/>
      <c r="BH824" s="153"/>
      <c r="BI824" s="153"/>
      <c r="BJ824" s="153"/>
      <c r="BK824" s="153"/>
      <c r="BL824" s="153"/>
      <c r="BM824" s="153"/>
      <c r="BN824" s="153"/>
      <c r="BO824" s="153"/>
      <c r="BP824" s="153"/>
      <c r="BQ824" s="153"/>
      <c r="BR824" s="153"/>
      <c r="BS824" s="153"/>
      <c r="BT824" s="153"/>
      <c r="BU824" s="153"/>
      <c r="BV824" s="153"/>
      <c r="BW824" s="153"/>
      <c r="BX824" s="153"/>
      <c r="BY824" s="153"/>
      <c r="BZ824" s="153"/>
      <c r="CA824" s="153"/>
      <c r="CB824" s="153"/>
      <c r="CC824" s="153"/>
      <c r="CD824" s="155"/>
      <c r="CE824" s="156"/>
      <c r="CF824" s="155"/>
      <c r="CG824" s="156"/>
      <c r="CH824" s="155"/>
      <c r="CI824" s="156"/>
      <c r="CJ824" s="157">
        <f t="shared" si="103"/>
        <v>0</v>
      </c>
      <c r="CK824" s="158"/>
      <c r="CL824" s="159"/>
      <c r="CM824" s="160"/>
      <c r="CN824" s="161"/>
      <c r="CO824" s="162"/>
      <c r="CP824" s="161"/>
      <c r="CQ824" s="158"/>
      <c r="CR824" s="159"/>
      <c r="CS824" s="68"/>
      <c r="CT824" s="163"/>
      <c r="EC824" s="344" t="str">
        <f t="shared" si="107"/>
        <v>BOYACA_NUEVO COLON</v>
      </c>
      <c r="ED824" s="341"/>
      <c r="EE824" s="341" t="s">
        <v>3180</v>
      </c>
      <c r="EF824" s="349" t="s">
        <v>3181</v>
      </c>
      <c r="EG824" s="341" t="s">
        <v>4040</v>
      </c>
      <c r="EH824" s="341" t="s">
        <v>5114</v>
      </c>
      <c r="EI824" s="341" t="str">
        <f t="shared" si="104"/>
        <v>Quindio_Calarca</v>
      </c>
    </row>
    <row r="825" spans="1:139" ht="25.5">
      <c r="A825" s="228">
        <v>40374</v>
      </c>
      <c r="B825" s="205" t="s">
        <v>1192</v>
      </c>
      <c r="C825" s="205" t="s">
        <v>1933</v>
      </c>
      <c r="D825" s="207" t="s">
        <v>1878</v>
      </c>
      <c r="E825" s="323" t="s">
        <v>3482</v>
      </c>
      <c r="F825" s="323"/>
      <c r="G825" s="204"/>
      <c r="H825" s="151"/>
      <c r="I825" s="151"/>
      <c r="J825" s="151">
        <v>35</v>
      </c>
      <c r="K825" s="151">
        <v>7</v>
      </c>
      <c r="L825" s="1"/>
      <c r="M825" s="73">
        <f t="shared" si="100"/>
        <v>0</v>
      </c>
      <c r="N825" s="73">
        <f t="shared" si="101"/>
        <v>0</v>
      </c>
      <c r="O825" s="73">
        <f t="shared" si="106"/>
        <v>0</v>
      </c>
      <c r="P825" s="73">
        <f t="shared" si="102"/>
        <v>0</v>
      </c>
      <c r="Q825" s="73"/>
      <c r="R825" s="73">
        <v>0</v>
      </c>
      <c r="S825" s="75">
        <f t="shared" si="105"/>
        <v>0</v>
      </c>
      <c r="T825" s="77">
        <v>0</v>
      </c>
      <c r="U825" s="66">
        <v>40589</v>
      </c>
      <c r="V825" s="79"/>
      <c r="W825" s="66" t="s">
        <v>1585</v>
      </c>
      <c r="X825" s="24" t="s">
        <v>1586</v>
      </c>
      <c r="Y825" s="62"/>
      <c r="Z825" s="169" t="s">
        <v>894</v>
      </c>
      <c r="AA825" s="166" t="s">
        <v>95</v>
      </c>
      <c r="AB825" s="152"/>
      <c r="AC825" s="153"/>
      <c r="AD825" s="154"/>
      <c r="AE825" s="153"/>
      <c r="AF825" s="153"/>
      <c r="AG825" s="153"/>
      <c r="AH825" s="153"/>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c r="BF825" s="153"/>
      <c r="BG825" s="153"/>
      <c r="BH825" s="153"/>
      <c r="BI825" s="153"/>
      <c r="BJ825" s="153"/>
      <c r="BK825" s="153"/>
      <c r="BL825" s="153"/>
      <c r="BM825" s="153"/>
      <c r="BN825" s="153"/>
      <c r="BO825" s="153"/>
      <c r="BP825" s="153"/>
      <c r="BQ825" s="153"/>
      <c r="BR825" s="153"/>
      <c r="BS825" s="153"/>
      <c r="BT825" s="153"/>
      <c r="BU825" s="153"/>
      <c r="BV825" s="153"/>
      <c r="BW825" s="153"/>
      <c r="BX825" s="153"/>
      <c r="BY825" s="153"/>
      <c r="BZ825" s="153"/>
      <c r="CA825" s="153"/>
      <c r="CB825" s="153"/>
      <c r="CC825" s="153"/>
      <c r="CD825" s="155"/>
      <c r="CE825" s="156"/>
      <c r="CF825" s="155"/>
      <c r="CG825" s="156"/>
      <c r="CH825" s="155"/>
      <c r="CI825" s="156"/>
      <c r="CJ825" s="157">
        <f t="shared" si="103"/>
        <v>0</v>
      </c>
      <c r="CK825" s="158"/>
      <c r="CL825" s="159"/>
      <c r="CM825" s="160"/>
      <c r="CN825" s="161"/>
      <c r="CO825" s="162"/>
      <c r="CP825" s="161"/>
      <c r="CQ825" s="158"/>
      <c r="CR825" s="159"/>
      <c r="CS825" s="68"/>
      <c r="CT825" s="163"/>
      <c r="EC825" s="344" t="str">
        <f t="shared" si="107"/>
        <v>BOYACA_OICATA</v>
      </c>
      <c r="ED825" s="341"/>
      <c r="EE825" s="341" t="s">
        <v>3180</v>
      </c>
      <c r="EF825" s="349" t="s">
        <v>3181</v>
      </c>
      <c r="EG825" s="341" t="s">
        <v>4045</v>
      </c>
      <c r="EH825" s="341" t="s">
        <v>5115</v>
      </c>
      <c r="EI825" s="341" t="str">
        <f t="shared" si="104"/>
        <v>Quindio_La Tebaida</v>
      </c>
    </row>
    <row r="826" spans="1:139" ht="36">
      <c r="A826" s="228">
        <v>40374</v>
      </c>
      <c r="B826" s="222" t="s">
        <v>1192</v>
      </c>
      <c r="C826" s="222" t="s">
        <v>1941</v>
      </c>
      <c r="D826" s="233" t="s">
        <v>1201</v>
      </c>
      <c r="E826" s="325" t="s">
        <v>3532</v>
      </c>
      <c r="F826" s="325"/>
      <c r="G826" s="204"/>
      <c r="H826" s="151"/>
      <c r="I826" s="151"/>
      <c r="J826" s="151">
        <f>76*5</f>
        <v>380</v>
      </c>
      <c r="K826" s="151">
        <v>76</v>
      </c>
      <c r="L826" s="1"/>
      <c r="M826" s="73">
        <f t="shared" si="100"/>
        <v>0</v>
      </c>
      <c r="N826" s="73">
        <f t="shared" si="101"/>
        <v>0</v>
      </c>
      <c r="O826" s="73">
        <f t="shared" si="106"/>
        <v>0</v>
      </c>
      <c r="P826" s="73">
        <f t="shared" si="102"/>
        <v>0</v>
      </c>
      <c r="Q826" s="73"/>
      <c r="R826" s="73">
        <v>0</v>
      </c>
      <c r="S826" s="75">
        <f t="shared" si="105"/>
        <v>0</v>
      </c>
      <c r="T826" s="77">
        <v>0</v>
      </c>
      <c r="U826" s="66">
        <v>40441</v>
      </c>
      <c r="V826" s="79"/>
      <c r="W826" s="66" t="s">
        <v>1606</v>
      </c>
      <c r="X826" s="24" t="s">
        <v>1607</v>
      </c>
      <c r="Y826" s="62"/>
      <c r="Z826" s="176" t="s">
        <v>1274</v>
      </c>
      <c r="AA826" s="166" t="s">
        <v>1791</v>
      </c>
      <c r="AB826" s="152"/>
      <c r="AC826" s="153"/>
      <c r="AD826" s="154"/>
      <c r="AE826" s="153"/>
      <c r="AF826" s="153"/>
      <c r="AG826" s="153"/>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c r="BF826" s="153"/>
      <c r="BG826" s="153"/>
      <c r="BH826" s="153"/>
      <c r="BI826" s="153"/>
      <c r="BJ826" s="153"/>
      <c r="BK826" s="153"/>
      <c r="BL826" s="153"/>
      <c r="BM826" s="153"/>
      <c r="BN826" s="153"/>
      <c r="BO826" s="153"/>
      <c r="BP826" s="153"/>
      <c r="BQ826" s="153"/>
      <c r="BR826" s="153"/>
      <c r="BS826" s="153"/>
      <c r="BT826" s="153"/>
      <c r="BU826" s="153"/>
      <c r="BV826" s="153"/>
      <c r="BW826" s="153"/>
      <c r="BX826" s="153"/>
      <c r="BY826" s="153"/>
      <c r="BZ826" s="153"/>
      <c r="CA826" s="153"/>
      <c r="CB826" s="153"/>
      <c r="CC826" s="153"/>
      <c r="CD826" s="155"/>
      <c r="CE826" s="156"/>
      <c r="CF826" s="155"/>
      <c r="CG826" s="156"/>
      <c r="CH826" s="155"/>
      <c r="CI826" s="156"/>
      <c r="CJ826" s="157">
        <f t="shared" si="103"/>
        <v>0</v>
      </c>
      <c r="CK826" s="158"/>
      <c r="CL826" s="159"/>
      <c r="CM826" s="160"/>
      <c r="CN826" s="161"/>
      <c r="CO826" s="162"/>
      <c r="CP826" s="161"/>
      <c r="CQ826" s="158"/>
      <c r="CR826" s="159"/>
      <c r="CS826" s="68"/>
      <c r="CT826" s="163"/>
      <c r="EC826" s="344" t="str">
        <f t="shared" si="107"/>
        <v>BOYACA_TOCA</v>
      </c>
      <c r="ED826" s="341"/>
      <c r="EE826" s="341" t="s">
        <v>3180</v>
      </c>
      <c r="EF826" s="349" t="s">
        <v>3181</v>
      </c>
      <c r="EG826" s="341" t="s">
        <v>4046</v>
      </c>
      <c r="EH826" s="341" t="s">
        <v>5116</v>
      </c>
      <c r="EI826" s="341" t="str">
        <f t="shared" si="104"/>
        <v>Quindio_Montenegro</v>
      </c>
    </row>
    <row r="827" spans="1:139" ht="25.5">
      <c r="A827" s="228">
        <v>40374</v>
      </c>
      <c r="B827" s="222" t="s">
        <v>1192</v>
      </c>
      <c r="C827" s="222" t="s">
        <v>1789</v>
      </c>
      <c r="D827" s="233" t="s">
        <v>1201</v>
      </c>
      <c r="E827" s="325" t="s">
        <v>3537</v>
      </c>
      <c r="F827" s="325"/>
      <c r="G827" s="204"/>
      <c r="H827" s="151"/>
      <c r="I827" s="151"/>
      <c r="J827" s="151">
        <f>59*5</f>
        <v>295</v>
      </c>
      <c r="K827" s="151">
        <v>59</v>
      </c>
      <c r="L827" s="1"/>
      <c r="M827" s="73">
        <f t="shared" si="100"/>
        <v>0</v>
      </c>
      <c r="N827" s="73">
        <f t="shared" si="101"/>
        <v>0</v>
      </c>
      <c r="O827" s="73">
        <f t="shared" si="106"/>
        <v>0</v>
      </c>
      <c r="P827" s="73">
        <f t="shared" si="102"/>
        <v>0</v>
      </c>
      <c r="Q827" s="73"/>
      <c r="R827" s="73">
        <v>0</v>
      </c>
      <c r="S827" s="75">
        <f t="shared" si="105"/>
        <v>0</v>
      </c>
      <c r="T827" s="77">
        <v>0</v>
      </c>
      <c r="U827" s="66">
        <v>40441</v>
      </c>
      <c r="V827" s="79"/>
      <c r="W827" s="66" t="s">
        <v>1606</v>
      </c>
      <c r="X827" s="24" t="s">
        <v>1607</v>
      </c>
      <c r="Y827" s="62"/>
      <c r="Z827" s="176" t="s">
        <v>1274</v>
      </c>
      <c r="AA827" s="166" t="s">
        <v>1790</v>
      </c>
      <c r="AB827" s="152"/>
      <c r="AC827" s="153"/>
      <c r="AD827" s="154"/>
      <c r="AE827" s="153"/>
      <c r="AF827" s="153"/>
      <c r="AG827" s="153"/>
      <c r="AH827" s="153"/>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c r="BF827" s="153"/>
      <c r="BG827" s="153"/>
      <c r="BH827" s="153"/>
      <c r="BI827" s="153"/>
      <c r="BJ827" s="153"/>
      <c r="BK827" s="153"/>
      <c r="BL827" s="153"/>
      <c r="BM827" s="153"/>
      <c r="BN827" s="153"/>
      <c r="BO827" s="153"/>
      <c r="BP827" s="153"/>
      <c r="BQ827" s="153"/>
      <c r="BR827" s="153"/>
      <c r="BS827" s="153"/>
      <c r="BT827" s="153"/>
      <c r="BU827" s="153"/>
      <c r="BV827" s="153"/>
      <c r="BW827" s="153"/>
      <c r="BX827" s="153"/>
      <c r="BY827" s="153"/>
      <c r="BZ827" s="153"/>
      <c r="CA827" s="153"/>
      <c r="CB827" s="153"/>
      <c r="CC827" s="153"/>
      <c r="CD827" s="155"/>
      <c r="CE827" s="156"/>
      <c r="CF827" s="155"/>
      <c r="CG827" s="156"/>
      <c r="CH827" s="155"/>
      <c r="CI827" s="156"/>
      <c r="CJ827" s="157">
        <f t="shared" si="103"/>
        <v>0</v>
      </c>
      <c r="CK827" s="158"/>
      <c r="CL827" s="159"/>
      <c r="CM827" s="160"/>
      <c r="CN827" s="161"/>
      <c r="CO827" s="162"/>
      <c r="CP827" s="161"/>
      <c r="CQ827" s="158"/>
      <c r="CR827" s="159"/>
      <c r="CS827" s="68"/>
      <c r="CT827" s="163"/>
      <c r="EC827" s="344" t="str">
        <f t="shared" si="107"/>
        <v>BOYACA_TUTA</v>
      </c>
      <c r="ED827" s="341"/>
      <c r="EE827" s="341" t="s">
        <v>3180</v>
      </c>
      <c r="EF827" s="349" t="s">
        <v>3181</v>
      </c>
      <c r="EG827" s="341" t="s">
        <v>4047</v>
      </c>
      <c r="EH827" s="341" t="s">
        <v>5117</v>
      </c>
      <c r="EI827" s="341" t="str">
        <f t="shared" si="104"/>
        <v>Quindio_Pijao</v>
      </c>
    </row>
    <row r="828" spans="1:139" ht="204">
      <c r="A828" s="228">
        <v>40374</v>
      </c>
      <c r="B828" s="102" t="s">
        <v>1295</v>
      </c>
      <c r="C828" s="102" t="s">
        <v>1724</v>
      </c>
      <c r="D828" s="206" t="s">
        <v>1201</v>
      </c>
      <c r="E828" s="320" t="s">
        <v>3653</v>
      </c>
      <c r="F828" s="320"/>
      <c r="G828" s="210"/>
      <c r="H828" s="71"/>
      <c r="I828" s="71"/>
      <c r="J828" s="71">
        <f>1135*5</f>
        <v>5675</v>
      </c>
      <c r="K828" s="71">
        <v>1135</v>
      </c>
      <c r="L828" s="1">
        <v>40436</v>
      </c>
      <c r="M828" s="73">
        <f t="shared" si="100"/>
        <v>25057680</v>
      </c>
      <c r="N828" s="73">
        <f t="shared" si="101"/>
        <v>181475000</v>
      </c>
      <c r="O828" s="73">
        <f t="shared" si="106"/>
        <v>0</v>
      </c>
      <c r="P828" s="73">
        <f t="shared" si="102"/>
        <v>0</v>
      </c>
      <c r="Q828" s="73"/>
      <c r="R828" s="73">
        <v>0</v>
      </c>
      <c r="S828" s="75">
        <f t="shared" si="105"/>
        <v>206532680</v>
      </c>
      <c r="T828" s="77">
        <v>0</v>
      </c>
      <c r="U828" s="66">
        <v>40379</v>
      </c>
      <c r="V828" s="79">
        <v>38767</v>
      </c>
      <c r="W828" s="66" t="s">
        <v>1606</v>
      </c>
      <c r="X828" s="24" t="s">
        <v>1607</v>
      </c>
      <c r="Y828" s="83" t="s">
        <v>2128</v>
      </c>
      <c r="Z828" s="177" t="s">
        <v>2580</v>
      </c>
      <c r="AA828" s="80" t="s">
        <v>1857</v>
      </c>
      <c r="AB828" s="3"/>
      <c r="AC828" s="4"/>
      <c r="AD828" s="5"/>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f>10+3</f>
        <v>13</v>
      </c>
      <c r="BO828" s="4">
        <f>10*504600+3*504000</f>
        <v>6558000</v>
      </c>
      <c r="BP828" s="4"/>
      <c r="BQ828" s="4"/>
      <c r="BR828" s="4"/>
      <c r="BS828" s="4"/>
      <c r="BT828" s="4"/>
      <c r="BU828" s="4"/>
      <c r="BV828" s="4"/>
      <c r="BW828" s="4"/>
      <c r="BX828" s="4"/>
      <c r="BY828" s="4"/>
      <c r="BZ828" s="4"/>
      <c r="CA828" s="4"/>
      <c r="CB828" s="4"/>
      <c r="CC828" s="4"/>
      <c r="CD828" s="6">
        <v>500</v>
      </c>
      <c r="CE828" s="7">
        <f>500*36999.36</f>
        <v>18499680</v>
      </c>
      <c r="CF828" s="6"/>
      <c r="CG828" s="7"/>
      <c r="CH828" s="6"/>
      <c r="CI828" s="7"/>
      <c r="CJ828" s="8">
        <f t="shared" si="103"/>
        <v>25057680</v>
      </c>
      <c r="CK828" s="9"/>
      <c r="CL828" s="10"/>
      <c r="CM828" s="11">
        <f>500+1135+500</f>
        <v>2135</v>
      </c>
      <c r="CN828" s="12">
        <f>500*85000+1135*85000+500*85000</f>
        <v>181475000</v>
      </c>
      <c r="CO828" s="28"/>
      <c r="CP828" s="12"/>
      <c r="CQ828" s="9"/>
      <c r="CR828" s="10"/>
      <c r="CS828" s="68"/>
      <c r="EC828" s="344" t="str">
        <f t="shared" si="107"/>
        <v>CORDOBA_MONTERIA</v>
      </c>
      <c r="ED828" s="341"/>
      <c r="EE828" s="341" t="s">
        <v>3180</v>
      </c>
      <c r="EF828" s="349" t="s">
        <v>3181</v>
      </c>
      <c r="EG828" s="341" t="s">
        <v>4048</v>
      </c>
      <c r="EH828" s="341" t="s">
        <v>5118</v>
      </c>
      <c r="EI828" s="341" t="str">
        <f t="shared" si="104"/>
        <v>Quindio_Quimbaya</v>
      </c>
    </row>
    <row r="829" spans="1:139" ht="38.25">
      <c r="A829" s="228">
        <v>40374</v>
      </c>
      <c r="B829" s="102" t="s">
        <v>1604</v>
      </c>
      <c r="C829" s="102" t="s">
        <v>728</v>
      </c>
      <c r="D829" s="206" t="s">
        <v>1878</v>
      </c>
      <c r="E829" s="320" t="s">
        <v>3696</v>
      </c>
      <c r="F829" s="320"/>
      <c r="G829" s="210"/>
      <c r="H829" s="71"/>
      <c r="I829" s="71"/>
      <c r="J829" s="71"/>
      <c r="K829" s="71"/>
      <c r="L829" s="1"/>
      <c r="M829" s="73">
        <f t="shared" si="100"/>
        <v>0</v>
      </c>
      <c r="N829" s="73">
        <f t="shared" si="101"/>
        <v>0</v>
      </c>
      <c r="O829" s="73">
        <f t="shared" ref="O829:O860" si="108">CP829+CR829</f>
        <v>0</v>
      </c>
      <c r="P829" s="73">
        <f t="shared" si="102"/>
        <v>0</v>
      </c>
      <c r="Q829" s="73"/>
      <c r="R829" s="73">
        <v>0</v>
      </c>
      <c r="S829" s="75">
        <f t="shared" si="105"/>
        <v>0</v>
      </c>
      <c r="T829" s="77">
        <v>0</v>
      </c>
      <c r="U829" s="66">
        <v>40377</v>
      </c>
      <c r="V829" s="79"/>
      <c r="W829" s="66" t="s">
        <v>1585</v>
      </c>
      <c r="X829" s="67" t="s">
        <v>1586</v>
      </c>
      <c r="Y829" s="62"/>
      <c r="Z829" s="177" t="s">
        <v>894</v>
      </c>
      <c r="AA829" s="80" t="s">
        <v>729</v>
      </c>
      <c r="AB829" s="3"/>
      <c r="AC829" s="4"/>
      <c r="AD829" s="5"/>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6"/>
      <c r="CE829" s="7"/>
      <c r="CF829" s="6"/>
      <c r="CG829" s="7"/>
      <c r="CH829" s="6"/>
      <c r="CI829" s="7"/>
      <c r="CJ829" s="8">
        <f t="shared" si="103"/>
        <v>0</v>
      </c>
      <c r="CK829" s="9"/>
      <c r="CL829" s="10"/>
      <c r="CM829" s="11"/>
      <c r="CN829" s="12"/>
      <c r="CO829" s="28"/>
      <c r="CP829" s="12"/>
      <c r="CQ829" s="9"/>
      <c r="CR829" s="10"/>
      <c r="CS829" s="68"/>
      <c r="EC829" s="344" t="str">
        <f t="shared" si="107"/>
        <v>CUNDINAMARCA_CHOACHI</v>
      </c>
      <c r="ED829" s="341"/>
      <c r="EE829" s="341" t="s">
        <v>3180</v>
      </c>
      <c r="EF829" s="349" t="s">
        <v>3181</v>
      </c>
      <c r="EG829" s="341" t="s">
        <v>4049</v>
      </c>
      <c r="EH829" s="341" t="s">
        <v>5119</v>
      </c>
      <c r="EI829" s="341" t="str">
        <f t="shared" si="104"/>
        <v>Quindio_Salento</v>
      </c>
    </row>
    <row r="830" spans="1:139" ht="51">
      <c r="A830" s="228">
        <v>40374</v>
      </c>
      <c r="B830" s="102" t="s">
        <v>965</v>
      </c>
      <c r="C830" s="102" t="s">
        <v>988</v>
      </c>
      <c r="D830" s="206" t="s">
        <v>1878</v>
      </c>
      <c r="E830" s="320" t="s">
        <v>4001</v>
      </c>
      <c r="F830" s="320"/>
      <c r="G830" s="210"/>
      <c r="H830" s="71"/>
      <c r="I830" s="71"/>
      <c r="J830" s="71">
        <v>11</v>
      </c>
      <c r="K830" s="71">
        <v>2</v>
      </c>
      <c r="L830" s="1"/>
      <c r="M830" s="73">
        <f t="shared" si="100"/>
        <v>0</v>
      </c>
      <c r="N830" s="73">
        <f t="shared" si="101"/>
        <v>0</v>
      </c>
      <c r="O830" s="73">
        <f t="shared" si="108"/>
        <v>0</v>
      </c>
      <c r="P830" s="73">
        <f t="shared" si="102"/>
        <v>0</v>
      </c>
      <c r="Q830" s="73"/>
      <c r="R830" s="73">
        <v>0</v>
      </c>
      <c r="S830" s="75">
        <f t="shared" si="105"/>
        <v>0</v>
      </c>
      <c r="T830" s="77">
        <v>0</v>
      </c>
      <c r="U830" s="66">
        <v>40375</v>
      </c>
      <c r="V830" s="79"/>
      <c r="W830" s="66" t="s">
        <v>1585</v>
      </c>
      <c r="X830" s="24" t="s">
        <v>1586</v>
      </c>
      <c r="Y830" s="62"/>
      <c r="Z830" s="177" t="s">
        <v>894</v>
      </c>
      <c r="AA830" s="80" t="s">
        <v>1378</v>
      </c>
      <c r="AB830" s="3"/>
      <c r="AC830" s="4"/>
      <c r="AD830" s="5"/>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6"/>
      <c r="CE830" s="7"/>
      <c r="CF830" s="6"/>
      <c r="CG830" s="7"/>
      <c r="CH830" s="6"/>
      <c r="CI830" s="7"/>
      <c r="CJ830" s="8">
        <f t="shared" si="103"/>
        <v>0</v>
      </c>
      <c r="CK830" s="9"/>
      <c r="CL830" s="10"/>
      <c r="CM830" s="11"/>
      <c r="CN830" s="12"/>
      <c r="CO830" s="28"/>
      <c r="CP830" s="12"/>
      <c r="CQ830" s="9"/>
      <c r="CR830" s="10"/>
      <c r="CS830" s="68"/>
      <c r="EC830" s="344" t="str">
        <f t="shared" si="107"/>
        <v>NORTE DE SANTANDER_BOCHALEMA</v>
      </c>
      <c r="ED830" s="341"/>
      <c r="EE830" s="341" t="s">
        <v>3182</v>
      </c>
      <c r="EF830" s="349" t="s">
        <v>3183</v>
      </c>
      <c r="EG830" s="341" t="s">
        <v>4050</v>
      </c>
      <c r="EH830" s="341" t="s">
        <v>5120</v>
      </c>
      <c r="EI830" s="341" t="str">
        <f t="shared" si="104"/>
        <v>Risaralda_Pereira</v>
      </c>
    </row>
    <row r="831" spans="1:139" ht="25.5">
      <c r="A831" s="228">
        <v>40374</v>
      </c>
      <c r="B831" s="102" t="s">
        <v>1612</v>
      </c>
      <c r="C831" s="102" t="s">
        <v>1613</v>
      </c>
      <c r="D831" s="206" t="s">
        <v>1923</v>
      </c>
      <c r="E831" s="320" t="s">
        <v>4038</v>
      </c>
      <c r="F831" s="320"/>
      <c r="G831" s="210"/>
      <c r="H831" s="71"/>
      <c r="I831" s="71"/>
      <c r="J831" s="71">
        <v>10</v>
      </c>
      <c r="K831" s="71">
        <v>2</v>
      </c>
      <c r="L831" s="1"/>
      <c r="M831" s="73">
        <f t="shared" si="100"/>
        <v>0</v>
      </c>
      <c r="N831" s="73">
        <f t="shared" si="101"/>
        <v>0</v>
      </c>
      <c r="O831" s="73">
        <f t="shared" si="108"/>
        <v>0</v>
      </c>
      <c r="P831" s="73">
        <f t="shared" si="102"/>
        <v>0</v>
      </c>
      <c r="Q831" s="73"/>
      <c r="R831" s="73">
        <v>0</v>
      </c>
      <c r="S831" s="75">
        <f t="shared" si="105"/>
        <v>0</v>
      </c>
      <c r="T831" s="77">
        <v>0</v>
      </c>
      <c r="U831" s="66">
        <v>40375</v>
      </c>
      <c r="V831" s="79"/>
      <c r="W831" s="66" t="s">
        <v>1585</v>
      </c>
      <c r="X831" s="24" t="s">
        <v>1586</v>
      </c>
      <c r="Y831" s="62"/>
      <c r="Z831" s="177" t="s">
        <v>894</v>
      </c>
      <c r="AA831" s="80" t="s">
        <v>1373</v>
      </c>
      <c r="AB831" s="3"/>
      <c r="AC831" s="4"/>
      <c r="AD831" s="5"/>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6"/>
      <c r="CE831" s="7"/>
      <c r="CF831" s="6"/>
      <c r="CG831" s="7"/>
      <c r="CH831" s="6"/>
      <c r="CI831" s="7"/>
      <c r="CJ831" s="8">
        <f t="shared" si="103"/>
        <v>0</v>
      </c>
      <c r="CK831" s="9"/>
      <c r="CL831" s="10"/>
      <c r="CM831" s="11"/>
      <c r="CN831" s="12"/>
      <c r="CO831" s="28"/>
      <c r="CP831" s="12"/>
      <c r="CQ831" s="9"/>
      <c r="CR831" s="10"/>
      <c r="CS831" s="68"/>
      <c r="EC831" s="344" t="str">
        <f t="shared" si="107"/>
        <v>QUINDIO_ARMENIA</v>
      </c>
      <c r="ED831" s="341"/>
      <c r="EE831" s="341" t="s">
        <v>3182</v>
      </c>
      <c r="EF831" s="349" t="s">
        <v>3183</v>
      </c>
      <c r="EG831" s="341" t="s">
        <v>4051</v>
      </c>
      <c r="EH831" s="341" t="s">
        <v>5121</v>
      </c>
      <c r="EI831" s="341" t="str">
        <f t="shared" ref="EI831:EI891" si="109">EF831&amp;"_"&amp;EH831</f>
        <v>Risaralda_Apia</v>
      </c>
    </row>
    <row r="832" spans="1:139" ht="38.25">
      <c r="A832" s="228">
        <v>40374</v>
      </c>
      <c r="B832" s="102" t="s">
        <v>1609</v>
      </c>
      <c r="C832" s="102" t="s">
        <v>1838</v>
      </c>
      <c r="D832" s="206" t="s">
        <v>1878</v>
      </c>
      <c r="E832" s="320" t="s">
        <v>4054</v>
      </c>
      <c r="F832" s="320"/>
      <c r="G832" s="210"/>
      <c r="H832" s="71"/>
      <c r="I832" s="71"/>
      <c r="J832" s="71">
        <v>15</v>
      </c>
      <c r="K832" s="71">
        <v>3</v>
      </c>
      <c r="L832" s="1"/>
      <c r="M832" s="73">
        <f t="shared" si="100"/>
        <v>0</v>
      </c>
      <c r="N832" s="73">
        <f t="shared" si="101"/>
        <v>0</v>
      </c>
      <c r="O832" s="73">
        <f t="shared" si="108"/>
        <v>0</v>
      </c>
      <c r="P832" s="73">
        <f t="shared" si="102"/>
        <v>0</v>
      </c>
      <c r="Q832" s="73"/>
      <c r="R832" s="73">
        <v>0</v>
      </c>
      <c r="S832" s="75">
        <f t="shared" si="105"/>
        <v>0</v>
      </c>
      <c r="T832" s="77">
        <v>0</v>
      </c>
      <c r="U832" s="66">
        <v>40375</v>
      </c>
      <c r="V832" s="79"/>
      <c r="W832" s="66" t="s">
        <v>1585</v>
      </c>
      <c r="X832" s="24" t="s">
        <v>1586</v>
      </c>
      <c r="Y832" s="62"/>
      <c r="Z832" s="177" t="s">
        <v>894</v>
      </c>
      <c r="AA832" s="80" t="s">
        <v>1377</v>
      </c>
      <c r="AB832" s="3"/>
      <c r="AC832" s="4"/>
      <c r="AD832" s="5"/>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6"/>
      <c r="CE832" s="7"/>
      <c r="CF832" s="6"/>
      <c r="CG832" s="7"/>
      <c r="CH832" s="6"/>
      <c r="CI832" s="7"/>
      <c r="CJ832" s="8">
        <f t="shared" si="103"/>
        <v>0</v>
      </c>
      <c r="CK832" s="9"/>
      <c r="CL832" s="10"/>
      <c r="CM832" s="11"/>
      <c r="CN832" s="12"/>
      <c r="CO832" s="28"/>
      <c r="CP832" s="12"/>
      <c r="CQ832" s="9"/>
      <c r="CR832" s="10"/>
      <c r="CS832" s="68"/>
      <c r="EC832" s="344" t="str">
        <f t="shared" si="107"/>
        <v>RISARALDA_DOSQUEBRADAS</v>
      </c>
      <c r="ED832" s="341"/>
      <c r="EE832" s="341" t="s">
        <v>3182</v>
      </c>
      <c r="EF832" s="349" t="s">
        <v>3183</v>
      </c>
      <c r="EG832" s="341" t="s">
        <v>4052</v>
      </c>
      <c r="EH832" s="341" t="s">
        <v>4724</v>
      </c>
      <c r="EI832" s="341" t="str">
        <f t="shared" si="109"/>
        <v>Risaralda_Balboa</v>
      </c>
    </row>
    <row r="833" spans="1:139" ht="72">
      <c r="A833" s="228">
        <v>40374</v>
      </c>
      <c r="B833" s="102" t="s">
        <v>1943</v>
      </c>
      <c r="C833" s="102" t="s">
        <v>1242</v>
      </c>
      <c r="D833" s="206" t="s">
        <v>1201</v>
      </c>
      <c r="E833" s="320" t="s">
        <v>4153</v>
      </c>
      <c r="F833" s="320"/>
      <c r="G833" s="210"/>
      <c r="H833" s="71"/>
      <c r="I833" s="71"/>
      <c r="J833" s="71">
        <f>5600-300</f>
        <v>5300</v>
      </c>
      <c r="K833" s="71">
        <f>1400-75</f>
        <v>1325</v>
      </c>
      <c r="L833" s="1">
        <v>40429</v>
      </c>
      <c r="M833" s="73">
        <f t="shared" si="100"/>
        <v>75600000</v>
      </c>
      <c r="N833" s="73">
        <f t="shared" si="101"/>
        <v>187000000</v>
      </c>
      <c r="O833" s="73">
        <f t="shared" si="108"/>
        <v>0</v>
      </c>
      <c r="P833" s="73">
        <f t="shared" si="102"/>
        <v>0</v>
      </c>
      <c r="Q833" s="73"/>
      <c r="R833" s="73">
        <v>0</v>
      </c>
      <c r="S833" s="75">
        <f t="shared" si="105"/>
        <v>262600000</v>
      </c>
      <c r="T833" s="77">
        <v>0</v>
      </c>
      <c r="U833" s="66">
        <v>40409</v>
      </c>
      <c r="V833" s="79">
        <v>41943</v>
      </c>
      <c r="W833" s="66" t="s">
        <v>1606</v>
      </c>
      <c r="X833" s="24" t="s">
        <v>1607</v>
      </c>
      <c r="Y833" s="62"/>
      <c r="Z833" s="177" t="s">
        <v>1050</v>
      </c>
      <c r="AA833" s="80" t="s">
        <v>1535</v>
      </c>
      <c r="AB833" s="3"/>
      <c r="AC833" s="4"/>
      <c r="AD833" s="5"/>
      <c r="AE833" s="4"/>
      <c r="AF833" s="4"/>
      <c r="AG833" s="4"/>
      <c r="AH833" s="4"/>
      <c r="AI833" s="4"/>
      <c r="AJ833" s="4"/>
      <c r="AK833" s="4"/>
      <c r="AL833" s="4"/>
      <c r="AM833" s="4"/>
      <c r="AN833" s="4"/>
      <c r="AO833" s="4"/>
      <c r="AP833" s="4">
        <v>800</v>
      </c>
      <c r="AQ833" s="4">
        <f>800*56000</f>
        <v>44800000</v>
      </c>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6">
        <v>800</v>
      </c>
      <c r="CE833" s="7">
        <f>800*38500</f>
        <v>30800000</v>
      </c>
      <c r="CF833" s="6"/>
      <c r="CG833" s="7"/>
      <c r="CH833" s="6"/>
      <c r="CI833" s="7"/>
      <c r="CJ833" s="8">
        <f t="shared" si="103"/>
        <v>75600000</v>
      </c>
      <c r="CK833" s="9"/>
      <c r="CL833" s="10"/>
      <c r="CM833" s="11">
        <f>800+1400</f>
        <v>2200</v>
      </c>
      <c r="CN833" s="12">
        <f>800*85000+1400*85000</f>
        <v>187000000</v>
      </c>
      <c r="CO833" s="28"/>
      <c r="CP833" s="12"/>
      <c r="CQ833" s="9"/>
      <c r="CR833" s="10"/>
      <c r="CS833" s="68"/>
      <c r="EC833" s="344" t="str">
        <f t="shared" si="107"/>
        <v>SUCRE_CAIMITO</v>
      </c>
      <c r="ED833" s="341"/>
      <c r="EE833" s="341" t="s">
        <v>3182</v>
      </c>
      <c r="EF833" s="349" t="s">
        <v>3183</v>
      </c>
      <c r="EG833" s="341" t="s">
        <v>4053</v>
      </c>
      <c r="EH833" s="341" t="s">
        <v>5122</v>
      </c>
      <c r="EI833" s="341" t="str">
        <f t="shared" si="109"/>
        <v>Risaralda_Belen de Umbria</v>
      </c>
    </row>
    <row r="834" spans="1:139" ht="38.25">
      <c r="A834" s="228">
        <v>40374</v>
      </c>
      <c r="B834" s="102" t="s">
        <v>1943</v>
      </c>
      <c r="C834" s="102" t="s">
        <v>1605</v>
      </c>
      <c r="D834" s="206" t="s">
        <v>1201</v>
      </c>
      <c r="E834" s="320" t="s">
        <v>3191</v>
      </c>
      <c r="F834" s="320"/>
      <c r="G834" s="210"/>
      <c r="H834" s="71"/>
      <c r="I834" s="71"/>
      <c r="J834" s="71"/>
      <c r="K834" s="71"/>
      <c r="L834" s="1">
        <v>40392</v>
      </c>
      <c r="M834" s="73">
        <f t="shared" si="100"/>
        <v>0</v>
      </c>
      <c r="N834" s="73">
        <f t="shared" si="101"/>
        <v>0</v>
      </c>
      <c r="O834" s="73">
        <f t="shared" si="108"/>
        <v>0</v>
      </c>
      <c r="P834" s="73">
        <f t="shared" si="102"/>
        <v>189439600</v>
      </c>
      <c r="Q834" s="73"/>
      <c r="R834" s="73">
        <v>0</v>
      </c>
      <c r="S834" s="75">
        <f t="shared" si="105"/>
        <v>189439600</v>
      </c>
      <c r="T834" s="77">
        <v>0</v>
      </c>
      <c r="U834" s="66">
        <v>40381</v>
      </c>
      <c r="V834" s="79">
        <v>35952</v>
      </c>
      <c r="W834" s="66" t="s">
        <v>1606</v>
      </c>
      <c r="X834" s="24" t="s">
        <v>1607</v>
      </c>
      <c r="Y834" s="83" t="s">
        <v>1453</v>
      </c>
      <c r="Z834" s="177" t="s">
        <v>2445</v>
      </c>
      <c r="AA834" s="80" t="s">
        <v>2723</v>
      </c>
      <c r="AB834" s="3"/>
      <c r="AC834" s="4"/>
      <c r="AD834" s="5"/>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6"/>
      <c r="CE834" s="7"/>
      <c r="CF834" s="6"/>
      <c r="CG834" s="7"/>
      <c r="CH834" s="6"/>
      <c r="CI834" s="7"/>
      <c r="CJ834" s="8">
        <f t="shared" si="103"/>
        <v>0</v>
      </c>
      <c r="CK834" s="9">
        <f>60000+50000+100000</f>
        <v>210000</v>
      </c>
      <c r="CL834" s="10">
        <f>60000*900.16+50000*899+100000*904.8</f>
        <v>189439600</v>
      </c>
      <c r="CM834" s="11"/>
      <c r="CN834" s="12"/>
      <c r="CO834" s="28"/>
      <c r="CP834" s="12"/>
      <c r="CQ834" s="9"/>
      <c r="CR834" s="10"/>
      <c r="CS834" s="68"/>
      <c r="EC834" s="358" t="str">
        <f t="shared" si="107"/>
        <v>SUCRE_DEPARTAMENTO</v>
      </c>
      <c r="ED834" s="359"/>
      <c r="EE834" s="341" t="s">
        <v>3182</v>
      </c>
      <c r="EF834" s="349" t="s">
        <v>3183</v>
      </c>
      <c r="EG834" s="341" t="s">
        <v>4054</v>
      </c>
      <c r="EH834" s="341" t="s">
        <v>5123</v>
      </c>
      <c r="EI834" s="341" t="str">
        <f t="shared" si="109"/>
        <v>Risaralda_Dosquebradas</v>
      </c>
    </row>
    <row r="835" spans="1:139" ht="144">
      <c r="A835" s="228">
        <v>40374</v>
      </c>
      <c r="B835" s="102" t="s">
        <v>1943</v>
      </c>
      <c r="C835" s="102" t="s">
        <v>1243</v>
      </c>
      <c r="D835" s="206" t="s">
        <v>1201</v>
      </c>
      <c r="E835" s="320" t="s">
        <v>4168</v>
      </c>
      <c r="F835" s="320"/>
      <c r="G835" s="210"/>
      <c r="H835" s="71"/>
      <c r="I835" s="71"/>
      <c r="J835" s="71">
        <f>19561-135</f>
        <v>19426</v>
      </c>
      <c r="K835" s="71">
        <f>5589-27</f>
        <v>5562</v>
      </c>
      <c r="L835" s="1">
        <v>40434</v>
      </c>
      <c r="M835" s="73">
        <f t="shared" ref="M835:M898" si="110">CJ835</f>
        <v>201204000</v>
      </c>
      <c r="N835" s="73">
        <f t="shared" ref="N835:N898" si="111">CN835</f>
        <v>1162630000</v>
      </c>
      <c r="O835" s="73">
        <f t="shared" si="108"/>
        <v>0</v>
      </c>
      <c r="P835" s="73">
        <f t="shared" ref="P835:P898" si="112">CL835</f>
        <v>0</v>
      </c>
      <c r="Q835" s="73"/>
      <c r="R835" s="73">
        <v>0</v>
      </c>
      <c r="S835" s="75">
        <f t="shared" si="105"/>
        <v>1363834000</v>
      </c>
      <c r="T835" s="77">
        <v>0</v>
      </c>
      <c r="U835" s="66">
        <v>40385</v>
      </c>
      <c r="V835" s="89" t="s">
        <v>2620</v>
      </c>
      <c r="W835" s="66" t="s">
        <v>1606</v>
      </c>
      <c r="X835" s="24" t="s">
        <v>1607</v>
      </c>
      <c r="Y835" s="83" t="s">
        <v>2621</v>
      </c>
      <c r="Z835" s="177" t="s">
        <v>324</v>
      </c>
      <c r="AA835" s="80" t="s">
        <v>1153</v>
      </c>
      <c r="AB835" s="3"/>
      <c r="AC835" s="4"/>
      <c r="AD835" s="5"/>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v>11178</v>
      </c>
      <c r="CC835" s="4">
        <f>11178*18000</f>
        <v>201204000</v>
      </c>
      <c r="CD835" s="6"/>
      <c r="CE835" s="7"/>
      <c r="CF835" s="6"/>
      <c r="CG835" s="7"/>
      <c r="CH835" s="6"/>
      <c r="CI835" s="7"/>
      <c r="CJ835" s="8">
        <f t="shared" ref="CJ835:CJ898" si="113">AC835+AE835+AG835+AI835+AK835+AM835+AO835+AQ835+AS835+AU835+AW835+AY835+BA835+BC835+BE835+BG835+BI835+BK835+BM835+BO835+BQ835+BS835+BU835+BW835+BY835+CA835+CC835+CE835+CG835+CI835</f>
        <v>201204000</v>
      </c>
      <c r="CK835" s="9"/>
      <c r="CL835" s="10"/>
      <c r="CM835" s="11">
        <f>1000+1500+5589+5589</f>
        <v>13678</v>
      </c>
      <c r="CN835" s="12">
        <f>1000*85000+1500*85000+5589*85000+5589*85000</f>
        <v>1162630000</v>
      </c>
      <c r="CO835" s="28"/>
      <c r="CP835" s="12"/>
      <c r="CQ835" s="9"/>
      <c r="CR835" s="10"/>
      <c r="CS835" s="68"/>
      <c r="EC835" s="358" t="str">
        <f t="shared" si="107"/>
        <v>SUCRE_SAN BENITO ABAD</v>
      </c>
      <c r="ED835" s="359"/>
      <c r="EE835" s="341" t="s">
        <v>3182</v>
      </c>
      <c r="EF835" s="349" t="s">
        <v>3183</v>
      </c>
      <c r="EG835" s="341" t="s">
        <v>4055</v>
      </c>
      <c r="EH835" s="341" t="s">
        <v>5124</v>
      </c>
      <c r="EI835" s="341" t="str">
        <f t="shared" si="109"/>
        <v>Risaralda_Guatica</v>
      </c>
    </row>
    <row r="836" spans="1:139" ht="38.25">
      <c r="A836" s="228">
        <v>40374.972222222219</v>
      </c>
      <c r="B836" s="205" t="s">
        <v>2298</v>
      </c>
      <c r="C836" s="205" t="s">
        <v>1610</v>
      </c>
      <c r="D836" s="207" t="s">
        <v>1878</v>
      </c>
      <c r="E836" s="323"/>
      <c r="F836" s="323"/>
      <c r="G836" s="204"/>
      <c r="H836" s="151"/>
      <c r="I836" s="151"/>
      <c r="J836" s="151"/>
      <c r="K836" s="409"/>
      <c r="L836" s="1"/>
      <c r="M836" s="73">
        <f t="shared" si="110"/>
        <v>0</v>
      </c>
      <c r="N836" s="73">
        <f t="shared" si="111"/>
        <v>0</v>
      </c>
      <c r="O836" s="73">
        <f t="shared" si="108"/>
        <v>0</v>
      </c>
      <c r="P836" s="73">
        <f t="shared" si="112"/>
        <v>0</v>
      </c>
      <c r="Q836" s="73"/>
      <c r="R836" s="73">
        <v>0</v>
      </c>
      <c r="S836" s="75">
        <f t="shared" si="105"/>
        <v>0</v>
      </c>
      <c r="T836" s="77">
        <v>0</v>
      </c>
      <c r="U836" s="296">
        <v>40624</v>
      </c>
      <c r="V836" s="297"/>
      <c r="W836" s="296" t="s">
        <v>1585</v>
      </c>
      <c r="X836" s="298" t="s">
        <v>1586</v>
      </c>
      <c r="Y836" s="299"/>
      <c r="Z836" s="300" t="s">
        <v>894</v>
      </c>
      <c r="AA836" s="408" t="s">
        <v>5402</v>
      </c>
      <c r="AB836" s="168"/>
      <c r="AC836" s="153"/>
      <c r="AD836" s="154"/>
      <c r="AE836" s="153"/>
      <c r="AF836" s="153"/>
      <c r="AG836" s="153"/>
      <c r="AH836" s="153"/>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c r="BF836" s="153"/>
      <c r="BG836" s="153"/>
      <c r="BH836" s="153"/>
      <c r="BI836" s="153"/>
      <c r="BJ836" s="153"/>
      <c r="BK836" s="153"/>
      <c r="BL836" s="153"/>
      <c r="BM836" s="153"/>
      <c r="BN836" s="153"/>
      <c r="BO836" s="153"/>
      <c r="BP836" s="153"/>
      <c r="BQ836" s="153"/>
      <c r="BR836" s="153"/>
      <c r="BS836" s="153"/>
      <c r="BT836" s="153"/>
      <c r="BU836" s="153"/>
      <c r="BV836" s="153"/>
      <c r="BW836" s="153"/>
      <c r="BX836" s="153"/>
      <c r="BY836" s="153"/>
      <c r="BZ836" s="153"/>
      <c r="CA836" s="153"/>
      <c r="CB836" s="153"/>
      <c r="CC836" s="153"/>
      <c r="CD836" s="155"/>
      <c r="CE836" s="156"/>
      <c r="CF836" s="155"/>
      <c r="CG836" s="156"/>
      <c r="CH836" s="155"/>
      <c r="CI836" s="156"/>
      <c r="CJ836" s="157">
        <f t="shared" si="113"/>
        <v>0</v>
      </c>
      <c r="CK836" s="158"/>
      <c r="CL836" s="159"/>
      <c r="CM836" s="160"/>
      <c r="CN836" s="161"/>
      <c r="CO836" s="162"/>
      <c r="CP836" s="161"/>
      <c r="CQ836" s="158"/>
      <c r="CR836" s="159"/>
      <c r="CS836" s="68"/>
      <c r="CT836" s="163"/>
      <c r="EC836" s="344" t="str">
        <f t="shared" si="107"/>
        <v>BOGOTA D.C._BOGOTA</v>
      </c>
      <c r="ED836" s="341"/>
      <c r="EE836" s="341" t="s">
        <v>3182</v>
      </c>
      <c r="EF836" s="349" t="s">
        <v>3183</v>
      </c>
      <c r="EG836" s="341" t="s">
        <v>4056</v>
      </c>
      <c r="EH836" s="341" t="s">
        <v>5125</v>
      </c>
      <c r="EI836" s="341" t="str">
        <f t="shared" si="109"/>
        <v>Risaralda_La Celia</v>
      </c>
    </row>
    <row r="837" spans="1:139" ht="168">
      <c r="A837" s="235">
        <v>40375</v>
      </c>
      <c r="B837" s="224" t="s">
        <v>1972</v>
      </c>
      <c r="C837" s="224" t="s">
        <v>2049</v>
      </c>
      <c r="D837" s="236" t="s">
        <v>1201</v>
      </c>
      <c r="E837" s="324" t="s">
        <v>3261</v>
      </c>
      <c r="F837" s="324"/>
      <c r="G837" s="210"/>
      <c r="H837" s="71"/>
      <c r="I837" s="71"/>
      <c r="J837" s="71"/>
      <c r="K837" s="71"/>
      <c r="L837" s="1"/>
      <c r="M837" s="73">
        <f t="shared" si="110"/>
        <v>0</v>
      </c>
      <c r="N837" s="73">
        <f t="shared" si="111"/>
        <v>0</v>
      </c>
      <c r="O837" s="73">
        <f t="shared" si="108"/>
        <v>0</v>
      </c>
      <c r="P837" s="73">
        <f t="shared" si="112"/>
        <v>0</v>
      </c>
      <c r="Q837" s="73"/>
      <c r="R837" s="73">
        <v>0</v>
      </c>
      <c r="S837" s="75">
        <f t="shared" si="105"/>
        <v>0</v>
      </c>
      <c r="T837" s="77">
        <v>0</v>
      </c>
      <c r="U837" s="66">
        <v>40377</v>
      </c>
      <c r="V837" s="79"/>
      <c r="W837" s="66" t="s">
        <v>1585</v>
      </c>
      <c r="X837" s="24" t="s">
        <v>1586</v>
      </c>
      <c r="Y837" s="62"/>
      <c r="Z837" s="177" t="s">
        <v>894</v>
      </c>
      <c r="AA837" s="80" t="s">
        <v>1152</v>
      </c>
      <c r="AB837" s="3"/>
      <c r="AC837" s="4"/>
      <c r="AD837" s="5"/>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6"/>
      <c r="CE837" s="7"/>
      <c r="CF837" s="6"/>
      <c r="CG837" s="7"/>
      <c r="CH837" s="6"/>
      <c r="CI837" s="7"/>
      <c r="CJ837" s="8">
        <f t="shared" si="113"/>
        <v>0</v>
      </c>
      <c r="CK837" s="9"/>
      <c r="CL837" s="10"/>
      <c r="CM837" s="11"/>
      <c r="CN837" s="12"/>
      <c r="CO837" s="28"/>
      <c r="CP837" s="12"/>
      <c r="CQ837" s="9"/>
      <c r="CR837" s="10"/>
      <c r="CS837" s="68"/>
      <c r="EC837" s="344" t="str">
        <f t="shared" si="107"/>
        <v>ANTIOQUIA_CAUCASIA</v>
      </c>
      <c r="ED837" s="341"/>
      <c r="EE837" s="341" t="s">
        <v>3182</v>
      </c>
      <c r="EF837" s="349" t="s">
        <v>3183</v>
      </c>
      <c r="EG837" s="341" t="s">
        <v>4057</v>
      </c>
      <c r="EH837" s="341" t="s">
        <v>5126</v>
      </c>
      <c r="EI837" s="341" t="str">
        <f t="shared" si="109"/>
        <v>Risaralda_La Virginia</v>
      </c>
    </row>
    <row r="838" spans="1:139" ht="25.5">
      <c r="A838" s="235">
        <v>40375</v>
      </c>
      <c r="B838" s="224" t="s">
        <v>1972</v>
      </c>
      <c r="C838" s="224" t="s">
        <v>3105</v>
      </c>
      <c r="D838" s="236" t="s">
        <v>1201</v>
      </c>
      <c r="E838" s="324" t="s">
        <v>3271</v>
      </c>
      <c r="F838" s="324"/>
      <c r="G838" s="210"/>
      <c r="H838" s="71"/>
      <c r="I838" s="71"/>
      <c r="J838" s="71">
        <v>1000</v>
      </c>
      <c r="K838" s="71">
        <v>200</v>
      </c>
      <c r="L838" s="1"/>
      <c r="M838" s="73">
        <f t="shared" si="110"/>
        <v>0</v>
      </c>
      <c r="N838" s="73">
        <f t="shared" si="111"/>
        <v>0</v>
      </c>
      <c r="O838" s="73">
        <f t="shared" si="108"/>
        <v>0</v>
      </c>
      <c r="P838" s="73">
        <f t="shared" si="112"/>
        <v>0</v>
      </c>
      <c r="Q838" s="73"/>
      <c r="R838" s="73">
        <v>0</v>
      </c>
      <c r="S838" s="75">
        <f t="shared" si="105"/>
        <v>0</v>
      </c>
      <c r="T838" s="77">
        <v>0</v>
      </c>
      <c r="U838" s="66">
        <v>40377</v>
      </c>
      <c r="V838" s="79"/>
      <c r="W838" s="66" t="s">
        <v>1606</v>
      </c>
      <c r="X838" s="24" t="s">
        <v>1607</v>
      </c>
      <c r="Y838" s="62"/>
      <c r="Z838" s="176" t="s">
        <v>2836</v>
      </c>
      <c r="AA838" s="80" t="s">
        <v>2050</v>
      </c>
      <c r="AB838" s="3"/>
      <c r="AC838" s="4"/>
      <c r="AD838" s="5"/>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6"/>
      <c r="CE838" s="7"/>
      <c r="CF838" s="6"/>
      <c r="CG838" s="7"/>
      <c r="CH838" s="6"/>
      <c r="CI838" s="7"/>
      <c r="CJ838" s="8">
        <f t="shared" si="113"/>
        <v>0</v>
      </c>
      <c r="CK838" s="9"/>
      <c r="CL838" s="10"/>
      <c r="CM838" s="11"/>
      <c r="CN838" s="12"/>
      <c r="CO838" s="28"/>
      <c r="CP838" s="12"/>
      <c r="CQ838" s="9"/>
      <c r="CR838" s="10"/>
      <c r="CS838" s="68"/>
      <c r="EC838" s="344" t="str">
        <f t="shared" si="107"/>
        <v>ANTIOQUIA_EL BAGRE</v>
      </c>
      <c r="ED838" s="341"/>
      <c r="EE838" s="359" t="s">
        <v>3182</v>
      </c>
      <c r="EF838" s="349" t="s">
        <v>3183</v>
      </c>
      <c r="EG838" s="359" t="s">
        <v>4059</v>
      </c>
      <c r="EH838" s="359" t="s">
        <v>5127</v>
      </c>
      <c r="EI838" s="359" t="str">
        <f t="shared" si="109"/>
        <v>Risaralda_Mistrato</v>
      </c>
    </row>
    <row r="839" spans="1:139" ht="25.5">
      <c r="A839" s="235">
        <v>40375</v>
      </c>
      <c r="B839" s="224" t="s">
        <v>1972</v>
      </c>
      <c r="C839" s="224" t="s">
        <v>2358</v>
      </c>
      <c r="D839" s="236" t="s">
        <v>1878</v>
      </c>
      <c r="E839" s="324" t="s">
        <v>3227</v>
      </c>
      <c r="F839" s="324"/>
      <c r="G839" s="210"/>
      <c r="H839" s="71"/>
      <c r="I839" s="71"/>
      <c r="J839" s="71">
        <v>5</v>
      </c>
      <c r="K839" s="71">
        <v>1</v>
      </c>
      <c r="L839" s="1"/>
      <c r="M839" s="73">
        <f t="shared" si="110"/>
        <v>0</v>
      </c>
      <c r="N839" s="73">
        <f t="shared" si="111"/>
        <v>0</v>
      </c>
      <c r="O839" s="73">
        <f t="shared" si="108"/>
        <v>0</v>
      </c>
      <c r="P839" s="73">
        <f t="shared" si="112"/>
        <v>0</v>
      </c>
      <c r="Q839" s="73"/>
      <c r="R839" s="73">
        <v>0</v>
      </c>
      <c r="S839" s="75">
        <f t="shared" si="105"/>
        <v>0</v>
      </c>
      <c r="T839" s="77">
        <v>0</v>
      </c>
      <c r="U839" s="66">
        <v>40377</v>
      </c>
      <c r="V839" s="79"/>
      <c r="W839" s="66" t="s">
        <v>1585</v>
      </c>
      <c r="X839" s="24" t="s">
        <v>1586</v>
      </c>
      <c r="Y839" s="62"/>
      <c r="Z839" s="177" t="s">
        <v>894</v>
      </c>
      <c r="AA839" s="80" t="s">
        <v>2048</v>
      </c>
      <c r="AB839" s="3"/>
      <c r="AC839" s="4"/>
      <c r="AD839" s="5"/>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6"/>
      <c r="CE839" s="7"/>
      <c r="CF839" s="6"/>
      <c r="CG839" s="7"/>
      <c r="CH839" s="6"/>
      <c r="CI839" s="7"/>
      <c r="CJ839" s="8">
        <f t="shared" si="113"/>
        <v>0</v>
      </c>
      <c r="CK839" s="9"/>
      <c r="CL839" s="10"/>
      <c r="CM839" s="11"/>
      <c r="CN839" s="12"/>
      <c r="CO839" s="28"/>
      <c r="CP839" s="12"/>
      <c r="CQ839" s="9"/>
      <c r="CR839" s="10"/>
      <c r="CS839" s="68"/>
      <c r="EC839" s="344" t="str">
        <f t="shared" si="107"/>
        <v>ANTIOQUIA_MEDELLIN</v>
      </c>
      <c r="ED839" s="341"/>
      <c r="EE839" s="341" t="s">
        <v>3182</v>
      </c>
      <c r="EF839" s="349" t="s">
        <v>3183</v>
      </c>
      <c r="EG839" s="341" t="s">
        <v>4060</v>
      </c>
      <c r="EH839" s="341" t="s">
        <v>5128</v>
      </c>
      <c r="EI839" s="341" t="str">
        <f t="shared" si="109"/>
        <v>Risaralda_Pueblo Rico</v>
      </c>
    </row>
    <row r="840" spans="1:139" ht="56.25">
      <c r="A840" s="235">
        <v>40375</v>
      </c>
      <c r="B840" s="224" t="s">
        <v>1972</v>
      </c>
      <c r="C840" s="224" t="s">
        <v>890</v>
      </c>
      <c r="D840" s="236" t="s">
        <v>1201</v>
      </c>
      <c r="E840" s="324" t="s">
        <v>3301</v>
      </c>
      <c r="F840" s="324"/>
      <c r="G840" s="210"/>
      <c r="H840" s="71"/>
      <c r="I840" s="71"/>
      <c r="J840" s="71"/>
      <c r="K840" s="71"/>
      <c r="L840" s="1">
        <v>40396</v>
      </c>
      <c r="M840" s="73">
        <f t="shared" si="110"/>
        <v>142418500</v>
      </c>
      <c r="N840" s="73">
        <f t="shared" si="111"/>
        <v>127500000</v>
      </c>
      <c r="O840" s="73">
        <f t="shared" si="108"/>
        <v>0</v>
      </c>
      <c r="P840" s="73">
        <f t="shared" si="112"/>
        <v>18100000</v>
      </c>
      <c r="Q840" s="73">
        <f>350*25288+150*17400</f>
        <v>11460800</v>
      </c>
      <c r="R840" s="73">
        <v>0</v>
      </c>
      <c r="S840" s="75">
        <f t="shared" si="105"/>
        <v>299479300</v>
      </c>
      <c r="T840" s="77">
        <v>0</v>
      </c>
      <c r="U840" s="66">
        <v>40378</v>
      </c>
      <c r="V840" s="79">
        <v>36530</v>
      </c>
      <c r="W840" s="66" t="s">
        <v>1606</v>
      </c>
      <c r="X840" s="24" t="s">
        <v>1607</v>
      </c>
      <c r="Y840" s="83" t="s">
        <v>2515</v>
      </c>
      <c r="Z840" s="177" t="s">
        <v>1435</v>
      </c>
      <c r="AA840" s="80" t="s">
        <v>838</v>
      </c>
      <c r="AB840" s="3"/>
      <c r="AC840" s="4"/>
      <c r="AD840" s="5"/>
      <c r="AE840" s="4"/>
      <c r="AF840" s="4"/>
      <c r="AG840" s="4"/>
      <c r="AH840" s="4"/>
      <c r="AI840" s="4"/>
      <c r="AJ840" s="4"/>
      <c r="AK840" s="4"/>
      <c r="AL840" s="4"/>
      <c r="AM840" s="4"/>
      <c r="AN840" s="4"/>
      <c r="AO840" s="4"/>
      <c r="AP840" s="4"/>
      <c r="AQ840" s="4"/>
      <c r="AR840" s="4"/>
      <c r="AS840" s="4"/>
      <c r="AT840" s="4"/>
      <c r="AU840" s="4"/>
      <c r="AV840" s="4"/>
      <c r="AW840" s="4"/>
      <c r="AX840" s="4"/>
      <c r="AY840" s="4"/>
      <c r="AZ840" s="4">
        <v>500</v>
      </c>
      <c r="BA840" s="4">
        <f>500*25500</f>
        <v>12750000</v>
      </c>
      <c r="BB840" s="4"/>
      <c r="BC840" s="4"/>
      <c r="BD840" s="4"/>
      <c r="BE840" s="4"/>
      <c r="BF840" s="4"/>
      <c r="BG840" s="4"/>
      <c r="BH840" s="4"/>
      <c r="BI840" s="4"/>
      <c r="BJ840" s="4"/>
      <c r="BK840" s="4"/>
      <c r="BL840" s="4"/>
      <c r="BM840" s="4"/>
      <c r="BN840" s="4">
        <v>15</v>
      </c>
      <c r="BO840" s="4">
        <f>15*504600</f>
        <v>7569000</v>
      </c>
      <c r="BP840" s="4"/>
      <c r="BQ840" s="4"/>
      <c r="BR840" s="4"/>
      <c r="BS840" s="4"/>
      <c r="BT840" s="4"/>
      <c r="BU840" s="4"/>
      <c r="BV840" s="4"/>
      <c r="BW840" s="4"/>
      <c r="BX840" s="4">
        <v>500</v>
      </c>
      <c r="BY840" s="4">
        <f>500*22000</f>
        <v>11000000</v>
      </c>
      <c r="BZ840" s="4"/>
      <c r="CA840" s="4"/>
      <c r="CB840" s="4"/>
      <c r="CC840" s="4"/>
      <c r="CD840" s="6">
        <f>1000+500</f>
        <v>1500</v>
      </c>
      <c r="CE840" s="7">
        <f>1000*36952+500*36595</f>
        <v>55249500</v>
      </c>
      <c r="CF840" s="6">
        <f>1000+500</f>
        <v>1500</v>
      </c>
      <c r="CG840" s="7">
        <f>1000*36000+500*39700</f>
        <v>55850000</v>
      </c>
      <c r="CH840" s="6"/>
      <c r="CI840" s="7"/>
      <c r="CJ840" s="8">
        <f t="shared" si="113"/>
        <v>142418500</v>
      </c>
      <c r="CK840" s="9">
        <v>20000</v>
      </c>
      <c r="CL840" s="10">
        <f>20000*905</f>
        <v>18100000</v>
      </c>
      <c r="CM840" s="11">
        <f>1000+500</f>
        <v>1500</v>
      </c>
      <c r="CN840" s="12">
        <f>1000*85000+500*85000</f>
        <v>127500000</v>
      </c>
      <c r="CO840" s="28"/>
      <c r="CP840" s="12"/>
      <c r="CQ840" s="9"/>
      <c r="CR840" s="10"/>
      <c r="CS840" s="68"/>
      <c r="EC840" s="344" t="str">
        <f t="shared" si="107"/>
        <v>ANTIOQUIA_NECHI</v>
      </c>
      <c r="ED840" s="341"/>
      <c r="EE840" s="341" t="s">
        <v>3182</v>
      </c>
      <c r="EF840" s="349" t="s">
        <v>3183</v>
      </c>
      <c r="EG840" s="341" t="s">
        <v>4061</v>
      </c>
      <c r="EH840" s="341" t="s">
        <v>5129</v>
      </c>
      <c r="EI840" s="341" t="str">
        <f t="shared" si="109"/>
        <v>Risaralda_Quinchia</v>
      </c>
    </row>
    <row r="841" spans="1:139" ht="48">
      <c r="A841" s="235">
        <v>40375</v>
      </c>
      <c r="B841" s="224" t="s">
        <v>1972</v>
      </c>
      <c r="C841" s="224" t="s">
        <v>1629</v>
      </c>
      <c r="D841" s="236" t="s">
        <v>1201</v>
      </c>
      <c r="E841" s="324" t="s">
        <v>3344</v>
      </c>
      <c r="F841" s="324"/>
      <c r="G841" s="210"/>
      <c r="H841" s="71">
        <v>5</v>
      </c>
      <c r="I841" s="71"/>
      <c r="J841" s="71">
        <v>600</v>
      </c>
      <c r="K841" s="71">
        <v>141</v>
      </c>
      <c r="L841" s="1"/>
      <c r="M841" s="73">
        <f t="shared" si="110"/>
        <v>0</v>
      </c>
      <c r="N841" s="73">
        <f t="shared" si="111"/>
        <v>0</v>
      </c>
      <c r="O841" s="73">
        <f t="shared" si="108"/>
        <v>0</v>
      </c>
      <c r="P841" s="73">
        <f t="shared" si="112"/>
        <v>0</v>
      </c>
      <c r="Q841" s="73"/>
      <c r="R841" s="73">
        <v>0</v>
      </c>
      <c r="S841" s="75">
        <f t="shared" ref="S841:S904" si="114">M841+N841+O841+P841+Q841+R841</f>
        <v>0</v>
      </c>
      <c r="T841" s="77">
        <v>0</v>
      </c>
      <c r="U841" s="66">
        <v>40381</v>
      </c>
      <c r="V841" s="79"/>
      <c r="W841" s="66" t="s">
        <v>1585</v>
      </c>
      <c r="X841" s="24" t="s">
        <v>1586</v>
      </c>
      <c r="Y841" s="62"/>
      <c r="Z841" s="177" t="s">
        <v>894</v>
      </c>
      <c r="AA841" s="80" t="s">
        <v>1815</v>
      </c>
      <c r="AB841" s="3"/>
      <c r="AC841" s="4"/>
      <c r="AD841" s="5"/>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6"/>
      <c r="CE841" s="7"/>
      <c r="CF841" s="6"/>
      <c r="CG841" s="7"/>
      <c r="CH841" s="6"/>
      <c r="CI841" s="7"/>
      <c r="CJ841" s="8">
        <f t="shared" si="113"/>
        <v>0</v>
      </c>
      <c r="CK841" s="9"/>
      <c r="CL841" s="10"/>
      <c r="CM841" s="11"/>
      <c r="CN841" s="12"/>
      <c r="CO841" s="28"/>
      <c r="CP841" s="12"/>
      <c r="CQ841" s="9"/>
      <c r="CR841" s="10"/>
      <c r="CS841" s="68"/>
      <c r="EC841" s="344" t="str">
        <f t="shared" si="107"/>
        <v>ANTIOQUIA_VEGACHI</v>
      </c>
      <c r="ED841" s="341"/>
      <c r="EE841" s="341" t="s">
        <v>3182</v>
      </c>
      <c r="EF841" s="349" t="s">
        <v>3183</v>
      </c>
      <c r="EG841" s="341" t="s">
        <v>4062</v>
      </c>
      <c r="EH841" s="341" t="s">
        <v>5130</v>
      </c>
      <c r="EI841" s="341" t="str">
        <f t="shared" si="109"/>
        <v>Risaralda_Santa Rosa de Cabal</v>
      </c>
    </row>
    <row r="842" spans="1:139" ht="38.25">
      <c r="A842" s="228">
        <v>40375</v>
      </c>
      <c r="B842" s="102" t="s">
        <v>1192</v>
      </c>
      <c r="C842" s="102" t="s">
        <v>2043</v>
      </c>
      <c r="D842" s="206" t="s">
        <v>1878</v>
      </c>
      <c r="E842" s="320" t="s">
        <v>3483</v>
      </c>
      <c r="F842" s="320"/>
      <c r="G842" s="210">
        <v>1</v>
      </c>
      <c r="H842" s="71"/>
      <c r="I842" s="71"/>
      <c r="J842" s="71"/>
      <c r="K842" s="71"/>
      <c r="L842" s="1"/>
      <c r="M842" s="73">
        <f t="shared" si="110"/>
        <v>0</v>
      </c>
      <c r="N842" s="73">
        <f t="shared" si="111"/>
        <v>0</v>
      </c>
      <c r="O842" s="73">
        <f t="shared" si="108"/>
        <v>0</v>
      </c>
      <c r="P842" s="73">
        <f t="shared" si="112"/>
        <v>0</v>
      </c>
      <c r="Q842" s="73"/>
      <c r="R842" s="73">
        <v>0</v>
      </c>
      <c r="S842" s="75">
        <f t="shared" si="114"/>
        <v>0</v>
      </c>
      <c r="T842" s="77">
        <v>0</v>
      </c>
      <c r="U842" s="66">
        <v>40377</v>
      </c>
      <c r="V842" s="79"/>
      <c r="W842" s="66" t="s">
        <v>1606</v>
      </c>
      <c r="X842" s="24" t="s">
        <v>1607</v>
      </c>
      <c r="Y842" s="62"/>
      <c r="Z842" s="176" t="s">
        <v>1274</v>
      </c>
      <c r="AA842" s="80" t="s">
        <v>2044</v>
      </c>
      <c r="AB842" s="3"/>
      <c r="AC842" s="4"/>
      <c r="AD842" s="5"/>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6"/>
      <c r="CE842" s="7"/>
      <c r="CF842" s="6"/>
      <c r="CG842" s="7"/>
      <c r="CH842" s="6"/>
      <c r="CI842" s="7"/>
      <c r="CJ842" s="8">
        <f t="shared" si="113"/>
        <v>0</v>
      </c>
      <c r="CK842" s="9"/>
      <c r="CL842" s="10"/>
      <c r="CM842" s="11"/>
      <c r="CN842" s="12"/>
      <c r="CO842" s="28"/>
      <c r="CP842" s="12"/>
      <c r="CQ842" s="9"/>
      <c r="CR842" s="10"/>
      <c r="CS842" s="68"/>
      <c r="CT842" s="22">
        <v>1166</v>
      </c>
      <c r="EC842" s="344" t="str">
        <f t="shared" si="107"/>
        <v>BOYACA_OTANCHE</v>
      </c>
      <c r="ED842" s="341"/>
      <c r="EE842" s="341" t="s">
        <v>3184</v>
      </c>
      <c r="EF842" s="349" t="s">
        <v>3185</v>
      </c>
      <c r="EG842" s="341" t="s">
        <v>4064</v>
      </c>
      <c r="EH842" s="341" t="s">
        <v>5131</v>
      </c>
      <c r="EI842" s="341" t="str">
        <f t="shared" si="109"/>
        <v>Santander_Bucaramanga</v>
      </c>
    </row>
    <row r="843" spans="1:139" ht="25.5">
      <c r="A843" s="228">
        <v>40375</v>
      </c>
      <c r="B843" s="102" t="s">
        <v>1192</v>
      </c>
      <c r="C843" s="102" t="s">
        <v>2043</v>
      </c>
      <c r="D843" s="206" t="s">
        <v>1923</v>
      </c>
      <c r="E843" s="320" t="s">
        <v>3483</v>
      </c>
      <c r="F843" s="320"/>
      <c r="G843" s="210">
        <v>2</v>
      </c>
      <c r="H843" s="71"/>
      <c r="I843" s="71"/>
      <c r="J843" s="71"/>
      <c r="K843" s="71"/>
      <c r="L843" s="1"/>
      <c r="M843" s="73">
        <f t="shared" si="110"/>
        <v>0</v>
      </c>
      <c r="N843" s="73">
        <f t="shared" si="111"/>
        <v>0</v>
      </c>
      <c r="O843" s="73">
        <f t="shared" si="108"/>
        <v>0</v>
      </c>
      <c r="P843" s="73">
        <f t="shared" si="112"/>
        <v>0</v>
      </c>
      <c r="Q843" s="73"/>
      <c r="R843" s="73">
        <v>0</v>
      </c>
      <c r="S843" s="75">
        <f t="shared" si="114"/>
        <v>0</v>
      </c>
      <c r="T843" s="77">
        <v>0</v>
      </c>
      <c r="U843" s="66">
        <v>40377</v>
      </c>
      <c r="V843" s="79"/>
      <c r="W843" s="66" t="s">
        <v>1585</v>
      </c>
      <c r="X843" s="24" t="s">
        <v>1586</v>
      </c>
      <c r="Y843" s="62"/>
      <c r="Z843" s="177" t="s">
        <v>894</v>
      </c>
      <c r="AA843" s="80" t="s">
        <v>2047</v>
      </c>
      <c r="AB843" s="3"/>
      <c r="AC843" s="4"/>
      <c r="AD843" s="5"/>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6"/>
      <c r="CE843" s="7"/>
      <c r="CF843" s="6"/>
      <c r="CG843" s="7"/>
      <c r="CH843" s="6"/>
      <c r="CI843" s="7"/>
      <c r="CJ843" s="8">
        <f t="shared" si="113"/>
        <v>0</v>
      </c>
      <c r="CK843" s="9"/>
      <c r="CL843" s="10"/>
      <c r="CM843" s="11"/>
      <c r="CN843" s="12"/>
      <c r="CO843" s="28"/>
      <c r="CP843" s="12"/>
      <c r="CQ843" s="9"/>
      <c r="CR843" s="10"/>
      <c r="CS843" s="68"/>
      <c r="EC843" s="344" t="str">
        <f t="shared" si="107"/>
        <v>BOYACA_OTANCHE</v>
      </c>
      <c r="ED843" s="341"/>
      <c r="EE843" s="341" t="s">
        <v>3184</v>
      </c>
      <c r="EF843" s="349" t="s">
        <v>3185</v>
      </c>
      <c r="EG843" s="341" t="s">
        <v>4065</v>
      </c>
      <c r="EH843" s="341" t="s">
        <v>5132</v>
      </c>
      <c r="EI843" s="341" t="str">
        <f t="shared" si="109"/>
        <v>Santander_Aguada</v>
      </c>
    </row>
    <row r="844" spans="1:139" ht="38.25">
      <c r="A844" s="228">
        <v>40375</v>
      </c>
      <c r="B844" s="205" t="s">
        <v>1821</v>
      </c>
      <c r="C844" s="205" t="s">
        <v>1661</v>
      </c>
      <c r="D844" s="207" t="s">
        <v>1201</v>
      </c>
      <c r="E844" s="323" t="s">
        <v>3630</v>
      </c>
      <c r="F844" s="323"/>
      <c r="G844" s="204"/>
      <c r="H844" s="151"/>
      <c r="I844" s="151"/>
      <c r="J844" s="151">
        <v>65</v>
      </c>
      <c r="K844" s="151">
        <v>13</v>
      </c>
      <c r="L844" s="1"/>
      <c r="M844" s="73">
        <f t="shared" si="110"/>
        <v>0</v>
      </c>
      <c r="N844" s="73">
        <f t="shared" si="111"/>
        <v>0</v>
      </c>
      <c r="O844" s="73">
        <f t="shared" si="108"/>
        <v>0</v>
      </c>
      <c r="P844" s="73">
        <f t="shared" si="112"/>
        <v>0</v>
      </c>
      <c r="Q844" s="73"/>
      <c r="R844" s="73">
        <v>0</v>
      </c>
      <c r="S844" s="75">
        <f t="shared" si="114"/>
        <v>0</v>
      </c>
      <c r="T844" s="77">
        <v>0</v>
      </c>
      <c r="U844" s="66">
        <v>40484</v>
      </c>
      <c r="V844" s="79"/>
      <c r="W844" s="66" t="s">
        <v>1585</v>
      </c>
      <c r="X844" s="24" t="s">
        <v>1586</v>
      </c>
      <c r="Y844" s="104"/>
      <c r="Z844" s="169" t="s">
        <v>894</v>
      </c>
      <c r="AA844" s="239" t="s">
        <v>1662</v>
      </c>
      <c r="AB844" s="168"/>
      <c r="AC844" s="153"/>
      <c r="AD844" s="154"/>
      <c r="AE844" s="153"/>
      <c r="AF844" s="153"/>
      <c r="AG844" s="153"/>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c r="BF844" s="153"/>
      <c r="BG844" s="153"/>
      <c r="BH844" s="153"/>
      <c r="BI844" s="153"/>
      <c r="BJ844" s="153"/>
      <c r="BK844" s="153"/>
      <c r="BL844" s="153"/>
      <c r="BM844" s="153"/>
      <c r="BN844" s="153"/>
      <c r="BO844" s="153"/>
      <c r="BP844" s="153"/>
      <c r="BQ844" s="153"/>
      <c r="BR844" s="153"/>
      <c r="BS844" s="153"/>
      <c r="BT844" s="153"/>
      <c r="BU844" s="153"/>
      <c r="BV844" s="153"/>
      <c r="BW844" s="153"/>
      <c r="BX844" s="153"/>
      <c r="BY844" s="153"/>
      <c r="BZ844" s="153"/>
      <c r="CA844" s="153"/>
      <c r="CB844" s="153"/>
      <c r="CC844" s="153"/>
      <c r="CD844" s="155"/>
      <c r="CE844" s="156"/>
      <c r="CF844" s="155"/>
      <c r="CG844" s="156"/>
      <c r="CH844" s="155"/>
      <c r="CI844" s="156"/>
      <c r="CJ844" s="157">
        <f t="shared" si="113"/>
        <v>0</v>
      </c>
      <c r="CK844" s="158"/>
      <c r="CL844" s="159"/>
      <c r="CM844" s="160"/>
      <c r="CN844" s="161"/>
      <c r="CO844" s="162"/>
      <c r="CP844" s="161"/>
      <c r="CQ844" s="158"/>
      <c r="CR844" s="159"/>
      <c r="CS844" s="68"/>
      <c r="CT844" s="163"/>
      <c r="EC844" s="344" t="str">
        <f t="shared" si="107"/>
        <v>CESAR_AGUSTIN CODAZZI</v>
      </c>
      <c r="ED844" s="341"/>
      <c r="EE844" s="341" t="s">
        <v>3184</v>
      </c>
      <c r="EF844" s="349" t="s">
        <v>3185</v>
      </c>
      <c r="EG844" s="341" t="s">
        <v>4066</v>
      </c>
      <c r="EH844" s="341" t="s">
        <v>4709</v>
      </c>
      <c r="EI844" s="341" t="str">
        <f t="shared" si="109"/>
        <v>Santander_Albania</v>
      </c>
    </row>
    <row r="845" spans="1:139" ht="60">
      <c r="A845" s="228">
        <v>40375</v>
      </c>
      <c r="B845" s="102" t="s">
        <v>1295</v>
      </c>
      <c r="C845" s="222" t="s">
        <v>2304</v>
      </c>
      <c r="D845" s="233" t="s">
        <v>1201</v>
      </c>
      <c r="E845" s="325" t="s">
        <v>3663</v>
      </c>
      <c r="F845" s="325"/>
      <c r="G845" s="204"/>
      <c r="H845" s="151"/>
      <c r="I845" s="151"/>
      <c r="J845" s="151">
        <f>12*5</f>
        <v>60</v>
      </c>
      <c r="K845" s="151">
        <v>12</v>
      </c>
      <c r="L845" s="1">
        <v>40424</v>
      </c>
      <c r="M845" s="73">
        <f t="shared" si="110"/>
        <v>0</v>
      </c>
      <c r="N845" s="73">
        <f t="shared" si="111"/>
        <v>0</v>
      </c>
      <c r="O845" s="73">
        <f t="shared" si="108"/>
        <v>0</v>
      </c>
      <c r="P845" s="73">
        <f t="shared" si="112"/>
        <v>0</v>
      </c>
      <c r="Q845" s="73"/>
      <c r="R845" s="73">
        <v>165793200</v>
      </c>
      <c r="S845" s="75">
        <f t="shared" si="114"/>
        <v>165793200</v>
      </c>
      <c r="T845" s="77">
        <v>0</v>
      </c>
      <c r="U845" s="66">
        <v>40386</v>
      </c>
      <c r="V845" s="79">
        <v>37105</v>
      </c>
      <c r="W845" s="66" t="s">
        <v>1606</v>
      </c>
      <c r="X845" s="24" t="s">
        <v>1607</v>
      </c>
      <c r="Y845" s="62">
        <v>29245</v>
      </c>
      <c r="Z845" s="169" t="s">
        <v>2580</v>
      </c>
      <c r="AA845" s="170" t="s">
        <v>369</v>
      </c>
      <c r="AB845" s="152"/>
      <c r="AC845" s="153"/>
      <c r="AD845" s="154"/>
      <c r="AE845" s="153"/>
      <c r="AF845" s="153"/>
      <c r="AG845" s="153"/>
      <c r="AH845" s="153"/>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c r="BF845" s="153"/>
      <c r="BG845" s="153"/>
      <c r="BH845" s="153"/>
      <c r="BI845" s="153"/>
      <c r="BJ845" s="153"/>
      <c r="BK845" s="153"/>
      <c r="BL845" s="153"/>
      <c r="BM845" s="153"/>
      <c r="BN845" s="153"/>
      <c r="BO845" s="153"/>
      <c r="BP845" s="153"/>
      <c r="BQ845" s="153"/>
      <c r="BR845" s="153"/>
      <c r="BS845" s="153"/>
      <c r="BT845" s="153"/>
      <c r="BU845" s="153"/>
      <c r="BV845" s="153"/>
      <c r="BW845" s="153"/>
      <c r="BX845" s="153"/>
      <c r="BY845" s="153"/>
      <c r="BZ845" s="153"/>
      <c r="CA845" s="153"/>
      <c r="CB845" s="153"/>
      <c r="CC845" s="153"/>
      <c r="CD845" s="155"/>
      <c r="CE845" s="156"/>
      <c r="CF845" s="155"/>
      <c r="CG845" s="156"/>
      <c r="CH845" s="155"/>
      <c r="CI845" s="156"/>
      <c r="CJ845" s="157">
        <f t="shared" si="113"/>
        <v>0</v>
      </c>
      <c r="CK845" s="158"/>
      <c r="CL845" s="159"/>
      <c r="CM845" s="160"/>
      <c r="CN845" s="161"/>
      <c r="CO845" s="162"/>
      <c r="CP845" s="161"/>
      <c r="CQ845" s="158"/>
      <c r="CR845" s="159"/>
      <c r="CS845" s="68">
        <v>8</v>
      </c>
      <c r="CT845" s="163"/>
      <c r="EC845" s="344" t="str">
        <f t="shared" si="107"/>
        <v>CORDOBA_LORICA</v>
      </c>
      <c r="ED845" s="341"/>
      <c r="EE845" s="341" t="s">
        <v>3184</v>
      </c>
      <c r="EF845" s="349" t="s">
        <v>3185</v>
      </c>
      <c r="EG845" s="341" t="s">
        <v>4067</v>
      </c>
      <c r="EH845" s="341" t="s">
        <v>5133</v>
      </c>
      <c r="EI845" s="341" t="str">
        <f t="shared" si="109"/>
        <v>Santander_Aratoca</v>
      </c>
    </row>
    <row r="846" spans="1:139" ht="36">
      <c r="A846" s="228">
        <v>40375</v>
      </c>
      <c r="B846" s="102" t="s">
        <v>1611</v>
      </c>
      <c r="C846" s="102" t="s">
        <v>1611</v>
      </c>
      <c r="D846" s="206" t="s">
        <v>1201</v>
      </c>
      <c r="E846" s="320" t="e">
        <v>#N/A</v>
      </c>
      <c r="F846" s="320"/>
      <c r="G846" s="210"/>
      <c r="H846" s="71"/>
      <c r="I846" s="71"/>
      <c r="J846" s="71"/>
      <c r="K846" s="71"/>
      <c r="L846" s="1">
        <v>40392</v>
      </c>
      <c r="M846" s="73">
        <f t="shared" si="110"/>
        <v>0</v>
      </c>
      <c r="N846" s="73">
        <f t="shared" si="111"/>
        <v>0</v>
      </c>
      <c r="O846" s="73">
        <f t="shared" si="108"/>
        <v>0</v>
      </c>
      <c r="P846" s="73">
        <f t="shared" si="112"/>
        <v>26970000</v>
      </c>
      <c r="Q846" s="73"/>
      <c r="R846" s="73">
        <v>0</v>
      </c>
      <c r="S846" s="75">
        <f t="shared" si="114"/>
        <v>26970000</v>
      </c>
      <c r="T846" s="77">
        <v>0</v>
      </c>
      <c r="U846" s="66">
        <v>40375</v>
      </c>
      <c r="V846" s="79">
        <v>35343</v>
      </c>
      <c r="W846" s="66" t="s">
        <v>1606</v>
      </c>
      <c r="X846" s="24" t="s">
        <v>1607</v>
      </c>
      <c r="Y846" s="62">
        <v>227</v>
      </c>
      <c r="Z846" s="177" t="s">
        <v>2445</v>
      </c>
      <c r="AA846" s="80" t="s">
        <v>682</v>
      </c>
      <c r="AB846" s="3"/>
      <c r="AC846" s="4"/>
      <c r="AD846" s="5"/>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6"/>
      <c r="CE846" s="7"/>
      <c r="CF846" s="6"/>
      <c r="CG846" s="7"/>
      <c r="CH846" s="6"/>
      <c r="CI846" s="7"/>
      <c r="CJ846" s="8">
        <f t="shared" si="113"/>
        <v>0</v>
      </c>
      <c r="CK846" s="9">
        <v>30000</v>
      </c>
      <c r="CL846" s="10">
        <f>30000*899</f>
        <v>26970000</v>
      </c>
      <c r="CM846" s="11"/>
      <c r="CN846" s="12"/>
      <c r="CO846" s="28"/>
      <c r="CP846" s="12"/>
      <c r="CQ846" s="9"/>
      <c r="CR846" s="10"/>
      <c r="CS846" s="68"/>
      <c r="EC846" s="344" t="str">
        <f t="shared" si="107"/>
        <v>NACION_NACION</v>
      </c>
      <c r="ED846" s="341"/>
      <c r="EE846" s="341" t="s">
        <v>3184</v>
      </c>
      <c r="EF846" s="349" t="s">
        <v>3185</v>
      </c>
      <c r="EG846" s="341" t="s">
        <v>4068</v>
      </c>
      <c r="EH846" s="341" t="s">
        <v>4387</v>
      </c>
      <c r="EI846" s="341" t="str">
        <f t="shared" si="109"/>
        <v>Santander_Barbosa</v>
      </c>
    </row>
    <row r="847" spans="1:139" ht="38.25">
      <c r="A847" s="228">
        <v>40375</v>
      </c>
      <c r="B847" s="102" t="s">
        <v>1609</v>
      </c>
      <c r="C847" s="102" t="s">
        <v>2581</v>
      </c>
      <c r="D847" s="206" t="s">
        <v>1878</v>
      </c>
      <c r="E847" s="320" t="s">
        <v>4053</v>
      </c>
      <c r="F847" s="320"/>
      <c r="G847" s="210"/>
      <c r="H847" s="71"/>
      <c r="I847" s="71"/>
      <c r="J847" s="71">
        <v>5</v>
      </c>
      <c r="K847" s="71">
        <v>1</v>
      </c>
      <c r="L847" s="1"/>
      <c r="M847" s="73">
        <f t="shared" si="110"/>
        <v>0</v>
      </c>
      <c r="N847" s="73">
        <f t="shared" si="111"/>
        <v>0</v>
      </c>
      <c r="O847" s="73">
        <f t="shared" si="108"/>
        <v>0</v>
      </c>
      <c r="P847" s="73">
        <f t="shared" si="112"/>
        <v>0</v>
      </c>
      <c r="Q847" s="73"/>
      <c r="R847" s="73">
        <v>0</v>
      </c>
      <c r="S847" s="75">
        <f t="shared" si="114"/>
        <v>0</v>
      </c>
      <c r="T847" s="77">
        <v>0</v>
      </c>
      <c r="U847" s="66">
        <v>40375</v>
      </c>
      <c r="V847" s="79"/>
      <c r="W847" s="66" t="s">
        <v>1585</v>
      </c>
      <c r="X847" s="24" t="s">
        <v>1586</v>
      </c>
      <c r="Y847" s="62"/>
      <c r="Z847" s="177" t="s">
        <v>894</v>
      </c>
      <c r="AA847" s="82" t="s">
        <v>1454</v>
      </c>
      <c r="AB847" s="105"/>
      <c r="AC847" s="4"/>
      <c r="AD847" s="5"/>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6"/>
      <c r="CE847" s="7"/>
      <c r="CF847" s="6"/>
      <c r="CG847" s="7"/>
      <c r="CH847" s="6"/>
      <c r="CI847" s="7"/>
      <c r="CJ847" s="8">
        <f t="shared" si="113"/>
        <v>0</v>
      </c>
      <c r="CK847" s="9"/>
      <c r="CL847" s="10"/>
      <c r="CM847" s="11"/>
      <c r="CN847" s="12"/>
      <c r="CO847" s="28"/>
      <c r="CP847" s="12"/>
      <c r="CQ847" s="9"/>
      <c r="CR847" s="10"/>
      <c r="CS847" s="68"/>
      <c r="EC847" s="344" t="str">
        <f t="shared" si="107"/>
        <v>RISARALDA_BELEN DE UMBRIA</v>
      </c>
      <c r="ED847" s="341"/>
      <c r="EE847" s="341" t="s">
        <v>3184</v>
      </c>
      <c r="EF847" s="349" t="s">
        <v>3185</v>
      </c>
      <c r="EG847" s="341" t="s">
        <v>4070</v>
      </c>
      <c r="EH847" s="341" t="s">
        <v>5134</v>
      </c>
      <c r="EI847" s="341" t="str">
        <f t="shared" si="109"/>
        <v>Santander_Barrancabermeja</v>
      </c>
    </row>
    <row r="848" spans="1:139" ht="38.25">
      <c r="A848" s="235">
        <v>40376</v>
      </c>
      <c r="B848" s="224" t="s">
        <v>1972</v>
      </c>
      <c r="C848" s="224" t="s">
        <v>731</v>
      </c>
      <c r="D848" s="236" t="s">
        <v>1201</v>
      </c>
      <c r="E848" s="324" t="s">
        <v>3248</v>
      </c>
      <c r="F848" s="324"/>
      <c r="G848" s="210"/>
      <c r="H848" s="71"/>
      <c r="I848" s="71"/>
      <c r="J848" s="71">
        <v>117</v>
      </c>
      <c r="K848" s="71">
        <v>30</v>
      </c>
      <c r="L848" s="1"/>
      <c r="M848" s="73">
        <f t="shared" si="110"/>
        <v>0</v>
      </c>
      <c r="N848" s="73">
        <f t="shared" si="111"/>
        <v>0</v>
      </c>
      <c r="O848" s="73">
        <f t="shared" si="108"/>
        <v>0</v>
      </c>
      <c r="P848" s="73">
        <f t="shared" si="112"/>
        <v>0</v>
      </c>
      <c r="Q848" s="73"/>
      <c r="R848" s="73">
        <v>0</v>
      </c>
      <c r="S848" s="75">
        <f t="shared" si="114"/>
        <v>0</v>
      </c>
      <c r="T848" s="77">
        <v>0</v>
      </c>
      <c r="U848" s="66">
        <v>40377</v>
      </c>
      <c r="V848" s="79"/>
      <c r="W848" s="66" t="s">
        <v>1585</v>
      </c>
      <c r="X848" s="24" t="s">
        <v>1586</v>
      </c>
      <c r="Y848" s="62"/>
      <c r="Z848" s="177" t="s">
        <v>894</v>
      </c>
      <c r="AA848" s="80" t="s">
        <v>732</v>
      </c>
      <c r="AB848" s="3"/>
      <c r="AC848" s="4"/>
      <c r="AD848" s="5"/>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6"/>
      <c r="CE848" s="7"/>
      <c r="CF848" s="6"/>
      <c r="CG848" s="7"/>
      <c r="CH848" s="6"/>
      <c r="CI848" s="7"/>
      <c r="CJ848" s="8">
        <f t="shared" si="113"/>
        <v>0</v>
      </c>
      <c r="CK848" s="9"/>
      <c r="CL848" s="10"/>
      <c r="CM848" s="11"/>
      <c r="CN848" s="12"/>
      <c r="CO848" s="28"/>
      <c r="CP848" s="12"/>
      <c r="CQ848" s="9"/>
      <c r="CR848" s="10"/>
      <c r="CS848" s="68"/>
      <c r="EC848" s="344" t="str">
        <f t="shared" si="107"/>
        <v>ANTIOQUIA_CIUDAD BOLIVAR</v>
      </c>
      <c r="ED848" s="341"/>
      <c r="EE848" s="341" t="s">
        <v>3184</v>
      </c>
      <c r="EF848" s="349" t="s">
        <v>3185</v>
      </c>
      <c r="EG848" s="341" t="s">
        <v>4071</v>
      </c>
      <c r="EH848" s="341" t="s">
        <v>4391</v>
      </c>
      <c r="EI848" s="341" t="str">
        <f t="shared" si="109"/>
        <v>Santander_Betulia</v>
      </c>
    </row>
    <row r="849" spans="1:139" ht="25.5">
      <c r="A849" s="235">
        <v>40376</v>
      </c>
      <c r="B849" s="224" t="s">
        <v>1972</v>
      </c>
      <c r="C849" s="224" t="s">
        <v>2358</v>
      </c>
      <c r="D849" s="236" t="s">
        <v>1201</v>
      </c>
      <c r="E849" s="324" t="s">
        <v>3227</v>
      </c>
      <c r="F849" s="324"/>
      <c r="G849" s="210"/>
      <c r="H849" s="71"/>
      <c r="I849" s="71"/>
      <c r="J849" s="71">
        <v>50</v>
      </c>
      <c r="K849" s="71">
        <v>10</v>
      </c>
      <c r="L849" s="1"/>
      <c r="M849" s="73">
        <f t="shared" si="110"/>
        <v>0</v>
      </c>
      <c r="N849" s="73">
        <f t="shared" si="111"/>
        <v>0</v>
      </c>
      <c r="O849" s="73">
        <f t="shared" si="108"/>
        <v>0</v>
      </c>
      <c r="P849" s="73">
        <f t="shared" si="112"/>
        <v>0</v>
      </c>
      <c r="Q849" s="73"/>
      <c r="R849" s="73">
        <v>0</v>
      </c>
      <c r="S849" s="75">
        <f t="shared" si="114"/>
        <v>0</v>
      </c>
      <c r="T849" s="77">
        <v>0</v>
      </c>
      <c r="U849" s="66">
        <v>40379</v>
      </c>
      <c r="V849" s="79"/>
      <c r="W849" s="66" t="s">
        <v>1585</v>
      </c>
      <c r="X849" s="24" t="s">
        <v>1586</v>
      </c>
      <c r="Y849" s="62"/>
      <c r="Z849" s="177" t="s">
        <v>894</v>
      </c>
      <c r="AA849" s="80" t="s">
        <v>1721</v>
      </c>
      <c r="AB849" s="3"/>
      <c r="AC849" s="4"/>
      <c r="AD849" s="5"/>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6"/>
      <c r="CE849" s="7"/>
      <c r="CF849" s="6"/>
      <c r="CG849" s="7"/>
      <c r="CH849" s="6"/>
      <c r="CI849" s="7"/>
      <c r="CJ849" s="8">
        <f t="shared" si="113"/>
        <v>0</v>
      </c>
      <c r="CK849" s="9"/>
      <c r="CL849" s="10"/>
      <c r="CM849" s="11"/>
      <c r="CN849" s="12"/>
      <c r="CO849" s="28"/>
      <c r="CP849" s="12"/>
      <c r="CQ849" s="9"/>
      <c r="CR849" s="10"/>
      <c r="CS849" s="68"/>
      <c r="EC849" s="344" t="str">
        <f t="shared" si="107"/>
        <v>ANTIOQUIA_MEDELLIN</v>
      </c>
      <c r="ED849" s="341"/>
      <c r="EE849" s="341" t="s">
        <v>3184</v>
      </c>
      <c r="EF849" s="349" t="s">
        <v>3185</v>
      </c>
      <c r="EG849" s="341" t="s">
        <v>4072</v>
      </c>
      <c r="EH849" s="341" t="s">
        <v>3115</v>
      </c>
      <c r="EI849" s="341" t="str">
        <f t="shared" si="109"/>
        <v>Santander_Bolivar</v>
      </c>
    </row>
    <row r="850" spans="1:139" ht="25.5">
      <c r="A850" s="235">
        <v>40376</v>
      </c>
      <c r="B850" s="224" t="s">
        <v>1972</v>
      </c>
      <c r="C850" s="224" t="s">
        <v>1816</v>
      </c>
      <c r="D850" s="236" t="s">
        <v>1201</v>
      </c>
      <c r="E850" s="324" t="s">
        <v>3347</v>
      </c>
      <c r="F850" s="324"/>
      <c r="G850" s="210"/>
      <c r="H850" s="71"/>
      <c r="I850" s="71"/>
      <c r="J850" s="71">
        <v>35</v>
      </c>
      <c r="K850" s="71">
        <v>7</v>
      </c>
      <c r="L850" s="1"/>
      <c r="M850" s="73">
        <f t="shared" si="110"/>
        <v>0</v>
      </c>
      <c r="N850" s="73">
        <f t="shared" si="111"/>
        <v>0</v>
      </c>
      <c r="O850" s="73">
        <f t="shared" si="108"/>
        <v>0</v>
      </c>
      <c r="P850" s="73">
        <f t="shared" si="112"/>
        <v>0</v>
      </c>
      <c r="Q850" s="73"/>
      <c r="R850" s="73">
        <v>0</v>
      </c>
      <c r="S850" s="75">
        <f t="shared" si="114"/>
        <v>0</v>
      </c>
      <c r="T850" s="77">
        <v>0</v>
      </c>
      <c r="U850" s="66">
        <v>40381</v>
      </c>
      <c r="V850" s="79"/>
      <c r="W850" s="66" t="s">
        <v>1585</v>
      </c>
      <c r="X850" s="24" t="s">
        <v>1586</v>
      </c>
      <c r="Y850" s="62"/>
      <c r="Z850" s="177" t="s">
        <v>894</v>
      </c>
      <c r="AA850" s="80" t="s">
        <v>1817</v>
      </c>
      <c r="AB850" s="3"/>
      <c r="AC850" s="4"/>
      <c r="AD850" s="5"/>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6"/>
      <c r="CE850" s="7"/>
      <c r="CF850" s="6"/>
      <c r="CG850" s="7"/>
      <c r="CH850" s="6"/>
      <c r="CI850" s="7"/>
      <c r="CJ850" s="8">
        <f t="shared" si="113"/>
        <v>0</v>
      </c>
      <c r="CK850" s="9"/>
      <c r="CL850" s="10"/>
      <c r="CM850" s="11"/>
      <c r="CN850" s="12"/>
      <c r="CO850" s="28"/>
      <c r="CP850" s="12"/>
      <c r="CQ850" s="9"/>
      <c r="CR850" s="10"/>
      <c r="CS850" s="68"/>
      <c r="EC850" s="344" t="str">
        <f t="shared" si="107"/>
        <v>ANTIOQUIA_YALI</v>
      </c>
      <c r="ED850" s="341"/>
      <c r="EE850" s="341" t="s">
        <v>3184</v>
      </c>
      <c r="EF850" s="349" t="s">
        <v>3185</v>
      </c>
      <c r="EG850" s="341" t="s">
        <v>4073</v>
      </c>
      <c r="EH850" s="341" t="s">
        <v>4810</v>
      </c>
      <c r="EI850" s="341" t="str">
        <f t="shared" si="109"/>
        <v>Santander_Cabrera</v>
      </c>
    </row>
    <row r="851" spans="1:139" ht="25.5">
      <c r="A851" s="228">
        <v>40376</v>
      </c>
      <c r="B851" s="102" t="s">
        <v>1192</v>
      </c>
      <c r="C851" s="102" t="s">
        <v>1934</v>
      </c>
      <c r="D851" s="206" t="s">
        <v>1201</v>
      </c>
      <c r="E851" s="320" t="s">
        <v>3486</v>
      </c>
      <c r="F851" s="320"/>
      <c r="G851" s="210"/>
      <c r="H851" s="71"/>
      <c r="I851" s="71"/>
      <c r="J851" s="71">
        <f>112*5</f>
        <v>560</v>
      </c>
      <c r="K851" s="71">
        <v>112</v>
      </c>
      <c r="L851" s="1"/>
      <c r="M851" s="73">
        <f t="shared" si="110"/>
        <v>0</v>
      </c>
      <c r="N851" s="73">
        <f t="shared" si="111"/>
        <v>0</v>
      </c>
      <c r="O851" s="73">
        <f t="shared" si="108"/>
        <v>0</v>
      </c>
      <c r="P851" s="73">
        <f t="shared" si="112"/>
        <v>0</v>
      </c>
      <c r="Q851" s="73"/>
      <c r="R851" s="73">
        <v>0</v>
      </c>
      <c r="S851" s="75">
        <f t="shared" si="114"/>
        <v>0</v>
      </c>
      <c r="T851" s="77">
        <v>0</v>
      </c>
      <c r="U851" s="66">
        <v>40377</v>
      </c>
      <c r="V851" s="79"/>
      <c r="W851" s="66" t="s">
        <v>1606</v>
      </c>
      <c r="X851" s="24" t="s">
        <v>1607</v>
      </c>
      <c r="Y851" s="62"/>
      <c r="Z851" s="176" t="s">
        <v>1274</v>
      </c>
      <c r="AA851" s="80" t="s">
        <v>884</v>
      </c>
      <c r="AB851" s="3"/>
      <c r="AC851" s="4"/>
      <c r="AD851" s="5"/>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6"/>
      <c r="CE851" s="7"/>
      <c r="CF851" s="6"/>
      <c r="CG851" s="7"/>
      <c r="CH851" s="6"/>
      <c r="CI851" s="7"/>
      <c r="CJ851" s="8">
        <f t="shared" si="113"/>
        <v>0</v>
      </c>
      <c r="CK851" s="9"/>
      <c r="CL851" s="10"/>
      <c r="CM851" s="11"/>
      <c r="CN851" s="12"/>
      <c r="CO851" s="28"/>
      <c r="CP851" s="12"/>
      <c r="CQ851" s="9"/>
      <c r="CR851" s="10"/>
      <c r="CS851" s="68"/>
      <c r="EC851" s="344" t="str">
        <f t="shared" si="107"/>
        <v>BOYACA_PAIPA</v>
      </c>
      <c r="ED851" s="341"/>
      <c r="EE851" s="341" t="s">
        <v>3184</v>
      </c>
      <c r="EF851" s="349" t="s">
        <v>3185</v>
      </c>
      <c r="EG851" s="341" t="s">
        <v>4074</v>
      </c>
      <c r="EH851" s="341" t="s">
        <v>5135</v>
      </c>
      <c r="EI851" s="341" t="str">
        <f t="shared" si="109"/>
        <v>Santander_California</v>
      </c>
    </row>
    <row r="852" spans="1:139" ht="84">
      <c r="A852" s="228">
        <v>40376</v>
      </c>
      <c r="B852" s="102" t="s">
        <v>1295</v>
      </c>
      <c r="C852" s="102" t="s">
        <v>637</v>
      </c>
      <c r="D852" s="206" t="s">
        <v>1201</v>
      </c>
      <c r="E852" s="320" t="s">
        <v>3662</v>
      </c>
      <c r="F852" s="320"/>
      <c r="G852" s="210"/>
      <c r="H852" s="71"/>
      <c r="I852" s="71"/>
      <c r="J852" s="71">
        <f>2323-920</f>
        <v>1403</v>
      </c>
      <c r="K852" s="71">
        <f>557-230</f>
        <v>327</v>
      </c>
      <c r="L852" s="1">
        <v>40437</v>
      </c>
      <c r="M852" s="73">
        <f t="shared" si="110"/>
        <v>12107808</v>
      </c>
      <c r="N852" s="73">
        <f t="shared" si="111"/>
        <v>120190000</v>
      </c>
      <c r="O852" s="73">
        <f t="shared" si="108"/>
        <v>0</v>
      </c>
      <c r="P852" s="73">
        <f t="shared" si="112"/>
        <v>0</v>
      </c>
      <c r="Q852" s="73"/>
      <c r="R852" s="73">
        <v>0</v>
      </c>
      <c r="S852" s="75">
        <f t="shared" si="114"/>
        <v>132297808</v>
      </c>
      <c r="T852" s="77">
        <v>0</v>
      </c>
      <c r="U852" s="66">
        <v>40346</v>
      </c>
      <c r="V852" s="79">
        <v>38767</v>
      </c>
      <c r="W852" s="66" t="s">
        <v>1606</v>
      </c>
      <c r="X852" s="24" t="s">
        <v>1607</v>
      </c>
      <c r="Y852" s="83" t="s">
        <v>2568</v>
      </c>
      <c r="Z852" s="177" t="s">
        <v>2580</v>
      </c>
      <c r="AA852" s="80" t="s">
        <v>1340</v>
      </c>
      <c r="AB852" s="3"/>
      <c r="AC852" s="4"/>
      <c r="AD852" s="5"/>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v>2</v>
      </c>
      <c r="BO852" s="4">
        <f>2*504000</f>
        <v>1008000</v>
      </c>
      <c r="BP852" s="4"/>
      <c r="BQ852" s="4"/>
      <c r="BR852" s="4"/>
      <c r="BS852" s="4"/>
      <c r="BT852" s="4"/>
      <c r="BU852" s="4"/>
      <c r="BV852" s="4"/>
      <c r="BW852" s="4"/>
      <c r="BX852" s="4"/>
      <c r="BY852" s="4"/>
      <c r="BZ852" s="4"/>
      <c r="CA852" s="4"/>
      <c r="CB852" s="4"/>
      <c r="CC852" s="4"/>
      <c r="CD852" s="6">
        <v>300</v>
      </c>
      <c r="CE852" s="7">
        <f>300*36999.36</f>
        <v>11099808</v>
      </c>
      <c r="CF852" s="6"/>
      <c r="CG852" s="7"/>
      <c r="CH852" s="6"/>
      <c r="CI852" s="7"/>
      <c r="CJ852" s="8">
        <f t="shared" si="113"/>
        <v>12107808</v>
      </c>
      <c r="CK852" s="9"/>
      <c r="CL852" s="10"/>
      <c r="CM852" s="11">
        <f>300+557+557</f>
        <v>1414</v>
      </c>
      <c r="CN852" s="12">
        <f>300*85000+557*85000+557*85000</f>
        <v>120190000</v>
      </c>
      <c r="CO852" s="28"/>
      <c r="CP852" s="12"/>
      <c r="CQ852" s="9"/>
      <c r="CR852" s="10"/>
      <c r="CS852" s="68"/>
      <c r="EC852" s="344" t="str">
        <f t="shared" si="107"/>
        <v>CORDOBA_LA APARTADA</v>
      </c>
      <c r="ED852" s="341"/>
      <c r="EE852" s="341" t="s">
        <v>3184</v>
      </c>
      <c r="EF852" s="349" t="s">
        <v>3185</v>
      </c>
      <c r="EG852" s="341" t="s">
        <v>4075</v>
      </c>
      <c r="EH852" s="341" t="s">
        <v>5136</v>
      </c>
      <c r="EI852" s="341" t="str">
        <f t="shared" si="109"/>
        <v>Santander_Capitanejo</v>
      </c>
    </row>
    <row r="853" spans="1:139" ht="192">
      <c r="A853" s="228">
        <v>40376</v>
      </c>
      <c r="B853" s="102" t="s">
        <v>1295</v>
      </c>
      <c r="C853" s="102" t="s">
        <v>639</v>
      </c>
      <c r="D853" s="206" t="s">
        <v>1201</v>
      </c>
      <c r="E853" s="320" t="s">
        <v>3666</v>
      </c>
      <c r="F853" s="320"/>
      <c r="G853" s="210"/>
      <c r="H853" s="71"/>
      <c r="I853" s="71"/>
      <c r="J853" s="71">
        <v>2576</v>
      </c>
      <c r="K853" s="71">
        <v>543</v>
      </c>
      <c r="L853" s="1">
        <v>40436</v>
      </c>
      <c r="M853" s="73">
        <f t="shared" si="110"/>
        <v>14592806.4</v>
      </c>
      <c r="N853" s="73">
        <f t="shared" si="111"/>
        <v>153850000</v>
      </c>
      <c r="O853" s="73">
        <f t="shared" si="108"/>
        <v>0</v>
      </c>
      <c r="P853" s="73">
        <f t="shared" si="112"/>
        <v>0</v>
      </c>
      <c r="Q853" s="73"/>
      <c r="R853" s="73">
        <v>0</v>
      </c>
      <c r="S853" s="75">
        <f t="shared" si="114"/>
        <v>168442806.40000001</v>
      </c>
      <c r="T853" s="77">
        <v>0</v>
      </c>
      <c r="U853" s="66">
        <v>40377</v>
      </c>
      <c r="V853" s="79">
        <v>38767</v>
      </c>
      <c r="W853" s="66" t="s">
        <v>1606</v>
      </c>
      <c r="X853" s="24" t="s">
        <v>1607</v>
      </c>
      <c r="Y853" s="83" t="s">
        <v>2567</v>
      </c>
      <c r="Z853" s="177" t="s">
        <v>2580</v>
      </c>
      <c r="AA853" s="80" t="s">
        <v>373</v>
      </c>
      <c r="AB853" s="3"/>
      <c r="AC853" s="4"/>
      <c r="AD853" s="5"/>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f>5+2</f>
        <v>7</v>
      </c>
      <c r="BO853" s="4">
        <f>5*496999.68+2*504000</f>
        <v>3492998.4</v>
      </c>
      <c r="BP853" s="4"/>
      <c r="BQ853" s="4"/>
      <c r="BR853" s="4"/>
      <c r="BS853" s="4"/>
      <c r="BT853" s="4"/>
      <c r="BU853" s="4"/>
      <c r="BV853" s="4"/>
      <c r="BW853" s="4"/>
      <c r="BX853" s="4"/>
      <c r="BY853" s="4"/>
      <c r="BZ853" s="4"/>
      <c r="CA853" s="4"/>
      <c r="CB853" s="4"/>
      <c r="CC853" s="4"/>
      <c r="CD853" s="6">
        <v>300</v>
      </c>
      <c r="CE853" s="7">
        <f>300*36999.36</f>
        <v>11099808</v>
      </c>
      <c r="CF853" s="6"/>
      <c r="CG853" s="7"/>
      <c r="CH853" s="6"/>
      <c r="CI853" s="7"/>
      <c r="CJ853" s="8">
        <f t="shared" si="113"/>
        <v>14592806.4</v>
      </c>
      <c r="CK853" s="9"/>
      <c r="CL853" s="10"/>
      <c r="CM853" s="11">
        <f>300+450+530+530</f>
        <v>1810</v>
      </c>
      <c r="CN853" s="12">
        <f>300*85000+450*85000+530*85000+530*85000</f>
        <v>153850000</v>
      </c>
      <c r="CO853" s="28"/>
      <c r="CP853" s="12"/>
      <c r="CQ853" s="9"/>
      <c r="CR853" s="10"/>
      <c r="CS853" s="68"/>
      <c r="EC853" s="344" t="str">
        <f t="shared" si="107"/>
        <v>CORDOBA_MONTELIBANO</v>
      </c>
      <c r="ED853" s="341"/>
      <c r="EE853" s="341" t="s">
        <v>3184</v>
      </c>
      <c r="EF853" s="349" t="s">
        <v>3185</v>
      </c>
      <c r="EG853" s="341" t="s">
        <v>4076</v>
      </c>
      <c r="EH853" s="341" t="s">
        <v>5137</v>
      </c>
      <c r="EI853" s="341" t="str">
        <f t="shared" si="109"/>
        <v>Santander_Carcasi</v>
      </c>
    </row>
    <row r="854" spans="1:139" ht="84">
      <c r="A854" s="228">
        <v>40376</v>
      </c>
      <c r="B854" s="102" t="s">
        <v>4321</v>
      </c>
      <c r="C854" s="102" t="s">
        <v>1236</v>
      </c>
      <c r="D854" s="206" t="s">
        <v>1201</v>
      </c>
      <c r="E854" s="320" t="s">
        <v>3869</v>
      </c>
      <c r="F854" s="320"/>
      <c r="G854" s="210"/>
      <c r="H854" s="71"/>
      <c r="I854" s="71"/>
      <c r="J854" s="71">
        <f>209*5</f>
        <v>1045</v>
      </c>
      <c r="K854" s="133">
        <v>209</v>
      </c>
      <c r="L854" s="1"/>
      <c r="M854" s="73">
        <f t="shared" si="110"/>
        <v>0</v>
      </c>
      <c r="N854" s="73">
        <f t="shared" si="111"/>
        <v>0</v>
      </c>
      <c r="O854" s="73">
        <f t="shared" si="108"/>
        <v>0</v>
      </c>
      <c r="P854" s="73">
        <f t="shared" si="112"/>
        <v>0</v>
      </c>
      <c r="Q854" s="73"/>
      <c r="R854" s="73">
        <v>0</v>
      </c>
      <c r="S854" s="75">
        <f t="shared" si="114"/>
        <v>0</v>
      </c>
      <c r="T854" s="77">
        <v>0</v>
      </c>
      <c r="U854" s="66">
        <v>40377</v>
      </c>
      <c r="V854" s="79"/>
      <c r="W854" s="66" t="s">
        <v>1606</v>
      </c>
      <c r="X854" s="24" t="s">
        <v>1607</v>
      </c>
      <c r="Y854" s="62"/>
      <c r="Z854" s="199" t="s">
        <v>830</v>
      </c>
      <c r="AA854" s="80" t="s">
        <v>5399</v>
      </c>
      <c r="AB854" s="3"/>
      <c r="AC854" s="4"/>
      <c r="AD854" s="5"/>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6"/>
      <c r="CE854" s="7"/>
      <c r="CF854" s="6"/>
      <c r="CG854" s="7"/>
      <c r="CH854" s="6"/>
      <c r="CI854" s="7"/>
      <c r="CJ854" s="8">
        <f t="shared" si="113"/>
        <v>0</v>
      </c>
      <c r="CK854" s="9"/>
      <c r="CL854" s="10"/>
      <c r="CM854" s="11"/>
      <c r="CN854" s="12"/>
      <c r="CO854" s="28"/>
      <c r="CP854" s="12"/>
      <c r="CQ854" s="9"/>
      <c r="CR854" s="10"/>
      <c r="CS854" s="68"/>
      <c r="EC854" s="344" t="str">
        <f t="shared" si="107"/>
        <v>LA GUAJIRA_MAICAO</v>
      </c>
      <c r="ED854" s="341"/>
      <c r="EE854" s="341" t="s">
        <v>3184</v>
      </c>
      <c r="EF854" s="349" t="s">
        <v>3185</v>
      </c>
      <c r="EG854" s="341" t="s">
        <v>4077</v>
      </c>
      <c r="EH854" s="341" t="s">
        <v>5138</v>
      </c>
      <c r="EI854" s="341" t="str">
        <f t="shared" si="109"/>
        <v>Santander_Cepita</v>
      </c>
    </row>
    <row r="855" spans="1:139" ht="25.5">
      <c r="A855" s="228">
        <v>40376</v>
      </c>
      <c r="B855" s="102" t="s">
        <v>1609</v>
      </c>
      <c r="C855" s="102" t="s">
        <v>2596</v>
      </c>
      <c r="D855" s="206" t="s">
        <v>2606</v>
      </c>
      <c r="E855" s="320" t="s">
        <v>4056</v>
      </c>
      <c r="F855" s="320"/>
      <c r="G855" s="210"/>
      <c r="H855" s="71"/>
      <c r="I855" s="71"/>
      <c r="J855" s="71">
        <v>20</v>
      </c>
      <c r="K855" s="71">
        <v>4</v>
      </c>
      <c r="L855" s="1"/>
      <c r="M855" s="73">
        <f t="shared" si="110"/>
        <v>0</v>
      </c>
      <c r="N855" s="73">
        <f t="shared" si="111"/>
        <v>0</v>
      </c>
      <c r="O855" s="73">
        <f t="shared" si="108"/>
        <v>0</v>
      </c>
      <c r="P855" s="73">
        <f t="shared" si="112"/>
        <v>0</v>
      </c>
      <c r="Q855" s="73"/>
      <c r="R855" s="73">
        <v>0</v>
      </c>
      <c r="S855" s="75">
        <f t="shared" si="114"/>
        <v>0</v>
      </c>
      <c r="T855" s="77">
        <v>0</v>
      </c>
      <c r="U855" s="66">
        <v>40376</v>
      </c>
      <c r="V855" s="79"/>
      <c r="W855" s="66" t="s">
        <v>1585</v>
      </c>
      <c r="X855" s="24" t="s">
        <v>1586</v>
      </c>
      <c r="Y855" s="62"/>
      <c r="Z855" s="177" t="s">
        <v>894</v>
      </c>
      <c r="AA855" s="80" t="s">
        <v>1458</v>
      </c>
      <c r="AB855" s="3"/>
      <c r="AC855" s="4"/>
      <c r="AD855" s="5"/>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6"/>
      <c r="CE855" s="7"/>
      <c r="CF855" s="6"/>
      <c r="CG855" s="7"/>
      <c r="CH855" s="6"/>
      <c r="CI855" s="7"/>
      <c r="CJ855" s="8">
        <f t="shared" si="113"/>
        <v>0</v>
      </c>
      <c r="CK855" s="9"/>
      <c r="CL855" s="10"/>
      <c r="CM855" s="11"/>
      <c r="CN855" s="12"/>
      <c r="CO855" s="28"/>
      <c r="CP855" s="12"/>
      <c r="CQ855" s="9"/>
      <c r="CR855" s="10"/>
      <c r="CS855" s="68"/>
      <c r="EC855" s="344" t="str">
        <f t="shared" si="107"/>
        <v>RISARALDA_LA CELIA</v>
      </c>
      <c r="ED855" s="341"/>
      <c r="EE855" s="341" t="s">
        <v>3184</v>
      </c>
      <c r="EF855" s="349" t="s">
        <v>3185</v>
      </c>
      <c r="EG855" s="341" t="s">
        <v>4078</v>
      </c>
      <c r="EH855" s="341" t="s">
        <v>5139</v>
      </c>
      <c r="EI855" s="341" t="str">
        <f t="shared" si="109"/>
        <v>Santander_Cerrito</v>
      </c>
    </row>
    <row r="856" spans="1:139" ht="48">
      <c r="A856" s="228">
        <v>40376</v>
      </c>
      <c r="B856" s="102" t="s">
        <v>1998</v>
      </c>
      <c r="C856" s="102" t="s">
        <v>1747</v>
      </c>
      <c r="D856" s="206" t="s">
        <v>1878</v>
      </c>
      <c r="E856" s="320" t="s">
        <v>4069</v>
      </c>
      <c r="F856" s="320"/>
      <c r="G856" s="265">
        <v>2</v>
      </c>
      <c r="H856" s="71">
        <v>2</v>
      </c>
      <c r="I856" s="71"/>
      <c r="J856" s="71">
        <v>150</v>
      </c>
      <c r="K856" s="71">
        <v>30</v>
      </c>
      <c r="L856" s="1"/>
      <c r="M856" s="73">
        <f t="shared" si="110"/>
        <v>0</v>
      </c>
      <c r="N856" s="73">
        <f t="shared" si="111"/>
        <v>0</v>
      </c>
      <c r="O856" s="73">
        <f t="shared" si="108"/>
        <v>0</v>
      </c>
      <c r="P856" s="73">
        <f t="shared" si="112"/>
        <v>0</v>
      </c>
      <c r="Q856" s="73"/>
      <c r="R856" s="73">
        <v>0</v>
      </c>
      <c r="S856" s="75">
        <f t="shared" si="114"/>
        <v>0</v>
      </c>
      <c r="T856" s="77">
        <v>0</v>
      </c>
      <c r="U856" s="66">
        <v>40377</v>
      </c>
      <c r="V856" s="79"/>
      <c r="W856" s="66" t="s">
        <v>1585</v>
      </c>
      <c r="X856" s="24" t="s">
        <v>1586</v>
      </c>
      <c r="Y856" s="62"/>
      <c r="Z856" s="177" t="s">
        <v>894</v>
      </c>
      <c r="AA856" s="80" t="s">
        <v>730</v>
      </c>
      <c r="AB856" s="3"/>
      <c r="AC856" s="4"/>
      <c r="AD856" s="5"/>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6"/>
      <c r="CE856" s="7"/>
      <c r="CF856" s="6"/>
      <c r="CG856" s="7"/>
      <c r="CH856" s="6"/>
      <c r="CI856" s="7"/>
      <c r="CJ856" s="8">
        <f t="shared" si="113"/>
        <v>0</v>
      </c>
      <c r="CK856" s="9"/>
      <c r="CL856" s="10"/>
      <c r="CM856" s="11"/>
      <c r="CN856" s="12"/>
      <c r="CO856" s="28"/>
      <c r="CP856" s="12"/>
      <c r="CQ856" s="9"/>
      <c r="CR856" s="10"/>
      <c r="CS856" s="68"/>
      <c r="EC856" s="344" t="str">
        <f t="shared" si="107"/>
        <v>SANTANDER_BARICHARA</v>
      </c>
      <c r="ED856" s="341"/>
      <c r="EE856" s="341" t="s">
        <v>3184</v>
      </c>
      <c r="EF856" s="349" t="s">
        <v>3185</v>
      </c>
      <c r="EG856" s="341" t="s">
        <v>4079</v>
      </c>
      <c r="EH856" s="341" t="s">
        <v>5140</v>
      </c>
      <c r="EI856" s="341" t="str">
        <f t="shared" si="109"/>
        <v>Santander_Charala</v>
      </c>
    </row>
    <row r="857" spans="1:139" ht="38.25">
      <c r="A857" s="228">
        <v>40376</v>
      </c>
      <c r="B857" s="102" t="s">
        <v>1088</v>
      </c>
      <c r="C857" s="102" t="s">
        <v>1750</v>
      </c>
      <c r="D857" s="206" t="s">
        <v>2606</v>
      </c>
      <c r="E857" s="320" t="s">
        <v>4260</v>
      </c>
      <c r="F857" s="320"/>
      <c r="G857" s="210"/>
      <c r="H857" s="71"/>
      <c r="I857" s="71"/>
      <c r="J857" s="71">
        <f>680*5</f>
        <v>3400</v>
      </c>
      <c r="K857" s="71">
        <v>680</v>
      </c>
      <c r="L857" s="1"/>
      <c r="M857" s="73">
        <f t="shared" si="110"/>
        <v>4884000</v>
      </c>
      <c r="N857" s="73">
        <f t="shared" si="111"/>
        <v>11220000</v>
      </c>
      <c r="O857" s="73">
        <f t="shared" si="108"/>
        <v>0</v>
      </c>
      <c r="P857" s="73">
        <f t="shared" si="112"/>
        <v>0</v>
      </c>
      <c r="Q857" s="73"/>
      <c r="R857" s="73">
        <v>0</v>
      </c>
      <c r="S857" s="75">
        <f t="shared" si="114"/>
        <v>16104000</v>
      </c>
      <c r="T857" s="77">
        <v>0</v>
      </c>
      <c r="U857" s="66">
        <v>40389</v>
      </c>
      <c r="V857" s="79">
        <v>38013</v>
      </c>
      <c r="W857" s="66" t="s">
        <v>1606</v>
      </c>
      <c r="X857" s="24" t="s">
        <v>1607</v>
      </c>
      <c r="Y857" s="62"/>
      <c r="Z857" s="177" t="s">
        <v>894</v>
      </c>
      <c r="AA857" s="80" t="s">
        <v>902</v>
      </c>
      <c r="AB857" s="3"/>
      <c r="AC857" s="4"/>
      <c r="AD857" s="5"/>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6">
        <v>132</v>
      </c>
      <c r="CE857" s="7">
        <f>132*37000</f>
        <v>4884000</v>
      </c>
      <c r="CF857" s="6"/>
      <c r="CG857" s="7"/>
      <c r="CH857" s="6"/>
      <c r="CI857" s="7"/>
      <c r="CJ857" s="8">
        <f t="shared" si="113"/>
        <v>4884000</v>
      </c>
      <c r="CK857" s="9"/>
      <c r="CL857" s="10"/>
      <c r="CM857" s="11">
        <v>132</v>
      </c>
      <c r="CN857" s="12">
        <f>132*85000</f>
        <v>11220000</v>
      </c>
      <c r="CO857" s="28"/>
      <c r="CP857" s="12"/>
      <c r="CQ857" s="9"/>
      <c r="CR857" s="10"/>
      <c r="CS857" s="68"/>
      <c r="EC857" s="344" t="str">
        <f t="shared" si="107"/>
        <v>VALLE DEL CAUCA_ULLOA</v>
      </c>
      <c r="ED857" s="341"/>
      <c r="EE857" s="341" t="s">
        <v>3184</v>
      </c>
      <c r="EF857" s="349" t="s">
        <v>3185</v>
      </c>
      <c r="EG857" s="341" t="s">
        <v>4080</v>
      </c>
      <c r="EH857" s="341" t="s">
        <v>5141</v>
      </c>
      <c r="EI857" s="341" t="str">
        <f t="shared" si="109"/>
        <v>Santander_Charta</v>
      </c>
    </row>
    <row r="858" spans="1:139" ht="36">
      <c r="A858" s="228">
        <v>40377</v>
      </c>
      <c r="B858" s="102" t="s">
        <v>1972</v>
      </c>
      <c r="C858" s="102" t="s">
        <v>3105</v>
      </c>
      <c r="D858" s="206" t="s">
        <v>1923</v>
      </c>
      <c r="E858" s="320" t="s">
        <v>3271</v>
      </c>
      <c r="F858" s="320"/>
      <c r="G858" s="210"/>
      <c r="H858" s="71">
        <v>34</v>
      </c>
      <c r="I858" s="71"/>
      <c r="J858" s="71"/>
      <c r="K858" s="71"/>
      <c r="L858" s="1"/>
      <c r="M858" s="73">
        <f t="shared" si="110"/>
        <v>0</v>
      </c>
      <c r="N858" s="73">
        <f t="shared" si="111"/>
        <v>0</v>
      </c>
      <c r="O858" s="73">
        <f t="shared" si="108"/>
        <v>0</v>
      </c>
      <c r="P858" s="73">
        <f t="shared" si="112"/>
        <v>0</v>
      </c>
      <c r="Q858" s="73"/>
      <c r="R858" s="73">
        <v>0</v>
      </c>
      <c r="S858" s="75">
        <f t="shared" si="114"/>
        <v>0</v>
      </c>
      <c r="T858" s="77">
        <v>0</v>
      </c>
      <c r="U858" s="66">
        <v>40378</v>
      </c>
      <c r="V858" s="79"/>
      <c r="W858" s="66" t="s">
        <v>1585</v>
      </c>
      <c r="X858" s="24" t="s">
        <v>1586</v>
      </c>
      <c r="Y858" s="62"/>
      <c r="Z858" s="177" t="s">
        <v>894</v>
      </c>
      <c r="AA858" s="80" t="s">
        <v>887</v>
      </c>
      <c r="AB858" s="3"/>
      <c r="AC858" s="4"/>
      <c r="AD858" s="5"/>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6"/>
      <c r="CE858" s="7"/>
      <c r="CF858" s="6"/>
      <c r="CG858" s="7"/>
      <c r="CH858" s="6"/>
      <c r="CI858" s="7"/>
      <c r="CJ858" s="8">
        <f t="shared" si="113"/>
        <v>0</v>
      </c>
      <c r="CK858" s="9"/>
      <c r="CL858" s="10"/>
      <c r="CM858" s="11"/>
      <c r="CN858" s="12"/>
      <c r="CO858" s="28"/>
      <c r="CP858" s="12"/>
      <c r="CQ858" s="9"/>
      <c r="CR858" s="10"/>
      <c r="CS858" s="68"/>
      <c r="EC858" s="344" t="str">
        <f t="shared" ref="EC858:EC921" si="115">B858&amp;"_"&amp;C858</f>
        <v>ANTIOQUIA_EL BAGRE</v>
      </c>
      <c r="ED858" s="341"/>
      <c r="EE858" s="341" t="s">
        <v>3184</v>
      </c>
      <c r="EF858" s="349" t="s">
        <v>3185</v>
      </c>
      <c r="EG858" s="341" t="s">
        <v>4081</v>
      </c>
      <c r="EH858" s="341" t="s">
        <v>4781</v>
      </c>
      <c r="EI858" s="341" t="str">
        <f t="shared" si="109"/>
        <v>Santander_Chima</v>
      </c>
    </row>
    <row r="859" spans="1:139" ht="204">
      <c r="A859" s="228">
        <v>40377</v>
      </c>
      <c r="B859" s="102" t="s">
        <v>1615</v>
      </c>
      <c r="C859" s="102" t="s">
        <v>1726</v>
      </c>
      <c r="D859" s="206" t="s">
        <v>1201</v>
      </c>
      <c r="E859" s="320" t="s">
        <v>3377</v>
      </c>
      <c r="F859" s="320"/>
      <c r="G859" s="210"/>
      <c r="H859" s="71"/>
      <c r="I859" s="71"/>
      <c r="J859" s="417">
        <f>4906*3.7</f>
        <v>18152.2</v>
      </c>
      <c r="K859" s="71">
        <v>4906</v>
      </c>
      <c r="L859" s="1">
        <v>40396</v>
      </c>
      <c r="M859" s="73">
        <f t="shared" si="110"/>
        <v>168829000</v>
      </c>
      <c r="N859" s="73">
        <f t="shared" si="111"/>
        <v>119510000</v>
      </c>
      <c r="O859" s="73">
        <f t="shared" si="108"/>
        <v>0</v>
      </c>
      <c r="P859" s="73">
        <f t="shared" si="112"/>
        <v>0</v>
      </c>
      <c r="Q859" s="73">
        <v>11460800</v>
      </c>
      <c r="R859" s="73">
        <v>0</v>
      </c>
      <c r="S859" s="75">
        <f t="shared" si="114"/>
        <v>299799800</v>
      </c>
      <c r="T859" s="77">
        <v>0</v>
      </c>
      <c r="U859" s="66">
        <v>40389</v>
      </c>
      <c r="V859" s="79">
        <v>37971</v>
      </c>
      <c r="W859" s="66" t="s">
        <v>1606</v>
      </c>
      <c r="X859" s="24" t="s">
        <v>1607</v>
      </c>
      <c r="Y859" s="83" t="s">
        <v>2328</v>
      </c>
      <c r="Z859" s="177" t="s">
        <v>1452</v>
      </c>
      <c r="AA859" s="80" t="s">
        <v>2306</v>
      </c>
      <c r="AB859" s="3"/>
      <c r="AC859" s="4"/>
      <c r="AD859" s="5"/>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v>15</v>
      </c>
      <c r="BO859" s="4">
        <f>15*504600</f>
        <v>7569000</v>
      </c>
      <c r="BP859" s="4"/>
      <c r="BQ859" s="4"/>
      <c r="BR859" s="4"/>
      <c r="BS859" s="4"/>
      <c r="BT859" s="4"/>
      <c r="BU859" s="4"/>
      <c r="BV859" s="4"/>
      <c r="BW859" s="4"/>
      <c r="BX859" s="4"/>
      <c r="BY859" s="4"/>
      <c r="BZ859" s="4"/>
      <c r="CA859" s="4"/>
      <c r="CB859" s="4">
        <v>4906</v>
      </c>
      <c r="CC859" s="4">
        <f>4906*18000</f>
        <v>88308000</v>
      </c>
      <c r="CD859" s="6">
        <v>1000</v>
      </c>
      <c r="CE859" s="7">
        <f>1000*36952</f>
        <v>36952000</v>
      </c>
      <c r="CF859" s="6">
        <v>1000</v>
      </c>
      <c r="CG859" s="7">
        <f>1000*36000</f>
        <v>36000000</v>
      </c>
      <c r="CH859" s="6"/>
      <c r="CI859" s="7"/>
      <c r="CJ859" s="8">
        <f t="shared" si="113"/>
        <v>168829000</v>
      </c>
      <c r="CK859" s="9"/>
      <c r="CL859" s="10"/>
      <c r="CM859" s="11">
        <f>1000+406</f>
        <v>1406</v>
      </c>
      <c r="CN859" s="12">
        <f>1000*85000+406*85000</f>
        <v>119510000</v>
      </c>
      <c r="CO859" s="28"/>
      <c r="CP859" s="12"/>
      <c r="CQ859" s="9"/>
      <c r="CR859" s="10"/>
      <c r="CS859" s="68"/>
      <c r="EC859" s="344" t="str">
        <f t="shared" si="115"/>
        <v>BOLIVAR_ACHI</v>
      </c>
      <c r="ED859" s="341"/>
      <c r="EE859" s="341" t="s">
        <v>3184</v>
      </c>
      <c r="EF859" s="349" t="s">
        <v>3185</v>
      </c>
      <c r="EG859" s="341" t="s">
        <v>4082</v>
      </c>
      <c r="EH859" s="341" t="s">
        <v>5142</v>
      </c>
      <c r="EI859" s="341" t="str">
        <f t="shared" si="109"/>
        <v>Santander_Chipata</v>
      </c>
    </row>
    <row r="860" spans="1:139" ht="36">
      <c r="A860" s="228">
        <v>40377</v>
      </c>
      <c r="B860" s="102" t="s">
        <v>1192</v>
      </c>
      <c r="C860" s="102" t="s">
        <v>749</v>
      </c>
      <c r="D860" s="206" t="s">
        <v>1201</v>
      </c>
      <c r="E860" s="320" t="s">
        <v>3529</v>
      </c>
      <c r="F860" s="320"/>
      <c r="G860" s="210"/>
      <c r="H860" s="71"/>
      <c r="I860" s="71"/>
      <c r="J860" s="71">
        <f>568*5</f>
        <v>2840</v>
      </c>
      <c r="K860" s="71">
        <f>571-3</f>
        <v>568</v>
      </c>
      <c r="L860" s="1"/>
      <c r="M860" s="73">
        <f t="shared" si="110"/>
        <v>0</v>
      </c>
      <c r="N860" s="73">
        <f t="shared" si="111"/>
        <v>0</v>
      </c>
      <c r="O860" s="73">
        <f t="shared" si="108"/>
        <v>0</v>
      </c>
      <c r="P860" s="73">
        <f t="shared" si="112"/>
        <v>0</v>
      </c>
      <c r="Q860" s="73"/>
      <c r="R860" s="73">
        <v>0</v>
      </c>
      <c r="S860" s="75">
        <f t="shared" si="114"/>
        <v>0</v>
      </c>
      <c r="T860" s="77">
        <v>0</v>
      </c>
      <c r="U860" s="66">
        <v>40379</v>
      </c>
      <c r="V860" s="79"/>
      <c r="W860" s="66" t="s">
        <v>1606</v>
      </c>
      <c r="X860" s="24" t="s">
        <v>1607</v>
      </c>
      <c r="Y860" s="62"/>
      <c r="Z860" s="176" t="s">
        <v>1274</v>
      </c>
      <c r="AA860" s="80" t="s">
        <v>1717</v>
      </c>
      <c r="AB860" s="3"/>
      <c r="AC860" s="4"/>
      <c r="AD860" s="5"/>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6"/>
      <c r="CE860" s="7"/>
      <c r="CF860" s="6"/>
      <c r="CG860" s="7"/>
      <c r="CH860" s="6"/>
      <c r="CI860" s="7"/>
      <c r="CJ860" s="8">
        <f t="shared" si="113"/>
        <v>0</v>
      </c>
      <c r="CK860" s="9"/>
      <c r="CL860" s="10"/>
      <c r="CM860" s="11"/>
      <c r="CN860" s="12"/>
      <c r="CO860" s="28"/>
      <c r="CP860" s="12"/>
      <c r="CQ860" s="9"/>
      <c r="CR860" s="10"/>
      <c r="CS860" s="68"/>
      <c r="EC860" s="344" t="str">
        <f t="shared" si="115"/>
        <v>BOYACA_TIBASOSA</v>
      </c>
      <c r="ED860" s="341"/>
      <c r="EE860" s="341" t="s">
        <v>3184</v>
      </c>
      <c r="EF860" s="349" t="s">
        <v>3185</v>
      </c>
      <c r="EG860" s="341" t="s">
        <v>4083</v>
      </c>
      <c r="EH860" s="341" t="s">
        <v>5143</v>
      </c>
      <c r="EI860" s="341" t="str">
        <f t="shared" si="109"/>
        <v>Santander_Cimitarra</v>
      </c>
    </row>
    <row r="861" spans="1:139" ht="84">
      <c r="A861" s="228">
        <v>40377</v>
      </c>
      <c r="B861" s="102" t="s">
        <v>1295</v>
      </c>
      <c r="C861" s="102" t="s">
        <v>1725</v>
      </c>
      <c r="D861" s="206" t="s">
        <v>1201</v>
      </c>
      <c r="E861" s="320" t="s">
        <v>3677</v>
      </c>
      <c r="F861" s="320"/>
      <c r="G861" s="210"/>
      <c r="H861" s="71"/>
      <c r="I861" s="71"/>
      <c r="J861" s="71">
        <v>1125</v>
      </c>
      <c r="K861" s="71">
        <v>286</v>
      </c>
      <c r="L861" s="1">
        <v>40429</v>
      </c>
      <c r="M861" s="73">
        <f t="shared" si="110"/>
        <v>14900000</v>
      </c>
      <c r="N861" s="73">
        <f t="shared" si="111"/>
        <v>58480000</v>
      </c>
      <c r="O861" s="73">
        <f t="shared" ref="O861:O874" si="116">CP861+CR861</f>
        <v>0</v>
      </c>
      <c r="P861" s="73">
        <f t="shared" si="112"/>
        <v>0</v>
      </c>
      <c r="Q861" s="73"/>
      <c r="R861" s="73">
        <v>0</v>
      </c>
      <c r="S861" s="75">
        <f t="shared" si="114"/>
        <v>73380000</v>
      </c>
      <c r="T861" s="77">
        <v>0</v>
      </c>
      <c r="U861" s="66">
        <v>40394</v>
      </c>
      <c r="V861" s="79">
        <v>38767</v>
      </c>
      <c r="W861" s="66" t="s">
        <v>1606</v>
      </c>
      <c r="X861" s="24" t="s">
        <v>1607</v>
      </c>
      <c r="Y861" s="62">
        <v>295</v>
      </c>
      <c r="Z861" s="177" t="s">
        <v>1049</v>
      </c>
      <c r="AA861" s="80" t="s">
        <v>372</v>
      </c>
      <c r="AB861" s="3"/>
      <c r="AC861" s="4"/>
      <c r="AD861" s="5"/>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6">
        <v>200</v>
      </c>
      <c r="CE861" s="7">
        <f>200*38500</f>
        <v>7700000</v>
      </c>
      <c r="CF861" s="6">
        <v>200</v>
      </c>
      <c r="CG861" s="7">
        <f>200*36000</f>
        <v>7200000</v>
      </c>
      <c r="CH861" s="6"/>
      <c r="CI861" s="7"/>
      <c r="CJ861" s="8">
        <f t="shared" si="113"/>
        <v>14900000</v>
      </c>
      <c r="CK861" s="9"/>
      <c r="CL861" s="10"/>
      <c r="CM861" s="11">
        <f>200+202+286</f>
        <v>688</v>
      </c>
      <c r="CN861" s="12">
        <f>200*85000+202*85000+286*85000</f>
        <v>58480000</v>
      </c>
      <c r="CO861" s="28"/>
      <c r="CP861" s="12"/>
      <c r="CQ861" s="9"/>
      <c r="CR861" s="10"/>
      <c r="CS861" s="68"/>
      <c r="EC861" s="344" t="str">
        <f t="shared" si="115"/>
        <v>CORDOBA_SAN CARLOS</v>
      </c>
      <c r="ED861" s="341"/>
      <c r="EE861" s="341" t="s">
        <v>3184</v>
      </c>
      <c r="EF861" s="349" t="s">
        <v>3185</v>
      </c>
      <c r="EG861" s="341" t="s">
        <v>4084</v>
      </c>
      <c r="EH861" s="341" t="s">
        <v>4408</v>
      </c>
      <c r="EI861" s="341" t="str">
        <f t="shared" si="109"/>
        <v>Santander_Concepcion</v>
      </c>
    </row>
    <row r="862" spans="1:139" ht="38.25">
      <c r="A862" s="228">
        <v>40377</v>
      </c>
      <c r="B862" s="102" t="s">
        <v>1604</v>
      </c>
      <c r="C862" s="102" t="s">
        <v>1949</v>
      </c>
      <c r="D862" s="206" t="s">
        <v>1201</v>
      </c>
      <c r="E862" s="320" t="s">
        <v>3699</v>
      </c>
      <c r="F862" s="320"/>
      <c r="G862" s="210"/>
      <c r="H862" s="71"/>
      <c r="I862" s="71"/>
      <c r="J862" s="71"/>
      <c r="K862" s="71"/>
      <c r="L862" s="1"/>
      <c r="M862" s="73">
        <f t="shared" si="110"/>
        <v>0</v>
      </c>
      <c r="N862" s="73">
        <f t="shared" si="111"/>
        <v>0</v>
      </c>
      <c r="O862" s="73">
        <f t="shared" si="116"/>
        <v>0</v>
      </c>
      <c r="P862" s="73">
        <f t="shared" si="112"/>
        <v>0</v>
      </c>
      <c r="Q862" s="73"/>
      <c r="R862" s="73">
        <v>0</v>
      </c>
      <c r="S862" s="75">
        <f t="shared" si="114"/>
        <v>0</v>
      </c>
      <c r="T862" s="77">
        <v>0</v>
      </c>
      <c r="U862" s="66">
        <v>40378</v>
      </c>
      <c r="V862" s="79"/>
      <c r="W862" s="66" t="s">
        <v>1585</v>
      </c>
      <c r="X862" s="24" t="s">
        <v>1586</v>
      </c>
      <c r="Y862" s="62"/>
      <c r="Z862" s="177" t="s">
        <v>894</v>
      </c>
      <c r="AA862" s="80" t="s">
        <v>888</v>
      </c>
      <c r="AB862" s="3"/>
      <c r="AC862" s="4"/>
      <c r="AD862" s="5"/>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6"/>
      <c r="CE862" s="7"/>
      <c r="CF862" s="6"/>
      <c r="CG862" s="7"/>
      <c r="CH862" s="6"/>
      <c r="CI862" s="7"/>
      <c r="CJ862" s="8">
        <f t="shared" si="113"/>
        <v>0</v>
      </c>
      <c r="CK862" s="9"/>
      <c r="CL862" s="10"/>
      <c r="CM862" s="11"/>
      <c r="CN862" s="12"/>
      <c r="CO862" s="28"/>
      <c r="CP862" s="12"/>
      <c r="CQ862" s="9"/>
      <c r="CR862" s="10"/>
      <c r="CS862" s="68"/>
      <c r="EC862" s="344" t="str">
        <f t="shared" si="115"/>
        <v>CUNDINAMARCA_COTA</v>
      </c>
      <c r="ED862" s="341"/>
      <c r="EE862" s="341" t="s">
        <v>3184</v>
      </c>
      <c r="EF862" s="349" t="s">
        <v>3185</v>
      </c>
      <c r="EG862" s="341" t="s">
        <v>4085</v>
      </c>
      <c r="EH862" s="341" t="s">
        <v>5144</v>
      </c>
      <c r="EI862" s="341" t="str">
        <f t="shared" si="109"/>
        <v>Santander_Confines</v>
      </c>
    </row>
    <row r="863" spans="1:139" ht="38.25">
      <c r="A863" s="228">
        <v>40377</v>
      </c>
      <c r="B863" s="102" t="s">
        <v>1998</v>
      </c>
      <c r="C863" s="102" t="s">
        <v>2797</v>
      </c>
      <c r="D863" s="206" t="s">
        <v>1201</v>
      </c>
      <c r="E863" s="320" t="s">
        <v>4128</v>
      </c>
      <c r="F863" s="320"/>
      <c r="G863" s="265"/>
      <c r="H863" s="71"/>
      <c r="I863" s="71"/>
      <c r="J863" s="71">
        <v>42</v>
      </c>
      <c r="K863" s="71">
        <v>13</v>
      </c>
      <c r="L863" s="1"/>
      <c r="M863" s="73">
        <f t="shared" si="110"/>
        <v>0</v>
      </c>
      <c r="N863" s="73">
        <f t="shared" si="111"/>
        <v>0</v>
      </c>
      <c r="O863" s="73">
        <f t="shared" si="116"/>
        <v>0</v>
      </c>
      <c r="P863" s="73">
        <f t="shared" si="112"/>
        <v>0</v>
      </c>
      <c r="Q863" s="73"/>
      <c r="R863" s="73">
        <v>0</v>
      </c>
      <c r="S863" s="75">
        <f t="shared" si="114"/>
        <v>0</v>
      </c>
      <c r="T863" s="77">
        <v>0</v>
      </c>
      <c r="U863" s="66">
        <v>40379</v>
      </c>
      <c r="V863" s="79"/>
      <c r="W863" s="66" t="s">
        <v>1606</v>
      </c>
      <c r="X863" s="24" t="s">
        <v>1607</v>
      </c>
      <c r="Y863" s="62"/>
      <c r="Z863" s="198" t="s">
        <v>822</v>
      </c>
      <c r="AA863" s="80" t="s">
        <v>1714</v>
      </c>
      <c r="AB863" s="3"/>
      <c r="AC863" s="4"/>
      <c r="AD863" s="5"/>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6"/>
      <c r="CE863" s="7"/>
      <c r="CF863" s="6"/>
      <c r="CG863" s="7"/>
      <c r="CH863" s="6"/>
      <c r="CI863" s="7"/>
      <c r="CJ863" s="8">
        <f t="shared" si="113"/>
        <v>0</v>
      </c>
      <c r="CK863" s="9"/>
      <c r="CL863" s="10"/>
      <c r="CM863" s="11"/>
      <c r="CN863" s="12"/>
      <c r="CO863" s="28"/>
      <c r="CP863" s="12"/>
      <c r="CQ863" s="9"/>
      <c r="CR863" s="10"/>
      <c r="CS863" s="68"/>
      <c r="EC863" s="344" t="str">
        <f t="shared" si="115"/>
        <v>SANTANDER_PUERTO WILCHES</v>
      </c>
      <c r="ED863" s="341"/>
      <c r="EE863" s="341" t="s">
        <v>3184</v>
      </c>
      <c r="EF863" s="349" t="s">
        <v>3185</v>
      </c>
      <c r="EG863" s="341" t="s">
        <v>4086</v>
      </c>
      <c r="EH863" s="341" t="s">
        <v>5145</v>
      </c>
      <c r="EI863" s="341" t="str">
        <f t="shared" si="109"/>
        <v>Santander_Contratacion</v>
      </c>
    </row>
    <row r="864" spans="1:139" ht="45">
      <c r="A864" s="228">
        <v>40378</v>
      </c>
      <c r="B864" s="102" t="s">
        <v>1615</v>
      </c>
      <c r="C864" s="102" t="s">
        <v>1636</v>
      </c>
      <c r="D864" s="206" t="s">
        <v>1201</v>
      </c>
      <c r="E864" s="320" t="s">
        <v>3384</v>
      </c>
      <c r="F864" s="320"/>
      <c r="G864" s="210"/>
      <c r="H864" s="71"/>
      <c r="I864" s="71"/>
      <c r="J864" s="71">
        <f>960*5</f>
        <v>4800</v>
      </c>
      <c r="K864" s="71">
        <v>960</v>
      </c>
      <c r="L864" s="1">
        <v>40526</v>
      </c>
      <c r="M864" s="73">
        <f t="shared" si="110"/>
        <v>9180000</v>
      </c>
      <c r="N864" s="73">
        <f t="shared" si="111"/>
        <v>43350000</v>
      </c>
      <c r="O864" s="73">
        <f t="shared" si="116"/>
        <v>0</v>
      </c>
      <c r="P864" s="73">
        <f t="shared" si="112"/>
        <v>0</v>
      </c>
      <c r="Q864" s="73"/>
      <c r="R864" s="73">
        <v>0</v>
      </c>
      <c r="S864" s="75">
        <f t="shared" si="114"/>
        <v>52530000</v>
      </c>
      <c r="T864" s="77">
        <v>0</v>
      </c>
      <c r="U864" s="66">
        <v>40387</v>
      </c>
      <c r="V864" s="79">
        <v>57681</v>
      </c>
      <c r="W864" s="66" t="s">
        <v>1606</v>
      </c>
      <c r="X864" s="24" t="s">
        <v>1607</v>
      </c>
      <c r="Y864" s="62">
        <v>25667</v>
      </c>
      <c r="Z864" s="177" t="s">
        <v>2580</v>
      </c>
      <c r="AA864" s="80" t="s">
        <v>1098</v>
      </c>
      <c r="AB864" s="3"/>
      <c r="AC864" s="4"/>
      <c r="AD864" s="5"/>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v>510</v>
      </c>
      <c r="CC864" s="4">
        <f>510*18000</f>
        <v>9180000</v>
      </c>
      <c r="CD864" s="6"/>
      <c r="CE864" s="7"/>
      <c r="CF864" s="6"/>
      <c r="CG864" s="7"/>
      <c r="CH864" s="6"/>
      <c r="CI864" s="7"/>
      <c r="CJ864" s="8">
        <f t="shared" si="113"/>
        <v>9180000</v>
      </c>
      <c r="CK864" s="9"/>
      <c r="CL864" s="10"/>
      <c r="CM864" s="11">
        <v>510</v>
      </c>
      <c r="CN864" s="12">
        <f>510*85000</f>
        <v>43350000</v>
      </c>
      <c r="CO864" s="28"/>
      <c r="CP864" s="12"/>
      <c r="CQ864" s="9"/>
      <c r="CR864" s="10"/>
      <c r="CS864" s="68"/>
      <c r="EC864" s="344" t="str">
        <f t="shared" si="115"/>
        <v>BOLIVAR_CANTAGALLO</v>
      </c>
      <c r="ED864" s="341"/>
      <c r="EE864" s="341" t="s">
        <v>3184</v>
      </c>
      <c r="EF864" s="349" t="s">
        <v>3185</v>
      </c>
      <c r="EG864" s="341" t="s">
        <v>4087</v>
      </c>
      <c r="EH864" s="341" t="s">
        <v>5146</v>
      </c>
      <c r="EI864" s="341" t="str">
        <f t="shared" si="109"/>
        <v>Santander_Coromoro</v>
      </c>
    </row>
    <row r="865" spans="1:139" ht="38.25">
      <c r="A865" s="228">
        <v>40378</v>
      </c>
      <c r="B865" s="102" t="s">
        <v>1996</v>
      </c>
      <c r="C865" s="102" t="s">
        <v>3153</v>
      </c>
      <c r="D865" s="206" t="s">
        <v>1902</v>
      </c>
      <c r="E865" s="320" t="s">
        <v>3805</v>
      </c>
      <c r="F865" s="320"/>
      <c r="G865" s="210"/>
      <c r="H865" s="71"/>
      <c r="I865" s="71"/>
      <c r="J865" s="71">
        <v>100</v>
      </c>
      <c r="K865" s="71">
        <v>20</v>
      </c>
      <c r="L865" s="1"/>
      <c r="M865" s="73">
        <f t="shared" si="110"/>
        <v>0</v>
      </c>
      <c r="N865" s="73">
        <f t="shared" si="111"/>
        <v>0</v>
      </c>
      <c r="O865" s="73">
        <f t="shared" si="116"/>
        <v>0</v>
      </c>
      <c r="P865" s="73">
        <f t="shared" si="112"/>
        <v>0</v>
      </c>
      <c r="Q865" s="73"/>
      <c r="R865" s="73">
        <v>0</v>
      </c>
      <c r="S865" s="75">
        <f t="shared" si="114"/>
        <v>0</v>
      </c>
      <c r="T865" s="77">
        <v>0</v>
      </c>
      <c r="U865" s="66">
        <v>40407</v>
      </c>
      <c r="V865" s="79"/>
      <c r="W865" s="66" t="s">
        <v>1585</v>
      </c>
      <c r="X865" s="24" t="s">
        <v>1586</v>
      </c>
      <c r="Y865" s="62"/>
      <c r="Z865" s="177" t="s">
        <v>894</v>
      </c>
      <c r="AA865" s="80" t="s">
        <v>1510</v>
      </c>
      <c r="AB865" s="3"/>
      <c r="AC865" s="4"/>
      <c r="AD865" s="5"/>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6"/>
      <c r="CE865" s="7"/>
      <c r="CF865" s="6"/>
      <c r="CG865" s="7"/>
      <c r="CH865" s="6"/>
      <c r="CI865" s="7"/>
      <c r="CJ865" s="8">
        <f t="shared" si="113"/>
        <v>0</v>
      </c>
      <c r="CK865" s="9"/>
      <c r="CL865" s="10"/>
      <c r="CM865" s="11"/>
      <c r="CN865" s="12"/>
      <c r="CO865" s="28"/>
      <c r="CP865" s="12"/>
      <c r="CQ865" s="9"/>
      <c r="CR865" s="10"/>
      <c r="CS865" s="68"/>
      <c r="EC865" s="344" t="str">
        <f t="shared" si="115"/>
        <v>CHOCO_EL CARMEN DE ATRATO</v>
      </c>
      <c r="ED865" s="341"/>
      <c r="EE865" s="341" t="s">
        <v>3184</v>
      </c>
      <c r="EF865" s="349" t="s">
        <v>3185</v>
      </c>
      <c r="EG865" s="341" t="s">
        <v>4088</v>
      </c>
      <c r="EH865" s="341" t="s">
        <v>5147</v>
      </c>
      <c r="EI865" s="341" t="str">
        <f t="shared" si="109"/>
        <v>Santander_Curiti</v>
      </c>
    </row>
    <row r="866" spans="1:139" ht="120">
      <c r="A866" s="228">
        <v>40378</v>
      </c>
      <c r="B866" s="102" t="s">
        <v>1295</v>
      </c>
      <c r="C866" s="102" t="s">
        <v>2304</v>
      </c>
      <c r="D866" s="206" t="s">
        <v>1201</v>
      </c>
      <c r="E866" s="320" t="s">
        <v>3663</v>
      </c>
      <c r="F866" s="320"/>
      <c r="G866" s="210"/>
      <c r="H866" s="71"/>
      <c r="I866" s="71"/>
      <c r="J866" s="151">
        <f>24809-60-2430</f>
        <v>22319</v>
      </c>
      <c r="K866" s="151">
        <v>6325</v>
      </c>
      <c r="L866" s="1">
        <v>40437</v>
      </c>
      <c r="M866" s="73">
        <f t="shared" si="110"/>
        <v>12949776</v>
      </c>
      <c r="N866" s="73">
        <f t="shared" si="111"/>
        <v>29750000</v>
      </c>
      <c r="O866" s="73">
        <f t="shared" si="116"/>
        <v>0</v>
      </c>
      <c r="P866" s="73">
        <f t="shared" si="112"/>
        <v>0</v>
      </c>
      <c r="Q866" s="73"/>
      <c r="R866" s="73">
        <v>0</v>
      </c>
      <c r="S866" s="75">
        <f t="shared" si="114"/>
        <v>42699776</v>
      </c>
      <c r="T866" s="77">
        <v>0</v>
      </c>
      <c r="U866" s="66">
        <v>40381</v>
      </c>
      <c r="V866" s="79">
        <v>38767</v>
      </c>
      <c r="W866" s="66" t="s">
        <v>1606</v>
      </c>
      <c r="X866" s="24" t="s">
        <v>1607</v>
      </c>
      <c r="Y866" s="83" t="s">
        <v>1278</v>
      </c>
      <c r="Z866" s="177" t="s">
        <v>2580</v>
      </c>
      <c r="AA866" s="174" t="s">
        <v>378</v>
      </c>
      <c r="AB866" s="3"/>
      <c r="AC866" s="4"/>
      <c r="AD866" s="5"/>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6">
        <v>350</v>
      </c>
      <c r="CE866" s="7">
        <f>350*36999.36</f>
        <v>12949776</v>
      </c>
      <c r="CF866" s="6"/>
      <c r="CG866" s="7"/>
      <c r="CH866" s="6"/>
      <c r="CI866" s="7"/>
      <c r="CJ866" s="8">
        <f t="shared" si="113"/>
        <v>12949776</v>
      </c>
      <c r="CK866" s="9"/>
      <c r="CL866" s="10"/>
      <c r="CM866" s="11">
        <v>350</v>
      </c>
      <c r="CN866" s="12">
        <f>350*85000</f>
        <v>29750000</v>
      </c>
      <c r="CO866" s="28"/>
      <c r="CP866" s="12"/>
      <c r="CQ866" s="9"/>
      <c r="CR866" s="10"/>
      <c r="CS866" s="68"/>
      <c r="CT866" s="22">
        <v>1175</v>
      </c>
      <c r="EC866" s="344" t="str">
        <f t="shared" si="115"/>
        <v>CORDOBA_LORICA</v>
      </c>
      <c r="ED866" s="341"/>
      <c r="EE866" s="341" t="s">
        <v>3184</v>
      </c>
      <c r="EF866" s="349" t="s">
        <v>3185</v>
      </c>
      <c r="EG866" s="341" t="s">
        <v>4089</v>
      </c>
      <c r="EH866" s="341" t="s">
        <v>5148</v>
      </c>
      <c r="EI866" s="341" t="str">
        <f t="shared" si="109"/>
        <v>Santander_El Carmen de Chucuri</v>
      </c>
    </row>
    <row r="867" spans="1:139" ht="45">
      <c r="A867" s="228">
        <v>40378</v>
      </c>
      <c r="B867" s="102" t="s">
        <v>1295</v>
      </c>
      <c r="C867" s="102" t="s">
        <v>1722</v>
      </c>
      <c r="D867" s="206" t="s">
        <v>1201</v>
      </c>
      <c r="E867" s="320" t="s">
        <v>4324</v>
      </c>
      <c r="F867" s="320"/>
      <c r="G867" s="210"/>
      <c r="H867" s="71"/>
      <c r="I867" s="71"/>
      <c r="J867" s="71">
        <v>535</v>
      </c>
      <c r="K867" s="71">
        <v>107</v>
      </c>
      <c r="L867" s="1"/>
      <c r="M867" s="73">
        <f t="shared" si="110"/>
        <v>0</v>
      </c>
      <c r="N867" s="73">
        <f t="shared" si="111"/>
        <v>14960000</v>
      </c>
      <c r="O867" s="73">
        <f t="shared" si="116"/>
        <v>0</v>
      </c>
      <c r="P867" s="73">
        <f t="shared" si="112"/>
        <v>0</v>
      </c>
      <c r="Q867" s="73"/>
      <c r="R867" s="73">
        <v>0</v>
      </c>
      <c r="S867" s="75">
        <f t="shared" si="114"/>
        <v>14960000</v>
      </c>
      <c r="T867" s="77">
        <v>0</v>
      </c>
      <c r="U867" s="66">
        <v>40379</v>
      </c>
      <c r="V867" s="79"/>
      <c r="W867" s="66" t="s">
        <v>1606</v>
      </c>
      <c r="X867" s="24" t="s">
        <v>1607</v>
      </c>
      <c r="Y867" s="62"/>
      <c r="Z867" s="177" t="s">
        <v>2580</v>
      </c>
      <c r="AA867" s="80" t="s">
        <v>1723</v>
      </c>
      <c r="AB867" s="3"/>
      <c r="AC867" s="4"/>
      <c r="AD867" s="5"/>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6"/>
      <c r="CE867" s="7"/>
      <c r="CF867" s="6"/>
      <c r="CG867" s="7"/>
      <c r="CH867" s="6"/>
      <c r="CI867" s="7"/>
      <c r="CJ867" s="8">
        <f t="shared" si="113"/>
        <v>0</v>
      </c>
      <c r="CK867" s="9"/>
      <c r="CL867" s="10"/>
      <c r="CM867" s="11">
        <f>88+88</f>
        <v>176</v>
      </c>
      <c r="CN867" s="12">
        <f>88*85000+88*85000</f>
        <v>14960000</v>
      </c>
      <c r="CO867" s="28"/>
      <c r="CP867" s="12"/>
      <c r="CQ867" s="9"/>
      <c r="CR867" s="10"/>
      <c r="CS867" s="68"/>
      <c r="EC867" s="344" t="str">
        <f t="shared" si="115"/>
        <v>CORDOBA_TUCHIN</v>
      </c>
      <c r="ED867" s="341"/>
      <c r="EE867" s="341" t="s">
        <v>3184</v>
      </c>
      <c r="EF867" s="349" t="s">
        <v>3185</v>
      </c>
      <c r="EG867" s="341" t="s">
        <v>4090</v>
      </c>
      <c r="EH867" s="341" t="s">
        <v>5149</v>
      </c>
      <c r="EI867" s="341" t="str">
        <f t="shared" si="109"/>
        <v>Santander_El Guacamayo</v>
      </c>
    </row>
    <row r="868" spans="1:139" ht="51">
      <c r="A868" s="228">
        <v>40378</v>
      </c>
      <c r="B868" s="102" t="s">
        <v>1604</v>
      </c>
      <c r="C868" s="102" t="s">
        <v>1719</v>
      </c>
      <c r="D868" s="206" t="s">
        <v>1878</v>
      </c>
      <c r="E868" s="320" t="s">
        <v>3693</v>
      </c>
      <c r="F868" s="320"/>
      <c r="G868" s="210"/>
      <c r="H868" s="71"/>
      <c r="I868" s="71"/>
      <c r="J868" s="71">
        <v>10</v>
      </c>
      <c r="K868" s="71">
        <v>2</v>
      </c>
      <c r="L868" s="1"/>
      <c r="M868" s="73">
        <f t="shared" si="110"/>
        <v>0</v>
      </c>
      <c r="N868" s="73">
        <f t="shared" si="111"/>
        <v>0</v>
      </c>
      <c r="O868" s="73">
        <f t="shared" si="116"/>
        <v>0</v>
      </c>
      <c r="P868" s="73">
        <f t="shared" si="112"/>
        <v>0</v>
      </c>
      <c r="Q868" s="73"/>
      <c r="R868" s="73">
        <v>0</v>
      </c>
      <c r="S868" s="75">
        <f t="shared" si="114"/>
        <v>0</v>
      </c>
      <c r="T868" s="77">
        <v>0</v>
      </c>
      <c r="U868" s="66">
        <v>40379</v>
      </c>
      <c r="V868" s="79"/>
      <c r="W868" s="66" t="s">
        <v>1585</v>
      </c>
      <c r="X868" s="24" t="s">
        <v>1586</v>
      </c>
      <c r="Y868" s="62"/>
      <c r="Z868" s="177" t="s">
        <v>894</v>
      </c>
      <c r="AA868" s="80" t="s">
        <v>1720</v>
      </c>
      <c r="AB868" s="3"/>
      <c r="AC868" s="4"/>
      <c r="AD868" s="5"/>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6"/>
      <c r="CE868" s="7"/>
      <c r="CF868" s="6"/>
      <c r="CG868" s="7"/>
      <c r="CH868" s="6"/>
      <c r="CI868" s="7"/>
      <c r="CJ868" s="8">
        <f t="shared" si="113"/>
        <v>0</v>
      </c>
      <c r="CK868" s="9"/>
      <c r="CL868" s="10"/>
      <c r="CM868" s="11"/>
      <c r="CN868" s="12"/>
      <c r="CO868" s="28"/>
      <c r="CP868" s="12"/>
      <c r="CQ868" s="9"/>
      <c r="CR868" s="10"/>
      <c r="CS868" s="68"/>
      <c r="EC868" s="344" t="str">
        <f t="shared" si="115"/>
        <v>CUNDINAMARCA_CARMEN DE CARUPA</v>
      </c>
      <c r="ED868" s="341"/>
      <c r="EE868" s="341" t="s">
        <v>3184</v>
      </c>
      <c r="EF868" s="349" t="s">
        <v>3185</v>
      </c>
      <c r="EG868" s="341" t="s">
        <v>4091</v>
      </c>
      <c r="EH868" s="341" t="s">
        <v>4531</v>
      </c>
      <c r="EI868" s="341" t="str">
        <f t="shared" si="109"/>
        <v>Santander_El Peñon</v>
      </c>
    </row>
    <row r="869" spans="1:139" ht="38.25">
      <c r="A869" s="228">
        <v>40378</v>
      </c>
      <c r="B869" s="102" t="s">
        <v>965</v>
      </c>
      <c r="C869" s="102" t="s">
        <v>1327</v>
      </c>
      <c r="D869" s="206" t="s">
        <v>1316</v>
      </c>
      <c r="E869" s="320" t="s">
        <v>3998</v>
      </c>
      <c r="F869" s="320"/>
      <c r="G869" s="210">
        <v>1</v>
      </c>
      <c r="H869" s="71"/>
      <c r="I869" s="71"/>
      <c r="J869" s="71">
        <v>29</v>
      </c>
      <c r="K869" s="71">
        <v>8</v>
      </c>
      <c r="L869" s="1"/>
      <c r="M869" s="73">
        <f t="shared" si="110"/>
        <v>0</v>
      </c>
      <c r="N869" s="73">
        <f t="shared" si="111"/>
        <v>0</v>
      </c>
      <c r="O869" s="73">
        <f t="shared" si="116"/>
        <v>0</v>
      </c>
      <c r="P869" s="73">
        <f t="shared" si="112"/>
        <v>0</v>
      </c>
      <c r="Q869" s="73"/>
      <c r="R869" s="73">
        <v>0</v>
      </c>
      <c r="S869" s="75">
        <f t="shared" si="114"/>
        <v>0</v>
      </c>
      <c r="T869" s="77">
        <v>0</v>
      </c>
      <c r="U869" s="66">
        <v>40379</v>
      </c>
      <c r="V869" s="79"/>
      <c r="W869" s="66" t="s">
        <v>1585</v>
      </c>
      <c r="X869" s="24" t="s">
        <v>1586</v>
      </c>
      <c r="Y869" s="62"/>
      <c r="Z869" s="177" t="s">
        <v>894</v>
      </c>
      <c r="AA869" s="80"/>
      <c r="AB869" s="3"/>
      <c r="AC869" s="4"/>
      <c r="AD869" s="5"/>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6"/>
      <c r="CE869" s="7"/>
      <c r="CF869" s="6"/>
      <c r="CG869" s="7"/>
      <c r="CH869" s="6"/>
      <c r="CI869" s="7"/>
      <c r="CJ869" s="8">
        <f t="shared" si="113"/>
        <v>0</v>
      </c>
      <c r="CK869" s="9"/>
      <c r="CL869" s="10"/>
      <c r="CM869" s="11"/>
      <c r="CN869" s="12"/>
      <c r="CO869" s="28"/>
      <c r="CP869" s="12"/>
      <c r="CQ869" s="9"/>
      <c r="CR869" s="10"/>
      <c r="CS869" s="68"/>
      <c r="CT869" s="22">
        <v>1171</v>
      </c>
      <c r="EC869" s="344" t="str">
        <f t="shared" si="115"/>
        <v>NORTE DE SANTANDER_CUCUTA</v>
      </c>
      <c r="ED869" s="341"/>
      <c r="EE869" s="341" t="s">
        <v>3184</v>
      </c>
      <c r="EF869" s="349" t="s">
        <v>3185</v>
      </c>
      <c r="EG869" s="341" t="s">
        <v>4092</v>
      </c>
      <c r="EH869" s="341" t="s">
        <v>5150</v>
      </c>
      <c r="EI869" s="341" t="str">
        <f t="shared" si="109"/>
        <v>Santander_El Playon</v>
      </c>
    </row>
    <row r="870" spans="1:139" ht="51">
      <c r="A870" s="228">
        <v>40378</v>
      </c>
      <c r="B870" s="102" t="s">
        <v>1998</v>
      </c>
      <c r="C870" s="102" t="s">
        <v>1083</v>
      </c>
      <c r="D870" s="206" t="s">
        <v>1201</v>
      </c>
      <c r="E870" s="320" t="s">
        <v>4070</v>
      </c>
      <c r="F870" s="320"/>
      <c r="G870" s="265"/>
      <c r="H870" s="71"/>
      <c r="I870" s="71"/>
      <c r="J870" s="71">
        <f>300*5</f>
        <v>1500</v>
      </c>
      <c r="K870" s="71">
        <v>300</v>
      </c>
      <c r="L870" s="1"/>
      <c r="M870" s="73">
        <f t="shared" si="110"/>
        <v>0</v>
      </c>
      <c r="N870" s="73">
        <f t="shared" si="111"/>
        <v>0</v>
      </c>
      <c r="O870" s="73">
        <f t="shared" si="116"/>
        <v>0</v>
      </c>
      <c r="P870" s="73">
        <f t="shared" si="112"/>
        <v>0</v>
      </c>
      <c r="Q870" s="73"/>
      <c r="R870" s="73">
        <v>0</v>
      </c>
      <c r="S870" s="75">
        <f t="shared" si="114"/>
        <v>0</v>
      </c>
      <c r="T870" s="77">
        <v>0</v>
      </c>
      <c r="U870" s="66">
        <v>40379</v>
      </c>
      <c r="V870" s="79">
        <v>38584</v>
      </c>
      <c r="W870" s="66" t="s">
        <v>1606</v>
      </c>
      <c r="X870" s="24" t="s">
        <v>1607</v>
      </c>
      <c r="Y870" s="62"/>
      <c r="Z870" s="198" t="s">
        <v>830</v>
      </c>
      <c r="AA870" s="80" t="s">
        <v>1715</v>
      </c>
      <c r="AB870" s="3"/>
      <c r="AC870" s="4"/>
      <c r="AD870" s="5"/>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6"/>
      <c r="CE870" s="7"/>
      <c r="CF870" s="6"/>
      <c r="CG870" s="7"/>
      <c r="CH870" s="6"/>
      <c r="CI870" s="7"/>
      <c r="CJ870" s="8">
        <f t="shared" si="113"/>
        <v>0</v>
      </c>
      <c r="CK870" s="9"/>
      <c r="CL870" s="10"/>
      <c r="CM870" s="11"/>
      <c r="CN870" s="12"/>
      <c r="CO870" s="28"/>
      <c r="CP870" s="12"/>
      <c r="CQ870" s="9"/>
      <c r="CR870" s="10"/>
      <c r="CS870" s="68"/>
      <c r="EC870" s="344" t="str">
        <f t="shared" si="115"/>
        <v>SANTANDER_BARRANCABERMEJA</v>
      </c>
      <c r="ED870" s="341"/>
      <c r="EE870" s="341" t="s">
        <v>3184</v>
      </c>
      <c r="EF870" s="349" t="s">
        <v>3185</v>
      </c>
      <c r="EG870" s="341" t="s">
        <v>4093</v>
      </c>
      <c r="EH870" s="341" t="s">
        <v>5151</v>
      </c>
      <c r="EI870" s="341" t="str">
        <f t="shared" si="109"/>
        <v>Santander_Encino</v>
      </c>
    </row>
    <row r="871" spans="1:139" ht="38.25">
      <c r="A871" s="228">
        <v>40378</v>
      </c>
      <c r="B871" s="102" t="s">
        <v>1998</v>
      </c>
      <c r="C871" s="102" t="s">
        <v>1605</v>
      </c>
      <c r="D871" s="206" t="s">
        <v>1201</v>
      </c>
      <c r="E871" s="320" t="s">
        <v>3184</v>
      </c>
      <c r="F871" s="320"/>
      <c r="G871" s="265"/>
      <c r="H871" s="71"/>
      <c r="I871" s="71"/>
      <c r="J871" s="71"/>
      <c r="K871" s="71"/>
      <c r="L871" s="1">
        <v>40396</v>
      </c>
      <c r="M871" s="73">
        <f t="shared" si="110"/>
        <v>0</v>
      </c>
      <c r="N871" s="73">
        <f t="shared" si="111"/>
        <v>0</v>
      </c>
      <c r="O871" s="73">
        <f t="shared" si="116"/>
        <v>0</v>
      </c>
      <c r="P871" s="73">
        <f t="shared" si="112"/>
        <v>49300000</v>
      </c>
      <c r="Q871" s="73"/>
      <c r="R871" s="73">
        <v>0</v>
      </c>
      <c r="S871" s="75">
        <f t="shared" si="114"/>
        <v>49300000</v>
      </c>
      <c r="T871" s="77">
        <v>0</v>
      </c>
      <c r="U871" s="66">
        <v>40378</v>
      </c>
      <c r="V871" s="79"/>
      <c r="W871" s="66" t="s">
        <v>1606</v>
      </c>
      <c r="X871" s="24" t="s">
        <v>1607</v>
      </c>
      <c r="Y871" s="62">
        <v>229</v>
      </c>
      <c r="Z871" s="177" t="s">
        <v>577</v>
      </c>
      <c r="AA871" s="80" t="s">
        <v>578</v>
      </c>
      <c r="AB871" s="3"/>
      <c r="AC871" s="4"/>
      <c r="AD871" s="5"/>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6"/>
      <c r="CE871" s="7"/>
      <c r="CF871" s="6"/>
      <c r="CG871" s="7"/>
      <c r="CH871" s="6"/>
      <c r="CI871" s="7"/>
      <c r="CJ871" s="8">
        <f t="shared" si="113"/>
        <v>0</v>
      </c>
      <c r="CK871" s="9">
        <v>50000</v>
      </c>
      <c r="CL871" s="10">
        <f>50000*986</f>
        <v>49300000</v>
      </c>
      <c r="CM871" s="11"/>
      <c r="CN871" s="12"/>
      <c r="CO871" s="28"/>
      <c r="CP871" s="12"/>
      <c r="CQ871" s="9"/>
      <c r="CR871" s="10"/>
      <c r="CS871" s="68"/>
      <c r="EC871" s="344" t="str">
        <f t="shared" si="115"/>
        <v>SANTANDER_DEPARTAMENTO</v>
      </c>
      <c r="ED871" s="341"/>
      <c r="EE871" s="341" t="s">
        <v>3184</v>
      </c>
      <c r="EF871" s="349" t="s">
        <v>3185</v>
      </c>
      <c r="EG871" s="341" t="s">
        <v>4094</v>
      </c>
      <c r="EH871" s="341" t="s">
        <v>5152</v>
      </c>
      <c r="EI871" s="341" t="str">
        <f t="shared" si="109"/>
        <v>Santander_Enciso</v>
      </c>
    </row>
    <row r="872" spans="1:139" ht="48">
      <c r="A872" s="228">
        <v>40378</v>
      </c>
      <c r="B872" s="102" t="s">
        <v>1998</v>
      </c>
      <c r="C872" s="102" t="s">
        <v>2797</v>
      </c>
      <c r="D872" s="206" t="s">
        <v>1201</v>
      </c>
      <c r="E872" s="320" t="s">
        <v>4128</v>
      </c>
      <c r="F872" s="320"/>
      <c r="G872" s="265"/>
      <c r="H872" s="71"/>
      <c r="I872" s="71"/>
      <c r="J872" s="71">
        <v>1250</v>
      </c>
      <c r="K872" s="71">
        <v>250</v>
      </c>
      <c r="L872" s="1"/>
      <c r="M872" s="73">
        <f t="shared" si="110"/>
        <v>0</v>
      </c>
      <c r="N872" s="73">
        <f t="shared" si="111"/>
        <v>0</v>
      </c>
      <c r="O872" s="73">
        <f t="shared" si="116"/>
        <v>0</v>
      </c>
      <c r="P872" s="73">
        <f t="shared" si="112"/>
        <v>0</v>
      </c>
      <c r="Q872" s="73"/>
      <c r="R872" s="73">
        <v>0</v>
      </c>
      <c r="S872" s="75">
        <f t="shared" si="114"/>
        <v>0</v>
      </c>
      <c r="T872" s="77">
        <v>0</v>
      </c>
      <c r="U872" s="66">
        <v>40379</v>
      </c>
      <c r="V872" s="79">
        <v>38584</v>
      </c>
      <c r="W872" s="66" t="s">
        <v>1606</v>
      </c>
      <c r="X872" s="24" t="s">
        <v>1607</v>
      </c>
      <c r="Y872" s="62"/>
      <c r="Z872" s="198" t="s">
        <v>830</v>
      </c>
      <c r="AA872" s="80" t="s">
        <v>1716</v>
      </c>
      <c r="AB872" s="3"/>
      <c r="AC872" s="4"/>
      <c r="AD872" s="5"/>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6"/>
      <c r="CE872" s="7"/>
      <c r="CF872" s="6"/>
      <c r="CG872" s="7"/>
      <c r="CH872" s="6"/>
      <c r="CI872" s="7"/>
      <c r="CJ872" s="8">
        <f t="shared" si="113"/>
        <v>0</v>
      </c>
      <c r="CK872" s="9"/>
      <c r="CL872" s="10"/>
      <c r="CM872" s="11"/>
      <c r="CN872" s="12"/>
      <c r="CO872" s="28"/>
      <c r="CP872" s="12"/>
      <c r="CQ872" s="9"/>
      <c r="CR872" s="10"/>
      <c r="CS872" s="68"/>
      <c r="EC872" s="344" t="str">
        <f t="shared" si="115"/>
        <v>SANTANDER_PUERTO WILCHES</v>
      </c>
      <c r="ED872" s="341"/>
      <c r="EE872" s="341" t="s">
        <v>3184</v>
      </c>
      <c r="EF872" s="349" t="s">
        <v>3185</v>
      </c>
      <c r="EG872" s="341" t="s">
        <v>4095</v>
      </c>
      <c r="EH872" s="341" t="s">
        <v>5153</v>
      </c>
      <c r="EI872" s="341" t="str">
        <f t="shared" si="109"/>
        <v>Santander_Florian</v>
      </c>
    </row>
    <row r="873" spans="1:139" ht="96">
      <c r="A873" s="228">
        <v>40378</v>
      </c>
      <c r="B873" s="102" t="s">
        <v>1943</v>
      </c>
      <c r="C873" s="102" t="s">
        <v>602</v>
      </c>
      <c r="D873" s="206" t="s">
        <v>1201</v>
      </c>
      <c r="E873" s="320" t="s">
        <v>4160</v>
      </c>
      <c r="F873" s="320"/>
      <c r="G873" s="210"/>
      <c r="H873" s="71"/>
      <c r="I873" s="71"/>
      <c r="J873" s="71">
        <f>4472-300</f>
        <v>4172</v>
      </c>
      <c r="K873" s="71">
        <f>1118-60</f>
        <v>1058</v>
      </c>
      <c r="L873" s="1">
        <v>40396</v>
      </c>
      <c r="M873" s="73">
        <f t="shared" si="110"/>
        <v>122317000</v>
      </c>
      <c r="N873" s="73">
        <f t="shared" si="111"/>
        <v>275060000</v>
      </c>
      <c r="O873" s="73">
        <f t="shared" si="116"/>
        <v>0</v>
      </c>
      <c r="P873" s="73">
        <f t="shared" si="112"/>
        <v>0</v>
      </c>
      <c r="Q873" s="73">
        <v>11460800</v>
      </c>
      <c r="R873" s="73">
        <v>0</v>
      </c>
      <c r="S873" s="75">
        <f t="shared" si="114"/>
        <v>408837800</v>
      </c>
      <c r="T873" s="77">
        <v>0</v>
      </c>
      <c r="U873" s="66">
        <v>40381</v>
      </c>
      <c r="V873" s="79">
        <v>38879</v>
      </c>
      <c r="W873" s="66" t="s">
        <v>1606</v>
      </c>
      <c r="X873" s="24" t="s">
        <v>1607</v>
      </c>
      <c r="Y873" s="83" t="s">
        <v>1508</v>
      </c>
      <c r="Z873" s="177" t="s">
        <v>1435</v>
      </c>
      <c r="AA873" s="80" t="s">
        <v>1154</v>
      </c>
      <c r="AB873" s="3"/>
      <c r="AC873" s="4"/>
      <c r="AD873" s="5"/>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v>15</v>
      </c>
      <c r="BO873" s="4">
        <f>15*504600</f>
        <v>7569000</v>
      </c>
      <c r="BP873" s="4"/>
      <c r="BQ873" s="4"/>
      <c r="BR873" s="4"/>
      <c r="BS873" s="4"/>
      <c r="BT873" s="4"/>
      <c r="BU873" s="4"/>
      <c r="BV873" s="4"/>
      <c r="BW873" s="4"/>
      <c r="BX873" s="4"/>
      <c r="BY873" s="4"/>
      <c r="BZ873" s="4"/>
      <c r="CA873" s="4"/>
      <c r="CB873" s="4">
        <v>2236</v>
      </c>
      <c r="CC873" s="4">
        <f>2236*18000</f>
        <v>40248000</v>
      </c>
      <c r="CD873" s="6">
        <v>1000</v>
      </c>
      <c r="CE873" s="7">
        <f>1000*38500</f>
        <v>38500000</v>
      </c>
      <c r="CF873" s="6">
        <v>1000</v>
      </c>
      <c r="CG873" s="7">
        <f>1000*36000</f>
        <v>36000000</v>
      </c>
      <c r="CH873" s="6"/>
      <c r="CI873" s="7"/>
      <c r="CJ873" s="8">
        <f t="shared" si="113"/>
        <v>122317000</v>
      </c>
      <c r="CK873" s="9"/>
      <c r="CL873" s="10"/>
      <c r="CM873" s="11">
        <f>1000+1118+1118</f>
        <v>3236</v>
      </c>
      <c r="CN873" s="12">
        <f>1000*85000+1118*85000+1118*85000</f>
        <v>275060000</v>
      </c>
      <c r="CO873" s="28"/>
      <c r="CP873" s="12"/>
      <c r="CQ873" s="9"/>
      <c r="CR873" s="10"/>
      <c r="CS873" s="68"/>
      <c r="EC873" s="344" t="str">
        <f t="shared" si="115"/>
        <v>SUCRE_GUARANDA</v>
      </c>
      <c r="ED873" s="341"/>
      <c r="EE873" s="341" t="s">
        <v>3184</v>
      </c>
      <c r="EF873" s="349" t="s">
        <v>3185</v>
      </c>
      <c r="EG873" s="341" t="s">
        <v>4096</v>
      </c>
      <c r="EH873" s="341" t="s">
        <v>5154</v>
      </c>
      <c r="EI873" s="341" t="str">
        <f t="shared" si="109"/>
        <v>Santander_Floridablanca</v>
      </c>
    </row>
    <row r="874" spans="1:139" ht="38.25">
      <c r="A874" s="228">
        <v>40378</v>
      </c>
      <c r="B874" s="102" t="s">
        <v>1088</v>
      </c>
      <c r="C874" s="102" t="s">
        <v>901</v>
      </c>
      <c r="D874" s="206" t="s">
        <v>1923</v>
      </c>
      <c r="E874" s="320" t="s">
        <v>4259</v>
      </c>
      <c r="F874" s="320"/>
      <c r="G874" s="210"/>
      <c r="H874" s="71">
        <v>4</v>
      </c>
      <c r="I874" s="71"/>
      <c r="J874" s="71"/>
      <c r="K874" s="71"/>
      <c r="L874" s="1"/>
      <c r="M874" s="73">
        <f t="shared" si="110"/>
        <v>0</v>
      </c>
      <c r="N874" s="73">
        <f t="shared" si="111"/>
        <v>0</v>
      </c>
      <c r="O874" s="73">
        <f t="shared" si="116"/>
        <v>0</v>
      </c>
      <c r="P874" s="73">
        <f t="shared" si="112"/>
        <v>0</v>
      </c>
      <c r="Q874" s="73"/>
      <c r="R874" s="73">
        <v>0</v>
      </c>
      <c r="S874" s="75">
        <f t="shared" si="114"/>
        <v>0</v>
      </c>
      <c r="T874" s="77">
        <v>0</v>
      </c>
      <c r="U874" s="66">
        <v>40381</v>
      </c>
      <c r="V874" s="79"/>
      <c r="W874" s="66" t="s">
        <v>1585</v>
      </c>
      <c r="X874" s="24" t="s">
        <v>1586</v>
      </c>
      <c r="Y874" s="62"/>
      <c r="Z874" s="177" t="s">
        <v>894</v>
      </c>
      <c r="AA874" s="80" t="s">
        <v>1813</v>
      </c>
      <c r="AB874" s="3"/>
      <c r="AC874" s="4"/>
      <c r="AD874" s="5"/>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6"/>
      <c r="CE874" s="7"/>
      <c r="CF874" s="6"/>
      <c r="CG874" s="7"/>
      <c r="CH874" s="6"/>
      <c r="CI874" s="7"/>
      <c r="CJ874" s="8">
        <f t="shared" si="113"/>
        <v>0</v>
      </c>
      <c r="CK874" s="9"/>
      <c r="CL874" s="10"/>
      <c r="CM874" s="11"/>
      <c r="CN874" s="12"/>
      <c r="CO874" s="28"/>
      <c r="CP874" s="12"/>
      <c r="CQ874" s="9"/>
      <c r="CR874" s="10"/>
      <c r="CS874" s="68"/>
      <c r="EC874" s="344" t="str">
        <f t="shared" si="115"/>
        <v>VALLE DEL CAUCA_TULUA</v>
      </c>
      <c r="ED874" s="341"/>
      <c r="EE874" s="341" t="s">
        <v>3184</v>
      </c>
      <c r="EF874" s="349" t="s">
        <v>3185</v>
      </c>
      <c r="EG874" s="341" t="s">
        <v>4097</v>
      </c>
      <c r="EH874" s="341" t="s">
        <v>5155</v>
      </c>
      <c r="EI874" s="341" t="str">
        <f t="shared" si="109"/>
        <v>Santander_Galan</v>
      </c>
    </row>
    <row r="875" spans="1:139" ht="132">
      <c r="A875" s="228">
        <v>40379</v>
      </c>
      <c r="B875" s="102" t="s">
        <v>1821</v>
      </c>
      <c r="C875" s="102" t="s">
        <v>1530</v>
      </c>
      <c r="D875" s="206" t="s">
        <v>1201</v>
      </c>
      <c r="E875" s="320" t="s">
        <v>3629</v>
      </c>
      <c r="F875" s="320"/>
      <c r="G875" s="210"/>
      <c r="H875" s="71"/>
      <c r="I875" s="71"/>
      <c r="J875" s="71">
        <v>2770</v>
      </c>
      <c r="K875" s="71">
        <v>554</v>
      </c>
      <c r="L875" s="1">
        <v>40427</v>
      </c>
      <c r="M875" s="73">
        <f t="shared" si="110"/>
        <v>29916000</v>
      </c>
      <c r="N875" s="73">
        <f t="shared" si="111"/>
        <v>47090000</v>
      </c>
      <c r="O875" s="73">
        <f>30*225000.56+50*215296+50*200000.24+50*200000.24+40*140000.4</f>
        <v>43114856.799999997</v>
      </c>
      <c r="P875" s="73">
        <f t="shared" si="112"/>
        <v>0</v>
      </c>
      <c r="Q875" s="73"/>
      <c r="R875" s="73">
        <v>0</v>
      </c>
      <c r="S875" s="75">
        <f t="shared" si="114"/>
        <v>120120856.8</v>
      </c>
      <c r="T875" s="77">
        <v>0</v>
      </c>
      <c r="U875" s="66">
        <v>40393</v>
      </c>
      <c r="V875" s="79">
        <v>38583</v>
      </c>
      <c r="W875" s="66" t="s">
        <v>1606</v>
      </c>
      <c r="X875" s="24" t="s">
        <v>1607</v>
      </c>
      <c r="Y875" s="83" t="s">
        <v>875</v>
      </c>
      <c r="Z875" s="177" t="s">
        <v>1031</v>
      </c>
      <c r="AA875" s="80" t="s">
        <v>876</v>
      </c>
      <c r="AB875" s="3"/>
      <c r="AC875" s="4"/>
      <c r="AD875" s="5"/>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v>554</v>
      </c>
      <c r="CC875" s="4">
        <f>554*18000</f>
        <v>9972000</v>
      </c>
      <c r="CD875" s="6"/>
      <c r="CE875" s="7"/>
      <c r="CF875" s="6">
        <v>554</v>
      </c>
      <c r="CG875" s="7">
        <f>554*36000</f>
        <v>19944000</v>
      </c>
      <c r="CH875" s="6"/>
      <c r="CI875" s="7"/>
      <c r="CJ875" s="8">
        <f t="shared" si="113"/>
        <v>29916000</v>
      </c>
      <c r="CK875" s="9"/>
      <c r="CL875" s="10"/>
      <c r="CM875" s="11">
        <v>554</v>
      </c>
      <c r="CN875" s="12">
        <f>554*85000</f>
        <v>47090000</v>
      </c>
      <c r="CO875" s="28"/>
      <c r="CP875" s="12"/>
      <c r="CQ875" s="9"/>
      <c r="CR875" s="10"/>
      <c r="CS875" s="68"/>
      <c r="EC875" s="344" t="str">
        <f t="shared" si="115"/>
        <v>CESAR_AGUACHICA</v>
      </c>
      <c r="ED875" s="341"/>
      <c r="EE875" s="341" t="s">
        <v>3184</v>
      </c>
      <c r="EF875" s="349" t="s">
        <v>3185</v>
      </c>
      <c r="EG875" s="341" t="s">
        <v>4098</v>
      </c>
      <c r="EH875" s="341" t="s">
        <v>5156</v>
      </c>
      <c r="EI875" s="341" t="str">
        <f t="shared" si="109"/>
        <v>Santander_Gambita</v>
      </c>
    </row>
    <row r="876" spans="1:139" ht="25.5">
      <c r="A876" s="228">
        <v>40379</v>
      </c>
      <c r="B876" s="102" t="s">
        <v>1821</v>
      </c>
      <c r="C876" s="102" t="s">
        <v>2246</v>
      </c>
      <c r="D876" s="206" t="s">
        <v>1201</v>
      </c>
      <c r="E876" s="320" t="s">
        <v>3636</v>
      </c>
      <c r="F876" s="320"/>
      <c r="G876" s="210"/>
      <c r="H876" s="71"/>
      <c r="I876" s="71"/>
      <c r="J876" s="71">
        <f>46*5</f>
        <v>230</v>
      </c>
      <c r="K876" s="71">
        <v>46</v>
      </c>
      <c r="L876" s="1">
        <v>40427</v>
      </c>
      <c r="M876" s="73">
        <f t="shared" si="110"/>
        <v>2484000</v>
      </c>
      <c r="N876" s="73">
        <f t="shared" si="111"/>
        <v>3910000</v>
      </c>
      <c r="O876" s="73">
        <f t="shared" ref="O876:O907" si="117">CP876+CR876</f>
        <v>0</v>
      </c>
      <c r="P876" s="73">
        <f t="shared" si="112"/>
        <v>0</v>
      </c>
      <c r="Q876" s="73"/>
      <c r="R876" s="73">
        <v>0</v>
      </c>
      <c r="S876" s="75">
        <f t="shared" si="114"/>
        <v>6394000</v>
      </c>
      <c r="T876" s="77">
        <v>0</v>
      </c>
      <c r="U876" s="66">
        <v>40393</v>
      </c>
      <c r="V876" s="79">
        <v>38583</v>
      </c>
      <c r="W876" s="66" t="s">
        <v>1606</v>
      </c>
      <c r="X876" s="24" t="s">
        <v>1607</v>
      </c>
      <c r="Y876" s="83" t="s">
        <v>2085</v>
      </c>
      <c r="Z876" s="177" t="s">
        <v>1031</v>
      </c>
      <c r="AA876" s="80" t="s">
        <v>1532</v>
      </c>
      <c r="AB876" s="3"/>
      <c r="AC876" s="4"/>
      <c r="AD876" s="5"/>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v>46</v>
      </c>
      <c r="CC876" s="4">
        <f>46*18000</f>
        <v>828000</v>
      </c>
      <c r="CD876" s="6"/>
      <c r="CE876" s="7"/>
      <c r="CF876" s="6">
        <v>46</v>
      </c>
      <c r="CG876" s="7">
        <f>46*36000</f>
        <v>1656000</v>
      </c>
      <c r="CH876" s="6"/>
      <c r="CI876" s="7"/>
      <c r="CJ876" s="8">
        <f t="shared" si="113"/>
        <v>2484000</v>
      </c>
      <c r="CK876" s="9"/>
      <c r="CL876" s="10"/>
      <c r="CM876" s="11">
        <v>46</v>
      </c>
      <c r="CN876" s="12">
        <f>46*85000</f>
        <v>3910000</v>
      </c>
      <c r="CO876" s="28"/>
      <c r="CP876" s="12"/>
      <c r="CQ876" s="9"/>
      <c r="CR876" s="10"/>
      <c r="CS876" s="68"/>
      <c r="EC876" s="344" t="str">
        <f t="shared" si="115"/>
        <v>CESAR_CURUMANI</v>
      </c>
      <c r="ED876" s="341"/>
      <c r="EE876" s="341" t="s">
        <v>3184</v>
      </c>
      <c r="EF876" s="349" t="s">
        <v>3185</v>
      </c>
      <c r="EG876" s="341" t="s">
        <v>4099</v>
      </c>
      <c r="EH876" s="341" t="s">
        <v>5157</v>
      </c>
      <c r="EI876" s="341" t="str">
        <f t="shared" si="109"/>
        <v>Santander_Giron</v>
      </c>
    </row>
    <row r="877" spans="1:139" ht="84">
      <c r="A877" s="228">
        <v>40379</v>
      </c>
      <c r="B877" s="102" t="s">
        <v>1821</v>
      </c>
      <c r="C877" s="102" t="s">
        <v>1640</v>
      </c>
      <c r="D877" s="206" t="s">
        <v>1201</v>
      </c>
      <c r="E877" s="320" t="s">
        <v>3652</v>
      </c>
      <c r="F877" s="320"/>
      <c r="G877" s="210"/>
      <c r="H877" s="71"/>
      <c r="I877" s="71"/>
      <c r="J877" s="71">
        <f>465*5</f>
        <v>2325</v>
      </c>
      <c r="K877" s="71">
        <f>955-487-3</f>
        <v>465</v>
      </c>
      <c r="L877" s="1">
        <v>40452</v>
      </c>
      <c r="M877" s="73">
        <f t="shared" si="110"/>
        <v>11880000</v>
      </c>
      <c r="N877" s="73">
        <f t="shared" si="111"/>
        <v>18700000</v>
      </c>
      <c r="O877" s="73">
        <f t="shared" si="117"/>
        <v>0</v>
      </c>
      <c r="P877" s="73">
        <f t="shared" si="112"/>
        <v>0</v>
      </c>
      <c r="Q877" s="73"/>
      <c r="R877" s="73">
        <v>0</v>
      </c>
      <c r="S877" s="75">
        <f t="shared" si="114"/>
        <v>30580000</v>
      </c>
      <c r="T877" s="77">
        <v>0</v>
      </c>
      <c r="U877" s="66">
        <v>40385</v>
      </c>
      <c r="V877" s="79">
        <v>50562</v>
      </c>
      <c r="W877" s="66" t="s">
        <v>1606</v>
      </c>
      <c r="X877" s="24" t="s">
        <v>1607</v>
      </c>
      <c r="Y877" s="62">
        <v>20729</v>
      </c>
      <c r="Z877" s="177" t="s">
        <v>2087</v>
      </c>
      <c r="AA877" s="82" t="s">
        <v>1660</v>
      </c>
      <c r="AB877" s="105"/>
      <c r="AC877" s="4"/>
      <c r="AD877" s="5"/>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v>220</v>
      </c>
      <c r="CC877" s="4">
        <f>220*18000</f>
        <v>3960000</v>
      </c>
      <c r="CD877" s="6"/>
      <c r="CE877" s="7"/>
      <c r="CF877" s="6">
        <v>220</v>
      </c>
      <c r="CG877" s="7">
        <f>220*36000</f>
        <v>7920000</v>
      </c>
      <c r="CH877" s="6"/>
      <c r="CI877" s="7"/>
      <c r="CJ877" s="8">
        <f t="shared" si="113"/>
        <v>11880000</v>
      </c>
      <c r="CK877" s="9"/>
      <c r="CL877" s="10"/>
      <c r="CM877" s="11">
        <v>220</v>
      </c>
      <c r="CN877" s="12">
        <f>220*85000</f>
        <v>18700000</v>
      </c>
      <c r="CO877" s="28"/>
      <c r="CP877" s="12"/>
      <c r="CQ877" s="9"/>
      <c r="CR877" s="10"/>
      <c r="CS877" s="68"/>
      <c r="EC877" s="344" t="str">
        <f t="shared" si="115"/>
        <v>CESAR_TAMALAMEQUE</v>
      </c>
      <c r="ED877" s="341"/>
      <c r="EE877" s="341" t="s">
        <v>3184</v>
      </c>
      <c r="EF877" s="349" t="s">
        <v>3185</v>
      </c>
      <c r="EG877" s="341" t="s">
        <v>4100</v>
      </c>
      <c r="EH877" s="341" t="s">
        <v>5158</v>
      </c>
      <c r="EI877" s="341" t="str">
        <f t="shared" si="109"/>
        <v>Santander_Guaca</v>
      </c>
    </row>
    <row r="878" spans="1:139" ht="38.25">
      <c r="A878" s="235">
        <v>40380</v>
      </c>
      <c r="B878" s="224" t="s">
        <v>1972</v>
      </c>
      <c r="C878" s="224" t="s">
        <v>2041</v>
      </c>
      <c r="D878" s="236" t="s">
        <v>1201</v>
      </c>
      <c r="E878" s="324" t="s">
        <v>3351</v>
      </c>
      <c r="F878" s="324"/>
      <c r="G878" s="210"/>
      <c r="H878" s="71"/>
      <c r="I878" s="71"/>
      <c r="J878" s="71">
        <v>500</v>
      </c>
      <c r="K878" s="71">
        <v>200</v>
      </c>
      <c r="L878" s="1"/>
      <c r="M878" s="73">
        <f t="shared" si="110"/>
        <v>0</v>
      </c>
      <c r="N878" s="73">
        <f t="shared" si="111"/>
        <v>0</v>
      </c>
      <c r="O878" s="73">
        <f t="shared" si="117"/>
        <v>0</v>
      </c>
      <c r="P878" s="73">
        <f t="shared" si="112"/>
        <v>0</v>
      </c>
      <c r="Q878" s="73"/>
      <c r="R878" s="73">
        <v>0</v>
      </c>
      <c r="S878" s="75">
        <f t="shared" si="114"/>
        <v>0</v>
      </c>
      <c r="T878" s="77">
        <v>0</v>
      </c>
      <c r="U878" s="66">
        <v>40381</v>
      </c>
      <c r="V878" s="79"/>
      <c r="W878" s="66" t="s">
        <v>1585</v>
      </c>
      <c r="X878" s="24" t="s">
        <v>1586</v>
      </c>
      <c r="Y878" s="62"/>
      <c r="Z878" s="177" t="s">
        <v>894</v>
      </c>
      <c r="AA878" s="82" t="s">
        <v>2249</v>
      </c>
      <c r="AB878" s="105"/>
      <c r="AC878" s="4"/>
      <c r="AD878" s="5"/>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6"/>
      <c r="CE878" s="7"/>
      <c r="CF878" s="6"/>
      <c r="CG878" s="7"/>
      <c r="CH878" s="6"/>
      <c r="CI878" s="7"/>
      <c r="CJ878" s="8">
        <f t="shared" si="113"/>
        <v>0</v>
      </c>
      <c r="CK878" s="9"/>
      <c r="CL878" s="10"/>
      <c r="CM878" s="11"/>
      <c r="CN878" s="12"/>
      <c r="CO878" s="28"/>
      <c r="CP878" s="12"/>
      <c r="CQ878" s="9"/>
      <c r="CR878" s="10"/>
      <c r="CS878" s="68"/>
      <c r="EC878" s="344" t="str">
        <f t="shared" si="115"/>
        <v>ANTIOQUIA_ZARAGOZA</v>
      </c>
      <c r="ED878" s="341"/>
      <c r="EE878" s="341" t="s">
        <v>3184</v>
      </c>
      <c r="EF878" s="349" t="s">
        <v>3185</v>
      </c>
      <c r="EG878" s="341" t="s">
        <v>4101</v>
      </c>
      <c r="EH878" s="341" t="s">
        <v>4423</v>
      </c>
      <c r="EI878" s="341" t="str">
        <f t="shared" si="109"/>
        <v>Santander_Guadalupe</v>
      </c>
    </row>
    <row r="879" spans="1:139" ht="38.25">
      <c r="A879" s="228">
        <v>40380</v>
      </c>
      <c r="B879" s="102" t="s">
        <v>2298</v>
      </c>
      <c r="C879" s="102" t="s">
        <v>1610</v>
      </c>
      <c r="D879" s="206" t="s">
        <v>1316</v>
      </c>
      <c r="E879" s="320" t="s">
        <v>3375</v>
      </c>
      <c r="F879" s="320"/>
      <c r="G879" s="210"/>
      <c r="H879" s="71"/>
      <c r="I879" s="71"/>
      <c r="J879" s="71">
        <v>75</v>
      </c>
      <c r="K879" s="71">
        <v>15</v>
      </c>
      <c r="L879" s="1"/>
      <c r="M879" s="73">
        <f t="shared" si="110"/>
        <v>0</v>
      </c>
      <c r="N879" s="73">
        <f t="shared" si="111"/>
        <v>0</v>
      </c>
      <c r="O879" s="73">
        <f t="shared" si="117"/>
        <v>0</v>
      </c>
      <c r="P879" s="73">
        <f t="shared" si="112"/>
        <v>0</v>
      </c>
      <c r="Q879" s="73"/>
      <c r="R879" s="73">
        <v>0</v>
      </c>
      <c r="S879" s="75">
        <f t="shared" si="114"/>
        <v>0</v>
      </c>
      <c r="T879" s="77">
        <v>0</v>
      </c>
      <c r="U879" s="66">
        <v>40381</v>
      </c>
      <c r="V879" s="79"/>
      <c r="W879" s="66" t="s">
        <v>1585</v>
      </c>
      <c r="X879" s="24" t="s">
        <v>1586</v>
      </c>
      <c r="Y879" s="62"/>
      <c r="Z879" s="177" t="s">
        <v>894</v>
      </c>
      <c r="AA879" s="82" t="s">
        <v>1818</v>
      </c>
      <c r="AB879" s="105"/>
      <c r="AC879" s="4"/>
      <c r="AD879" s="5"/>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6"/>
      <c r="CE879" s="7"/>
      <c r="CF879" s="6"/>
      <c r="CG879" s="7"/>
      <c r="CH879" s="6"/>
      <c r="CI879" s="7"/>
      <c r="CJ879" s="8">
        <f t="shared" si="113"/>
        <v>0</v>
      </c>
      <c r="CK879" s="9"/>
      <c r="CL879" s="10"/>
      <c r="CM879" s="11"/>
      <c r="CN879" s="12"/>
      <c r="CO879" s="28"/>
      <c r="CP879" s="12"/>
      <c r="CQ879" s="9"/>
      <c r="CR879" s="10"/>
      <c r="CS879" s="68"/>
      <c r="EC879" s="344" t="str">
        <f t="shared" si="115"/>
        <v>BOGOTA D.C._BOGOTA</v>
      </c>
      <c r="ED879" s="341"/>
      <c r="EE879" s="341" t="s">
        <v>3184</v>
      </c>
      <c r="EF879" s="349" t="s">
        <v>3185</v>
      </c>
      <c r="EG879" s="341" t="s">
        <v>4102</v>
      </c>
      <c r="EH879" s="341" t="s">
        <v>5159</v>
      </c>
      <c r="EI879" s="341" t="str">
        <f t="shared" si="109"/>
        <v>Santander_Guapota</v>
      </c>
    </row>
    <row r="880" spans="1:139" ht="38.25">
      <c r="A880" s="228">
        <v>40380</v>
      </c>
      <c r="B880" s="102" t="s">
        <v>2298</v>
      </c>
      <c r="C880" s="102" t="s">
        <v>1610</v>
      </c>
      <c r="D880" s="206" t="s">
        <v>1316</v>
      </c>
      <c r="E880" s="320" t="s">
        <v>3375</v>
      </c>
      <c r="F880" s="320"/>
      <c r="G880" s="210"/>
      <c r="H880" s="71"/>
      <c r="I880" s="71"/>
      <c r="J880" s="71">
        <v>5</v>
      </c>
      <c r="K880" s="71">
        <v>1</v>
      </c>
      <c r="L880" s="1"/>
      <c r="M880" s="73">
        <f t="shared" si="110"/>
        <v>0</v>
      </c>
      <c r="N880" s="73">
        <f t="shared" si="111"/>
        <v>0</v>
      </c>
      <c r="O880" s="73">
        <f t="shared" si="117"/>
        <v>0</v>
      </c>
      <c r="P880" s="73">
        <f t="shared" si="112"/>
        <v>0</v>
      </c>
      <c r="Q880" s="73"/>
      <c r="R880" s="73">
        <v>0</v>
      </c>
      <c r="S880" s="75">
        <f t="shared" si="114"/>
        <v>0</v>
      </c>
      <c r="T880" s="77">
        <v>0</v>
      </c>
      <c r="U880" s="66">
        <v>40381</v>
      </c>
      <c r="V880" s="79"/>
      <c r="W880" s="66" t="s">
        <v>1585</v>
      </c>
      <c r="X880" s="24" t="s">
        <v>1586</v>
      </c>
      <c r="Y880" s="62"/>
      <c r="Z880" s="177" t="s">
        <v>894</v>
      </c>
      <c r="AA880" s="80" t="s">
        <v>1819</v>
      </c>
      <c r="AB880" s="3"/>
      <c r="AC880" s="4"/>
      <c r="AD880" s="5"/>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6"/>
      <c r="CE880" s="7"/>
      <c r="CF880" s="6"/>
      <c r="CG880" s="7"/>
      <c r="CH880" s="6"/>
      <c r="CI880" s="7"/>
      <c r="CJ880" s="8">
        <f t="shared" si="113"/>
        <v>0</v>
      </c>
      <c r="CK880" s="9"/>
      <c r="CL880" s="10"/>
      <c r="CM880" s="11"/>
      <c r="CN880" s="12"/>
      <c r="CO880" s="28"/>
      <c r="CP880" s="12"/>
      <c r="CQ880" s="9"/>
      <c r="CR880" s="10"/>
      <c r="CS880" s="68"/>
      <c r="EC880" s="344" t="str">
        <f t="shared" si="115"/>
        <v>BOGOTA D.C._BOGOTA</v>
      </c>
      <c r="ED880" s="341"/>
      <c r="EE880" s="341" t="s">
        <v>3184</v>
      </c>
      <c r="EF880" s="349" t="s">
        <v>3185</v>
      </c>
      <c r="EG880" s="341" t="s">
        <v>4103</v>
      </c>
      <c r="EH880" s="341" t="s">
        <v>5160</v>
      </c>
      <c r="EI880" s="341" t="str">
        <f t="shared" si="109"/>
        <v>Santander_Guavata</v>
      </c>
    </row>
    <row r="881" spans="1:139" ht="84">
      <c r="A881" s="228">
        <v>40380</v>
      </c>
      <c r="B881" s="102" t="s">
        <v>1615</v>
      </c>
      <c r="C881" s="102" t="s">
        <v>604</v>
      </c>
      <c r="D881" s="206" t="s">
        <v>1201</v>
      </c>
      <c r="E881" s="320" t="s">
        <v>3380</v>
      </c>
      <c r="F881" s="320"/>
      <c r="G881" s="210"/>
      <c r="H881" s="71"/>
      <c r="I881" s="71"/>
      <c r="J881" s="71">
        <f>45*5</f>
        <v>225</v>
      </c>
      <c r="K881" s="71">
        <v>45</v>
      </c>
      <c r="L881" s="1"/>
      <c r="M881" s="73">
        <f t="shared" si="110"/>
        <v>0</v>
      </c>
      <c r="N881" s="73">
        <f t="shared" si="111"/>
        <v>0</v>
      </c>
      <c r="O881" s="73">
        <f t="shared" si="117"/>
        <v>0</v>
      </c>
      <c r="P881" s="73">
        <f t="shared" si="112"/>
        <v>0</v>
      </c>
      <c r="Q881" s="73"/>
      <c r="R881" s="73">
        <v>0</v>
      </c>
      <c r="S881" s="75">
        <f t="shared" si="114"/>
        <v>0</v>
      </c>
      <c r="T881" s="77">
        <v>0</v>
      </c>
      <c r="U881" s="66">
        <v>40352</v>
      </c>
      <c r="V881" s="79"/>
      <c r="W881" s="66" t="s">
        <v>1585</v>
      </c>
      <c r="X881" s="24" t="s">
        <v>1586</v>
      </c>
      <c r="Y881" s="62"/>
      <c r="Z881" s="177" t="s">
        <v>894</v>
      </c>
      <c r="AA881" s="80" t="s">
        <v>1118</v>
      </c>
      <c r="AB881" s="3"/>
      <c r="AC881" s="4"/>
      <c r="AD881" s="5"/>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6"/>
      <c r="CE881" s="7"/>
      <c r="CF881" s="6"/>
      <c r="CG881" s="7"/>
      <c r="CH881" s="6"/>
      <c r="CI881" s="7"/>
      <c r="CJ881" s="8">
        <f t="shared" si="113"/>
        <v>0</v>
      </c>
      <c r="CK881" s="9"/>
      <c r="CL881" s="10"/>
      <c r="CM881" s="11"/>
      <c r="CN881" s="12"/>
      <c r="CO881" s="28"/>
      <c r="CP881" s="12"/>
      <c r="CQ881" s="9"/>
      <c r="CR881" s="10"/>
      <c r="CS881" s="68"/>
      <c r="EC881" s="344" t="str">
        <f t="shared" si="115"/>
        <v>BOLIVAR_ARJONA</v>
      </c>
      <c r="ED881" s="341"/>
      <c r="EE881" s="341" t="s">
        <v>3184</v>
      </c>
      <c r="EF881" s="349" t="s">
        <v>3185</v>
      </c>
      <c r="EG881" s="341" t="s">
        <v>4104</v>
      </c>
      <c r="EH881" s="341" t="s">
        <v>5161</v>
      </c>
      <c r="EI881" s="341" t="str">
        <f t="shared" si="109"/>
        <v>Santander_Guepsa</v>
      </c>
    </row>
    <row r="882" spans="1:139" ht="144">
      <c r="A882" s="228">
        <v>40380</v>
      </c>
      <c r="B882" s="102" t="s">
        <v>1615</v>
      </c>
      <c r="C882" s="102" t="s">
        <v>3118</v>
      </c>
      <c r="D882" s="206" t="s">
        <v>1201</v>
      </c>
      <c r="E882" s="320" t="s">
        <v>3401</v>
      </c>
      <c r="F882" s="320"/>
      <c r="G882" s="210"/>
      <c r="H882" s="71"/>
      <c r="I882" s="71"/>
      <c r="J882" s="71">
        <f>1444*5</f>
        <v>7220</v>
      </c>
      <c r="K882" s="71">
        <v>1444</v>
      </c>
      <c r="L882" s="1">
        <v>40415</v>
      </c>
      <c r="M882" s="73">
        <f t="shared" si="110"/>
        <v>151945000</v>
      </c>
      <c r="N882" s="73">
        <f t="shared" si="111"/>
        <v>162945000</v>
      </c>
      <c r="O882" s="73">
        <f t="shared" si="117"/>
        <v>0</v>
      </c>
      <c r="P882" s="73">
        <f t="shared" si="112"/>
        <v>27003200</v>
      </c>
      <c r="Q882" s="73">
        <f>500*24000+51250000*1.16</f>
        <v>71450000</v>
      </c>
      <c r="R882" s="73">
        <v>0</v>
      </c>
      <c r="S882" s="75">
        <f t="shared" si="114"/>
        <v>413343200</v>
      </c>
      <c r="T882" s="77">
        <v>0</v>
      </c>
      <c r="U882" s="66">
        <v>40395</v>
      </c>
      <c r="V882" s="89" t="s">
        <v>818</v>
      </c>
      <c r="W882" s="66" t="s">
        <v>1606</v>
      </c>
      <c r="X882" s="24" t="s">
        <v>1607</v>
      </c>
      <c r="Y882" s="83" t="s">
        <v>437</v>
      </c>
      <c r="Z882" s="177" t="s">
        <v>1435</v>
      </c>
      <c r="AA882" s="80" t="s">
        <v>5</v>
      </c>
      <c r="AB882" s="3"/>
      <c r="AC882" s="4"/>
      <c r="AD882" s="5"/>
      <c r="AE882" s="4"/>
      <c r="AF882" s="4"/>
      <c r="AG882" s="4"/>
      <c r="AH882" s="4"/>
      <c r="AI882" s="4"/>
      <c r="AJ882" s="4"/>
      <c r="AK882" s="4"/>
      <c r="AL882" s="4"/>
      <c r="AM882" s="4"/>
      <c r="AN882" s="4"/>
      <c r="AO882" s="4"/>
      <c r="AP882" s="4">
        <v>1000</v>
      </c>
      <c r="AQ882" s="4">
        <f>1000*56000</f>
        <v>56000000</v>
      </c>
      <c r="AR882" s="4"/>
      <c r="AS882" s="4"/>
      <c r="AT882" s="4"/>
      <c r="AU882" s="4"/>
      <c r="AV882" s="4"/>
      <c r="AW882" s="4"/>
      <c r="AX882" s="4"/>
      <c r="AY882" s="4"/>
      <c r="AZ882" s="4"/>
      <c r="BA882" s="4"/>
      <c r="BB882" s="4"/>
      <c r="BC882" s="4"/>
      <c r="BD882" s="4"/>
      <c r="BE882" s="4"/>
      <c r="BF882" s="4"/>
      <c r="BG882" s="4"/>
      <c r="BH882" s="4"/>
      <c r="BI882" s="4"/>
      <c r="BJ882" s="4"/>
      <c r="BK882" s="4"/>
      <c r="BL882" s="4"/>
      <c r="BM882" s="4"/>
      <c r="BN882" s="4">
        <v>10</v>
      </c>
      <c r="BO882" s="4">
        <f>10*520000</f>
        <v>5200000</v>
      </c>
      <c r="BP882" s="4"/>
      <c r="BQ882" s="4"/>
      <c r="BR882" s="4"/>
      <c r="BS882" s="4"/>
      <c r="BT882" s="4"/>
      <c r="BU882" s="4"/>
      <c r="BV882" s="4"/>
      <c r="BW882" s="4"/>
      <c r="BX882" s="4">
        <v>1000</v>
      </c>
      <c r="BY882" s="4">
        <f>1000*21000</f>
        <v>21000000</v>
      </c>
      <c r="BZ882" s="4"/>
      <c r="CA882" s="4"/>
      <c r="CB882" s="4">
        <f>500+462</f>
        <v>962</v>
      </c>
      <c r="CC882" s="4">
        <f>500*18000+462*18000</f>
        <v>17316000</v>
      </c>
      <c r="CD882" s="6">
        <v>1417</v>
      </c>
      <c r="CE882" s="7">
        <f>1417*37000</f>
        <v>52429000</v>
      </c>
      <c r="CF882" s="6"/>
      <c r="CG882" s="7"/>
      <c r="CH882" s="6"/>
      <c r="CI882" s="7"/>
      <c r="CJ882" s="8">
        <f t="shared" si="113"/>
        <v>151945000</v>
      </c>
      <c r="CK882" s="9">
        <f>20000+10000</f>
        <v>30000</v>
      </c>
      <c r="CL882" s="10">
        <f>20000*900.16+10000*900</f>
        <v>27003200</v>
      </c>
      <c r="CM882" s="11">
        <f>500+1417</f>
        <v>1917</v>
      </c>
      <c r="CN882" s="12">
        <f>500*85000+1417*85000</f>
        <v>162945000</v>
      </c>
      <c r="CO882" s="28"/>
      <c r="CP882" s="12"/>
      <c r="CQ882" s="9"/>
      <c r="CR882" s="10"/>
      <c r="CS882" s="68"/>
      <c r="EC882" s="344" t="str">
        <f t="shared" si="115"/>
        <v>BOLIVAR_RIO VIEJO</v>
      </c>
      <c r="ED882" s="341"/>
      <c r="EE882" s="341" t="s">
        <v>3184</v>
      </c>
      <c r="EF882" s="349" t="s">
        <v>3185</v>
      </c>
      <c r="EG882" s="341" t="s">
        <v>4105</v>
      </c>
      <c r="EH882" s="341" t="s">
        <v>5162</v>
      </c>
      <c r="EI882" s="341" t="str">
        <f t="shared" si="109"/>
        <v>Santander_Hato</v>
      </c>
    </row>
    <row r="883" spans="1:139" ht="38.25">
      <c r="A883" s="228">
        <v>40380</v>
      </c>
      <c r="B883" s="102" t="s">
        <v>1295</v>
      </c>
      <c r="C883" s="102" t="s">
        <v>1942</v>
      </c>
      <c r="D883" s="206" t="s">
        <v>1316</v>
      </c>
      <c r="E883" s="320" t="s">
        <v>3655</v>
      </c>
      <c r="F883" s="320"/>
      <c r="G883" s="210"/>
      <c r="H883" s="71"/>
      <c r="I883" s="71"/>
      <c r="J883" s="71"/>
      <c r="K883" s="71"/>
      <c r="L883" s="1"/>
      <c r="M883" s="73">
        <f t="shared" si="110"/>
        <v>0</v>
      </c>
      <c r="N883" s="73">
        <f t="shared" si="111"/>
        <v>0</v>
      </c>
      <c r="O883" s="73">
        <f t="shared" si="117"/>
        <v>0</v>
      </c>
      <c r="P883" s="73">
        <f t="shared" si="112"/>
        <v>0</v>
      </c>
      <c r="Q883" s="73"/>
      <c r="R883" s="73">
        <v>0</v>
      </c>
      <c r="S883" s="75">
        <f t="shared" si="114"/>
        <v>0</v>
      </c>
      <c r="T883" s="77">
        <v>0</v>
      </c>
      <c r="U883" s="66">
        <v>40381</v>
      </c>
      <c r="V883" s="79"/>
      <c r="W883" s="66" t="s">
        <v>1585</v>
      </c>
      <c r="X883" s="24" t="s">
        <v>1586</v>
      </c>
      <c r="Y883" s="62"/>
      <c r="Z883" s="177" t="s">
        <v>894</v>
      </c>
      <c r="AA883" s="80" t="s">
        <v>2610</v>
      </c>
      <c r="AB883" s="3"/>
      <c r="AC883" s="4"/>
      <c r="AD883" s="5"/>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6"/>
      <c r="CE883" s="7"/>
      <c r="CF883" s="6"/>
      <c r="CG883" s="7"/>
      <c r="CH883" s="6"/>
      <c r="CI883" s="7"/>
      <c r="CJ883" s="8">
        <f t="shared" si="113"/>
        <v>0</v>
      </c>
      <c r="CK883" s="9"/>
      <c r="CL883" s="10"/>
      <c r="CM883" s="11"/>
      <c r="CN883" s="12"/>
      <c r="CO883" s="28"/>
      <c r="CP883" s="12"/>
      <c r="CQ883" s="9"/>
      <c r="CR883" s="10"/>
      <c r="CS883" s="68"/>
      <c r="EC883" s="344" t="str">
        <f t="shared" si="115"/>
        <v>CORDOBA_BUENAVISTA</v>
      </c>
      <c r="ED883" s="341"/>
      <c r="EE883" s="341" t="s">
        <v>3184</v>
      </c>
      <c r="EF883" s="349" t="s">
        <v>3185</v>
      </c>
      <c r="EG883" s="341" t="s">
        <v>4106</v>
      </c>
      <c r="EH883" s="341" t="s">
        <v>5163</v>
      </c>
      <c r="EI883" s="341" t="str">
        <f t="shared" si="109"/>
        <v>Santander_Jesus Maria</v>
      </c>
    </row>
    <row r="884" spans="1:139" ht="168">
      <c r="A884" s="228">
        <v>40380</v>
      </c>
      <c r="B884" s="102" t="s">
        <v>1295</v>
      </c>
      <c r="C884" s="102" t="s">
        <v>1765</v>
      </c>
      <c r="D884" s="206" t="s">
        <v>1201</v>
      </c>
      <c r="E884" s="320" t="s">
        <v>3658</v>
      </c>
      <c r="F884" s="320"/>
      <c r="G884" s="210"/>
      <c r="H884" s="71"/>
      <c r="I884" s="71"/>
      <c r="J884" s="71">
        <v>5862</v>
      </c>
      <c r="K884" s="71">
        <v>1717</v>
      </c>
      <c r="L884" s="1">
        <v>40436</v>
      </c>
      <c r="M884" s="73">
        <f t="shared" si="110"/>
        <v>23711616</v>
      </c>
      <c r="N884" s="73">
        <f t="shared" si="111"/>
        <v>250240000</v>
      </c>
      <c r="O884" s="73">
        <f t="shared" si="117"/>
        <v>0</v>
      </c>
      <c r="P884" s="73">
        <f t="shared" si="112"/>
        <v>0</v>
      </c>
      <c r="Q884" s="73"/>
      <c r="R884" s="73">
        <v>0</v>
      </c>
      <c r="S884" s="75">
        <f t="shared" si="114"/>
        <v>273951616</v>
      </c>
      <c r="T884" s="77">
        <v>0</v>
      </c>
      <c r="U884" s="66">
        <v>40381</v>
      </c>
      <c r="V884" s="79">
        <v>38767</v>
      </c>
      <c r="W884" s="66" t="s">
        <v>1606</v>
      </c>
      <c r="X884" s="24" t="s">
        <v>1607</v>
      </c>
      <c r="Y884" s="83" t="s">
        <v>2565</v>
      </c>
      <c r="Z884" s="177" t="s">
        <v>2580</v>
      </c>
      <c r="AA884" s="174" t="s">
        <v>661</v>
      </c>
      <c r="AB884" s="3"/>
      <c r="AC884" s="4"/>
      <c r="AD884" s="5"/>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v>3</v>
      </c>
      <c r="BO884" s="4">
        <f>3*504000</f>
        <v>1512000</v>
      </c>
      <c r="BP884" s="4"/>
      <c r="BQ884" s="4"/>
      <c r="BR884" s="4"/>
      <c r="BS884" s="4"/>
      <c r="BT884" s="4"/>
      <c r="BU884" s="4"/>
      <c r="BV884" s="4"/>
      <c r="BW884" s="4"/>
      <c r="BX884" s="4"/>
      <c r="BY884" s="4"/>
      <c r="BZ884" s="4"/>
      <c r="CA884" s="4"/>
      <c r="CB884" s="4"/>
      <c r="CC884" s="4"/>
      <c r="CD884" s="6">
        <v>600</v>
      </c>
      <c r="CE884" s="7">
        <f>600*36999.36</f>
        <v>22199616</v>
      </c>
      <c r="CF884" s="6"/>
      <c r="CG884" s="7"/>
      <c r="CH884" s="6"/>
      <c r="CI884" s="7"/>
      <c r="CJ884" s="8">
        <f t="shared" si="113"/>
        <v>23711616</v>
      </c>
      <c r="CK884" s="9"/>
      <c r="CL884" s="10"/>
      <c r="CM884" s="11">
        <f>600+858+1486</f>
        <v>2944</v>
      </c>
      <c r="CN884" s="12">
        <f>600*85000+858*85000+1486*85000</f>
        <v>250240000</v>
      </c>
      <c r="CO884" s="28"/>
      <c r="CP884" s="12"/>
      <c r="CQ884" s="9"/>
      <c r="CR884" s="10"/>
      <c r="CS884" s="68"/>
      <c r="EC884" s="344" t="str">
        <f t="shared" si="115"/>
        <v>CORDOBA_CHIMA</v>
      </c>
      <c r="ED884" s="341"/>
      <c r="EE884" s="341" t="s">
        <v>3184</v>
      </c>
      <c r="EF884" s="349" t="s">
        <v>3185</v>
      </c>
      <c r="EG884" s="341" t="s">
        <v>4107</v>
      </c>
      <c r="EH884" s="341" t="s">
        <v>5164</v>
      </c>
      <c r="EI884" s="341" t="str">
        <f t="shared" si="109"/>
        <v>Santander_Jordan</v>
      </c>
    </row>
    <row r="885" spans="1:139" ht="228">
      <c r="A885" s="228">
        <v>40380</v>
      </c>
      <c r="B885" s="102" t="s">
        <v>1295</v>
      </c>
      <c r="C885" s="102" t="s">
        <v>392</v>
      </c>
      <c r="D885" s="206" t="s">
        <v>1201</v>
      </c>
      <c r="E885" s="320" t="s">
        <v>3660</v>
      </c>
      <c r="F885" s="320"/>
      <c r="G885" s="210"/>
      <c r="H885" s="71"/>
      <c r="I885" s="71"/>
      <c r="J885" s="133">
        <f>1565*5</f>
        <v>7825</v>
      </c>
      <c r="K885" s="71">
        <v>1565</v>
      </c>
      <c r="L885" s="1">
        <v>40429</v>
      </c>
      <c r="M885" s="73">
        <f t="shared" si="110"/>
        <v>33192742.399999999</v>
      </c>
      <c r="N885" s="73">
        <f t="shared" si="111"/>
        <v>487050000</v>
      </c>
      <c r="O885" s="73">
        <f t="shared" si="117"/>
        <v>0</v>
      </c>
      <c r="P885" s="73">
        <f t="shared" si="112"/>
        <v>0</v>
      </c>
      <c r="Q885" s="73"/>
      <c r="R885" s="73">
        <v>0</v>
      </c>
      <c r="S885" s="75">
        <f t="shared" si="114"/>
        <v>520242742.39999998</v>
      </c>
      <c r="T885" s="77">
        <v>0</v>
      </c>
      <c r="U885" s="66">
        <v>40394</v>
      </c>
      <c r="V885" s="79">
        <v>38767</v>
      </c>
      <c r="W885" s="66" t="s">
        <v>1606</v>
      </c>
      <c r="X885" s="24" t="s">
        <v>1607</v>
      </c>
      <c r="Y885" s="83" t="s">
        <v>2566</v>
      </c>
      <c r="Z885" s="177" t="s">
        <v>1049</v>
      </c>
      <c r="AA885" s="80" t="s">
        <v>371</v>
      </c>
      <c r="AB885" s="3"/>
      <c r="AC885" s="4"/>
      <c r="AD885" s="5"/>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f>5+2</f>
        <v>7</v>
      </c>
      <c r="BO885" s="4">
        <f>5*496999.68+2*504000</f>
        <v>3492998.4</v>
      </c>
      <c r="BP885" s="4"/>
      <c r="BQ885" s="4"/>
      <c r="BR885" s="4"/>
      <c r="BS885" s="4"/>
      <c r="BT885" s="4"/>
      <c r="BU885" s="4"/>
      <c r="BV885" s="4"/>
      <c r="BW885" s="4"/>
      <c r="BX885" s="4"/>
      <c r="BY885" s="4"/>
      <c r="BZ885" s="4"/>
      <c r="CA885" s="4"/>
      <c r="CB885" s="4"/>
      <c r="CC885" s="4"/>
      <c r="CD885" s="6">
        <f>200+400</f>
        <v>600</v>
      </c>
      <c r="CE885" s="7">
        <f>200*38500+400*36999.36</f>
        <v>22499744</v>
      </c>
      <c r="CF885" s="6">
        <v>200</v>
      </c>
      <c r="CG885" s="7">
        <f>200*36000</f>
        <v>7200000</v>
      </c>
      <c r="CH885" s="6"/>
      <c r="CI885" s="7"/>
      <c r="CJ885" s="8">
        <f t="shared" si="113"/>
        <v>33192742.399999999</v>
      </c>
      <c r="CK885" s="9"/>
      <c r="CL885" s="10"/>
      <c r="CM885" s="11">
        <f>200+400+2000+1565+1565</f>
        <v>5730</v>
      </c>
      <c r="CN885" s="12">
        <f>200*85000+400*85000+2000*85000+1565*85000+1565*85000</f>
        <v>487050000</v>
      </c>
      <c r="CO885" s="28"/>
      <c r="CP885" s="12"/>
      <c r="CQ885" s="9"/>
      <c r="CR885" s="10"/>
      <c r="CS885" s="68"/>
      <c r="EC885" s="344" t="str">
        <f t="shared" si="115"/>
        <v>CORDOBA_CIENAGA DE ORO</v>
      </c>
      <c r="ED885" s="341"/>
      <c r="EE885" s="341" t="s">
        <v>3184</v>
      </c>
      <c r="EF885" s="349" t="s">
        <v>3185</v>
      </c>
      <c r="EG885" s="341" t="s">
        <v>4108</v>
      </c>
      <c r="EH885" s="341" t="s">
        <v>5165</v>
      </c>
      <c r="EI885" s="341" t="str">
        <f t="shared" si="109"/>
        <v>Santander_La Belleza</v>
      </c>
    </row>
    <row r="886" spans="1:139" ht="84">
      <c r="A886" s="228">
        <v>40380</v>
      </c>
      <c r="B886" s="102" t="s">
        <v>4321</v>
      </c>
      <c r="C886" s="102" t="s">
        <v>1553</v>
      </c>
      <c r="D886" s="206" t="s">
        <v>1201</v>
      </c>
      <c r="E886" s="320" t="s">
        <v>3874</v>
      </c>
      <c r="F886" s="320"/>
      <c r="G886" s="210"/>
      <c r="H886" s="71"/>
      <c r="I886" s="71"/>
      <c r="J886" s="71">
        <v>726</v>
      </c>
      <c r="K886" s="71">
        <v>132</v>
      </c>
      <c r="L886" s="1"/>
      <c r="M886" s="73">
        <f t="shared" si="110"/>
        <v>0</v>
      </c>
      <c r="N886" s="73">
        <f t="shared" si="111"/>
        <v>0</v>
      </c>
      <c r="O886" s="73">
        <f t="shared" si="117"/>
        <v>0</v>
      </c>
      <c r="P886" s="73">
        <f t="shared" si="112"/>
        <v>0</v>
      </c>
      <c r="Q886" s="73"/>
      <c r="R886" s="73">
        <v>0</v>
      </c>
      <c r="S886" s="75">
        <f t="shared" si="114"/>
        <v>0</v>
      </c>
      <c r="T886" s="77">
        <v>0</v>
      </c>
      <c r="U886" s="66">
        <v>40381</v>
      </c>
      <c r="V886" s="79"/>
      <c r="W886" s="66" t="s">
        <v>1606</v>
      </c>
      <c r="X886" s="24" t="s">
        <v>1607</v>
      </c>
      <c r="Y886" s="62"/>
      <c r="Z886" s="199" t="s">
        <v>830</v>
      </c>
      <c r="AA886" s="80" t="s">
        <v>687</v>
      </c>
      <c r="AB886" s="3"/>
      <c r="AC886" s="4"/>
      <c r="AD886" s="5"/>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6"/>
      <c r="CE886" s="7"/>
      <c r="CF886" s="6"/>
      <c r="CG886" s="7"/>
      <c r="CH886" s="6"/>
      <c r="CI886" s="7"/>
      <c r="CJ886" s="8">
        <f t="shared" si="113"/>
        <v>0</v>
      </c>
      <c r="CK886" s="9"/>
      <c r="CL886" s="10"/>
      <c r="CM886" s="11"/>
      <c r="CN886" s="12"/>
      <c r="CO886" s="28"/>
      <c r="CP886" s="12"/>
      <c r="CQ886" s="9"/>
      <c r="CR886" s="10"/>
      <c r="CS886" s="68"/>
      <c r="EC886" s="344" t="str">
        <f t="shared" si="115"/>
        <v>LA GUAJIRA_VILLANUEVA</v>
      </c>
      <c r="ED886" s="341"/>
      <c r="EE886" s="341" t="s">
        <v>3184</v>
      </c>
      <c r="EF886" s="349" t="s">
        <v>3185</v>
      </c>
      <c r="EG886" s="341" t="s">
        <v>4109</v>
      </c>
      <c r="EH886" s="341" t="s">
        <v>5166</v>
      </c>
      <c r="EI886" s="341" t="str">
        <f t="shared" si="109"/>
        <v>Santander_Landazuri</v>
      </c>
    </row>
    <row r="887" spans="1:139" ht="38.25">
      <c r="A887" s="228">
        <v>40380</v>
      </c>
      <c r="B887" s="205" t="s">
        <v>965</v>
      </c>
      <c r="C887" s="205" t="s">
        <v>2716</v>
      </c>
      <c r="D887" s="207" t="s">
        <v>1878</v>
      </c>
      <c r="E887" s="323" t="s">
        <v>4035</v>
      </c>
      <c r="F887" s="323"/>
      <c r="G887" s="204"/>
      <c r="H887" s="151"/>
      <c r="I887" s="151"/>
      <c r="J887" s="151">
        <v>207</v>
      </c>
      <c r="K887" s="151">
        <v>50</v>
      </c>
      <c r="L887" s="1"/>
      <c r="M887" s="73">
        <f t="shared" si="110"/>
        <v>0</v>
      </c>
      <c r="N887" s="73">
        <f t="shared" si="111"/>
        <v>0</v>
      </c>
      <c r="O887" s="73">
        <f t="shared" si="117"/>
        <v>0</v>
      </c>
      <c r="P887" s="73">
        <f t="shared" si="112"/>
        <v>0</v>
      </c>
      <c r="Q887" s="73"/>
      <c r="R887" s="73">
        <v>0</v>
      </c>
      <c r="S887" s="75">
        <f t="shared" si="114"/>
        <v>0</v>
      </c>
      <c r="T887" s="77">
        <v>0</v>
      </c>
      <c r="U887" s="66">
        <v>40581</v>
      </c>
      <c r="V887" s="79"/>
      <c r="W887" s="66" t="s">
        <v>1585</v>
      </c>
      <c r="X887" s="24" t="s">
        <v>1586</v>
      </c>
      <c r="Y887" s="62"/>
      <c r="Z887" s="169" t="s">
        <v>894</v>
      </c>
      <c r="AA887" s="166" t="s">
        <v>54</v>
      </c>
      <c r="AB887" s="152"/>
      <c r="AC887" s="153"/>
      <c r="AD887" s="154"/>
      <c r="AE887" s="153"/>
      <c r="AF887" s="153"/>
      <c r="AG887" s="153"/>
      <c r="AH887" s="153"/>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c r="BI887" s="153"/>
      <c r="BJ887" s="153"/>
      <c r="BK887" s="153"/>
      <c r="BL887" s="153"/>
      <c r="BM887" s="153"/>
      <c r="BN887" s="153"/>
      <c r="BO887" s="153"/>
      <c r="BP887" s="153"/>
      <c r="BQ887" s="153"/>
      <c r="BR887" s="153"/>
      <c r="BS887" s="153"/>
      <c r="BT887" s="153"/>
      <c r="BU887" s="153"/>
      <c r="BV887" s="153"/>
      <c r="BW887" s="153"/>
      <c r="BX887" s="153"/>
      <c r="BY887" s="153"/>
      <c r="BZ887" s="153"/>
      <c r="CA887" s="153"/>
      <c r="CB887" s="153"/>
      <c r="CC887" s="153"/>
      <c r="CD887" s="155"/>
      <c r="CE887" s="156"/>
      <c r="CF887" s="155"/>
      <c r="CG887" s="156"/>
      <c r="CH887" s="155"/>
      <c r="CI887" s="156"/>
      <c r="CJ887" s="157">
        <f t="shared" si="113"/>
        <v>0</v>
      </c>
      <c r="CK887" s="158"/>
      <c r="CL887" s="159"/>
      <c r="CM887" s="160"/>
      <c r="CN887" s="161"/>
      <c r="CO887" s="162"/>
      <c r="CP887" s="161"/>
      <c r="CQ887" s="158"/>
      <c r="CR887" s="159"/>
      <c r="CS887" s="68"/>
      <c r="CT887" s="163"/>
      <c r="EC887" s="344" t="str">
        <f t="shared" si="115"/>
        <v>NORTE DE SANTANDER_TOLEDO</v>
      </c>
      <c r="ED887" s="341"/>
      <c r="EE887" s="341" t="s">
        <v>3184</v>
      </c>
      <c r="EF887" s="349" t="s">
        <v>3185</v>
      </c>
      <c r="EG887" s="341" t="s">
        <v>4110</v>
      </c>
      <c r="EH887" s="341" t="s">
        <v>4773</v>
      </c>
      <c r="EI887" s="341" t="str">
        <f t="shared" si="109"/>
        <v>Santander_La Paz</v>
      </c>
    </row>
    <row r="888" spans="1:139" ht="48">
      <c r="A888" s="228">
        <v>40381</v>
      </c>
      <c r="B888" s="102" t="s">
        <v>1551</v>
      </c>
      <c r="C888" s="102" t="s">
        <v>1374</v>
      </c>
      <c r="D888" s="206" t="s">
        <v>1201</v>
      </c>
      <c r="E888" s="320" t="s">
        <v>3359</v>
      </c>
      <c r="F888" s="320"/>
      <c r="G888" s="210"/>
      <c r="H888" s="71"/>
      <c r="I888" s="71"/>
      <c r="J888" s="71">
        <f>52*5</f>
        <v>260</v>
      </c>
      <c r="K888" s="71">
        <v>52</v>
      </c>
      <c r="L888" s="1"/>
      <c r="M888" s="73">
        <f t="shared" si="110"/>
        <v>0</v>
      </c>
      <c r="N888" s="73">
        <f t="shared" si="111"/>
        <v>0</v>
      </c>
      <c r="O888" s="73">
        <f t="shared" si="117"/>
        <v>0</v>
      </c>
      <c r="P888" s="73">
        <f t="shared" si="112"/>
        <v>0</v>
      </c>
      <c r="Q888" s="73"/>
      <c r="R888" s="73">
        <v>0</v>
      </c>
      <c r="S888" s="75">
        <f t="shared" si="114"/>
        <v>0</v>
      </c>
      <c r="T888" s="77">
        <v>0</v>
      </c>
      <c r="U888" s="1">
        <v>40381</v>
      </c>
      <c r="V888" s="79"/>
      <c r="W888" s="66" t="s">
        <v>1585</v>
      </c>
      <c r="X888" s="24" t="s">
        <v>1586</v>
      </c>
      <c r="Y888" s="62"/>
      <c r="Z888" s="177" t="s">
        <v>894</v>
      </c>
      <c r="AA888" s="80" t="s">
        <v>2305</v>
      </c>
      <c r="AB888" s="3"/>
      <c r="AC888" s="4"/>
      <c r="AD888" s="5"/>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6"/>
      <c r="CE888" s="7"/>
      <c r="CF888" s="6"/>
      <c r="CG888" s="7"/>
      <c r="CH888" s="6"/>
      <c r="CI888" s="7"/>
      <c r="CJ888" s="8">
        <f t="shared" si="113"/>
        <v>0</v>
      </c>
      <c r="CK888" s="9"/>
      <c r="CL888" s="10"/>
      <c r="CM888" s="11"/>
      <c r="CN888" s="12"/>
      <c r="CO888" s="28"/>
      <c r="CP888" s="12"/>
      <c r="CQ888" s="9"/>
      <c r="CR888" s="10"/>
      <c r="CS888" s="68"/>
      <c r="EC888" s="344" t="str">
        <f t="shared" si="115"/>
        <v>ATLANTICO_MALAMBO</v>
      </c>
      <c r="ED888" s="341"/>
      <c r="EE888" s="341" t="s">
        <v>3184</v>
      </c>
      <c r="EF888" s="349" t="s">
        <v>3185</v>
      </c>
      <c r="EG888" s="341" t="s">
        <v>4111</v>
      </c>
      <c r="EH888" s="341" t="s">
        <v>5167</v>
      </c>
      <c r="EI888" s="341" t="str">
        <f t="shared" si="109"/>
        <v>Santander_Lebrija</v>
      </c>
    </row>
    <row r="889" spans="1:139" ht="60">
      <c r="A889" s="228">
        <v>40381</v>
      </c>
      <c r="B889" s="222" t="s">
        <v>1821</v>
      </c>
      <c r="C889" s="222" t="s">
        <v>1753</v>
      </c>
      <c r="D889" s="233" t="s">
        <v>1201</v>
      </c>
      <c r="E889" s="325" t="s">
        <v>3641</v>
      </c>
      <c r="F889" s="325"/>
      <c r="G889" s="204"/>
      <c r="H889" s="151"/>
      <c r="I889" s="151"/>
      <c r="J889" s="151">
        <f>798*5</f>
        <v>3990</v>
      </c>
      <c r="K889" s="151">
        <v>798</v>
      </c>
      <c r="L889" s="1">
        <v>40522</v>
      </c>
      <c r="M889" s="73">
        <f t="shared" si="110"/>
        <v>16200000</v>
      </c>
      <c r="N889" s="73">
        <f t="shared" si="111"/>
        <v>38250000</v>
      </c>
      <c r="O889" s="73">
        <f t="shared" si="117"/>
        <v>0</v>
      </c>
      <c r="P889" s="73">
        <f t="shared" si="112"/>
        <v>0</v>
      </c>
      <c r="Q889" s="73">
        <f>100*12528+100*19488+100*25520+50*17400</f>
        <v>6623600</v>
      </c>
      <c r="R889" s="73">
        <v>0</v>
      </c>
      <c r="S889" s="75">
        <f t="shared" si="114"/>
        <v>61073600</v>
      </c>
      <c r="T889" s="77">
        <v>0</v>
      </c>
      <c r="U889" s="1">
        <v>40422</v>
      </c>
      <c r="V889" s="79">
        <v>58953</v>
      </c>
      <c r="W889" s="66" t="s">
        <v>1606</v>
      </c>
      <c r="X889" s="24" t="s">
        <v>1607</v>
      </c>
      <c r="Y889" s="62">
        <v>26016</v>
      </c>
      <c r="Z889" s="177" t="s">
        <v>2580</v>
      </c>
      <c r="AA889" s="166" t="s">
        <v>1123</v>
      </c>
      <c r="AB889" s="152"/>
      <c r="AC889" s="153"/>
      <c r="AD889" s="154"/>
      <c r="AE889" s="153"/>
      <c r="AF889" s="153"/>
      <c r="AG889" s="153"/>
      <c r="AH889" s="153"/>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c r="BF889" s="153"/>
      <c r="BG889" s="153"/>
      <c r="BH889" s="153"/>
      <c r="BI889" s="153"/>
      <c r="BJ889" s="153"/>
      <c r="BK889" s="153"/>
      <c r="BL889" s="153"/>
      <c r="BM889" s="153"/>
      <c r="BN889" s="153"/>
      <c r="BO889" s="153"/>
      <c r="BP889" s="153"/>
      <c r="BQ889" s="153"/>
      <c r="BR889" s="153"/>
      <c r="BS889" s="153"/>
      <c r="BT889" s="153"/>
      <c r="BU889" s="153"/>
      <c r="BV889" s="153"/>
      <c r="BW889" s="153"/>
      <c r="BX889" s="153"/>
      <c r="BY889" s="153"/>
      <c r="BZ889" s="153"/>
      <c r="CA889" s="153"/>
      <c r="CB889" s="153">
        <v>900</v>
      </c>
      <c r="CC889" s="153">
        <f>900*18000</f>
        <v>16200000</v>
      </c>
      <c r="CD889" s="155"/>
      <c r="CE889" s="156"/>
      <c r="CF889" s="155"/>
      <c r="CG889" s="156"/>
      <c r="CH889" s="155"/>
      <c r="CI889" s="156"/>
      <c r="CJ889" s="157">
        <f t="shared" si="113"/>
        <v>16200000</v>
      </c>
      <c r="CK889" s="158"/>
      <c r="CL889" s="159"/>
      <c r="CM889" s="160">
        <v>450</v>
      </c>
      <c r="CN889" s="161">
        <f>450*85000</f>
        <v>38250000</v>
      </c>
      <c r="CO889" s="162"/>
      <c r="CP889" s="161"/>
      <c r="CQ889" s="158"/>
      <c r="CR889" s="159"/>
      <c r="CS889" s="68"/>
      <c r="CT889" s="163"/>
      <c r="EC889" s="344" t="str">
        <f t="shared" si="115"/>
        <v>CESAR_LA GLORIA</v>
      </c>
      <c r="ED889" s="341"/>
      <c r="EE889" s="341" t="s">
        <v>3184</v>
      </c>
      <c r="EF889" s="349" t="s">
        <v>3185</v>
      </c>
      <c r="EG889" s="341" t="s">
        <v>4112</v>
      </c>
      <c r="EH889" s="341" t="s">
        <v>5168</v>
      </c>
      <c r="EI889" s="341" t="str">
        <f t="shared" si="109"/>
        <v>Santander_Los Santos</v>
      </c>
    </row>
    <row r="890" spans="1:139" ht="48">
      <c r="A890" s="228">
        <v>40381</v>
      </c>
      <c r="B890" s="102" t="s">
        <v>396</v>
      </c>
      <c r="C890" s="102" t="s">
        <v>2280</v>
      </c>
      <c r="D890" s="206" t="s">
        <v>1201</v>
      </c>
      <c r="E890" s="320" t="s">
        <v>3912</v>
      </c>
      <c r="F890" s="320"/>
      <c r="G890" s="210"/>
      <c r="H890" s="71"/>
      <c r="I890" s="71"/>
      <c r="J890" s="71">
        <v>2215</v>
      </c>
      <c r="K890" s="71">
        <v>443</v>
      </c>
      <c r="L890" s="1"/>
      <c r="M890" s="73">
        <f t="shared" si="110"/>
        <v>0</v>
      </c>
      <c r="N890" s="73">
        <f t="shared" si="111"/>
        <v>0</v>
      </c>
      <c r="O890" s="73">
        <f t="shared" si="117"/>
        <v>0</v>
      </c>
      <c r="P890" s="73">
        <f t="shared" si="112"/>
        <v>0</v>
      </c>
      <c r="Q890" s="73"/>
      <c r="R890" s="73">
        <v>0</v>
      </c>
      <c r="S890" s="75">
        <f t="shared" si="114"/>
        <v>0</v>
      </c>
      <c r="T890" s="77">
        <v>0</v>
      </c>
      <c r="U890" s="1">
        <v>40385</v>
      </c>
      <c r="V890" s="79"/>
      <c r="W890" s="66" t="s">
        <v>1585</v>
      </c>
      <c r="X890" s="24" t="s">
        <v>1586</v>
      </c>
      <c r="Y890" s="62"/>
      <c r="Z890" s="177" t="s">
        <v>894</v>
      </c>
      <c r="AA890" s="80" t="s">
        <v>144</v>
      </c>
      <c r="AB890" s="3"/>
      <c r="AC890" s="4"/>
      <c r="AD890" s="5"/>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6"/>
      <c r="CE890" s="7"/>
      <c r="CF890" s="6"/>
      <c r="CG890" s="7"/>
      <c r="CH890" s="6"/>
      <c r="CI890" s="7"/>
      <c r="CJ890" s="8">
        <f t="shared" si="113"/>
        <v>0</v>
      </c>
      <c r="CK890" s="9"/>
      <c r="CL890" s="10"/>
      <c r="CM890" s="11"/>
      <c r="CN890" s="12"/>
      <c r="CO890" s="28"/>
      <c r="CP890" s="12"/>
      <c r="CQ890" s="9"/>
      <c r="CR890" s="10"/>
      <c r="CS890" s="68"/>
      <c r="CT890" s="22">
        <v>1177</v>
      </c>
      <c r="EC890" s="344" t="str">
        <f t="shared" si="115"/>
        <v>META_EL CALVARIO</v>
      </c>
      <c r="ED890" s="341"/>
      <c r="EE890" s="341" t="s">
        <v>3184</v>
      </c>
      <c r="EF890" s="349" t="s">
        <v>3185</v>
      </c>
      <c r="EG890" s="341" t="s">
        <v>4113</v>
      </c>
      <c r="EH890" s="341" t="s">
        <v>5169</v>
      </c>
      <c r="EI890" s="341" t="str">
        <f t="shared" si="109"/>
        <v>Santander_Macaravita</v>
      </c>
    </row>
    <row r="891" spans="1:139" ht="25.5">
      <c r="A891" s="228">
        <v>40382</v>
      </c>
      <c r="B891" s="102" t="s">
        <v>396</v>
      </c>
      <c r="C891" s="102" t="s">
        <v>1899</v>
      </c>
      <c r="D891" s="206" t="s">
        <v>1878</v>
      </c>
      <c r="E891" s="320" t="s">
        <v>3905</v>
      </c>
      <c r="F891" s="320"/>
      <c r="G891" s="210"/>
      <c r="H891" s="71"/>
      <c r="I891" s="71"/>
      <c r="J891" s="71"/>
      <c r="K891" s="71"/>
      <c r="L891" s="1"/>
      <c r="M891" s="73">
        <f t="shared" si="110"/>
        <v>0</v>
      </c>
      <c r="N891" s="73">
        <f t="shared" si="111"/>
        <v>0</v>
      </c>
      <c r="O891" s="73">
        <f t="shared" si="117"/>
        <v>0</v>
      </c>
      <c r="P891" s="73">
        <f t="shared" si="112"/>
        <v>0</v>
      </c>
      <c r="Q891" s="73"/>
      <c r="R891" s="73">
        <v>0</v>
      </c>
      <c r="S891" s="75">
        <f t="shared" si="114"/>
        <v>0</v>
      </c>
      <c r="T891" s="77">
        <v>0</v>
      </c>
      <c r="U891" s="1">
        <v>40385</v>
      </c>
      <c r="V891" s="79"/>
      <c r="W891" s="66" t="s">
        <v>1585</v>
      </c>
      <c r="X891" s="24" t="s">
        <v>1586</v>
      </c>
      <c r="Y891" s="62"/>
      <c r="Z891" s="177" t="s">
        <v>894</v>
      </c>
      <c r="AA891" s="80" t="s">
        <v>1845</v>
      </c>
      <c r="AB891" s="3"/>
      <c r="AC891" s="4"/>
      <c r="AD891" s="5"/>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6"/>
      <c r="CE891" s="7"/>
      <c r="CF891" s="6"/>
      <c r="CG891" s="7"/>
      <c r="CH891" s="6"/>
      <c r="CI891" s="7"/>
      <c r="CJ891" s="8">
        <f t="shared" si="113"/>
        <v>0</v>
      </c>
      <c r="CK891" s="9"/>
      <c r="CL891" s="10"/>
      <c r="CM891" s="11"/>
      <c r="CN891" s="12"/>
      <c r="CO891" s="28"/>
      <c r="CP891" s="12"/>
      <c r="CQ891" s="9"/>
      <c r="CR891" s="10"/>
      <c r="CS891" s="68"/>
      <c r="EC891" s="344" t="str">
        <f t="shared" si="115"/>
        <v>META_VILLAVICENCIO</v>
      </c>
      <c r="ED891" s="341"/>
      <c r="EE891" s="341" t="s">
        <v>3184</v>
      </c>
      <c r="EF891" s="349" t="s">
        <v>3185</v>
      </c>
      <c r="EG891" s="341" t="s">
        <v>4114</v>
      </c>
      <c r="EH891" s="341" t="s">
        <v>5170</v>
      </c>
      <c r="EI891" s="341" t="str">
        <f t="shared" si="109"/>
        <v>Santander_Malaga</v>
      </c>
    </row>
    <row r="892" spans="1:139" ht="156">
      <c r="A892" s="228">
        <v>40382</v>
      </c>
      <c r="B892" s="102" t="s">
        <v>1943</v>
      </c>
      <c r="C892" s="102" t="s">
        <v>1964</v>
      </c>
      <c r="D892" s="206" t="s">
        <v>1201</v>
      </c>
      <c r="E892" s="320" t="s">
        <v>4163</v>
      </c>
      <c r="F892" s="320"/>
      <c r="G892" s="210"/>
      <c r="H892" s="71"/>
      <c r="I892" s="71"/>
      <c r="J892" s="71">
        <v>26309</v>
      </c>
      <c r="K892" s="71">
        <v>7205</v>
      </c>
      <c r="L892" s="1">
        <v>40396</v>
      </c>
      <c r="M892" s="73">
        <f t="shared" si="110"/>
        <v>341449000</v>
      </c>
      <c r="N892" s="73">
        <f t="shared" si="111"/>
        <v>1564850000</v>
      </c>
      <c r="O892" s="73">
        <f t="shared" si="117"/>
        <v>0</v>
      </c>
      <c r="P892" s="73">
        <f t="shared" si="112"/>
        <v>0</v>
      </c>
      <c r="Q892" s="73">
        <v>11460800</v>
      </c>
      <c r="R892" s="73">
        <v>150000000</v>
      </c>
      <c r="S892" s="75">
        <f t="shared" si="114"/>
        <v>2067759800</v>
      </c>
      <c r="T892" s="77">
        <v>0</v>
      </c>
      <c r="U892" s="1">
        <v>40385</v>
      </c>
      <c r="V892" s="79">
        <v>31965</v>
      </c>
      <c r="W892" s="66" t="s">
        <v>1606</v>
      </c>
      <c r="X892" s="24" t="s">
        <v>1607</v>
      </c>
      <c r="Y892" s="83" t="s">
        <v>478</v>
      </c>
      <c r="Z892" s="177" t="s">
        <v>1435</v>
      </c>
      <c r="AA892" s="80" t="s">
        <v>2307</v>
      </c>
      <c r="AB892" s="3"/>
      <c r="AC892" s="4"/>
      <c r="AD892" s="5"/>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v>15</v>
      </c>
      <c r="BO892" s="4">
        <f>15*504600</f>
        <v>7569000</v>
      </c>
      <c r="BP892" s="4"/>
      <c r="BQ892" s="4"/>
      <c r="BR892" s="4"/>
      <c r="BS892" s="4"/>
      <c r="BT892" s="4"/>
      <c r="BU892" s="4"/>
      <c r="BV892" s="4"/>
      <c r="BW892" s="4"/>
      <c r="BX892" s="4"/>
      <c r="BY892" s="4"/>
      <c r="BZ892" s="4"/>
      <c r="CA892" s="4"/>
      <c r="CB892" s="4">
        <v>14410</v>
      </c>
      <c r="CC892" s="4">
        <f>14410*18000</f>
        <v>259380000</v>
      </c>
      <c r="CD892" s="6">
        <v>1000</v>
      </c>
      <c r="CE892" s="7">
        <f>1000*38500</f>
        <v>38500000</v>
      </c>
      <c r="CF892" s="6">
        <v>1000</v>
      </c>
      <c r="CG892" s="7">
        <f>1000*36000</f>
        <v>36000000</v>
      </c>
      <c r="CH892" s="6"/>
      <c r="CI892" s="7"/>
      <c r="CJ892" s="8">
        <f t="shared" si="113"/>
        <v>341449000</v>
      </c>
      <c r="CK892" s="9"/>
      <c r="CL892" s="10"/>
      <c r="CM892" s="11">
        <f>1000+3000+7205+7205</f>
        <v>18410</v>
      </c>
      <c r="CN892" s="12">
        <f>1000*85000+3000*85000+7205*85000+7205*85000</f>
        <v>1564850000</v>
      </c>
      <c r="CO892" s="28"/>
      <c r="CP892" s="12"/>
      <c r="CQ892" s="9"/>
      <c r="CR892" s="10"/>
      <c r="CS892" s="68">
        <v>2</v>
      </c>
      <c r="EC892" s="344" t="str">
        <f t="shared" si="115"/>
        <v>SUCRE_MAJAGUAL</v>
      </c>
      <c r="ED892" s="341"/>
      <c r="EE892" s="341" t="s">
        <v>3184</v>
      </c>
      <c r="EF892" s="349" t="s">
        <v>3185</v>
      </c>
      <c r="EG892" s="341" t="s">
        <v>4115</v>
      </c>
      <c r="EH892" s="341" t="s">
        <v>5171</v>
      </c>
      <c r="EI892" s="341" t="str">
        <f t="shared" ref="EI892:EI955" si="118">EF892&amp;"_"&amp;EH892</f>
        <v>Santander_Matanza</v>
      </c>
    </row>
    <row r="893" spans="1:139" ht="25.5">
      <c r="A893" s="228">
        <v>40382</v>
      </c>
      <c r="B893" s="102" t="s">
        <v>2400</v>
      </c>
      <c r="C893" s="102" t="s">
        <v>1545</v>
      </c>
      <c r="D893" s="206" t="s">
        <v>1923</v>
      </c>
      <c r="E893" s="320" t="s">
        <v>4177</v>
      </c>
      <c r="F893" s="320"/>
      <c r="G893" s="210"/>
      <c r="H893" s="71"/>
      <c r="I893" s="71"/>
      <c r="J893" s="71">
        <v>10</v>
      </c>
      <c r="K893" s="71">
        <v>2</v>
      </c>
      <c r="L893" s="1"/>
      <c r="M893" s="73">
        <f t="shared" si="110"/>
        <v>0</v>
      </c>
      <c r="N893" s="73">
        <f t="shared" si="111"/>
        <v>0</v>
      </c>
      <c r="O893" s="73">
        <f t="shared" si="117"/>
        <v>0</v>
      </c>
      <c r="P893" s="73">
        <f t="shared" si="112"/>
        <v>0</v>
      </c>
      <c r="Q893" s="73"/>
      <c r="R893" s="73">
        <v>0</v>
      </c>
      <c r="S893" s="75">
        <f t="shared" si="114"/>
        <v>0</v>
      </c>
      <c r="T893" s="77">
        <v>0</v>
      </c>
      <c r="U893" s="66">
        <v>40385</v>
      </c>
      <c r="V893" s="79"/>
      <c r="W893" s="66" t="s">
        <v>1585</v>
      </c>
      <c r="X893" s="24" t="s">
        <v>1586</v>
      </c>
      <c r="Y893" s="62"/>
      <c r="Z893" s="177" t="s">
        <v>894</v>
      </c>
      <c r="AA893" s="80" t="s">
        <v>1529</v>
      </c>
      <c r="AB893" s="3"/>
      <c r="AC893" s="4"/>
      <c r="AD893" s="5"/>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6"/>
      <c r="CE893" s="7"/>
      <c r="CF893" s="6"/>
      <c r="CG893" s="7"/>
      <c r="CH893" s="6"/>
      <c r="CI893" s="7"/>
      <c r="CJ893" s="8">
        <f t="shared" si="113"/>
        <v>0</v>
      </c>
      <c r="CK893" s="9"/>
      <c r="CL893" s="10"/>
      <c r="CM893" s="11"/>
      <c r="CN893" s="12"/>
      <c r="CO893" s="28"/>
      <c r="CP893" s="12"/>
      <c r="CQ893" s="9"/>
      <c r="CR893" s="10"/>
      <c r="CS893" s="68"/>
      <c r="EC893" s="344" t="str">
        <f t="shared" si="115"/>
        <v>TOLIMA_IBAGUE</v>
      </c>
      <c r="ED893" s="341"/>
      <c r="EE893" s="341" t="s">
        <v>3184</v>
      </c>
      <c r="EF893" s="349" t="s">
        <v>3185</v>
      </c>
      <c r="EG893" s="341" t="s">
        <v>4116</v>
      </c>
      <c r="EH893" s="341" t="s">
        <v>5172</v>
      </c>
      <c r="EI893" s="341" t="str">
        <f t="shared" si="118"/>
        <v>Santander_Mogotes</v>
      </c>
    </row>
    <row r="894" spans="1:139" ht="38.25">
      <c r="A894" s="228">
        <v>40383</v>
      </c>
      <c r="B894" s="102" t="s">
        <v>1615</v>
      </c>
      <c r="C894" s="102" t="s">
        <v>1605</v>
      </c>
      <c r="D894" s="206" t="s">
        <v>1201</v>
      </c>
      <c r="E894" s="320" t="s">
        <v>3114</v>
      </c>
      <c r="F894" s="320"/>
      <c r="G894" s="210"/>
      <c r="H894" s="71"/>
      <c r="I894" s="71"/>
      <c r="J894" s="71"/>
      <c r="K894" s="71"/>
      <c r="L894" s="1">
        <v>40396</v>
      </c>
      <c r="M894" s="73">
        <f t="shared" si="110"/>
        <v>0</v>
      </c>
      <c r="N894" s="73">
        <f t="shared" si="111"/>
        <v>0</v>
      </c>
      <c r="O894" s="73">
        <f t="shared" si="117"/>
        <v>0</v>
      </c>
      <c r="P894" s="73">
        <f t="shared" si="112"/>
        <v>139316000</v>
      </c>
      <c r="Q894" s="73"/>
      <c r="R894" s="73">
        <v>0</v>
      </c>
      <c r="S894" s="75">
        <f t="shared" si="114"/>
        <v>139316000</v>
      </c>
      <c r="T894" s="77">
        <v>0</v>
      </c>
      <c r="U894" s="66">
        <v>40386</v>
      </c>
      <c r="V894" s="79">
        <v>36853</v>
      </c>
      <c r="W894" s="66" t="s">
        <v>1606</v>
      </c>
      <c r="X894" s="24" t="s">
        <v>1607</v>
      </c>
      <c r="Y894" s="83" t="s">
        <v>188</v>
      </c>
      <c r="Z894" s="177" t="s">
        <v>2445</v>
      </c>
      <c r="AA894" s="80" t="s">
        <v>2723</v>
      </c>
      <c r="AB894" s="3"/>
      <c r="AC894" s="4"/>
      <c r="AD894" s="5"/>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6"/>
      <c r="CE894" s="7"/>
      <c r="CF894" s="6"/>
      <c r="CG894" s="7"/>
      <c r="CH894" s="6"/>
      <c r="CI894" s="7"/>
      <c r="CJ894" s="8">
        <f t="shared" si="113"/>
        <v>0</v>
      </c>
      <c r="CK894" s="9">
        <f>50000+100000</f>
        <v>150000</v>
      </c>
      <c r="CL894" s="10">
        <f>50000*986+100000*900.16</f>
        <v>139316000</v>
      </c>
      <c r="CM894" s="11"/>
      <c r="CN894" s="12"/>
      <c r="CO894" s="28"/>
      <c r="CP894" s="12"/>
      <c r="CQ894" s="9" t="s">
        <v>1202</v>
      </c>
      <c r="CR894" s="10"/>
      <c r="CS894" s="68"/>
      <c r="EC894" s="344" t="str">
        <f t="shared" si="115"/>
        <v>BOLIVAR_DEPARTAMENTO</v>
      </c>
      <c r="ED894" s="341"/>
      <c r="EE894" s="341" t="s">
        <v>3184</v>
      </c>
      <c r="EF894" s="349" t="s">
        <v>3185</v>
      </c>
      <c r="EG894" s="341" t="s">
        <v>4117</v>
      </c>
      <c r="EH894" s="341" t="s">
        <v>5173</v>
      </c>
      <c r="EI894" s="341" t="str">
        <f t="shared" si="118"/>
        <v>Santander_Molagavita</v>
      </c>
    </row>
    <row r="895" spans="1:139" ht="48">
      <c r="A895" s="228">
        <v>40383</v>
      </c>
      <c r="B895" s="102" t="s">
        <v>1615</v>
      </c>
      <c r="C895" s="102" t="s">
        <v>1533</v>
      </c>
      <c r="D895" s="206" t="s">
        <v>2606</v>
      </c>
      <c r="E895" s="320" t="s">
        <v>3416</v>
      </c>
      <c r="F895" s="320"/>
      <c r="G895" s="210"/>
      <c r="H895" s="71"/>
      <c r="I895" s="71"/>
      <c r="J895" s="71">
        <v>70</v>
      </c>
      <c r="K895" s="71">
        <v>15</v>
      </c>
      <c r="L895" s="1"/>
      <c r="M895" s="73">
        <f t="shared" si="110"/>
        <v>0</v>
      </c>
      <c r="N895" s="73">
        <f t="shared" si="111"/>
        <v>0</v>
      </c>
      <c r="O895" s="73">
        <f t="shared" si="117"/>
        <v>0</v>
      </c>
      <c r="P895" s="73">
        <f t="shared" si="112"/>
        <v>0</v>
      </c>
      <c r="Q895" s="73"/>
      <c r="R895" s="73">
        <v>0</v>
      </c>
      <c r="S895" s="75">
        <f t="shared" si="114"/>
        <v>0</v>
      </c>
      <c r="T895" s="77">
        <v>0</v>
      </c>
      <c r="U895" s="66">
        <v>40385</v>
      </c>
      <c r="V895" s="79"/>
      <c r="W895" s="66" t="s">
        <v>1585</v>
      </c>
      <c r="X895" s="24" t="s">
        <v>1586</v>
      </c>
      <c r="Y895" s="62"/>
      <c r="Z895" s="177" t="s">
        <v>894</v>
      </c>
      <c r="AA895" s="80" t="s">
        <v>2407</v>
      </c>
      <c r="AB895" s="3"/>
      <c r="AC895" s="4"/>
      <c r="AD895" s="5"/>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6"/>
      <c r="CE895" s="7"/>
      <c r="CF895" s="6"/>
      <c r="CG895" s="7"/>
      <c r="CH895" s="6"/>
      <c r="CI895" s="7"/>
      <c r="CJ895" s="8">
        <f t="shared" si="113"/>
        <v>0</v>
      </c>
      <c r="CK895" s="9"/>
      <c r="CL895" s="10"/>
      <c r="CM895" s="11"/>
      <c r="CN895" s="12"/>
      <c r="CO895" s="28"/>
      <c r="CP895" s="12"/>
      <c r="CQ895" s="9"/>
      <c r="CR895" s="10"/>
      <c r="CS895" s="68"/>
      <c r="EC895" s="344" t="str">
        <f t="shared" si="115"/>
        <v>BOLIVAR_TIQUISIO</v>
      </c>
      <c r="ED895" s="341"/>
      <c r="EE895" s="341" t="s">
        <v>3184</v>
      </c>
      <c r="EF895" s="349" t="s">
        <v>3185</v>
      </c>
      <c r="EG895" s="341" t="s">
        <v>4118</v>
      </c>
      <c r="EH895" s="341" t="s">
        <v>5174</v>
      </c>
      <c r="EI895" s="341" t="str">
        <f t="shared" si="118"/>
        <v>Santander_Ocamonte</v>
      </c>
    </row>
    <row r="896" spans="1:139" ht="60">
      <c r="A896" s="228">
        <v>40384</v>
      </c>
      <c r="B896" s="102" t="s">
        <v>1615</v>
      </c>
      <c r="C896" s="102" t="s">
        <v>1534</v>
      </c>
      <c r="D896" s="206" t="s">
        <v>1201</v>
      </c>
      <c r="E896" s="320" t="s">
        <v>3399</v>
      </c>
      <c r="F896" s="320"/>
      <c r="G896" s="210"/>
      <c r="H896" s="71"/>
      <c r="I896" s="71"/>
      <c r="J896" s="71">
        <f>4523*5</f>
        <v>22615</v>
      </c>
      <c r="K896" s="71">
        <v>4523</v>
      </c>
      <c r="L896" s="1">
        <v>40403</v>
      </c>
      <c r="M896" s="73">
        <f t="shared" si="110"/>
        <v>503145300</v>
      </c>
      <c r="N896" s="73">
        <f t="shared" si="111"/>
        <v>230263460</v>
      </c>
      <c r="O896" s="73">
        <f t="shared" si="117"/>
        <v>0</v>
      </c>
      <c r="P896" s="73">
        <f t="shared" si="112"/>
        <v>0</v>
      </c>
      <c r="Q896" s="73">
        <f>500*18000</f>
        <v>9000000</v>
      </c>
      <c r="R896" s="73">
        <v>0</v>
      </c>
      <c r="S896" s="75">
        <f t="shared" si="114"/>
        <v>742408760</v>
      </c>
      <c r="T896" s="77">
        <v>0</v>
      </c>
      <c r="U896" s="66">
        <v>40385</v>
      </c>
      <c r="V896" s="79">
        <v>39851</v>
      </c>
      <c r="W896" s="66" t="s">
        <v>1606</v>
      </c>
      <c r="X896" s="24" t="s">
        <v>1607</v>
      </c>
      <c r="Y896" s="83" t="s">
        <v>2330</v>
      </c>
      <c r="Z896" s="177" t="s">
        <v>2580</v>
      </c>
      <c r="AA896" s="80" t="s">
        <v>3085</v>
      </c>
      <c r="AB896" s="3"/>
      <c r="AC896" s="4"/>
      <c r="AD896" s="5"/>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v>10</v>
      </c>
      <c r="BO896" s="4">
        <f>10*520000</f>
        <v>5200000</v>
      </c>
      <c r="BP896" s="4"/>
      <c r="BQ896" s="4"/>
      <c r="BR896" s="4"/>
      <c r="BS896" s="4"/>
      <c r="BT896" s="4"/>
      <c r="BU896" s="4"/>
      <c r="BV896" s="4"/>
      <c r="BW896" s="4"/>
      <c r="BX896" s="4">
        <v>4000</v>
      </c>
      <c r="BY896" s="4">
        <f>4000*21000</f>
        <v>84000000</v>
      </c>
      <c r="BZ896" s="4"/>
      <c r="CA896" s="4"/>
      <c r="CB896" s="4">
        <v>2537</v>
      </c>
      <c r="CC896" s="4">
        <f>2537*18000</f>
        <v>45666000</v>
      </c>
      <c r="CD896" s="6">
        <f>1000+1500+4996</f>
        <v>7496</v>
      </c>
      <c r="CE896" s="7">
        <f>1000*37999.86+1500*36952+4996*37000</f>
        <v>278279860</v>
      </c>
      <c r="CF896" s="6">
        <f>1000+1500</f>
        <v>2500</v>
      </c>
      <c r="CG896" s="7">
        <f>1000*35999.44+1500*36000</f>
        <v>89999440</v>
      </c>
      <c r="CH896" s="6"/>
      <c r="CI896" s="7"/>
      <c r="CJ896" s="8">
        <f t="shared" si="113"/>
        <v>503145300</v>
      </c>
      <c r="CK896" s="9"/>
      <c r="CL896" s="10"/>
      <c r="CM896" s="11">
        <f>1000+1500+37+172</f>
        <v>2709</v>
      </c>
      <c r="CN896" s="12">
        <f>1000*84998.46+1500*85000+37*85000+172*85000</f>
        <v>230263460</v>
      </c>
      <c r="CO896" s="28"/>
      <c r="CP896" s="12"/>
      <c r="CQ896" s="9"/>
      <c r="CR896" s="10"/>
      <c r="CS896" s="68"/>
      <c r="EC896" s="344" t="str">
        <f t="shared" si="115"/>
        <v>BOLIVAR_PINILLOS</v>
      </c>
      <c r="ED896" s="341"/>
      <c r="EE896" s="341" t="s">
        <v>3184</v>
      </c>
      <c r="EF896" s="349" t="s">
        <v>3185</v>
      </c>
      <c r="EG896" s="341" t="s">
        <v>4119</v>
      </c>
      <c r="EH896" s="341" t="s">
        <v>5175</v>
      </c>
      <c r="EI896" s="341" t="str">
        <f t="shared" si="118"/>
        <v>Santander_Oiba</v>
      </c>
    </row>
    <row r="897" spans="1:139" ht="48">
      <c r="A897" s="228">
        <v>40384</v>
      </c>
      <c r="B897" s="102" t="s">
        <v>396</v>
      </c>
      <c r="C897" s="102" t="s">
        <v>1332</v>
      </c>
      <c r="D897" s="206" t="s">
        <v>1201</v>
      </c>
      <c r="E897" s="320" t="s">
        <v>3922</v>
      </c>
      <c r="F897" s="320"/>
      <c r="G897" s="210"/>
      <c r="H897" s="71"/>
      <c r="I897" s="71"/>
      <c r="J897" s="71">
        <v>140</v>
      </c>
      <c r="K897" s="71">
        <f>41-8</f>
        <v>33</v>
      </c>
      <c r="L897" s="1"/>
      <c r="M897" s="73">
        <f t="shared" si="110"/>
        <v>0</v>
      </c>
      <c r="N897" s="73">
        <f t="shared" si="111"/>
        <v>0</v>
      </c>
      <c r="O897" s="73">
        <f t="shared" si="117"/>
        <v>0</v>
      </c>
      <c r="P897" s="73">
        <f t="shared" si="112"/>
        <v>0</v>
      </c>
      <c r="Q897" s="73"/>
      <c r="R897" s="73">
        <v>0</v>
      </c>
      <c r="S897" s="75">
        <f t="shared" si="114"/>
        <v>0</v>
      </c>
      <c r="T897" s="77">
        <v>0</v>
      </c>
      <c r="U897" s="66">
        <v>40387</v>
      </c>
      <c r="V897" s="79"/>
      <c r="W897" s="66" t="s">
        <v>1585</v>
      </c>
      <c r="X897" s="24" t="s">
        <v>1586</v>
      </c>
      <c r="Y897" s="62"/>
      <c r="Z897" s="177" t="s">
        <v>894</v>
      </c>
      <c r="AA897" s="80" t="s">
        <v>148</v>
      </c>
      <c r="AB897" s="3"/>
      <c r="AC897" s="4"/>
      <c r="AD897" s="5"/>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6"/>
      <c r="CE897" s="7"/>
      <c r="CF897" s="6"/>
      <c r="CG897" s="7"/>
      <c r="CH897" s="6"/>
      <c r="CI897" s="7"/>
      <c r="CJ897" s="8">
        <f t="shared" si="113"/>
        <v>0</v>
      </c>
      <c r="CK897" s="9"/>
      <c r="CL897" s="10"/>
      <c r="CM897" s="11"/>
      <c r="CN897" s="12"/>
      <c r="CO897" s="28"/>
      <c r="CP897" s="12"/>
      <c r="CQ897" s="9"/>
      <c r="CR897" s="10"/>
      <c r="CS897" s="68"/>
      <c r="EC897" s="344" t="str">
        <f t="shared" si="115"/>
        <v>META_LEJANIAS</v>
      </c>
      <c r="ED897" s="341"/>
      <c r="EE897" s="341" t="s">
        <v>3184</v>
      </c>
      <c r="EF897" s="349" t="s">
        <v>3185</v>
      </c>
      <c r="EG897" s="341" t="s">
        <v>4120</v>
      </c>
      <c r="EH897" s="341" t="s">
        <v>5176</v>
      </c>
      <c r="EI897" s="341" t="str">
        <f t="shared" si="118"/>
        <v>Santander_Onzaga</v>
      </c>
    </row>
    <row r="898" spans="1:139" ht="25.5">
      <c r="A898" s="228">
        <v>40385</v>
      </c>
      <c r="B898" s="102" t="s">
        <v>1192</v>
      </c>
      <c r="C898" s="102" t="s">
        <v>1391</v>
      </c>
      <c r="D898" s="206" t="s">
        <v>1878</v>
      </c>
      <c r="E898" s="320" t="s">
        <v>3487</v>
      </c>
      <c r="F898" s="320"/>
      <c r="G898" s="210"/>
      <c r="H898" s="71"/>
      <c r="I898" s="71"/>
      <c r="J898" s="71">
        <v>45</v>
      </c>
      <c r="K898" s="71">
        <v>9</v>
      </c>
      <c r="L898" s="1"/>
      <c r="M898" s="73">
        <f t="shared" si="110"/>
        <v>0</v>
      </c>
      <c r="N898" s="73">
        <f t="shared" si="111"/>
        <v>0</v>
      </c>
      <c r="O898" s="73">
        <f t="shared" si="117"/>
        <v>0</v>
      </c>
      <c r="P898" s="73">
        <f t="shared" si="112"/>
        <v>0</v>
      </c>
      <c r="Q898" s="73"/>
      <c r="R898" s="73">
        <v>0</v>
      </c>
      <c r="S898" s="75">
        <f t="shared" si="114"/>
        <v>0</v>
      </c>
      <c r="T898" s="77">
        <v>0</v>
      </c>
      <c r="U898" s="66">
        <v>40387</v>
      </c>
      <c r="V898" s="79"/>
      <c r="W898" s="66" t="s">
        <v>1585</v>
      </c>
      <c r="X898" s="24" t="s">
        <v>1586</v>
      </c>
      <c r="Y898" s="62"/>
      <c r="Z898" s="177" t="s">
        <v>894</v>
      </c>
      <c r="AA898" s="80" t="s">
        <v>1852</v>
      </c>
      <c r="AB898" s="3"/>
      <c r="AC898" s="4"/>
      <c r="AD898" s="5"/>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6"/>
      <c r="CE898" s="7"/>
      <c r="CF898" s="6"/>
      <c r="CG898" s="7"/>
      <c r="CH898" s="6"/>
      <c r="CI898" s="7"/>
      <c r="CJ898" s="8">
        <f t="shared" si="113"/>
        <v>0</v>
      </c>
      <c r="CK898" s="9"/>
      <c r="CL898" s="10"/>
      <c r="CM898" s="11"/>
      <c r="CN898" s="12"/>
      <c r="CO898" s="28"/>
      <c r="CP898" s="12"/>
      <c r="CQ898" s="9"/>
      <c r="CR898" s="10"/>
      <c r="CS898" s="68"/>
      <c r="EC898" s="344" t="str">
        <f t="shared" si="115"/>
        <v>BOYACA_PAJARITO</v>
      </c>
      <c r="ED898" s="341"/>
      <c r="EE898" s="341" t="s">
        <v>3184</v>
      </c>
      <c r="EF898" s="349" t="s">
        <v>3185</v>
      </c>
      <c r="EG898" s="341" t="s">
        <v>4121</v>
      </c>
      <c r="EH898" s="341" t="s">
        <v>5177</v>
      </c>
      <c r="EI898" s="341" t="str">
        <f t="shared" si="118"/>
        <v>Santander_Palmar</v>
      </c>
    </row>
    <row r="899" spans="1:139" ht="38.25">
      <c r="A899" s="228">
        <v>40385</v>
      </c>
      <c r="B899" s="205" t="s">
        <v>1192</v>
      </c>
      <c r="C899" s="205" t="s">
        <v>103</v>
      </c>
      <c r="D899" s="207" t="s">
        <v>1878</v>
      </c>
      <c r="E899" s="323" t="s">
        <v>3488</v>
      </c>
      <c r="F899" s="323"/>
      <c r="G899" s="204"/>
      <c r="H899" s="151"/>
      <c r="I899" s="151"/>
      <c r="J899" s="151">
        <v>500</v>
      </c>
      <c r="K899" s="151">
        <v>100</v>
      </c>
      <c r="L899" s="1"/>
      <c r="M899" s="73">
        <f t="shared" ref="M899:M962" si="119">CJ899</f>
        <v>0</v>
      </c>
      <c r="N899" s="73">
        <f t="shared" ref="N899:N962" si="120">CN899</f>
        <v>0</v>
      </c>
      <c r="O899" s="73">
        <f t="shared" si="117"/>
        <v>0</v>
      </c>
      <c r="P899" s="73">
        <f t="shared" ref="P899:P962" si="121">CL899</f>
        <v>0</v>
      </c>
      <c r="Q899" s="73"/>
      <c r="R899" s="73">
        <v>0</v>
      </c>
      <c r="S899" s="75">
        <f t="shared" si="114"/>
        <v>0</v>
      </c>
      <c r="T899" s="77">
        <v>0</v>
      </c>
      <c r="U899" s="66">
        <v>40589</v>
      </c>
      <c r="V899" s="79"/>
      <c r="W899" s="66" t="s">
        <v>1585</v>
      </c>
      <c r="X899" s="24" t="s">
        <v>1586</v>
      </c>
      <c r="Y899" s="62"/>
      <c r="Z899" s="169" t="s">
        <v>894</v>
      </c>
      <c r="AA899" s="166" t="s">
        <v>95</v>
      </c>
      <c r="AB899" s="152"/>
      <c r="AC899" s="153"/>
      <c r="AD899" s="154"/>
      <c r="AE899" s="153"/>
      <c r="AF899" s="153"/>
      <c r="AG899" s="153"/>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c r="BG899" s="153"/>
      <c r="BH899" s="153"/>
      <c r="BI899" s="153"/>
      <c r="BJ899" s="153"/>
      <c r="BK899" s="153"/>
      <c r="BL899" s="153"/>
      <c r="BM899" s="153"/>
      <c r="BN899" s="153"/>
      <c r="BO899" s="153"/>
      <c r="BP899" s="153"/>
      <c r="BQ899" s="153"/>
      <c r="BR899" s="153"/>
      <c r="BS899" s="153"/>
      <c r="BT899" s="153"/>
      <c r="BU899" s="153"/>
      <c r="BV899" s="153"/>
      <c r="BW899" s="153"/>
      <c r="BX899" s="153"/>
      <c r="BY899" s="153"/>
      <c r="BZ899" s="153"/>
      <c r="CA899" s="153"/>
      <c r="CB899" s="153"/>
      <c r="CC899" s="153"/>
      <c r="CD899" s="155"/>
      <c r="CE899" s="156"/>
      <c r="CF899" s="155"/>
      <c r="CG899" s="156"/>
      <c r="CH899" s="155"/>
      <c r="CI899" s="156"/>
      <c r="CJ899" s="157">
        <f t="shared" ref="CJ899:CJ962" si="122">AC899+AE899+AG899+AI899+AK899+AM899+AO899+AQ899+AS899+AU899+AW899+AY899+BA899+BC899+BE899+BG899+BI899+BK899+BM899+BO899+BQ899+BS899+BU899+BW899+BY899+CA899+CC899+CE899+CG899+CI899</f>
        <v>0</v>
      </c>
      <c r="CK899" s="158"/>
      <c r="CL899" s="159"/>
      <c r="CM899" s="160"/>
      <c r="CN899" s="161"/>
      <c r="CO899" s="162"/>
      <c r="CP899" s="161"/>
      <c r="CQ899" s="158"/>
      <c r="CR899" s="159"/>
      <c r="CS899" s="68"/>
      <c r="CT899" s="163"/>
      <c r="EC899" s="344" t="str">
        <f t="shared" si="115"/>
        <v>BOYACA_PANQUEBA</v>
      </c>
      <c r="ED899" s="341"/>
      <c r="EE899" s="341" t="s">
        <v>3184</v>
      </c>
      <c r="EF899" s="349" t="s">
        <v>3185</v>
      </c>
      <c r="EG899" s="341" t="s">
        <v>4122</v>
      </c>
      <c r="EH899" s="341" t="s">
        <v>5178</v>
      </c>
      <c r="EI899" s="341" t="str">
        <f t="shared" si="118"/>
        <v>Santander_Palmas del Socorro</v>
      </c>
    </row>
    <row r="900" spans="1:139" ht="25.5">
      <c r="A900" s="228">
        <v>40385</v>
      </c>
      <c r="B900" s="102" t="s">
        <v>1996</v>
      </c>
      <c r="C900" s="102" t="s">
        <v>939</v>
      </c>
      <c r="D900" s="206" t="s">
        <v>1923</v>
      </c>
      <c r="E900" s="320" t="s">
        <v>3813</v>
      </c>
      <c r="F900" s="320"/>
      <c r="G900" s="210">
        <v>1</v>
      </c>
      <c r="H900" s="71"/>
      <c r="I900" s="71"/>
      <c r="J900" s="71"/>
      <c r="K900" s="71"/>
      <c r="L900" s="1"/>
      <c r="M900" s="73">
        <f t="shared" si="119"/>
        <v>0</v>
      </c>
      <c r="N900" s="73">
        <f t="shared" si="120"/>
        <v>0</v>
      </c>
      <c r="O900" s="73">
        <f t="shared" si="117"/>
        <v>0</v>
      </c>
      <c r="P900" s="73">
        <f t="shared" si="121"/>
        <v>0</v>
      </c>
      <c r="Q900" s="73"/>
      <c r="R900" s="73">
        <v>0</v>
      </c>
      <c r="S900" s="75">
        <f t="shared" si="114"/>
        <v>0</v>
      </c>
      <c r="T900" s="77">
        <v>0</v>
      </c>
      <c r="U900" s="1">
        <v>40387</v>
      </c>
      <c r="V900" s="79"/>
      <c r="W900" s="66" t="s">
        <v>1585</v>
      </c>
      <c r="X900" s="24" t="s">
        <v>1586</v>
      </c>
      <c r="Y900" s="62"/>
      <c r="Z900" s="177" t="s">
        <v>894</v>
      </c>
      <c r="AA900" s="80" t="s">
        <v>1846</v>
      </c>
      <c r="AB900" s="3"/>
      <c r="AC900" s="4"/>
      <c r="AD900" s="5"/>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6"/>
      <c r="CE900" s="7"/>
      <c r="CF900" s="6"/>
      <c r="CG900" s="7"/>
      <c r="CH900" s="6"/>
      <c r="CI900" s="7"/>
      <c r="CJ900" s="8">
        <f t="shared" si="122"/>
        <v>0</v>
      </c>
      <c r="CK900" s="9"/>
      <c r="CL900" s="10"/>
      <c r="CM900" s="11"/>
      <c r="CN900" s="12"/>
      <c r="CO900" s="28"/>
      <c r="CP900" s="12"/>
      <c r="CQ900" s="9"/>
      <c r="CR900" s="10"/>
      <c r="CS900" s="68"/>
      <c r="EC900" s="344" t="str">
        <f t="shared" si="115"/>
        <v>CHOCO_NOVITA</v>
      </c>
      <c r="ED900" s="341"/>
      <c r="EE900" s="341" t="s">
        <v>3184</v>
      </c>
      <c r="EF900" s="349" t="s">
        <v>3185</v>
      </c>
      <c r="EG900" s="341" t="s">
        <v>4123</v>
      </c>
      <c r="EH900" s="341" t="s">
        <v>5179</v>
      </c>
      <c r="EI900" s="341" t="str">
        <f t="shared" si="118"/>
        <v>Santander_Paramo</v>
      </c>
    </row>
    <row r="901" spans="1:139" ht="36">
      <c r="A901" s="228">
        <v>40385</v>
      </c>
      <c r="B901" s="102" t="s">
        <v>396</v>
      </c>
      <c r="C901" s="102" t="s">
        <v>2697</v>
      </c>
      <c r="D901" s="206" t="s">
        <v>1201</v>
      </c>
      <c r="E901" s="320" t="s">
        <v>3925</v>
      </c>
      <c r="F901" s="320"/>
      <c r="G901" s="210"/>
      <c r="H901" s="71"/>
      <c r="I901" s="71"/>
      <c r="J901" s="71"/>
      <c r="K901" s="71"/>
      <c r="L901" s="1"/>
      <c r="M901" s="73">
        <f t="shared" si="119"/>
        <v>0</v>
      </c>
      <c r="N901" s="73">
        <f t="shared" si="120"/>
        <v>0</v>
      </c>
      <c r="O901" s="73">
        <f t="shared" si="117"/>
        <v>0</v>
      </c>
      <c r="P901" s="73">
        <f t="shared" si="121"/>
        <v>0</v>
      </c>
      <c r="Q901" s="73"/>
      <c r="R901" s="73">
        <v>0</v>
      </c>
      <c r="S901" s="75">
        <f t="shared" si="114"/>
        <v>0</v>
      </c>
      <c r="T901" s="77">
        <v>0</v>
      </c>
      <c r="U901" s="1">
        <v>40387</v>
      </c>
      <c r="V901" s="79"/>
      <c r="W901" s="66" t="s">
        <v>1585</v>
      </c>
      <c r="X901" s="24" t="s">
        <v>1586</v>
      </c>
      <c r="Y901" s="62"/>
      <c r="Z901" s="177" t="s">
        <v>894</v>
      </c>
      <c r="AA901" s="80" t="s">
        <v>1850</v>
      </c>
      <c r="AB901" s="3"/>
      <c r="AC901" s="4"/>
      <c r="AD901" s="5"/>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6"/>
      <c r="CE901" s="7"/>
      <c r="CF901" s="6"/>
      <c r="CG901" s="7"/>
      <c r="CH901" s="6"/>
      <c r="CI901" s="7"/>
      <c r="CJ901" s="8">
        <f t="shared" si="122"/>
        <v>0</v>
      </c>
      <c r="CK901" s="9"/>
      <c r="CL901" s="10"/>
      <c r="CM901" s="11"/>
      <c r="CN901" s="12"/>
      <c r="CO901" s="28"/>
      <c r="CP901" s="12"/>
      <c r="CQ901" s="9"/>
      <c r="CR901" s="10"/>
      <c r="CS901" s="68"/>
      <c r="EC901" s="344" t="str">
        <f t="shared" si="115"/>
        <v>META_PUERTO LOPEZ</v>
      </c>
      <c r="ED901" s="341"/>
      <c r="EE901" s="341" t="s">
        <v>3184</v>
      </c>
      <c r="EF901" s="349" t="s">
        <v>3185</v>
      </c>
      <c r="EG901" s="341" t="s">
        <v>4124</v>
      </c>
      <c r="EH901" s="341" t="s">
        <v>5180</v>
      </c>
      <c r="EI901" s="341" t="str">
        <f t="shared" si="118"/>
        <v>Santander_Piedecuesta</v>
      </c>
    </row>
    <row r="902" spans="1:139" ht="36">
      <c r="A902" s="228">
        <v>40385</v>
      </c>
      <c r="B902" s="102" t="s">
        <v>396</v>
      </c>
      <c r="C902" s="102" t="s">
        <v>1899</v>
      </c>
      <c r="D902" s="206" t="s">
        <v>1201</v>
      </c>
      <c r="E902" s="320" t="s">
        <v>3905</v>
      </c>
      <c r="F902" s="320"/>
      <c r="G902" s="210"/>
      <c r="H902" s="71"/>
      <c r="I902" s="71"/>
      <c r="J902" s="71">
        <f>225+88</f>
        <v>313</v>
      </c>
      <c r="K902" s="71">
        <v>70</v>
      </c>
      <c r="L902" s="1"/>
      <c r="M902" s="73">
        <f t="shared" si="119"/>
        <v>0</v>
      </c>
      <c r="N902" s="73">
        <f t="shared" si="120"/>
        <v>0</v>
      </c>
      <c r="O902" s="73">
        <f t="shared" si="117"/>
        <v>0</v>
      </c>
      <c r="P902" s="73">
        <f t="shared" si="121"/>
        <v>0</v>
      </c>
      <c r="Q902" s="73"/>
      <c r="R902" s="73">
        <v>0</v>
      </c>
      <c r="S902" s="75">
        <f t="shared" si="114"/>
        <v>0</v>
      </c>
      <c r="T902" s="77">
        <v>0</v>
      </c>
      <c r="U902" s="1">
        <v>40385</v>
      </c>
      <c r="V902" s="79"/>
      <c r="W902" s="66" t="s">
        <v>1585</v>
      </c>
      <c r="X902" s="24" t="s">
        <v>1586</v>
      </c>
      <c r="Y902" s="62"/>
      <c r="Z902" s="177" t="s">
        <v>894</v>
      </c>
      <c r="AA902" s="80" t="s">
        <v>1849</v>
      </c>
      <c r="AB902" s="3"/>
      <c r="AC902" s="4"/>
      <c r="AD902" s="5"/>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6"/>
      <c r="CE902" s="7"/>
      <c r="CF902" s="6"/>
      <c r="CG902" s="7"/>
      <c r="CH902" s="6"/>
      <c r="CI902" s="7"/>
      <c r="CJ902" s="8">
        <f t="shared" si="122"/>
        <v>0</v>
      </c>
      <c r="CK902" s="9"/>
      <c r="CL902" s="10"/>
      <c r="CM902" s="11"/>
      <c r="CN902" s="12"/>
      <c r="CO902" s="28"/>
      <c r="CP902" s="12"/>
      <c r="CQ902" s="9"/>
      <c r="CR902" s="10"/>
      <c r="CS902" s="68"/>
      <c r="EC902" s="344" t="str">
        <f t="shared" si="115"/>
        <v>META_VILLAVICENCIO</v>
      </c>
      <c r="ED902" s="341"/>
      <c r="EE902" s="341" t="s">
        <v>3184</v>
      </c>
      <c r="EF902" s="349" t="s">
        <v>3185</v>
      </c>
      <c r="EG902" s="341" t="s">
        <v>4125</v>
      </c>
      <c r="EH902" s="341" t="s">
        <v>5181</v>
      </c>
      <c r="EI902" s="341" t="str">
        <f t="shared" si="118"/>
        <v>Santander_Pinchote</v>
      </c>
    </row>
    <row r="903" spans="1:139" ht="38.25">
      <c r="A903" s="228">
        <v>40385</v>
      </c>
      <c r="B903" s="102" t="s">
        <v>1612</v>
      </c>
      <c r="C903" s="102" t="s">
        <v>1613</v>
      </c>
      <c r="D903" s="206" t="s">
        <v>2606</v>
      </c>
      <c r="E903" s="320" t="s">
        <v>4038</v>
      </c>
      <c r="F903" s="320"/>
      <c r="G903" s="210"/>
      <c r="H903" s="71"/>
      <c r="I903" s="71"/>
      <c r="J903" s="71">
        <v>30</v>
      </c>
      <c r="K903" s="71">
        <v>6</v>
      </c>
      <c r="L903" s="1"/>
      <c r="M903" s="73">
        <f t="shared" si="119"/>
        <v>0</v>
      </c>
      <c r="N903" s="73">
        <f t="shared" si="120"/>
        <v>0</v>
      </c>
      <c r="O903" s="73">
        <f t="shared" si="117"/>
        <v>0</v>
      </c>
      <c r="P903" s="73">
        <f t="shared" si="121"/>
        <v>0</v>
      </c>
      <c r="Q903" s="73"/>
      <c r="R903" s="73">
        <v>0</v>
      </c>
      <c r="S903" s="75">
        <f t="shared" si="114"/>
        <v>0</v>
      </c>
      <c r="T903" s="77">
        <v>0</v>
      </c>
      <c r="U903" s="1">
        <v>40387</v>
      </c>
      <c r="V903" s="79"/>
      <c r="W903" s="66" t="s">
        <v>1585</v>
      </c>
      <c r="X903" s="24" t="s">
        <v>1586</v>
      </c>
      <c r="Y903" s="62"/>
      <c r="Z903" s="177" t="s">
        <v>894</v>
      </c>
      <c r="AA903" s="80" t="s">
        <v>1851</v>
      </c>
      <c r="AB903" s="3"/>
      <c r="AC903" s="4"/>
      <c r="AD903" s="5"/>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6"/>
      <c r="CE903" s="7"/>
      <c r="CF903" s="6"/>
      <c r="CG903" s="7"/>
      <c r="CH903" s="6"/>
      <c r="CI903" s="7"/>
      <c r="CJ903" s="8">
        <f t="shared" si="122"/>
        <v>0</v>
      </c>
      <c r="CK903" s="9"/>
      <c r="CL903" s="10"/>
      <c r="CM903" s="11"/>
      <c r="CN903" s="12"/>
      <c r="CO903" s="28"/>
      <c r="CP903" s="12"/>
      <c r="CQ903" s="9"/>
      <c r="CR903" s="10"/>
      <c r="CS903" s="68"/>
      <c r="EC903" s="344" t="str">
        <f t="shared" si="115"/>
        <v>QUINDIO_ARMENIA</v>
      </c>
      <c r="ED903" s="341"/>
      <c r="EE903" s="341" t="s">
        <v>3184</v>
      </c>
      <c r="EF903" s="349" t="s">
        <v>3185</v>
      </c>
      <c r="EG903" s="341" t="s">
        <v>4126</v>
      </c>
      <c r="EH903" s="341" t="s">
        <v>5182</v>
      </c>
      <c r="EI903" s="341" t="str">
        <f t="shared" si="118"/>
        <v>Santander_Puente Nacional</v>
      </c>
    </row>
    <row r="904" spans="1:139" ht="33.75">
      <c r="A904" s="228">
        <v>40386</v>
      </c>
      <c r="B904" s="102" t="s">
        <v>1615</v>
      </c>
      <c r="C904" s="102" t="s">
        <v>1533</v>
      </c>
      <c r="D904" s="206" t="s">
        <v>1201</v>
      </c>
      <c r="E904" s="320" t="s">
        <v>3416</v>
      </c>
      <c r="F904" s="320"/>
      <c r="G904" s="210"/>
      <c r="H904" s="71"/>
      <c r="I904" s="71"/>
      <c r="J904" s="71">
        <f>1510*5</f>
        <v>7550</v>
      </c>
      <c r="K904" s="71">
        <f>1525-15</f>
        <v>1510</v>
      </c>
      <c r="L904" s="1">
        <v>40415</v>
      </c>
      <c r="M904" s="73">
        <f t="shared" si="119"/>
        <v>91000000</v>
      </c>
      <c r="N904" s="73">
        <f t="shared" si="120"/>
        <v>85000000</v>
      </c>
      <c r="O904" s="73">
        <f t="shared" si="117"/>
        <v>0</v>
      </c>
      <c r="P904" s="73">
        <f t="shared" si="121"/>
        <v>0</v>
      </c>
      <c r="Q904" s="73"/>
      <c r="R904" s="73">
        <v>0</v>
      </c>
      <c r="S904" s="75">
        <f t="shared" si="114"/>
        <v>176000000</v>
      </c>
      <c r="T904" s="77">
        <v>0</v>
      </c>
      <c r="U904" s="1">
        <v>40395</v>
      </c>
      <c r="V904" s="79">
        <v>38939</v>
      </c>
      <c r="W904" s="66" t="s">
        <v>1606</v>
      </c>
      <c r="X904" s="24" t="s">
        <v>1607</v>
      </c>
      <c r="Y904" s="83" t="s">
        <v>2341</v>
      </c>
      <c r="Z904" s="177" t="s">
        <v>1795</v>
      </c>
      <c r="AA904" s="80" t="s">
        <v>647</v>
      </c>
      <c r="AB904" s="3"/>
      <c r="AC904" s="4"/>
      <c r="AD904" s="5"/>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f>500+500</f>
        <v>1000</v>
      </c>
      <c r="CC904" s="4">
        <f>500*18000+500*18000</f>
        <v>18000000</v>
      </c>
      <c r="CD904" s="6">
        <v>1000</v>
      </c>
      <c r="CE904" s="7">
        <f>1000*37000</f>
        <v>37000000</v>
      </c>
      <c r="CF904" s="6">
        <v>1000</v>
      </c>
      <c r="CG904" s="7">
        <f>1000*36000</f>
        <v>36000000</v>
      </c>
      <c r="CH904" s="6"/>
      <c r="CI904" s="7"/>
      <c r="CJ904" s="8">
        <f t="shared" si="122"/>
        <v>91000000</v>
      </c>
      <c r="CK904" s="9"/>
      <c r="CL904" s="10"/>
      <c r="CM904" s="11">
        <v>1000</v>
      </c>
      <c r="CN904" s="12">
        <f>1000*85000</f>
        <v>85000000</v>
      </c>
      <c r="CO904" s="28"/>
      <c r="CP904" s="12"/>
      <c r="CQ904" s="9"/>
      <c r="CR904" s="10"/>
      <c r="CS904" s="68"/>
      <c r="EC904" s="344" t="str">
        <f t="shared" si="115"/>
        <v>BOLIVAR_TIQUISIO</v>
      </c>
      <c r="ED904" s="341"/>
      <c r="EE904" s="341" t="s">
        <v>3184</v>
      </c>
      <c r="EF904" s="349" t="s">
        <v>3185</v>
      </c>
      <c r="EG904" s="341" t="s">
        <v>4127</v>
      </c>
      <c r="EH904" s="341" t="s">
        <v>5183</v>
      </c>
      <c r="EI904" s="341" t="str">
        <f t="shared" si="118"/>
        <v>Santander_Puerto Parra</v>
      </c>
    </row>
    <row r="905" spans="1:139" ht="38.25">
      <c r="A905" s="228">
        <v>40386</v>
      </c>
      <c r="B905" s="102" t="s">
        <v>396</v>
      </c>
      <c r="C905" s="102" t="s">
        <v>1847</v>
      </c>
      <c r="D905" s="206" t="s">
        <v>1201</v>
      </c>
      <c r="E905" s="320" t="s">
        <v>3911</v>
      </c>
      <c r="F905" s="320"/>
      <c r="G905" s="210"/>
      <c r="H905" s="71"/>
      <c r="I905" s="71"/>
      <c r="J905" s="71">
        <v>285</v>
      </c>
      <c r="K905" s="71">
        <v>57</v>
      </c>
      <c r="L905" s="1"/>
      <c r="M905" s="73">
        <f t="shared" si="119"/>
        <v>0</v>
      </c>
      <c r="N905" s="73">
        <f t="shared" si="120"/>
        <v>0</v>
      </c>
      <c r="O905" s="73">
        <f t="shared" si="117"/>
        <v>0</v>
      </c>
      <c r="P905" s="73">
        <f t="shared" si="121"/>
        <v>0</v>
      </c>
      <c r="Q905" s="73"/>
      <c r="R905" s="73">
        <v>0</v>
      </c>
      <c r="S905" s="75">
        <f t="shared" ref="S905:S968" si="123">M905+N905+O905+P905+Q905+R905</f>
        <v>0</v>
      </c>
      <c r="T905" s="77">
        <v>0</v>
      </c>
      <c r="U905" s="1">
        <v>40387</v>
      </c>
      <c r="V905" s="79"/>
      <c r="W905" s="66" t="s">
        <v>1585</v>
      </c>
      <c r="X905" s="24" t="s">
        <v>1586</v>
      </c>
      <c r="Y905" s="62"/>
      <c r="Z905" s="177" t="s">
        <v>894</v>
      </c>
      <c r="AA905" s="80" t="s">
        <v>1848</v>
      </c>
      <c r="AB905" s="3"/>
      <c r="AC905" s="4"/>
      <c r="AD905" s="5"/>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6"/>
      <c r="CE905" s="7"/>
      <c r="CF905" s="6"/>
      <c r="CG905" s="7"/>
      <c r="CH905" s="6"/>
      <c r="CI905" s="7"/>
      <c r="CJ905" s="8">
        <f t="shared" si="122"/>
        <v>0</v>
      </c>
      <c r="CK905" s="9"/>
      <c r="CL905" s="10"/>
      <c r="CM905" s="11"/>
      <c r="CN905" s="12"/>
      <c r="CO905" s="28"/>
      <c r="CP905" s="12"/>
      <c r="CQ905" s="9"/>
      <c r="CR905" s="10"/>
      <c r="CS905" s="68"/>
      <c r="EC905" s="344" t="str">
        <f t="shared" si="115"/>
        <v>META_CUMARAL</v>
      </c>
      <c r="ED905" s="341"/>
      <c r="EE905" s="341" t="s">
        <v>3184</v>
      </c>
      <c r="EF905" s="349" t="s">
        <v>3185</v>
      </c>
      <c r="EG905" s="341" t="s">
        <v>4128</v>
      </c>
      <c r="EH905" s="341" t="s">
        <v>5184</v>
      </c>
      <c r="EI905" s="341" t="str">
        <f t="shared" si="118"/>
        <v>Santander_Puerto Wilches</v>
      </c>
    </row>
    <row r="906" spans="1:139" ht="48">
      <c r="A906" s="228">
        <v>40386</v>
      </c>
      <c r="B906" s="102" t="s">
        <v>396</v>
      </c>
      <c r="C906" s="102" t="s">
        <v>1853</v>
      </c>
      <c r="D906" s="206" t="s">
        <v>1878</v>
      </c>
      <c r="E906" s="320" t="s">
        <v>3931</v>
      </c>
      <c r="F906" s="320"/>
      <c r="G906" s="210"/>
      <c r="H906" s="71"/>
      <c r="I906" s="71"/>
      <c r="J906" s="71"/>
      <c r="K906" s="71"/>
      <c r="L906" s="1"/>
      <c r="M906" s="73">
        <f t="shared" si="119"/>
        <v>0</v>
      </c>
      <c r="N906" s="73">
        <f t="shared" si="120"/>
        <v>0</v>
      </c>
      <c r="O906" s="73">
        <f t="shared" si="117"/>
        <v>0</v>
      </c>
      <c r="P906" s="73">
        <f t="shared" si="121"/>
        <v>0</v>
      </c>
      <c r="Q906" s="73"/>
      <c r="R906" s="73">
        <v>0</v>
      </c>
      <c r="S906" s="75">
        <f t="shared" si="123"/>
        <v>0</v>
      </c>
      <c r="T906" s="77">
        <v>0</v>
      </c>
      <c r="U906" s="66">
        <v>40387</v>
      </c>
      <c r="V906" s="79"/>
      <c r="W906" s="66" t="s">
        <v>1585</v>
      </c>
      <c r="X906" s="24" t="s">
        <v>1586</v>
      </c>
      <c r="Y906" s="62"/>
      <c r="Z906" s="177" t="s">
        <v>894</v>
      </c>
      <c r="AA906" s="80" t="s">
        <v>1854</v>
      </c>
      <c r="AB906" s="3"/>
      <c r="AC906" s="4"/>
      <c r="AD906" s="5"/>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6"/>
      <c r="CE906" s="7"/>
      <c r="CF906" s="6"/>
      <c r="CG906" s="7"/>
      <c r="CH906" s="6"/>
      <c r="CI906" s="7"/>
      <c r="CJ906" s="8">
        <f t="shared" si="122"/>
        <v>0</v>
      </c>
      <c r="CK906" s="9"/>
      <c r="CL906" s="10"/>
      <c r="CM906" s="11"/>
      <c r="CN906" s="12"/>
      <c r="CO906" s="28"/>
      <c r="CP906" s="12"/>
      <c r="CQ906" s="9"/>
      <c r="CR906" s="10"/>
      <c r="CS906" s="68"/>
      <c r="EC906" s="344" t="str">
        <f t="shared" si="115"/>
        <v>META_SAN JUANITO</v>
      </c>
      <c r="ED906" s="341"/>
      <c r="EE906" s="341" t="s">
        <v>3184</v>
      </c>
      <c r="EF906" s="349" t="s">
        <v>3185</v>
      </c>
      <c r="EG906" s="341" t="s">
        <v>4129</v>
      </c>
      <c r="EH906" s="341" t="s">
        <v>4453</v>
      </c>
      <c r="EI906" s="341" t="str">
        <f t="shared" si="118"/>
        <v>Santander_Rionegro</v>
      </c>
    </row>
    <row r="907" spans="1:139" ht="38.25">
      <c r="A907" s="228">
        <v>40386</v>
      </c>
      <c r="B907" s="102" t="s">
        <v>1088</v>
      </c>
      <c r="C907" s="102" t="s">
        <v>3204</v>
      </c>
      <c r="D907" s="206" t="s">
        <v>1316</v>
      </c>
      <c r="E907" s="320" t="s">
        <v>4224</v>
      </c>
      <c r="F907" s="320"/>
      <c r="G907" s="210"/>
      <c r="H907" s="71"/>
      <c r="I907" s="71"/>
      <c r="J907" s="71"/>
      <c r="K907" s="71"/>
      <c r="L907" s="1"/>
      <c r="M907" s="73">
        <f t="shared" si="119"/>
        <v>0</v>
      </c>
      <c r="N907" s="73">
        <f t="shared" si="120"/>
        <v>0</v>
      </c>
      <c r="O907" s="73">
        <f t="shared" si="117"/>
        <v>0</v>
      </c>
      <c r="P907" s="73">
        <f t="shared" si="121"/>
        <v>0</v>
      </c>
      <c r="Q907" s="73"/>
      <c r="R907" s="73">
        <v>0</v>
      </c>
      <c r="S907" s="75">
        <f t="shared" si="123"/>
        <v>0</v>
      </c>
      <c r="T907" s="77">
        <v>0</v>
      </c>
      <c r="U907" s="66">
        <v>40387</v>
      </c>
      <c r="V907" s="79"/>
      <c r="W907" s="66" t="s">
        <v>1585</v>
      </c>
      <c r="X907" s="24" t="s">
        <v>1586</v>
      </c>
      <c r="Y907" s="62"/>
      <c r="Z907" s="177" t="s">
        <v>894</v>
      </c>
      <c r="AA907" s="80" t="s">
        <v>1855</v>
      </c>
      <c r="AB907" s="3"/>
      <c r="AC907" s="4"/>
      <c r="AD907" s="5"/>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6"/>
      <c r="CE907" s="7"/>
      <c r="CF907" s="6"/>
      <c r="CG907" s="7"/>
      <c r="CH907" s="6"/>
      <c r="CI907" s="7"/>
      <c r="CJ907" s="8">
        <f t="shared" si="122"/>
        <v>0</v>
      </c>
      <c r="CK907" s="9"/>
      <c r="CL907" s="10"/>
      <c r="CM907" s="11"/>
      <c r="CN907" s="12"/>
      <c r="CO907" s="28"/>
      <c r="CP907" s="12"/>
      <c r="CQ907" s="9"/>
      <c r="CR907" s="10"/>
      <c r="CS907" s="68"/>
      <c r="EC907" s="344" t="str">
        <f t="shared" si="115"/>
        <v>VALLE DEL CAUCA_CALI</v>
      </c>
      <c r="ED907" s="341"/>
      <c r="EE907" s="341" t="s">
        <v>3184</v>
      </c>
      <c r="EF907" s="349" t="s">
        <v>3185</v>
      </c>
      <c r="EG907" s="341" t="s">
        <v>4130</v>
      </c>
      <c r="EH907" s="341" t="s">
        <v>5185</v>
      </c>
      <c r="EI907" s="341" t="str">
        <f t="shared" si="118"/>
        <v>Santander_Sabana de Torres</v>
      </c>
    </row>
    <row r="908" spans="1:139" ht="38.25">
      <c r="A908" s="228">
        <v>40386</v>
      </c>
      <c r="B908" s="102" t="s">
        <v>1088</v>
      </c>
      <c r="C908" s="102" t="s">
        <v>2708</v>
      </c>
      <c r="D908" s="206" t="s">
        <v>1201</v>
      </c>
      <c r="E908" s="320" t="s">
        <v>4257</v>
      </c>
      <c r="F908" s="320"/>
      <c r="G908" s="210"/>
      <c r="H908" s="71"/>
      <c r="I908" s="71"/>
      <c r="J908" s="71">
        <v>100</v>
      </c>
      <c r="K908" s="71">
        <v>20</v>
      </c>
      <c r="L908" s="1"/>
      <c r="M908" s="73">
        <f t="shared" si="119"/>
        <v>0</v>
      </c>
      <c r="N908" s="73">
        <f t="shared" si="120"/>
        <v>0</v>
      </c>
      <c r="O908" s="73">
        <f t="shared" ref="O908:O939" si="124">CP908+CR908</f>
        <v>0</v>
      </c>
      <c r="P908" s="73">
        <f t="shared" si="121"/>
        <v>0</v>
      </c>
      <c r="Q908" s="73"/>
      <c r="R908" s="73">
        <v>0</v>
      </c>
      <c r="S908" s="75">
        <f t="shared" si="123"/>
        <v>0</v>
      </c>
      <c r="T908" s="77">
        <v>0</v>
      </c>
      <c r="U908" s="66">
        <v>40387</v>
      </c>
      <c r="V908" s="79"/>
      <c r="W908" s="66" t="s">
        <v>1585</v>
      </c>
      <c r="X908" s="24" t="s">
        <v>1586</v>
      </c>
      <c r="Y908" s="62"/>
      <c r="Z908" s="177" t="s">
        <v>894</v>
      </c>
      <c r="AA908" s="80" t="s">
        <v>1407</v>
      </c>
      <c r="AB908" s="3"/>
      <c r="AC908" s="4"/>
      <c r="AD908" s="5"/>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6"/>
      <c r="CE908" s="7"/>
      <c r="CF908" s="6"/>
      <c r="CG908" s="7"/>
      <c r="CH908" s="6"/>
      <c r="CI908" s="7"/>
      <c r="CJ908" s="8">
        <f t="shared" si="122"/>
        <v>0</v>
      </c>
      <c r="CK908" s="9"/>
      <c r="CL908" s="10"/>
      <c r="CM908" s="11"/>
      <c r="CN908" s="12"/>
      <c r="CO908" s="28"/>
      <c r="CP908" s="12"/>
      <c r="CQ908" s="9"/>
      <c r="CR908" s="10"/>
      <c r="CS908" s="68"/>
      <c r="EC908" s="344" t="str">
        <f t="shared" si="115"/>
        <v>VALLE DEL CAUCA_TORO</v>
      </c>
      <c r="ED908" s="341"/>
      <c r="EE908" s="341" t="s">
        <v>3184</v>
      </c>
      <c r="EF908" s="349" t="s">
        <v>3185</v>
      </c>
      <c r="EG908" s="341" t="s">
        <v>4131</v>
      </c>
      <c r="EH908" s="341" t="s">
        <v>5186</v>
      </c>
      <c r="EI908" s="341" t="str">
        <f t="shared" si="118"/>
        <v>Santander_San Andres</v>
      </c>
    </row>
    <row r="909" spans="1:139" ht="36">
      <c r="A909" s="228">
        <v>40387</v>
      </c>
      <c r="B909" s="102" t="s">
        <v>1615</v>
      </c>
      <c r="C909" s="102" t="s">
        <v>1385</v>
      </c>
      <c r="D909" s="206" t="s">
        <v>1201</v>
      </c>
      <c r="E909" s="320" t="s">
        <v>3398</v>
      </c>
      <c r="F909" s="320"/>
      <c r="G909" s="210"/>
      <c r="H909" s="71"/>
      <c r="I909" s="71"/>
      <c r="J909" s="71">
        <f>1465*5</f>
        <v>7325</v>
      </c>
      <c r="K909" s="71">
        <v>1465</v>
      </c>
      <c r="L909" s="1">
        <v>40415</v>
      </c>
      <c r="M909" s="73">
        <f t="shared" si="119"/>
        <v>12600000</v>
      </c>
      <c r="N909" s="73">
        <f t="shared" si="120"/>
        <v>59500000</v>
      </c>
      <c r="O909" s="73">
        <f t="shared" si="124"/>
        <v>0</v>
      </c>
      <c r="P909" s="73">
        <f t="shared" si="121"/>
        <v>0</v>
      </c>
      <c r="Q909" s="73"/>
      <c r="R909" s="73">
        <v>0</v>
      </c>
      <c r="S909" s="75">
        <f t="shared" si="123"/>
        <v>72100000</v>
      </c>
      <c r="T909" s="77">
        <v>0</v>
      </c>
      <c r="U909" s="66">
        <v>40395</v>
      </c>
      <c r="V909" s="89" t="s">
        <v>815</v>
      </c>
      <c r="W909" s="66" t="s">
        <v>1606</v>
      </c>
      <c r="X909" s="24" t="s">
        <v>1607</v>
      </c>
      <c r="Y909" s="83" t="s">
        <v>332</v>
      </c>
      <c r="Z909" s="169" t="s">
        <v>1435</v>
      </c>
      <c r="AA909" s="80" t="s">
        <v>814</v>
      </c>
      <c r="AB909" s="3"/>
      <c r="AC909" s="4"/>
      <c r="AD909" s="5"/>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v>700</v>
      </c>
      <c r="CC909" s="4">
        <f>700*18000</f>
        <v>12600000</v>
      </c>
      <c r="CD909" s="6"/>
      <c r="CE909" s="7"/>
      <c r="CF909" s="6"/>
      <c r="CG909" s="7"/>
      <c r="CH909" s="6"/>
      <c r="CI909" s="7"/>
      <c r="CJ909" s="8">
        <f t="shared" si="122"/>
        <v>12600000</v>
      </c>
      <c r="CK909" s="9"/>
      <c r="CL909" s="10"/>
      <c r="CM909" s="11">
        <v>700</v>
      </c>
      <c r="CN909" s="12">
        <f>700*85000</f>
        <v>59500000</v>
      </c>
      <c r="CO909" s="28"/>
      <c r="CP909" s="12"/>
      <c r="CQ909" s="9"/>
      <c r="CR909" s="10"/>
      <c r="CS909" s="68"/>
      <c r="EC909" s="344" t="str">
        <f t="shared" si="115"/>
        <v>BOLIVAR_MORALES</v>
      </c>
      <c r="ED909" s="341"/>
      <c r="EE909" s="341" t="s">
        <v>3184</v>
      </c>
      <c r="EF909" s="349" t="s">
        <v>3185</v>
      </c>
      <c r="EG909" s="341" t="s">
        <v>4132</v>
      </c>
      <c r="EH909" s="341" t="s">
        <v>5187</v>
      </c>
      <c r="EI909" s="341" t="str">
        <f t="shared" si="118"/>
        <v>Santander_San Benito</v>
      </c>
    </row>
    <row r="910" spans="1:139" ht="25.5">
      <c r="A910" s="228">
        <v>40387</v>
      </c>
      <c r="B910" s="102" t="s">
        <v>1612</v>
      </c>
      <c r="C910" s="102" t="s">
        <v>1578</v>
      </c>
      <c r="D910" s="206" t="s">
        <v>2606</v>
      </c>
      <c r="E910" s="320" t="s">
        <v>4048</v>
      </c>
      <c r="F910" s="320"/>
      <c r="G910" s="210"/>
      <c r="H910" s="71"/>
      <c r="I910" s="71"/>
      <c r="J910" s="71">
        <v>10</v>
      </c>
      <c r="K910" s="71">
        <v>2</v>
      </c>
      <c r="L910" s="1"/>
      <c r="M910" s="73">
        <f t="shared" si="119"/>
        <v>0</v>
      </c>
      <c r="N910" s="73">
        <f t="shared" si="120"/>
        <v>0</v>
      </c>
      <c r="O910" s="73">
        <f t="shared" si="124"/>
        <v>0</v>
      </c>
      <c r="P910" s="73">
        <f t="shared" si="121"/>
        <v>0</v>
      </c>
      <c r="Q910" s="73"/>
      <c r="R910" s="73">
        <v>0</v>
      </c>
      <c r="S910" s="75">
        <f t="shared" si="123"/>
        <v>0</v>
      </c>
      <c r="T910" s="77">
        <v>0</v>
      </c>
      <c r="U910" s="66">
        <v>40388</v>
      </c>
      <c r="V910" s="79"/>
      <c r="W910" s="66" t="s">
        <v>1585</v>
      </c>
      <c r="X910" s="24" t="s">
        <v>1586</v>
      </c>
      <c r="Y910" s="62"/>
      <c r="Z910" s="177" t="s">
        <v>894</v>
      </c>
      <c r="AA910" s="80" t="s">
        <v>1406</v>
      </c>
      <c r="AB910" s="3"/>
      <c r="AC910" s="4"/>
      <c r="AD910" s="5"/>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6"/>
      <c r="CE910" s="7"/>
      <c r="CF910" s="6"/>
      <c r="CG910" s="7"/>
      <c r="CH910" s="6"/>
      <c r="CI910" s="7"/>
      <c r="CJ910" s="8">
        <f t="shared" si="122"/>
        <v>0</v>
      </c>
      <c r="CK910" s="9"/>
      <c r="CL910" s="10"/>
      <c r="CM910" s="11"/>
      <c r="CN910" s="12"/>
      <c r="CO910" s="28"/>
      <c r="CP910" s="12"/>
      <c r="CQ910" s="9"/>
      <c r="CR910" s="10"/>
      <c r="CS910" s="68"/>
      <c r="EC910" s="344" t="str">
        <f t="shared" si="115"/>
        <v>QUINDIO_QUIMBAYA</v>
      </c>
      <c r="ED910" s="341"/>
      <c r="EE910" s="341" t="s">
        <v>3184</v>
      </c>
      <c r="EF910" s="349" t="s">
        <v>3185</v>
      </c>
      <c r="EG910" s="341" t="s">
        <v>4133</v>
      </c>
      <c r="EH910" s="341" t="s">
        <v>5188</v>
      </c>
      <c r="EI910" s="341" t="str">
        <f t="shared" si="118"/>
        <v>Santander_San Gil</v>
      </c>
    </row>
    <row r="911" spans="1:139" ht="38.25">
      <c r="A911" s="228">
        <v>40388</v>
      </c>
      <c r="B911" s="222" t="s">
        <v>2367</v>
      </c>
      <c r="C911" s="222" t="s">
        <v>1788</v>
      </c>
      <c r="D911" s="233" t="s">
        <v>1201</v>
      </c>
      <c r="E911" s="325" t="s">
        <v>4268</v>
      </c>
      <c r="F911" s="325"/>
      <c r="G911" s="204"/>
      <c r="H911" s="151"/>
      <c r="I911" s="151"/>
      <c r="J911" s="151">
        <v>35</v>
      </c>
      <c r="K911" s="151">
        <v>7</v>
      </c>
      <c r="L911" s="1"/>
      <c r="M911" s="73">
        <f t="shared" si="119"/>
        <v>0</v>
      </c>
      <c r="N911" s="73">
        <f t="shared" si="120"/>
        <v>0</v>
      </c>
      <c r="O911" s="73">
        <f t="shared" si="124"/>
        <v>0</v>
      </c>
      <c r="P911" s="73">
        <f t="shared" si="121"/>
        <v>0</v>
      </c>
      <c r="Q911" s="73"/>
      <c r="R911" s="73">
        <v>0</v>
      </c>
      <c r="S911" s="75">
        <f t="shared" si="123"/>
        <v>0</v>
      </c>
      <c r="T911" s="77">
        <v>0</v>
      </c>
      <c r="U911" s="66">
        <v>40441</v>
      </c>
      <c r="V911" s="79"/>
      <c r="W911" s="66" t="s">
        <v>1606</v>
      </c>
      <c r="X911" s="24" t="s">
        <v>1607</v>
      </c>
      <c r="Y911" s="62"/>
      <c r="Z911" s="198" t="s">
        <v>1270</v>
      </c>
      <c r="AA911" s="166" t="s">
        <v>902</v>
      </c>
      <c r="AB911" s="152"/>
      <c r="AC911" s="153"/>
      <c r="AD911" s="154"/>
      <c r="AE911" s="153"/>
      <c r="AF911" s="153"/>
      <c r="AG911" s="153"/>
      <c r="AH911" s="153"/>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c r="BF911" s="153"/>
      <c r="BG911" s="153"/>
      <c r="BH911" s="153"/>
      <c r="BI911" s="153"/>
      <c r="BJ911" s="153"/>
      <c r="BK911" s="153"/>
      <c r="BL911" s="153"/>
      <c r="BM911" s="153"/>
      <c r="BN911" s="153"/>
      <c r="BO911" s="153"/>
      <c r="BP911" s="153"/>
      <c r="BQ911" s="153"/>
      <c r="BR911" s="153"/>
      <c r="BS911" s="153"/>
      <c r="BT911" s="153"/>
      <c r="BU911" s="153"/>
      <c r="BV911" s="153"/>
      <c r="BW911" s="153"/>
      <c r="BX911" s="153"/>
      <c r="BY911" s="153"/>
      <c r="BZ911" s="153"/>
      <c r="CA911" s="153"/>
      <c r="CB911" s="153"/>
      <c r="CC911" s="153"/>
      <c r="CD911" s="155"/>
      <c r="CE911" s="156"/>
      <c r="CF911" s="155"/>
      <c r="CG911" s="156"/>
      <c r="CH911" s="155"/>
      <c r="CI911" s="156"/>
      <c r="CJ911" s="157">
        <f t="shared" si="122"/>
        <v>0</v>
      </c>
      <c r="CK911" s="158"/>
      <c r="CL911" s="159"/>
      <c r="CM911" s="160"/>
      <c r="CN911" s="161"/>
      <c r="CO911" s="162"/>
      <c r="CP911" s="161"/>
      <c r="CQ911" s="158"/>
      <c r="CR911" s="159"/>
      <c r="CS911" s="68"/>
      <c r="CT911" s="163">
        <v>1280</v>
      </c>
      <c r="EC911" s="344" t="str">
        <f t="shared" si="115"/>
        <v>ARAUCA_CRAVO NORTE</v>
      </c>
      <c r="ED911" s="341"/>
      <c r="EE911" s="341" t="s">
        <v>3184</v>
      </c>
      <c r="EF911" s="349" t="s">
        <v>3185</v>
      </c>
      <c r="EG911" s="341" t="s">
        <v>4134</v>
      </c>
      <c r="EH911" s="341" t="s">
        <v>5189</v>
      </c>
      <c r="EI911" s="341" t="str">
        <f t="shared" si="118"/>
        <v>Santander_San Joaquin</v>
      </c>
    </row>
    <row r="912" spans="1:139" ht="45">
      <c r="A912" s="228">
        <v>40388</v>
      </c>
      <c r="B912" s="102" t="s">
        <v>1192</v>
      </c>
      <c r="C912" s="102" t="s">
        <v>1935</v>
      </c>
      <c r="D912" s="206" t="s">
        <v>1201</v>
      </c>
      <c r="E912" s="320" t="s">
        <v>3494</v>
      </c>
      <c r="F912" s="320"/>
      <c r="G912" s="210"/>
      <c r="H912" s="71"/>
      <c r="I912" s="71"/>
      <c r="J912" s="71">
        <v>390</v>
      </c>
      <c r="K912" s="71">
        <v>78</v>
      </c>
      <c r="L912" s="1">
        <v>40410</v>
      </c>
      <c r="M912" s="73">
        <f t="shared" si="119"/>
        <v>14590400</v>
      </c>
      <c r="N912" s="73">
        <f t="shared" si="120"/>
        <v>17000000</v>
      </c>
      <c r="O912" s="73">
        <f t="shared" si="124"/>
        <v>0</v>
      </c>
      <c r="P912" s="73">
        <f t="shared" si="121"/>
        <v>0</v>
      </c>
      <c r="Q912" s="73"/>
      <c r="R912" s="73">
        <v>0</v>
      </c>
      <c r="S912" s="75">
        <f t="shared" si="123"/>
        <v>31590400</v>
      </c>
      <c r="T912" s="77">
        <v>0</v>
      </c>
      <c r="U912" s="66">
        <v>40390</v>
      </c>
      <c r="V912" s="79">
        <v>41700</v>
      </c>
      <c r="W912" s="66" t="s">
        <v>1606</v>
      </c>
      <c r="X912" s="24" t="s">
        <v>1607</v>
      </c>
      <c r="Y912" s="62">
        <v>252</v>
      </c>
      <c r="Z912" s="177" t="s">
        <v>2580</v>
      </c>
      <c r="AA912" s="80" t="s">
        <v>676</v>
      </c>
      <c r="AB912" s="3"/>
      <c r="AC912" s="4"/>
      <c r="AD912" s="5"/>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6">
        <v>200</v>
      </c>
      <c r="CE912" s="7">
        <f>200*36952</f>
        <v>7390400</v>
      </c>
      <c r="CF912" s="6">
        <v>200</v>
      </c>
      <c r="CG912" s="7">
        <f>200*36000</f>
        <v>7200000</v>
      </c>
      <c r="CH912" s="6"/>
      <c r="CI912" s="7"/>
      <c r="CJ912" s="8">
        <f t="shared" si="122"/>
        <v>14590400</v>
      </c>
      <c r="CK912" s="9"/>
      <c r="CL912" s="10"/>
      <c r="CM912" s="11">
        <v>200</v>
      </c>
      <c r="CN912" s="12">
        <f>200*85000</f>
        <v>17000000</v>
      </c>
      <c r="CO912" s="28"/>
      <c r="CP912" s="12"/>
      <c r="CQ912" s="9"/>
      <c r="CR912" s="10"/>
      <c r="CS912" s="68"/>
      <c r="EC912" s="344" t="str">
        <f t="shared" si="115"/>
        <v>BOYACA_PUERTO BOYACA</v>
      </c>
      <c r="ED912" s="341"/>
      <c r="EE912" s="341" t="s">
        <v>3184</v>
      </c>
      <c r="EF912" s="349" t="s">
        <v>3185</v>
      </c>
      <c r="EG912" s="341" t="s">
        <v>4135</v>
      </c>
      <c r="EH912" s="341" t="s">
        <v>5190</v>
      </c>
      <c r="EI912" s="341" t="str">
        <f t="shared" si="118"/>
        <v>Santander_San Jose de Miranda</v>
      </c>
    </row>
    <row r="913" spans="1:139" ht="45">
      <c r="A913" s="228">
        <v>40388</v>
      </c>
      <c r="B913" s="102" t="s">
        <v>965</v>
      </c>
      <c r="C913" s="102" t="s">
        <v>312</v>
      </c>
      <c r="D913" s="206" t="s">
        <v>2606</v>
      </c>
      <c r="E913" s="320" t="s">
        <v>3999</v>
      </c>
      <c r="F913" s="320"/>
      <c r="G913" s="210"/>
      <c r="H913" s="71">
        <v>3</v>
      </c>
      <c r="I913" s="71"/>
      <c r="J913" s="71">
        <v>830</v>
      </c>
      <c r="K913" s="71">
        <v>166</v>
      </c>
      <c r="L913" s="1">
        <v>40410</v>
      </c>
      <c r="M913" s="73">
        <f t="shared" si="119"/>
        <v>0</v>
      </c>
      <c r="N913" s="73">
        <f t="shared" si="120"/>
        <v>0</v>
      </c>
      <c r="O913" s="73">
        <f t="shared" si="124"/>
        <v>0</v>
      </c>
      <c r="P913" s="73">
        <f t="shared" si="121"/>
        <v>0</v>
      </c>
      <c r="Q913" s="73">
        <f>1000*23425+112*250125+5000*1092+150*35438</f>
        <v>62214700</v>
      </c>
      <c r="R913" s="73">
        <v>0</v>
      </c>
      <c r="S913" s="75">
        <f t="shared" si="123"/>
        <v>62214700</v>
      </c>
      <c r="T913" s="77">
        <v>0</v>
      </c>
      <c r="U913" s="66">
        <v>40389</v>
      </c>
      <c r="V913" s="79">
        <v>40659</v>
      </c>
      <c r="W913" s="66" t="s">
        <v>1606</v>
      </c>
      <c r="X913" s="24" t="s">
        <v>1607</v>
      </c>
      <c r="Y913" s="62">
        <v>255</v>
      </c>
      <c r="Z913" s="177" t="s">
        <v>2580</v>
      </c>
      <c r="AA913" s="80" t="s">
        <v>1707</v>
      </c>
      <c r="AB913" s="3"/>
      <c r="AC913" s="4"/>
      <c r="AD913" s="5"/>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6"/>
      <c r="CE913" s="7"/>
      <c r="CF913" s="6"/>
      <c r="CG913" s="7"/>
      <c r="CH913" s="6"/>
      <c r="CI913" s="7"/>
      <c r="CJ913" s="8">
        <f t="shared" si="122"/>
        <v>0</v>
      </c>
      <c r="CK913" s="9"/>
      <c r="CL913" s="10"/>
      <c r="CM913" s="11"/>
      <c r="CN913" s="12"/>
      <c r="CO913" s="28"/>
      <c r="CP913" s="12"/>
      <c r="CQ913" s="9"/>
      <c r="CR913" s="10"/>
      <c r="CS913" s="68"/>
      <c r="EC913" s="344" t="str">
        <f t="shared" si="115"/>
        <v>NORTE DE SANTANDER_ABREGO</v>
      </c>
      <c r="ED913" s="341"/>
      <c r="EE913" s="341" t="s">
        <v>3184</v>
      </c>
      <c r="EF913" s="349" t="s">
        <v>3185</v>
      </c>
      <c r="EG913" s="341" t="s">
        <v>4136</v>
      </c>
      <c r="EH913" s="341" t="s">
        <v>5191</v>
      </c>
      <c r="EI913" s="341" t="str">
        <f t="shared" si="118"/>
        <v>Santander_San Miguel</v>
      </c>
    </row>
    <row r="914" spans="1:139" ht="38.25">
      <c r="A914" s="228">
        <v>40388</v>
      </c>
      <c r="B914" s="102" t="s">
        <v>2400</v>
      </c>
      <c r="C914" s="102" t="s">
        <v>1250</v>
      </c>
      <c r="D914" s="206" t="s">
        <v>1308</v>
      </c>
      <c r="E914" s="320" t="s">
        <v>4189</v>
      </c>
      <c r="F914" s="320"/>
      <c r="G914" s="210"/>
      <c r="H914" s="71"/>
      <c r="I914" s="71"/>
      <c r="J914" s="71">
        <v>11</v>
      </c>
      <c r="K914" s="71">
        <v>2</v>
      </c>
      <c r="L914" s="1"/>
      <c r="M914" s="73">
        <f t="shared" si="119"/>
        <v>0</v>
      </c>
      <c r="N914" s="73">
        <f t="shared" si="120"/>
        <v>0</v>
      </c>
      <c r="O914" s="73">
        <f t="shared" si="124"/>
        <v>0</v>
      </c>
      <c r="P914" s="73">
        <f t="shared" si="121"/>
        <v>0</v>
      </c>
      <c r="Q914" s="73"/>
      <c r="R914" s="73">
        <v>0</v>
      </c>
      <c r="S914" s="75">
        <f t="shared" si="123"/>
        <v>0</v>
      </c>
      <c r="T914" s="77">
        <v>0</v>
      </c>
      <c r="U914" s="66">
        <v>40389</v>
      </c>
      <c r="V914" s="79"/>
      <c r="W914" s="66" t="s">
        <v>1585</v>
      </c>
      <c r="X914" s="24" t="s">
        <v>1586</v>
      </c>
      <c r="Y914" s="62"/>
      <c r="Z914" s="177" t="s">
        <v>894</v>
      </c>
      <c r="AA914" s="80" t="s">
        <v>670</v>
      </c>
      <c r="AB914" s="3"/>
      <c r="AC914" s="4"/>
      <c r="AD914" s="5"/>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6"/>
      <c r="CE914" s="7"/>
      <c r="CF914" s="6"/>
      <c r="CG914" s="7"/>
      <c r="CH914" s="6"/>
      <c r="CI914" s="7"/>
      <c r="CJ914" s="8">
        <f t="shared" si="122"/>
        <v>0</v>
      </c>
      <c r="CK914" s="9"/>
      <c r="CL914" s="10"/>
      <c r="CM914" s="11"/>
      <c r="CN914" s="12"/>
      <c r="CO914" s="28"/>
      <c r="CP914" s="12"/>
      <c r="CQ914" s="9"/>
      <c r="CR914" s="10"/>
      <c r="CS914" s="68"/>
      <c r="EC914" s="344" t="str">
        <f t="shared" si="115"/>
        <v>TOLIMA_COYAIMA</v>
      </c>
      <c r="ED914" s="341"/>
      <c r="EE914" s="341" t="s">
        <v>3184</v>
      </c>
      <c r="EF914" s="349" t="s">
        <v>3185</v>
      </c>
      <c r="EG914" s="341" t="s">
        <v>4137</v>
      </c>
      <c r="EH914" s="341" t="s">
        <v>5192</v>
      </c>
      <c r="EI914" s="341" t="str">
        <f t="shared" si="118"/>
        <v>Santander_San Vicente de Chucuri</v>
      </c>
    </row>
    <row r="915" spans="1:139" ht="72">
      <c r="A915" s="228">
        <v>40388</v>
      </c>
      <c r="B915" s="102" t="s">
        <v>2400</v>
      </c>
      <c r="C915" s="102" t="s">
        <v>630</v>
      </c>
      <c r="D915" s="206" t="s">
        <v>1308</v>
      </c>
      <c r="E915" s="320" t="s">
        <v>4196</v>
      </c>
      <c r="F915" s="320"/>
      <c r="G915" s="210"/>
      <c r="H915" s="71">
        <v>1</v>
      </c>
      <c r="I915" s="71"/>
      <c r="J915" s="71"/>
      <c r="K915" s="71"/>
      <c r="L915" s="1"/>
      <c r="M915" s="73">
        <f t="shared" si="119"/>
        <v>0</v>
      </c>
      <c r="N915" s="73">
        <f t="shared" si="120"/>
        <v>0</v>
      </c>
      <c r="O915" s="73">
        <f t="shared" si="124"/>
        <v>0</v>
      </c>
      <c r="P915" s="73">
        <f t="shared" si="121"/>
        <v>0</v>
      </c>
      <c r="Q915" s="73"/>
      <c r="R915" s="73">
        <v>0</v>
      </c>
      <c r="S915" s="75">
        <f t="shared" si="123"/>
        <v>0</v>
      </c>
      <c r="T915" s="77">
        <v>0</v>
      </c>
      <c r="U915" s="66">
        <v>40389</v>
      </c>
      <c r="V915" s="79"/>
      <c r="W915" s="66" t="s">
        <v>1585</v>
      </c>
      <c r="X915" s="24" t="s">
        <v>1586</v>
      </c>
      <c r="Y915" s="62"/>
      <c r="Z915" s="177" t="s">
        <v>894</v>
      </c>
      <c r="AA915" s="80" t="s">
        <v>1460</v>
      </c>
      <c r="AB915" s="3"/>
      <c r="AC915" s="4"/>
      <c r="AD915" s="5"/>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6"/>
      <c r="CE915" s="7"/>
      <c r="CF915" s="6"/>
      <c r="CG915" s="7"/>
      <c r="CH915" s="6"/>
      <c r="CI915" s="7"/>
      <c r="CJ915" s="8">
        <f t="shared" si="122"/>
        <v>0</v>
      </c>
      <c r="CK915" s="9"/>
      <c r="CL915" s="10"/>
      <c r="CM915" s="11"/>
      <c r="CN915" s="12"/>
      <c r="CO915" s="28"/>
      <c r="CP915" s="12"/>
      <c r="CQ915" s="9"/>
      <c r="CR915" s="10"/>
      <c r="CS915" s="68"/>
      <c r="EC915" s="344" t="str">
        <f t="shared" si="115"/>
        <v>TOLIMA_GUAMO</v>
      </c>
      <c r="ED915" s="341"/>
      <c r="EE915" s="341" t="s">
        <v>3184</v>
      </c>
      <c r="EF915" s="349" t="s">
        <v>3185</v>
      </c>
      <c r="EG915" s="341" t="s">
        <v>4138</v>
      </c>
      <c r="EH915" s="341" t="s">
        <v>4469</v>
      </c>
      <c r="EI915" s="341" t="str">
        <f t="shared" si="118"/>
        <v>Santander_Santa Barbara</v>
      </c>
    </row>
    <row r="916" spans="1:139" ht="51">
      <c r="A916" s="228">
        <v>40389</v>
      </c>
      <c r="B916" s="205" t="s">
        <v>2367</v>
      </c>
      <c r="C916" s="205" t="s">
        <v>1605</v>
      </c>
      <c r="D916" s="207" t="s">
        <v>1201</v>
      </c>
      <c r="E916" s="323" t="s">
        <v>3206</v>
      </c>
      <c r="F916" s="323"/>
      <c r="G916" s="204"/>
      <c r="H916" s="151"/>
      <c r="I916" s="151"/>
      <c r="J916" s="151"/>
      <c r="K916" s="151"/>
      <c r="L916" s="1">
        <v>40458</v>
      </c>
      <c r="M916" s="73">
        <f t="shared" si="119"/>
        <v>93195000</v>
      </c>
      <c r="N916" s="73">
        <f t="shared" si="120"/>
        <v>72250000</v>
      </c>
      <c r="O916" s="73">
        <f t="shared" si="124"/>
        <v>0</v>
      </c>
      <c r="P916" s="73">
        <f t="shared" si="121"/>
        <v>0</v>
      </c>
      <c r="Q916" s="73"/>
      <c r="R916" s="73">
        <v>0</v>
      </c>
      <c r="S916" s="75">
        <f t="shared" si="123"/>
        <v>165445000</v>
      </c>
      <c r="T916" s="77">
        <v>0</v>
      </c>
      <c r="U916" s="66">
        <v>40393</v>
      </c>
      <c r="V916" s="79">
        <v>38299</v>
      </c>
      <c r="W916" s="66" t="s">
        <v>1606</v>
      </c>
      <c r="X916" s="24" t="s">
        <v>1607</v>
      </c>
      <c r="Y916" s="62">
        <v>21211</v>
      </c>
      <c r="Z916" s="176" t="s">
        <v>1271</v>
      </c>
      <c r="AA916" s="166" t="s">
        <v>1269</v>
      </c>
      <c r="AB916" s="152"/>
      <c r="AC916" s="153"/>
      <c r="AD916" s="154"/>
      <c r="AE916" s="153"/>
      <c r="AF916" s="153"/>
      <c r="AG916" s="153"/>
      <c r="AH916" s="153"/>
      <c r="AI916" s="153"/>
      <c r="AJ916" s="153"/>
      <c r="AK916" s="153"/>
      <c r="AL916" s="153"/>
      <c r="AM916" s="153"/>
      <c r="AN916" s="153"/>
      <c r="AO916" s="153"/>
      <c r="AP916" s="153">
        <v>500</v>
      </c>
      <c r="AQ916" s="153">
        <f>500*56000</f>
        <v>28000000</v>
      </c>
      <c r="AR916" s="153"/>
      <c r="AS916" s="153"/>
      <c r="AT916" s="153"/>
      <c r="AU916" s="153"/>
      <c r="AV916" s="153"/>
      <c r="AW916" s="153"/>
      <c r="AX916" s="153"/>
      <c r="AY916" s="153"/>
      <c r="AZ916" s="153"/>
      <c r="BA916" s="153"/>
      <c r="BB916" s="153"/>
      <c r="BC916" s="153"/>
      <c r="BD916" s="153"/>
      <c r="BE916" s="153"/>
      <c r="BF916" s="153"/>
      <c r="BG916" s="153"/>
      <c r="BH916" s="153"/>
      <c r="BI916" s="153"/>
      <c r="BJ916" s="153"/>
      <c r="BK916" s="153"/>
      <c r="BL916" s="153"/>
      <c r="BM916" s="153"/>
      <c r="BN916" s="153"/>
      <c r="BO916" s="153"/>
      <c r="BP916" s="153"/>
      <c r="BQ916" s="153"/>
      <c r="BR916" s="153"/>
      <c r="BS916" s="153"/>
      <c r="BT916" s="153"/>
      <c r="BU916" s="153"/>
      <c r="BV916" s="153"/>
      <c r="BW916" s="153"/>
      <c r="BX916" s="153"/>
      <c r="BY916" s="153"/>
      <c r="BZ916" s="153"/>
      <c r="CA916" s="153"/>
      <c r="CB916" s="153"/>
      <c r="CC916" s="153"/>
      <c r="CD916" s="155">
        <v>850</v>
      </c>
      <c r="CE916" s="156">
        <f>850*37000</f>
        <v>31450000</v>
      </c>
      <c r="CF916" s="155">
        <v>850</v>
      </c>
      <c r="CG916" s="156">
        <f>850*39700</f>
        <v>33745000</v>
      </c>
      <c r="CH916" s="155"/>
      <c r="CI916" s="156"/>
      <c r="CJ916" s="157">
        <f t="shared" si="122"/>
        <v>93195000</v>
      </c>
      <c r="CK916" s="158"/>
      <c r="CL916" s="159"/>
      <c r="CM916" s="160">
        <v>850</v>
      </c>
      <c r="CN916" s="161">
        <f>850*85000</f>
        <v>72250000</v>
      </c>
      <c r="CO916" s="162"/>
      <c r="CP916" s="161"/>
      <c r="CQ916" s="158"/>
      <c r="CR916" s="159"/>
      <c r="CS916" s="68"/>
      <c r="CT916" s="163"/>
      <c r="EC916" s="344" t="str">
        <f t="shared" si="115"/>
        <v>ARAUCA_DEPARTAMENTO</v>
      </c>
      <c r="ED916" s="341"/>
      <c r="EE916" s="341" t="s">
        <v>3184</v>
      </c>
      <c r="EF916" s="349" t="s">
        <v>3185</v>
      </c>
      <c r="EG916" s="341" t="s">
        <v>4139</v>
      </c>
      <c r="EH916" s="341" t="s">
        <v>5193</v>
      </c>
      <c r="EI916" s="341" t="str">
        <f t="shared" si="118"/>
        <v>Santander_Santa Helena del Opon</v>
      </c>
    </row>
    <row r="917" spans="1:139" ht="25.5">
      <c r="A917" s="228">
        <v>40389</v>
      </c>
      <c r="B917" s="205" t="s">
        <v>1821</v>
      </c>
      <c r="C917" s="205" t="s">
        <v>1995</v>
      </c>
      <c r="D917" s="207" t="s">
        <v>1201</v>
      </c>
      <c r="E917" s="323" t="s">
        <v>3643</v>
      </c>
      <c r="F917" s="323"/>
      <c r="G917" s="204"/>
      <c r="H917" s="151"/>
      <c r="I917" s="151"/>
      <c r="J917" s="151">
        <f>242*5</f>
        <v>1210</v>
      </c>
      <c r="K917" s="151">
        <v>242</v>
      </c>
      <c r="L917" s="1">
        <v>40452</v>
      </c>
      <c r="M917" s="73">
        <f t="shared" si="119"/>
        <v>1188000</v>
      </c>
      <c r="N917" s="73">
        <f t="shared" si="120"/>
        <v>1870000</v>
      </c>
      <c r="O917" s="73">
        <f t="shared" si="124"/>
        <v>0</v>
      </c>
      <c r="P917" s="73">
        <f t="shared" si="121"/>
        <v>0</v>
      </c>
      <c r="Q917" s="73"/>
      <c r="R917" s="73">
        <v>0</v>
      </c>
      <c r="S917" s="75">
        <f t="shared" si="123"/>
        <v>3058000</v>
      </c>
      <c r="T917" s="77">
        <v>0</v>
      </c>
      <c r="U917" s="66">
        <v>40444</v>
      </c>
      <c r="V917" s="79">
        <v>50562</v>
      </c>
      <c r="W917" s="66" t="s">
        <v>1606</v>
      </c>
      <c r="X917" s="24" t="s">
        <v>1607</v>
      </c>
      <c r="Y917" s="62">
        <v>20729</v>
      </c>
      <c r="Z917" s="169" t="s">
        <v>2087</v>
      </c>
      <c r="AA917" s="166"/>
      <c r="AB917" s="152"/>
      <c r="AC917" s="153"/>
      <c r="AD917" s="154"/>
      <c r="AE917" s="153"/>
      <c r="AF917" s="153"/>
      <c r="AG917" s="153"/>
      <c r="AH917" s="153"/>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c r="BF917" s="153"/>
      <c r="BG917" s="153"/>
      <c r="BH917" s="153"/>
      <c r="BI917" s="153"/>
      <c r="BJ917" s="153"/>
      <c r="BK917" s="153"/>
      <c r="BL917" s="153"/>
      <c r="BM917" s="153"/>
      <c r="BN917" s="153"/>
      <c r="BO917" s="153"/>
      <c r="BP917" s="153"/>
      <c r="BQ917" s="153"/>
      <c r="BR917" s="153"/>
      <c r="BS917" s="153"/>
      <c r="BT917" s="153"/>
      <c r="BU917" s="153"/>
      <c r="BV917" s="153"/>
      <c r="BW917" s="153"/>
      <c r="BX917" s="153"/>
      <c r="BY917" s="153"/>
      <c r="BZ917" s="153"/>
      <c r="CA917" s="153"/>
      <c r="CB917" s="153">
        <v>22</v>
      </c>
      <c r="CC917" s="153">
        <f>22*18000</f>
        <v>396000</v>
      </c>
      <c r="CD917" s="155"/>
      <c r="CE917" s="156"/>
      <c r="CF917" s="155">
        <v>22</v>
      </c>
      <c r="CG917" s="156">
        <f>22*36000</f>
        <v>792000</v>
      </c>
      <c r="CH917" s="155"/>
      <c r="CI917" s="156"/>
      <c r="CJ917" s="157">
        <f t="shared" si="122"/>
        <v>1188000</v>
      </c>
      <c r="CK917" s="158"/>
      <c r="CL917" s="159"/>
      <c r="CM917" s="160">
        <v>22</v>
      </c>
      <c r="CN917" s="161">
        <f>22*85000</f>
        <v>1870000</v>
      </c>
      <c r="CO917" s="162"/>
      <c r="CP917" s="161"/>
      <c r="CQ917" s="158"/>
      <c r="CR917" s="159"/>
      <c r="CS917" s="68"/>
      <c r="CT917" s="163"/>
      <c r="EC917" s="344" t="str">
        <f t="shared" si="115"/>
        <v>CESAR_MANAURE</v>
      </c>
      <c r="ED917" s="341"/>
      <c r="EE917" s="341" t="s">
        <v>3184</v>
      </c>
      <c r="EF917" s="349" t="s">
        <v>3185</v>
      </c>
      <c r="EG917" s="341" t="s">
        <v>4140</v>
      </c>
      <c r="EH917" s="341" t="s">
        <v>5194</v>
      </c>
      <c r="EI917" s="341" t="str">
        <f t="shared" si="118"/>
        <v>Santander_Simacota</v>
      </c>
    </row>
    <row r="918" spans="1:139" ht="324">
      <c r="A918" s="228">
        <v>40389</v>
      </c>
      <c r="B918" s="102" t="s">
        <v>1295</v>
      </c>
      <c r="C918" s="102" t="s">
        <v>315</v>
      </c>
      <c r="D918" s="206" t="s">
        <v>1201</v>
      </c>
      <c r="E918" s="320" t="s">
        <v>3654</v>
      </c>
      <c r="F918" s="320"/>
      <c r="G918" s="210"/>
      <c r="H918" s="71"/>
      <c r="I918" s="71"/>
      <c r="J918" s="71">
        <v>15140</v>
      </c>
      <c r="K918" s="71">
        <v>3500</v>
      </c>
      <c r="L918" s="1">
        <v>40410</v>
      </c>
      <c r="M918" s="73">
        <f t="shared" si="119"/>
        <v>147178000</v>
      </c>
      <c r="N918" s="73">
        <f t="shared" si="120"/>
        <v>170000000</v>
      </c>
      <c r="O918" s="73">
        <f t="shared" si="124"/>
        <v>0</v>
      </c>
      <c r="P918" s="73">
        <f t="shared" si="121"/>
        <v>0</v>
      </c>
      <c r="Q918" s="73">
        <f>200*62640</f>
        <v>12528000</v>
      </c>
      <c r="R918" s="73">
        <v>0</v>
      </c>
      <c r="S918" s="75">
        <f t="shared" si="123"/>
        <v>329706000</v>
      </c>
      <c r="T918" s="77">
        <v>0</v>
      </c>
      <c r="U918" s="66">
        <v>40392</v>
      </c>
      <c r="V918" s="79">
        <v>38767</v>
      </c>
      <c r="W918" s="66" t="s">
        <v>1606</v>
      </c>
      <c r="X918" s="24" t="s">
        <v>1607</v>
      </c>
      <c r="Y918" s="83" t="s">
        <v>1132</v>
      </c>
      <c r="Z918" s="177" t="s">
        <v>1435</v>
      </c>
      <c r="AA918" s="80" t="s">
        <v>1133</v>
      </c>
      <c r="AB918" s="3"/>
      <c r="AC918" s="4"/>
      <c r="AD918" s="5"/>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6">
        <f>500+1500</f>
        <v>2000</v>
      </c>
      <c r="CE918" s="7">
        <f>500*38500+1500*36952</f>
        <v>74678000</v>
      </c>
      <c r="CF918" s="6">
        <f>500+1500</f>
        <v>2000</v>
      </c>
      <c r="CG918" s="7">
        <f>500*37000+1500*36000</f>
        <v>72500000</v>
      </c>
      <c r="CH918" s="6"/>
      <c r="CI918" s="7"/>
      <c r="CJ918" s="8">
        <f t="shared" si="122"/>
        <v>147178000</v>
      </c>
      <c r="CK918" s="9"/>
      <c r="CL918" s="10"/>
      <c r="CM918" s="11">
        <f>500+1500</f>
        <v>2000</v>
      </c>
      <c r="CN918" s="12">
        <f>500*85000+1500*85000</f>
        <v>170000000</v>
      </c>
      <c r="CO918" s="28"/>
      <c r="CP918" s="12"/>
      <c r="CQ918" s="9"/>
      <c r="CR918" s="10"/>
      <c r="CS918" s="68"/>
      <c r="EC918" s="344" t="str">
        <f t="shared" si="115"/>
        <v>CORDOBA_AYAPEL</v>
      </c>
      <c r="ED918" s="341"/>
      <c r="EE918" s="341" t="s">
        <v>3184</v>
      </c>
      <c r="EF918" s="349" t="s">
        <v>3185</v>
      </c>
      <c r="EG918" s="341" t="s">
        <v>4141</v>
      </c>
      <c r="EH918" s="341" t="s">
        <v>5195</v>
      </c>
      <c r="EI918" s="341" t="str">
        <f t="shared" si="118"/>
        <v>Santander_Socorro</v>
      </c>
    </row>
    <row r="919" spans="1:139" ht="33.75">
      <c r="A919" s="228">
        <v>40389</v>
      </c>
      <c r="B919" s="102" t="s">
        <v>1295</v>
      </c>
      <c r="C919" s="102" t="s">
        <v>685</v>
      </c>
      <c r="D919" s="206" t="s">
        <v>1201</v>
      </c>
      <c r="E919" s="320" t="s">
        <v>3657</v>
      </c>
      <c r="F919" s="320"/>
      <c r="G919" s="210"/>
      <c r="H919" s="71"/>
      <c r="I919" s="71"/>
      <c r="J919" s="71">
        <f>13050-7332</f>
        <v>5718</v>
      </c>
      <c r="K919" s="71">
        <f>4952-2444</f>
        <v>2508</v>
      </c>
      <c r="L919" s="1"/>
      <c r="M919" s="73">
        <f t="shared" si="119"/>
        <v>30484998.399999999</v>
      </c>
      <c r="N919" s="73">
        <f t="shared" si="120"/>
        <v>903975000</v>
      </c>
      <c r="O919" s="73">
        <f t="shared" si="124"/>
        <v>0</v>
      </c>
      <c r="P919" s="73">
        <f t="shared" si="121"/>
        <v>0</v>
      </c>
      <c r="Q919" s="73"/>
      <c r="R919" s="73">
        <v>0</v>
      </c>
      <c r="S919" s="75">
        <f t="shared" si="123"/>
        <v>934459998.39999998</v>
      </c>
      <c r="T919" s="77">
        <v>0</v>
      </c>
      <c r="U919" s="66">
        <v>40392</v>
      </c>
      <c r="V919" s="79"/>
      <c r="W919" s="66" t="s">
        <v>1606</v>
      </c>
      <c r="X919" s="24" t="s">
        <v>1607</v>
      </c>
      <c r="Y919" s="83" t="s">
        <v>1860</v>
      </c>
      <c r="Z919" s="177" t="s">
        <v>1435</v>
      </c>
      <c r="AA919" s="80" t="s">
        <v>570</v>
      </c>
      <c r="AB919" s="3"/>
      <c r="AC919" s="4"/>
      <c r="AD919" s="5"/>
      <c r="AE919" s="4"/>
      <c r="AF919" s="4"/>
      <c r="AG919" s="4"/>
      <c r="AH919" s="4"/>
      <c r="AI919" s="4"/>
      <c r="AJ919" s="4"/>
      <c r="AK919" s="4"/>
      <c r="AL919" s="4"/>
      <c r="AM919" s="4"/>
      <c r="AN919" s="4">
        <v>500</v>
      </c>
      <c r="AO919" s="4">
        <f>500*56000</f>
        <v>28000000</v>
      </c>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v>5</v>
      </c>
      <c r="BO919" s="4">
        <f>5*496999.68</f>
        <v>2484998.4</v>
      </c>
      <c r="BP919" s="4"/>
      <c r="BQ919" s="4"/>
      <c r="BR919" s="4"/>
      <c r="BS919" s="4"/>
      <c r="BT919" s="4"/>
      <c r="BU919" s="4"/>
      <c r="BV919" s="4"/>
      <c r="BW919" s="4"/>
      <c r="BX919" s="4"/>
      <c r="BY919" s="4"/>
      <c r="BZ919" s="4"/>
      <c r="CA919" s="4"/>
      <c r="CB919" s="4"/>
      <c r="CC919" s="4"/>
      <c r="CD919" s="6"/>
      <c r="CE919" s="7"/>
      <c r="CF919" s="6"/>
      <c r="CG919" s="7"/>
      <c r="CH919" s="6"/>
      <c r="CI919" s="7"/>
      <c r="CJ919" s="8">
        <f t="shared" si="122"/>
        <v>30484998.399999999</v>
      </c>
      <c r="CK919" s="9"/>
      <c r="CL919" s="10"/>
      <c r="CM919" s="11">
        <f>200+4300+6135</f>
        <v>10635</v>
      </c>
      <c r="CN919" s="12">
        <f>200*85000+4300*85000+6135*85000</f>
        <v>903975000</v>
      </c>
      <c r="CO919" s="28"/>
      <c r="CP919" s="12"/>
      <c r="CQ919" s="9"/>
      <c r="CR919" s="10"/>
      <c r="CS919" s="68"/>
      <c r="EC919" s="344" t="str">
        <f t="shared" si="115"/>
        <v>CORDOBA_CERETE</v>
      </c>
      <c r="ED919" s="341"/>
      <c r="EE919" s="341" t="s">
        <v>3184</v>
      </c>
      <c r="EF919" s="349" t="s">
        <v>3185</v>
      </c>
      <c r="EG919" s="341" t="s">
        <v>4142</v>
      </c>
      <c r="EH919" s="341" t="s">
        <v>5196</v>
      </c>
      <c r="EI919" s="341" t="str">
        <f t="shared" si="118"/>
        <v>Santander_Suaita</v>
      </c>
    </row>
    <row r="920" spans="1:139" ht="120">
      <c r="A920" s="228">
        <v>40389</v>
      </c>
      <c r="B920" s="102" t="s">
        <v>1295</v>
      </c>
      <c r="C920" s="102" t="s">
        <v>1194</v>
      </c>
      <c r="D920" s="206" t="s">
        <v>1201</v>
      </c>
      <c r="E920" s="320" t="s">
        <v>3671</v>
      </c>
      <c r="F920" s="320"/>
      <c r="G920" s="210"/>
      <c r="H920" s="71"/>
      <c r="I920" s="71"/>
      <c r="J920" s="71">
        <v>4045</v>
      </c>
      <c r="K920" s="71">
        <v>899</v>
      </c>
      <c r="L920" s="1">
        <v>40437</v>
      </c>
      <c r="M920" s="73">
        <f t="shared" si="119"/>
        <v>10257840</v>
      </c>
      <c r="N920" s="73">
        <f t="shared" si="120"/>
        <v>91973831</v>
      </c>
      <c r="O920" s="73">
        <f t="shared" si="124"/>
        <v>0</v>
      </c>
      <c r="P920" s="73">
        <f t="shared" si="121"/>
        <v>0</v>
      </c>
      <c r="Q920" s="73"/>
      <c r="R920" s="73">
        <v>0</v>
      </c>
      <c r="S920" s="75">
        <f t="shared" si="123"/>
        <v>102231671</v>
      </c>
      <c r="T920" s="77">
        <v>0</v>
      </c>
      <c r="U920" s="66">
        <v>40392</v>
      </c>
      <c r="V920" s="79">
        <v>38767</v>
      </c>
      <c r="W920" s="66" t="s">
        <v>1606</v>
      </c>
      <c r="X920" s="24" t="s">
        <v>1607</v>
      </c>
      <c r="Y920" s="83" t="s">
        <v>2568</v>
      </c>
      <c r="Z920" s="177" t="s">
        <v>2580</v>
      </c>
      <c r="AA920" s="174" t="s">
        <v>375</v>
      </c>
      <c r="AB920" s="3"/>
      <c r="AC920" s="4"/>
      <c r="AD920" s="5"/>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v>2</v>
      </c>
      <c r="BO920" s="4">
        <f>2*504000</f>
        <v>1008000</v>
      </c>
      <c r="BP920" s="4"/>
      <c r="BQ920" s="4"/>
      <c r="BR920" s="4"/>
      <c r="BS920" s="4"/>
      <c r="BT920" s="4"/>
      <c r="BU920" s="4"/>
      <c r="BV920" s="4"/>
      <c r="BW920" s="4"/>
      <c r="BX920" s="4"/>
      <c r="BY920" s="4"/>
      <c r="BZ920" s="4"/>
      <c r="CA920" s="4"/>
      <c r="CB920" s="4"/>
      <c r="CC920" s="4"/>
      <c r="CD920" s="6">
        <v>250</v>
      </c>
      <c r="CE920" s="7">
        <f>250*36999.36</f>
        <v>9249840</v>
      </c>
      <c r="CF920" s="6"/>
      <c r="CG920" s="7"/>
      <c r="CH920" s="6"/>
      <c r="CI920" s="7"/>
      <c r="CJ920" s="8">
        <f t="shared" si="122"/>
        <v>10257840</v>
      </c>
      <c r="CK920" s="9"/>
      <c r="CL920" s="10"/>
      <c r="CM920" s="11">
        <f>250+416</f>
        <v>666</v>
      </c>
      <c r="CN920" s="12">
        <f>250*85000+416*85000+416*85000+3831</f>
        <v>91973831</v>
      </c>
      <c r="CO920" s="28"/>
      <c r="CP920" s="12"/>
      <c r="CQ920" s="9"/>
      <c r="CR920" s="10"/>
      <c r="CS920" s="68"/>
      <c r="EC920" s="344" t="str">
        <f t="shared" si="115"/>
        <v>CORDOBA_PUERTO LIBERTADOR</v>
      </c>
      <c r="ED920" s="341"/>
      <c r="EE920" s="341" t="s">
        <v>3184</v>
      </c>
      <c r="EF920" s="349" t="s">
        <v>3185</v>
      </c>
      <c r="EG920" s="341" t="s">
        <v>4143</v>
      </c>
      <c r="EH920" s="341" t="s">
        <v>3192</v>
      </c>
      <c r="EI920" s="341" t="str">
        <f t="shared" si="118"/>
        <v>Santander_Sucre</v>
      </c>
    </row>
    <row r="921" spans="1:139" ht="144">
      <c r="A921" s="228">
        <v>40389</v>
      </c>
      <c r="B921" s="102" t="s">
        <v>1295</v>
      </c>
      <c r="C921" s="102" t="s">
        <v>684</v>
      </c>
      <c r="D921" s="206" t="s">
        <v>1201</v>
      </c>
      <c r="E921" s="320" t="s">
        <v>3679</v>
      </c>
      <c r="F921" s="320"/>
      <c r="G921" s="210"/>
      <c r="H921" s="71"/>
      <c r="I921" s="71"/>
      <c r="J921" s="71">
        <f>562*5</f>
        <v>2810</v>
      </c>
      <c r="K921" s="71">
        <v>562</v>
      </c>
      <c r="L921" s="1"/>
      <c r="M921" s="73">
        <f t="shared" si="119"/>
        <v>0</v>
      </c>
      <c r="N921" s="73">
        <f t="shared" si="120"/>
        <v>47770000</v>
      </c>
      <c r="O921" s="73">
        <f t="shared" si="124"/>
        <v>0</v>
      </c>
      <c r="P921" s="73">
        <f t="shared" si="121"/>
        <v>0</v>
      </c>
      <c r="Q921" s="73"/>
      <c r="R921" s="73">
        <v>0</v>
      </c>
      <c r="S921" s="75">
        <f t="shared" si="123"/>
        <v>47770000</v>
      </c>
      <c r="T921" s="77">
        <v>0</v>
      </c>
      <c r="U921" s="66">
        <v>40392</v>
      </c>
      <c r="V921" s="79"/>
      <c r="W921" s="66" t="s">
        <v>1606</v>
      </c>
      <c r="X921" s="24" t="s">
        <v>1607</v>
      </c>
      <c r="Y921" s="62"/>
      <c r="Z921" s="177" t="s">
        <v>2580</v>
      </c>
      <c r="AA921" s="174" t="s">
        <v>379</v>
      </c>
      <c r="AB921" s="3"/>
      <c r="AC921" s="4"/>
      <c r="AD921" s="5"/>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6"/>
      <c r="CE921" s="7"/>
      <c r="CF921" s="6"/>
      <c r="CG921" s="7"/>
      <c r="CH921" s="6"/>
      <c r="CI921" s="7"/>
      <c r="CJ921" s="8">
        <f t="shared" si="122"/>
        <v>0</v>
      </c>
      <c r="CK921" s="9"/>
      <c r="CL921" s="10"/>
      <c r="CM921" s="11">
        <v>562</v>
      </c>
      <c r="CN921" s="12">
        <f>562*85000</f>
        <v>47770000</v>
      </c>
      <c r="CO921" s="28"/>
      <c r="CP921" s="12"/>
      <c r="CQ921" s="9"/>
      <c r="CR921" s="10"/>
      <c r="CS921" s="68"/>
      <c r="CT921" s="22">
        <v>1196</v>
      </c>
      <c r="EC921" s="344" t="str">
        <f t="shared" si="115"/>
        <v>CORDOBA_TIERRALTA</v>
      </c>
      <c r="ED921" s="341"/>
      <c r="EE921" s="341" t="s">
        <v>3184</v>
      </c>
      <c r="EF921" s="349" t="s">
        <v>3185</v>
      </c>
      <c r="EG921" s="341" t="s">
        <v>4144</v>
      </c>
      <c r="EH921" s="341" t="s">
        <v>5197</v>
      </c>
      <c r="EI921" s="341" t="str">
        <f t="shared" si="118"/>
        <v>Santander_Surata</v>
      </c>
    </row>
    <row r="922" spans="1:139" ht="36">
      <c r="A922" s="228">
        <v>40389</v>
      </c>
      <c r="B922" s="102" t="s">
        <v>1612</v>
      </c>
      <c r="C922" s="102" t="s">
        <v>673</v>
      </c>
      <c r="D922" s="206" t="s">
        <v>1878</v>
      </c>
      <c r="E922" s="320" t="s">
        <v>4040</v>
      </c>
      <c r="F922" s="320"/>
      <c r="G922" s="210"/>
      <c r="H922" s="71">
        <v>3</v>
      </c>
      <c r="I922" s="71"/>
      <c r="J922" s="71"/>
      <c r="K922" s="71"/>
      <c r="L922" s="1"/>
      <c r="M922" s="73">
        <f t="shared" si="119"/>
        <v>0</v>
      </c>
      <c r="N922" s="73">
        <f t="shared" si="120"/>
        <v>0</v>
      </c>
      <c r="O922" s="73">
        <f t="shared" si="124"/>
        <v>0</v>
      </c>
      <c r="P922" s="73">
        <f t="shared" si="121"/>
        <v>0</v>
      </c>
      <c r="Q922" s="73"/>
      <c r="R922" s="73">
        <v>0</v>
      </c>
      <c r="S922" s="75">
        <f t="shared" si="123"/>
        <v>0</v>
      </c>
      <c r="T922" s="77">
        <v>0</v>
      </c>
      <c r="U922" s="66">
        <v>40392</v>
      </c>
      <c r="V922" s="79"/>
      <c r="W922" s="66" t="s">
        <v>1585</v>
      </c>
      <c r="X922" s="24" t="s">
        <v>1586</v>
      </c>
      <c r="Y922" s="62"/>
      <c r="Z922" s="177" t="s">
        <v>894</v>
      </c>
      <c r="AA922" s="80" t="s">
        <v>674</v>
      </c>
      <c r="AB922" s="3"/>
      <c r="AC922" s="4"/>
      <c r="AD922" s="5"/>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6"/>
      <c r="CE922" s="7"/>
      <c r="CF922" s="6"/>
      <c r="CG922" s="7"/>
      <c r="CH922" s="6"/>
      <c r="CI922" s="7"/>
      <c r="CJ922" s="8">
        <f t="shared" si="122"/>
        <v>0</v>
      </c>
      <c r="CK922" s="9"/>
      <c r="CL922" s="10"/>
      <c r="CM922" s="11"/>
      <c r="CN922" s="12"/>
      <c r="CO922" s="28"/>
      <c r="CP922" s="12"/>
      <c r="CQ922" s="9"/>
      <c r="CR922" s="10"/>
      <c r="CS922" s="68"/>
      <c r="EC922" s="344" t="str">
        <f t="shared" ref="EC922:EC985" si="125">B922&amp;"_"&amp;C922</f>
        <v>QUINDIO_CALARCA</v>
      </c>
      <c r="ED922" s="341"/>
      <c r="EE922" s="341" t="s">
        <v>3184</v>
      </c>
      <c r="EF922" s="349" t="s">
        <v>3185</v>
      </c>
      <c r="EG922" s="341" t="s">
        <v>4145</v>
      </c>
      <c r="EH922" s="341" t="s">
        <v>5198</v>
      </c>
      <c r="EI922" s="341" t="str">
        <f t="shared" si="118"/>
        <v>Santander_Tona</v>
      </c>
    </row>
    <row r="923" spans="1:139" ht="38.25">
      <c r="A923" s="228">
        <v>40389</v>
      </c>
      <c r="B923" s="102" t="s">
        <v>1998</v>
      </c>
      <c r="C923" s="102" t="s">
        <v>1011</v>
      </c>
      <c r="D923" s="206" t="s">
        <v>1316</v>
      </c>
      <c r="E923" s="320" t="s">
        <v>4064</v>
      </c>
      <c r="F923" s="320"/>
      <c r="G923" s="210"/>
      <c r="H923" s="71"/>
      <c r="I923" s="71"/>
      <c r="J923" s="71"/>
      <c r="K923" s="71"/>
      <c r="L923" s="1"/>
      <c r="M923" s="73">
        <f t="shared" si="119"/>
        <v>0</v>
      </c>
      <c r="N923" s="73">
        <f t="shared" si="120"/>
        <v>0</v>
      </c>
      <c r="O923" s="73">
        <f t="shared" si="124"/>
        <v>0</v>
      </c>
      <c r="P923" s="73">
        <f t="shared" si="121"/>
        <v>0</v>
      </c>
      <c r="Q923" s="73"/>
      <c r="R923" s="73">
        <v>0</v>
      </c>
      <c r="S923" s="75">
        <f t="shared" si="123"/>
        <v>0</v>
      </c>
      <c r="T923" s="77">
        <v>0</v>
      </c>
      <c r="U923" s="66">
        <v>40392</v>
      </c>
      <c r="V923" s="79"/>
      <c r="W923" s="66" t="s">
        <v>1585</v>
      </c>
      <c r="X923" s="24" t="s">
        <v>1586</v>
      </c>
      <c r="Y923" s="62"/>
      <c r="Z923" s="177" t="s">
        <v>894</v>
      </c>
      <c r="AA923" s="80" t="s">
        <v>675</v>
      </c>
      <c r="AB923" s="3"/>
      <c r="AC923" s="4"/>
      <c r="AD923" s="5"/>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6"/>
      <c r="CE923" s="7"/>
      <c r="CF923" s="6"/>
      <c r="CG923" s="7"/>
      <c r="CH923" s="6"/>
      <c r="CI923" s="7"/>
      <c r="CJ923" s="8">
        <f t="shared" si="122"/>
        <v>0</v>
      </c>
      <c r="CK923" s="9"/>
      <c r="CL923" s="10"/>
      <c r="CM923" s="11"/>
      <c r="CN923" s="12"/>
      <c r="CO923" s="28"/>
      <c r="CP923" s="12"/>
      <c r="CQ923" s="9"/>
      <c r="CR923" s="10"/>
      <c r="CS923" s="68"/>
      <c r="EC923" s="344" t="str">
        <f t="shared" si="125"/>
        <v>SANTANDER_BUCARAMANGA</v>
      </c>
      <c r="ED923" s="341"/>
      <c r="EE923" s="341" t="s">
        <v>3184</v>
      </c>
      <c r="EF923" s="349" t="s">
        <v>3185</v>
      </c>
      <c r="EG923" s="341" t="s">
        <v>4146</v>
      </c>
      <c r="EH923" s="341" t="s">
        <v>5199</v>
      </c>
      <c r="EI923" s="341" t="str">
        <f t="shared" si="118"/>
        <v>Santander_Valle de San Jose</v>
      </c>
    </row>
    <row r="924" spans="1:139" ht="48">
      <c r="A924" s="228">
        <v>40389</v>
      </c>
      <c r="B924" s="102" t="s">
        <v>1998</v>
      </c>
      <c r="C924" s="102" t="s">
        <v>907</v>
      </c>
      <c r="D924" s="206" t="s">
        <v>1201</v>
      </c>
      <c r="E924" s="320" t="s">
        <v>4140</v>
      </c>
      <c r="F924" s="320"/>
      <c r="G924" s="265"/>
      <c r="H924" s="71"/>
      <c r="I924" s="71"/>
      <c r="J924" s="71">
        <v>98</v>
      </c>
      <c r="K924" s="71">
        <v>18</v>
      </c>
      <c r="L924" s="1"/>
      <c r="M924" s="73">
        <f t="shared" si="119"/>
        <v>0</v>
      </c>
      <c r="N924" s="73">
        <f t="shared" si="120"/>
        <v>0</v>
      </c>
      <c r="O924" s="73">
        <f t="shared" si="124"/>
        <v>0</v>
      </c>
      <c r="P924" s="73">
        <f t="shared" si="121"/>
        <v>0</v>
      </c>
      <c r="Q924" s="73"/>
      <c r="R924" s="73">
        <v>0</v>
      </c>
      <c r="S924" s="75">
        <f t="shared" si="123"/>
        <v>0</v>
      </c>
      <c r="T924" s="77">
        <v>0</v>
      </c>
      <c r="U924" s="66">
        <v>40392</v>
      </c>
      <c r="V924" s="79">
        <v>38584</v>
      </c>
      <c r="W924" s="66" t="s">
        <v>1606</v>
      </c>
      <c r="X924" s="24" t="s">
        <v>1607</v>
      </c>
      <c r="Y924" s="62"/>
      <c r="Z924" s="198" t="s">
        <v>822</v>
      </c>
      <c r="AA924" s="80" t="s">
        <v>677</v>
      </c>
      <c r="AB924" s="3"/>
      <c r="AC924" s="4"/>
      <c r="AD924" s="5"/>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6"/>
      <c r="CE924" s="7"/>
      <c r="CF924" s="6"/>
      <c r="CG924" s="7"/>
      <c r="CH924" s="6"/>
      <c r="CI924" s="7"/>
      <c r="CJ924" s="8">
        <f t="shared" si="122"/>
        <v>0</v>
      </c>
      <c r="CK924" s="9"/>
      <c r="CL924" s="10"/>
      <c r="CM924" s="11"/>
      <c r="CN924" s="12"/>
      <c r="CO924" s="28"/>
      <c r="CP924" s="12"/>
      <c r="CQ924" s="9"/>
      <c r="CR924" s="10"/>
      <c r="CS924" s="68"/>
      <c r="EC924" s="344" t="str">
        <f t="shared" si="125"/>
        <v>SANTANDER_SIMACOTA</v>
      </c>
      <c r="ED924" s="341"/>
      <c r="EE924" s="341" t="s">
        <v>3184</v>
      </c>
      <c r="EF924" s="349" t="s">
        <v>3185</v>
      </c>
      <c r="EG924" s="341" t="s">
        <v>4147</v>
      </c>
      <c r="EH924" s="341" t="s">
        <v>5200</v>
      </c>
      <c r="EI924" s="341" t="str">
        <f t="shared" si="118"/>
        <v>Santander_Velez</v>
      </c>
    </row>
    <row r="925" spans="1:139" ht="25.5">
      <c r="A925" s="235">
        <v>40390</v>
      </c>
      <c r="B925" s="224" t="s">
        <v>1972</v>
      </c>
      <c r="C925" s="224" t="s">
        <v>2718</v>
      </c>
      <c r="D925" s="236" t="s">
        <v>1201</v>
      </c>
      <c r="E925" s="324" t="s">
        <v>3275</v>
      </c>
      <c r="F925" s="324"/>
      <c r="G925" s="210"/>
      <c r="H925" s="71"/>
      <c r="I925" s="71"/>
      <c r="J925" s="71">
        <v>56</v>
      </c>
      <c r="K925" s="71">
        <v>9</v>
      </c>
      <c r="L925" s="1"/>
      <c r="M925" s="73">
        <f t="shared" si="119"/>
        <v>0</v>
      </c>
      <c r="N925" s="73">
        <f t="shared" si="120"/>
        <v>0</v>
      </c>
      <c r="O925" s="73">
        <f t="shared" si="124"/>
        <v>0</v>
      </c>
      <c r="P925" s="73">
        <f t="shared" si="121"/>
        <v>0</v>
      </c>
      <c r="Q925" s="73"/>
      <c r="R925" s="73">
        <v>0</v>
      </c>
      <c r="S925" s="75">
        <f t="shared" si="123"/>
        <v>0</v>
      </c>
      <c r="T925" s="77">
        <v>0</v>
      </c>
      <c r="U925" s="66">
        <v>40392</v>
      </c>
      <c r="V925" s="79"/>
      <c r="W925" s="66" t="s">
        <v>1585</v>
      </c>
      <c r="X925" s="24" t="s">
        <v>1586</v>
      </c>
      <c r="Y925" s="62"/>
      <c r="Z925" s="177" t="s">
        <v>894</v>
      </c>
      <c r="AA925" s="80" t="s">
        <v>691</v>
      </c>
      <c r="AB925" s="3"/>
      <c r="AC925" s="4"/>
      <c r="AD925" s="5"/>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6"/>
      <c r="CE925" s="7"/>
      <c r="CF925" s="6"/>
      <c r="CG925" s="7"/>
      <c r="CH925" s="6"/>
      <c r="CI925" s="7"/>
      <c r="CJ925" s="8">
        <f t="shared" si="122"/>
        <v>0</v>
      </c>
      <c r="CK925" s="9"/>
      <c r="CL925" s="10"/>
      <c r="CM925" s="11"/>
      <c r="CN925" s="12"/>
      <c r="CO925" s="28"/>
      <c r="CP925" s="12"/>
      <c r="CQ925" s="9"/>
      <c r="CR925" s="10"/>
      <c r="CS925" s="68"/>
      <c r="EC925" s="344" t="str">
        <f t="shared" si="125"/>
        <v>ANTIOQUIA_FRONTINO</v>
      </c>
      <c r="ED925" s="341"/>
      <c r="EE925" s="341" t="s">
        <v>3184</v>
      </c>
      <c r="EF925" s="349" t="s">
        <v>3185</v>
      </c>
      <c r="EG925" s="341" t="s">
        <v>4148</v>
      </c>
      <c r="EH925" s="341" t="s">
        <v>5201</v>
      </c>
      <c r="EI925" s="341" t="str">
        <f t="shared" si="118"/>
        <v>Santander_Vetas</v>
      </c>
    </row>
    <row r="926" spans="1:139" ht="51">
      <c r="A926" s="235">
        <v>40390</v>
      </c>
      <c r="B926" s="224" t="s">
        <v>1972</v>
      </c>
      <c r="C926" s="224" t="s">
        <v>678</v>
      </c>
      <c r="D926" s="236" t="s">
        <v>1201</v>
      </c>
      <c r="E926" s="324" t="s">
        <v>3237</v>
      </c>
      <c r="F926" s="324"/>
      <c r="G926" s="210"/>
      <c r="H926" s="71"/>
      <c r="I926" s="71"/>
      <c r="J926" s="71">
        <v>25</v>
      </c>
      <c r="K926" s="71">
        <v>5</v>
      </c>
      <c r="L926" s="1"/>
      <c r="M926" s="73">
        <f t="shared" si="119"/>
        <v>0</v>
      </c>
      <c r="N926" s="73">
        <f t="shared" si="120"/>
        <v>0</v>
      </c>
      <c r="O926" s="73">
        <f t="shared" si="124"/>
        <v>0</v>
      </c>
      <c r="P926" s="73">
        <f t="shared" si="121"/>
        <v>0</v>
      </c>
      <c r="Q926" s="73"/>
      <c r="R926" s="73">
        <v>0</v>
      </c>
      <c r="S926" s="75">
        <f t="shared" si="123"/>
        <v>0</v>
      </c>
      <c r="T926" s="77">
        <v>0</v>
      </c>
      <c r="U926" s="66">
        <v>40392</v>
      </c>
      <c r="V926" s="79"/>
      <c r="W926" s="66" t="s">
        <v>1585</v>
      </c>
      <c r="X926" s="24" t="s">
        <v>1586</v>
      </c>
      <c r="Y926" s="62"/>
      <c r="Z926" s="177" t="s">
        <v>894</v>
      </c>
      <c r="AA926" s="80" t="s">
        <v>679</v>
      </c>
      <c r="AB926" s="3"/>
      <c r="AC926" s="4"/>
      <c r="AD926" s="5"/>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6"/>
      <c r="CE926" s="7"/>
      <c r="CF926" s="6"/>
      <c r="CG926" s="7"/>
      <c r="CH926" s="6"/>
      <c r="CI926" s="7"/>
      <c r="CJ926" s="8">
        <f t="shared" si="122"/>
        <v>0</v>
      </c>
      <c r="CK926" s="9"/>
      <c r="CL926" s="10"/>
      <c r="CM926" s="11"/>
      <c r="CN926" s="12"/>
      <c r="CO926" s="28"/>
      <c r="CP926" s="12"/>
      <c r="CQ926" s="9"/>
      <c r="CR926" s="10"/>
      <c r="CS926" s="68"/>
      <c r="EC926" s="344" t="str">
        <f t="shared" si="125"/>
        <v>ANTIOQUIA_SANTAFE DE ANTIOQUIA</v>
      </c>
      <c r="ED926" s="341"/>
      <c r="EE926" s="341" t="s">
        <v>3184</v>
      </c>
      <c r="EF926" s="349" t="s">
        <v>3185</v>
      </c>
      <c r="EG926" s="341" t="s">
        <v>4149</v>
      </c>
      <c r="EH926" s="341" t="s">
        <v>4561</v>
      </c>
      <c r="EI926" s="341" t="str">
        <f t="shared" si="118"/>
        <v>Santander_Villanueva</v>
      </c>
    </row>
    <row r="927" spans="1:139" ht="84">
      <c r="A927" s="228">
        <v>40390</v>
      </c>
      <c r="B927" s="102" t="s">
        <v>1615</v>
      </c>
      <c r="C927" s="102" t="s">
        <v>2404</v>
      </c>
      <c r="D927" s="206" t="s">
        <v>1201</v>
      </c>
      <c r="E927" s="320" t="s">
        <v>3378</v>
      </c>
      <c r="F927" s="320"/>
      <c r="G927" s="210"/>
      <c r="H927" s="71"/>
      <c r="I927" s="71"/>
      <c r="J927" s="71">
        <f>1186*5</f>
        <v>5930</v>
      </c>
      <c r="K927" s="71">
        <v>1186</v>
      </c>
      <c r="L927" s="1">
        <v>40415</v>
      </c>
      <c r="M927" s="73">
        <f t="shared" si="119"/>
        <v>19656000</v>
      </c>
      <c r="N927" s="73">
        <f t="shared" si="120"/>
        <v>0</v>
      </c>
      <c r="O927" s="73">
        <f t="shared" si="124"/>
        <v>0</v>
      </c>
      <c r="P927" s="73">
        <f t="shared" si="121"/>
        <v>0</v>
      </c>
      <c r="Q927" s="73"/>
      <c r="R927" s="73">
        <v>0</v>
      </c>
      <c r="S927" s="75">
        <f t="shared" si="123"/>
        <v>19656000</v>
      </c>
      <c r="T927" s="77">
        <v>0</v>
      </c>
      <c r="U927" s="66">
        <v>40395</v>
      </c>
      <c r="V927" s="79">
        <v>38939</v>
      </c>
      <c r="W927" s="66" t="s">
        <v>1606</v>
      </c>
      <c r="X927" s="24" t="s">
        <v>1607</v>
      </c>
      <c r="Y927" s="83" t="s">
        <v>879</v>
      </c>
      <c r="Z927" s="177"/>
      <c r="AA927" s="80" t="s">
        <v>2405</v>
      </c>
      <c r="AB927" s="3"/>
      <c r="AC927" s="4"/>
      <c r="AD927" s="5"/>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f>500+592</f>
        <v>1092</v>
      </c>
      <c r="CC927" s="4">
        <f>500*18000+592*18000</f>
        <v>19656000</v>
      </c>
      <c r="CD927" s="6"/>
      <c r="CE927" s="7"/>
      <c r="CF927" s="6"/>
      <c r="CG927" s="7"/>
      <c r="CH927" s="6"/>
      <c r="CI927" s="7"/>
      <c r="CJ927" s="8">
        <f t="shared" si="122"/>
        <v>19656000</v>
      </c>
      <c r="CK927" s="9"/>
      <c r="CL927" s="10"/>
      <c r="CM927" s="11"/>
      <c r="CN927" s="12"/>
      <c r="CO927" s="28"/>
      <c r="CP927" s="12"/>
      <c r="CQ927" s="9"/>
      <c r="CR927" s="10"/>
      <c r="CS927" s="68"/>
      <c r="EC927" s="344" t="str">
        <f t="shared" si="125"/>
        <v>BOLIVAR_ALTOS DEL ROSARIO</v>
      </c>
      <c r="ED927" s="341"/>
      <c r="EE927" s="341" t="s">
        <v>3184</v>
      </c>
      <c r="EF927" s="349" t="s">
        <v>3185</v>
      </c>
      <c r="EG927" s="341" t="s">
        <v>4150</v>
      </c>
      <c r="EH927" s="341" t="s">
        <v>5202</v>
      </c>
      <c r="EI927" s="341" t="str">
        <f t="shared" si="118"/>
        <v>Santander_Zapatoca</v>
      </c>
    </row>
    <row r="928" spans="1:139" ht="38.25">
      <c r="A928" s="228">
        <v>40390</v>
      </c>
      <c r="B928" s="102" t="s">
        <v>1615</v>
      </c>
      <c r="C928" s="102" t="s">
        <v>1564</v>
      </c>
      <c r="D928" s="206" t="s">
        <v>1201</v>
      </c>
      <c r="E928" s="320" t="s">
        <v>3382</v>
      </c>
      <c r="F928" s="320"/>
      <c r="G928" s="210"/>
      <c r="H928" s="71"/>
      <c r="I928" s="71"/>
      <c r="J928" s="71">
        <f>1787*5</f>
        <v>8935</v>
      </c>
      <c r="K928" s="71">
        <v>1787</v>
      </c>
      <c r="L928" s="1">
        <v>40415</v>
      </c>
      <c r="M928" s="73">
        <f t="shared" si="119"/>
        <v>66538985</v>
      </c>
      <c r="N928" s="73">
        <f t="shared" si="120"/>
        <v>98855000</v>
      </c>
      <c r="O928" s="73">
        <f t="shared" si="124"/>
        <v>0</v>
      </c>
      <c r="P928" s="73">
        <f t="shared" si="121"/>
        <v>0</v>
      </c>
      <c r="Q928" s="73"/>
      <c r="R928" s="73">
        <v>0</v>
      </c>
      <c r="S928" s="75">
        <f t="shared" si="123"/>
        <v>165393985</v>
      </c>
      <c r="T928" s="77">
        <v>0</v>
      </c>
      <c r="U928" s="66">
        <v>40395</v>
      </c>
      <c r="V928" s="79">
        <v>38939</v>
      </c>
      <c r="W928" s="66" t="s">
        <v>1606</v>
      </c>
      <c r="X928" s="24" t="s">
        <v>1607</v>
      </c>
      <c r="Y928" s="83" t="s">
        <v>2516</v>
      </c>
      <c r="Z928" s="177"/>
      <c r="AA928" s="82" t="s">
        <v>902</v>
      </c>
      <c r="AB928" s="105"/>
      <c r="AC928" s="4"/>
      <c r="AD928" s="5"/>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f>600+573</f>
        <v>1173</v>
      </c>
      <c r="CC928" s="4">
        <f>600*18000+573*23000</f>
        <v>23979000</v>
      </c>
      <c r="CD928" s="6">
        <v>1163</v>
      </c>
      <c r="CE928" s="7">
        <f>1163*36595</f>
        <v>42559985</v>
      </c>
      <c r="CF928" s="6"/>
      <c r="CG928" s="7"/>
      <c r="CH928" s="6"/>
      <c r="CI928" s="7"/>
      <c r="CJ928" s="8">
        <f t="shared" si="122"/>
        <v>66538985</v>
      </c>
      <c r="CK928" s="9"/>
      <c r="CL928" s="10"/>
      <c r="CM928" s="11">
        <f>500+663</f>
        <v>1163</v>
      </c>
      <c r="CN928" s="12">
        <f>500*85000+663*85000</f>
        <v>98855000</v>
      </c>
      <c r="CO928" s="28"/>
      <c r="CP928" s="12"/>
      <c r="CQ928" s="9"/>
      <c r="CR928" s="10"/>
      <c r="CS928" s="68"/>
      <c r="EC928" s="344" t="str">
        <f t="shared" si="125"/>
        <v>BOLIVAR_BARRANCO DE LOBA</v>
      </c>
      <c r="ED928" s="341"/>
      <c r="EE928" s="341" t="s">
        <v>3191</v>
      </c>
      <c r="EF928" s="349" t="s">
        <v>3192</v>
      </c>
      <c r="EG928" s="341" t="s">
        <v>4151</v>
      </c>
      <c r="EH928" s="341" t="s">
        <v>5203</v>
      </c>
      <c r="EI928" s="341" t="str">
        <f t="shared" si="118"/>
        <v>Sucre_Sincelejo</v>
      </c>
    </row>
    <row r="929" spans="1:139" ht="33.75">
      <c r="A929" s="228">
        <v>40390</v>
      </c>
      <c r="B929" s="102" t="s">
        <v>1615</v>
      </c>
      <c r="C929" s="102" t="s">
        <v>1295</v>
      </c>
      <c r="D929" s="206" t="s">
        <v>1201</v>
      </c>
      <c r="E929" s="320" t="s">
        <v>3386</v>
      </c>
      <c r="F929" s="320"/>
      <c r="G929" s="210"/>
      <c r="H929" s="71"/>
      <c r="I929" s="71"/>
      <c r="J929" s="71">
        <f>843*5</f>
        <v>4215</v>
      </c>
      <c r="K929" s="71">
        <v>843</v>
      </c>
      <c r="L929" s="1">
        <v>40415</v>
      </c>
      <c r="M929" s="73">
        <f t="shared" si="119"/>
        <v>172465000</v>
      </c>
      <c r="N929" s="73">
        <f t="shared" si="120"/>
        <v>238425000</v>
      </c>
      <c r="O929" s="73">
        <f t="shared" si="124"/>
        <v>0</v>
      </c>
      <c r="P929" s="73">
        <f t="shared" si="121"/>
        <v>9048000</v>
      </c>
      <c r="Q929" s="73"/>
      <c r="R929" s="73">
        <v>0</v>
      </c>
      <c r="S929" s="75">
        <f t="shared" si="123"/>
        <v>419938000</v>
      </c>
      <c r="T929" s="77">
        <v>0</v>
      </c>
      <c r="U929" s="66">
        <v>40395</v>
      </c>
      <c r="V929" s="89" t="s">
        <v>817</v>
      </c>
      <c r="W929" s="66" t="s">
        <v>1606</v>
      </c>
      <c r="X929" s="24" t="s">
        <v>1607</v>
      </c>
      <c r="Y929" s="83" t="s">
        <v>337</v>
      </c>
      <c r="Z929" s="177"/>
      <c r="AA929" s="80" t="s">
        <v>1494</v>
      </c>
      <c r="AB929" s="3"/>
      <c r="AC929" s="4"/>
      <c r="AD929" s="5"/>
      <c r="AE929" s="4"/>
      <c r="AF929" s="4"/>
      <c r="AG929" s="4"/>
      <c r="AH929" s="4"/>
      <c r="AI929" s="4"/>
      <c r="AJ929" s="4"/>
      <c r="AK929" s="4"/>
      <c r="AL929" s="4"/>
      <c r="AM929" s="4"/>
      <c r="AN929" s="4">
        <v>300</v>
      </c>
      <c r="AO929" s="4">
        <f>300*56000</f>
        <v>16800000</v>
      </c>
      <c r="AP929" s="4"/>
      <c r="AQ929" s="4"/>
      <c r="AR929" s="4"/>
      <c r="AS929" s="4"/>
      <c r="AT929" s="4"/>
      <c r="AU929" s="4"/>
      <c r="AV929" s="4"/>
      <c r="AW929" s="4"/>
      <c r="AX929" s="4"/>
      <c r="AY929" s="4"/>
      <c r="AZ929" s="4">
        <v>1375</v>
      </c>
      <c r="BA929" s="4">
        <f>1375*25500</f>
        <v>35062500</v>
      </c>
      <c r="BB929" s="4"/>
      <c r="BC929" s="4"/>
      <c r="BD929" s="4"/>
      <c r="BE929" s="4"/>
      <c r="BF929" s="4"/>
      <c r="BG929" s="4"/>
      <c r="BH929" s="4"/>
      <c r="BI929" s="4"/>
      <c r="BJ929" s="4"/>
      <c r="BK929" s="4"/>
      <c r="BL929" s="4"/>
      <c r="BM929" s="4"/>
      <c r="BN929" s="4">
        <f>5+50</f>
        <v>55</v>
      </c>
      <c r="BO929" s="4">
        <f>5*470000+5*470000</f>
        <v>4700000</v>
      </c>
      <c r="BP929" s="4"/>
      <c r="BQ929" s="4"/>
      <c r="BR929" s="4"/>
      <c r="BS929" s="4"/>
      <c r="BT929" s="4"/>
      <c r="BU929" s="4"/>
      <c r="BV929" s="4"/>
      <c r="BW929" s="4"/>
      <c r="BX929" s="4">
        <v>300</v>
      </c>
      <c r="BY929" s="4">
        <f>300*21000</f>
        <v>6300000</v>
      </c>
      <c r="BZ929" s="4"/>
      <c r="CA929" s="4"/>
      <c r="CB929" s="4">
        <v>230</v>
      </c>
      <c r="CC929" s="4">
        <f>230*18000</f>
        <v>4140000</v>
      </c>
      <c r="CD929" s="6">
        <v>1375</v>
      </c>
      <c r="CE929" s="7">
        <f>1375*37000</f>
        <v>50875000</v>
      </c>
      <c r="CF929" s="6">
        <v>1375</v>
      </c>
      <c r="CG929" s="7">
        <f>1375*39700</f>
        <v>54587500</v>
      </c>
      <c r="CH929" s="6"/>
      <c r="CI929" s="7"/>
      <c r="CJ929" s="8">
        <f t="shared" si="122"/>
        <v>172465000</v>
      </c>
      <c r="CK929" s="9">
        <v>10000</v>
      </c>
      <c r="CL929" s="10">
        <f>10000*904.8</f>
        <v>9048000</v>
      </c>
      <c r="CM929" s="11">
        <f>230+1200+1375</f>
        <v>2805</v>
      </c>
      <c r="CN929" s="12">
        <f>230*85000+1200*85000+1375*85000</f>
        <v>238425000</v>
      </c>
      <c r="CO929" s="28"/>
      <c r="CP929" s="12"/>
      <c r="CQ929" s="9"/>
      <c r="CR929" s="10"/>
      <c r="CS929" s="68"/>
      <c r="EC929" s="344" t="str">
        <f t="shared" si="125"/>
        <v>BOLIVAR_CORDOBA</v>
      </c>
      <c r="ED929" s="341"/>
      <c r="EE929" s="341" t="s">
        <v>3191</v>
      </c>
      <c r="EF929" s="349" t="s">
        <v>3192</v>
      </c>
      <c r="EG929" s="341" t="s">
        <v>4152</v>
      </c>
      <c r="EH929" s="341" t="s">
        <v>4572</v>
      </c>
      <c r="EI929" s="341" t="str">
        <f t="shared" si="118"/>
        <v>Sucre_Buenavista</v>
      </c>
    </row>
    <row r="930" spans="1:139" ht="36">
      <c r="A930" s="228">
        <v>40390</v>
      </c>
      <c r="B930" s="102" t="s">
        <v>1615</v>
      </c>
      <c r="C930" s="102" t="s">
        <v>1444</v>
      </c>
      <c r="D930" s="206" t="s">
        <v>1201</v>
      </c>
      <c r="E930" s="320" t="s">
        <v>3390</v>
      </c>
      <c r="F930" s="320"/>
      <c r="G930" s="210"/>
      <c r="H930" s="71"/>
      <c r="I930" s="71"/>
      <c r="J930" s="71">
        <f>1725*5</f>
        <v>8625</v>
      </c>
      <c r="K930" s="71">
        <v>1725</v>
      </c>
      <c r="L930" s="1">
        <v>40415</v>
      </c>
      <c r="M930" s="73">
        <f t="shared" si="119"/>
        <v>93225000</v>
      </c>
      <c r="N930" s="73">
        <f t="shared" si="120"/>
        <v>288150000</v>
      </c>
      <c r="O930" s="73">
        <f t="shared" si="124"/>
        <v>0</v>
      </c>
      <c r="P930" s="73">
        <f t="shared" si="121"/>
        <v>0</v>
      </c>
      <c r="Q930" s="73">
        <f>500*18000</f>
        <v>9000000</v>
      </c>
      <c r="R930" s="73">
        <v>0</v>
      </c>
      <c r="S930" s="75">
        <f t="shared" si="123"/>
        <v>390375000</v>
      </c>
      <c r="T930" s="77">
        <v>0</v>
      </c>
      <c r="U930" s="66">
        <v>40395</v>
      </c>
      <c r="V930" s="79">
        <v>38939</v>
      </c>
      <c r="W930" s="66" t="s">
        <v>1606</v>
      </c>
      <c r="X930" s="24" t="s">
        <v>1607</v>
      </c>
      <c r="Y930" s="83" t="s">
        <v>1099</v>
      </c>
      <c r="Z930" s="177" t="s">
        <v>1435</v>
      </c>
      <c r="AA930" s="80" t="s">
        <v>3091</v>
      </c>
      <c r="AB930" s="3"/>
      <c r="AC930" s="4"/>
      <c r="AD930" s="5"/>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f>700+995</f>
        <v>1695</v>
      </c>
      <c r="CC930" s="4">
        <f>700*18000+995*18000</f>
        <v>30510000</v>
      </c>
      <c r="CD930" s="6">
        <v>1695</v>
      </c>
      <c r="CE930" s="7">
        <f>1695*37000</f>
        <v>62715000</v>
      </c>
      <c r="CF930" s="6"/>
      <c r="CG930" s="7"/>
      <c r="CH930" s="6"/>
      <c r="CI930" s="7"/>
      <c r="CJ930" s="8">
        <f t="shared" si="122"/>
        <v>93225000</v>
      </c>
      <c r="CK930" s="9"/>
      <c r="CL930" s="10"/>
      <c r="CM930" s="11">
        <f>700+995+1695</f>
        <v>3390</v>
      </c>
      <c r="CN930" s="12">
        <f>700*85000+995*85000+1695*85000</f>
        <v>288150000</v>
      </c>
      <c r="CO930" s="28"/>
      <c r="CP930" s="12"/>
      <c r="CQ930" s="9"/>
      <c r="CR930" s="10"/>
      <c r="CS930" s="68"/>
      <c r="EC930" s="344" t="str">
        <f t="shared" si="125"/>
        <v>BOLIVAR_EL PEÑON</v>
      </c>
      <c r="ED930" s="341"/>
      <c r="EE930" s="341" t="s">
        <v>3191</v>
      </c>
      <c r="EF930" s="349" t="s">
        <v>3192</v>
      </c>
      <c r="EG930" s="341" t="s">
        <v>4153</v>
      </c>
      <c r="EH930" s="341" t="s">
        <v>5204</v>
      </c>
      <c r="EI930" s="341" t="str">
        <f t="shared" si="118"/>
        <v>Sucre_Caimito</v>
      </c>
    </row>
    <row r="931" spans="1:139" ht="38.25">
      <c r="A931" s="228">
        <v>40390</v>
      </c>
      <c r="B931" s="102" t="s">
        <v>1615</v>
      </c>
      <c r="C931" s="102" t="s">
        <v>1217</v>
      </c>
      <c r="D931" s="206" t="s">
        <v>1201</v>
      </c>
      <c r="E931" s="320" t="s">
        <v>3396</v>
      </c>
      <c r="F931" s="320"/>
      <c r="G931" s="210"/>
      <c r="H931" s="71"/>
      <c r="I931" s="71"/>
      <c r="J931" s="71">
        <f>1676*5</f>
        <v>8380</v>
      </c>
      <c r="K931" s="71">
        <f>1716-40</f>
        <v>1676</v>
      </c>
      <c r="L931" s="1">
        <v>40416</v>
      </c>
      <c r="M931" s="73">
        <f t="shared" si="119"/>
        <v>90952000</v>
      </c>
      <c r="N931" s="73">
        <f t="shared" si="120"/>
        <v>85000000</v>
      </c>
      <c r="O931" s="73">
        <f t="shared" si="124"/>
        <v>0</v>
      </c>
      <c r="P931" s="73">
        <f t="shared" si="121"/>
        <v>0</v>
      </c>
      <c r="Q931" s="73"/>
      <c r="R931" s="73">
        <v>0</v>
      </c>
      <c r="S931" s="75">
        <f t="shared" si="123"/>
        <v>175952000</v>
      </c>
      <c r="T931" s="77">
        <v>0</v>
      </c>
      <c r="U931" s="66">
        <v>40395</v>
      </c>
      <c r="V931" s="79">
        <v>38939</v>
      </c>
      <c r="W931" s="66" t="s">
        <v>1606</v>
      </c>
      <c r="X931" s="24" t="s">
        <v>1607</v>
      </c>
      <c r="Y931" s="83" t="s">
        <v>2329</v>
      </c>
      <c r="Z931" s="177" t="s">
        <v>1435</v>
      </c>
      <c r="AA931" s="80" t="s">
        <v>902</v>
      </c>
      <c r="AB931" s="3"/>
      <c r="AC931" s="4"/>
      <c r="AD931" s="5"/>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v>1000</v>
      </c>
      <c r="CC931" s="4">
        <f>1000*18000</f>
        <v>18000000</v>
      </c>
      <c r="CD931" s="6">
        <v>1000</v>
      </c>
      <c r="CE931" s="7">
        <f>1000*36952</f>
        <v>36952000</v>
      </c>
      <c r="CF931" s="6">
        <v>1000</v>
      </c>
      <c r="CG931" s="7">
        <f>1000*36000</f>
        <v>36000000</v>
      </c>
      <c r="CH931" s="6"/>
      <c r="CI931" s="7"/>
      <c r="CJ931" s="8">
        <f t="shared" si="122"/>
        <v>90952000</v>
      </c>
      <c r="CK931" s="9"/>
      <c r="CL931" s="10"/>
      <c r="CM931" s="11">
        <v>1000</v>
      </c>
      <c r="CN931" s="12">
        <f>1000*85000</f>
        <v>85000000</v>
      </c>
      <c r="CO931" s="28"/>
      <c r="CP931" s="12"/>
      <c r="CQ931" s="9"/>
      <c r="CR931" s="10"/>
      <c r="CS931" s="68"/>
      <c r="EC931" s="344" t="str">
        <f t="shared" si="125"/>
        <v>BOLIVAR_MONTECRISTO</v>
      </c>
      <c r="ED931" s="341"/>
      <c r="EE931" s="341" t="s">
        <v>3191</v>
      </c>
      <c r="EF931" s="349" t="s">
        <v>3192</v>
      </c>
      <c r="EG931" s="341" t="s">
        <v>4154</v>
      </c>
      <c r="EH931" s="341" t="s">
        <v>5205</v>
      </c>
      <c r="EI931" s="341" t="str">
        <f t="shared" si="118"/>
        <v>Sucre_Coloso</v>
      </c>
    </row>
    <row r="932" spans="1:139" ht="25.5">
      <c r="A932" s="228">
        <v>40390</v>
      </c>
      <c r="B932" s="102" t="s">
        <v>1615</v>
      </c>
      <c r="C932" s="102" t="s">
        <v>701</v>
      </c>
      <c r="D932" s="206" t="s">
        <v>1201</v>
      </c>
      <c r="E932" s="320" t="s">
        <v>3400</v>
      </c>
      <c r="F932" s="320"/>
      <c r="G932" s="210"/>
      <c r="H932" s="71"/>
      <c r="I932" s="71"/>
      <c r="J932" s="71">
        <f>1150*5</f>
        <v>5750</v>
      </c>
      <c r="K932" s="71">
        <v>1150</v>
      </c>
      <c r="L932" s="1">
        <v>40415</v>
      </c>
      <c r="M932" s="73">
        <f t="shared" si="119"/>
        <v>70450000</v>
      </c>
      <c r="N932" s="73">
        <f t="shared" si="120"/>
        <v>97750000</v>
      </c>
      <c r="O932" s="73">
        <f t="shared" si="124"/>
        <v>0</v>
      </c>
      <c r="P932" s="73">
        <f t="shared" si="121"/>
        <v>0</v>
      </c>
      <c r="Q932" s="73"/>
      <c r="R932" s="73">
        <v>0</v>
      </c>
      <c r="S932" s="75">
        <f t="shared" si="123"/>
        <v>168200000</v>
      </c>
      <c r="T932" s="77">
        <v>0</v>
      </c>
      <c r="U932" s="66">
        <v>40395</v>
      </c>
      <c r="V932" s="79">
        <v>38939</v>
      </c>
      <c r="W932" s="66" t="s">
        <v>1606</v>
      </c>
      <c r="X932" s="24" t="s">
        <v>1607</v>
      </c>
      <c r="Y932" s="83" t="s">
        <v>879</v>
      </c>
      <c r="Z932" s="177"/>
      <c r="AA932" s="80" t="s">
        <v>902</v>
      </c>
      <c r="AB932" s="3"/>
      <c r="AC932" s="4"/>
      <c r="AD932" s="5"/>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f>300+100+1150</f>
        <v>1550</v>
      </c>
      <c r="CC932" s="4">
        <f>300*18000+100*18000+1150*18000</f>
        <v>27900000</v>
      </c>
      <c r="CD932" s="6">
        <v>1150</v>
      </c>
      <c r="CE932" s="7">
        <f>1150*37000</f>
        <v>42550000</v>
      </c>
      <c r="CF932" s="6"/>
      <c r="CG932" s="7"/>
      <c r="CH932" s="6"/>
      <c r="CI932" s="7"/>
      <c r="CJ932" s="8">
        <f t="shared" si="122"/>
        <v>70450000</v>
      </c>
      <c r="CK932" s="9"/>
      <c r="CL932" s="10"/>
      <c r="CM932" s="11">
        <v>1150</v>
      </c>
      <c r="CN932" s="12">
        <f>1150*85000</f>
        <v>97750000</v>
      </c>
      <c r="CO932" s="28"/>
      <c r="CP932" s="12"/>
      <c r="CQ932" s="9"/>
      <c r="CR932" s="10"/>
      <c r="CS932" s="68"/>
      <c r="EC932" s="344" t="str">
        <f t="shared" si="125"/>
        <v>BOLIVAR_REGIDOR</v>
      </c>
      <c r="ED932" s="341"/>
      <c r="EE932" s="341" t="s">
        <v>3191</v>
      </c>
      <c r="EF932" s="349" t="s">
        <v>3192</v>
      </c>
      <c r="EG932" s="341" t="s">
        <v>4155</v>
      </c>
      <c r="EH932" s="341" t="s">
        <v>5206</v>
      </c>
      <c r="EI932" s="341" t="str">
        <f t="shared" si="118"/>
        <v>Sucre_Corozal</v>
      </c>
    </row>
    <row r="933" spans="1:139" ht="67.5">
      <c r="A933" s="228">
        <v>40390</v>
      </c>
      <c r="B933" s="102" t="s">
        <v>1615</v>
      </c>
      <c r="C933" s="102" t="s">
        <v>1446</v>
      </c>
      <c r="D933" s="206" t="s">
        <v>1201</v>
      </c>
      <c r="E933" s="320" t="s">
        <v>3404</v>
      </c>
      <c r="F933" s="320"/>
      <c r="G933" s="210"/>
      <c r="H933" s="71"/>
      <c r="I933" s="71"/>
      <c r="J933" s="71">
        <f>2600*5</f>
        <v>13000</v>
      </c>
      <c r="K933" s="71">
        <v>2600</v>
      </c>
      <c r="L933" s="1">
        <v>40415</v>
      </c>
      <c r="M933" s="73">
        <f t="shared" si="119"/>
        <v>307875264</v>
      </c>
      <c r="N933" s="73">
        <f t="shared" si="120"/>
        <v>390999230</v>
      </c>
      <c r="O933" s="73">
        <f t="shared" si="124"/>
        <v>0</v>
      </c>
      <c r="P933" s="73">
        <f t="shared" si="121"/>
        <v>0</v>
      </c>
      <c r="Q933" s="73"/>
      <c r="R933" s="73">
        <v>41825000</v>
      </c>
      <c r="S933" s="75">
        <f t="shared" si="123"/>
        <v>740699494</v>
      </c>
      <c r="T933" s="77">
        <v>0</v>
      </c>
      <c r="U933" s="66">
        <v>40395</v>
      </c>
      <c r="V933" s="79">
        <v>38939</v>
      </c>
      <c r="W933" s="66" t="s">
        <v>1606</v>
      </c>
      <c r="X933" s="24" t="s">
        <v>1607</v>
      </c>
      <c r="Y933" s="83" t="s">
        <v>3030</v>
      </c>
      <c r="Z933" s="177" t="s">
        <v>321</v>
      </c>
      <c r="AA933" s="80" t="s">
        <v>1117</v>
      </c>
      <c r="AB933" s="3"/>
      <c r="AC933" s="4"/>
      <c r="AD933" s="5"/>
      <c r="AE933" s="4"/>
      <c r="AF933" s="4"/>
      <c r="AG933" s="4"/>
      <c r="AH933" s="4"/>
      <c r="AI933" s="4"/>
      <c r="AJ933" s="4"/>
      <c r="AK933" s="4"/>
      <c r="AL933" s="4"/>
      <c r="AM933" s="4"/>
      <c r="AN933" s="4">
        <v>2600</v>
      </c>
      <c r="AO933" s="4">
        <f>2600*56000</f>
        <v>145600000</v>
      </c>
      <c r="AP933" s="4"/>
      <c r="AQ933" s="4"/>
      <c r="AR933" s="4"/>
      <c r="AS933" s="4"/>
      <c r="AT933" s="4"/>
      <c r="AU933" s="4"/>
      <c r="AV933" s="4"/>
      <c r="AW933" s="4"/>
      <c r="AX933" s="4"/>
      <c r="AY933" s="4"/>
      <c r="AZ933" s="4">
        <v>1000</v>
      </c>
      <c r="BA933" s="4">
        <f>1000*25500</f>
        <v>25500000</v>
      </c>
      <c r="BB933" s="4"/>
      <c r="BC933" s="4"/>
      <c r="BD933" s="4"/>
      <c r="BE933" s="4"/>
      <c r="BF933" s="4"/>
      <c r="BG933" s="4"/>
      <c r="BH933" s="4"/>
      <c r="BI933" s="4"/>
      <c r="BJ933" s="4"/>
      <c r="BK933" s="4"/>
      <c r="BL933" s="4"/>
      <c r="BM933" s="4"/>
      <c r="BN933" s="4">
        <v>10</v>
      </c>
      <c r="BO933" s="4">
        <f>10*510400</f>
        <v>5104000</v>
      </c>
      <c r="BP933" s="4"/>
      <c r="BQ933" s="4"/>
      <c r="BR933" s="4"/>
      <c r="BS933" s="4"/>
      <c r="BT933" s="4"/>
      <c r="BU933" s="4"/>
      <c r="BV933" s="4"/>
      <c r="BW933" s="4"/>
      <c r="BX933" s="4">
        <v>2600</v>
      </c>
      <c r="BY933" s="4">
        <f>2600*21000</f>
        <v>54600000</v>
      </c>
      <c r="BZ933" s="4"/>
      <c r="CA933" s="4"/>
      <c r="CB933" s="4">
        <f>1000+342</f>
        <v>1342</v>
      </c>
      <c r="CC933" s="4">
        <f>1000*18000+342*18000</f>
        <v>24156000</v>
      </c>
      <c r="CD933" s="6">
        <v>1432</v>
      </c>
      <c r="CE933" s="7">
        <f>1432*36952</f>
        <v>52915264</v>
      </c>
      <c r="CF933" s="6"/>
      <c r="CG933" s="7"/>
      <c r="CH933" s="6"/>
      <c r="CI933" s="7"/>
      <c r="CJ933" s="8">
        <f t="shared" si="122"/>
        <v>307875264</v>
      </c>
      <c r="CK933" s="9"/>
      <c r="CL933" s="10"/>
      <c r="CM933" s="11">
        <f>500+500+1000+2600</f>
        <v>4600</v>
      </c>
      <c r="CN933" s="12">
        <f>500*84998.46+500*85000+1000*85000+2600*85000</f>
        <v>390999230</v>
      </c>
      <c r="CO933" s="28"/>
      <c r="CP933" s="12"/>
      <c r="CQ933" s="9"/>
      <c r="CR933" s="10"/>
      <c r="CS933" s="68">
        <v>2</v>
      </c>
      <c r="EC933" s="344" t="str">
        <f t="shared" si="125"/>
        <v>BOLIVAR_SAN FERNANDO</v>
      </c>
      <c r="ED933" s="341"/>
      <c r="EE933" s="341" t="s">
        <v>3191</v>
      </c>
      <c r="EF933" s="349" t="s">
        <v>3192</v>
      </c>
      <c r="EG933" s="341" t="s">
        <v>4156</v>
      </c>
      <c r="EH933" s="341" t="s">
        <v>5207</v>
      </c>
      <c r="EI933" s="341" t="str">
        <f t="shared" si="118"/>
        <v>Sucre_Coveñas</v>
      </c>
    </row>
    <row r="934" spans="1:139" ht="25.5">
      <c r="A934" s="228">
        <v>40390</v>
      </c>
      <c r="B934" s="102" t="s">
        <v>1615</v>
      </c>
      <c r="C934" s="102" t="s">
        <v>1695</v>
      </c>
      <c r="D934" s="206" t="s">
        <v>1201</v>
      </c>
      <c r="E934" s="320" t="s">
        <v>3409</v>
      </c>
      <c r="F934" s="320"/>
      <c r="G934" s="210"/>
      <c r="H934" s="71"/>
      <c r="I934" s="71"/>
      <c r="J934" s="71">
        <f>576*5</f>
        <v>2880</v>
      </c>
      <c r="K934" s="71">
        <v>576</v>
      </c>
      <c r="L934" s="1">
        <v>40415</v>
      </c>
      <c r="M934" s="73">
        <f t="shared" si="119"/>
        <v>7200000</v>
      </c>
      <c r="N934" s="73">
        <f t="shared" si="120"/>
        <v>34000000</v>
      </c>
      <c r="O934" s="73">
        <f t="shared" si="124"/>
        <v>0</v>
      </c>
      <c r="P934" s="73">
        <f t="shared" si="121"/>
        <v>0</v>
      </c>
      <c r="Q934" s="73"/>
      <c r="R934" s="73">
        <v>0</v>
      </c>
      <c r="S934" s="75">
        <f t="shared" si="123"/>
        <v>41200000</v>
      </c>
      <c r="T934" s="77">
        <v>0</v>
      </c>
      <c r="U934" s="66">
        <v>40395</v>
      </c>
      <c r="V934" s="79">
        <v>38939</v>
      </c>
      <c r="W934" s="66" t="s">
        <v>1606</v>
      </c>
      <c r="X934" s="24" t="s">
        <v>1607</v>
      </c>
      <c r="Y934" s="83" t="s">
        <v>333</v>
      </c>
      <c r="Z934" s="177"/>
      <c r="AA934" s="80" t="s">
        <v>902</v>
      </c>
      <c r="AB934" s="3"/>
      <c r="AC934" s="4"/>
      <c r="AD934" s="5"/>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v>400</v>
      </c>
      <c r="CC934" s="4">
        <f>400*18000</f>
        <v>7200000</v>
      </c>
      <c r="CD934" s="6"/>
      <c r="CE934" s="7"/>
      <c r="CF934" s="6"/>
      <c r="CG934" s="7"/>
      <c r="CH934" s="6"/>
      <c r="CI934" s="7"/>
      <c r="CJ934" s="8">
        <f t="shared" si="122"/>
        <v>7200000</v>
      </c>
      <c r="CK934" s="9"/>
      <c r="CL934" s="10"/>
      <c r="CM934" s="11">
        <v>400</v>
      </c>
      <c r="CN934" s="12">
        <f>400*85000</f>
        <v>34000000</v>
      </c>
      <c r="CO934" s="28"/>
      <c r="CP934" s="12"/>
      <c r="CQ934" s="9"/>
      <c r="CR934" s="10"/>
      <c r="CS934" s="68"/>
      <c r="EC934" s="344" t="str">
        <f t="shared" si="125"/>
        <v>BOLIVAR_SAN PABLO</v>
      </c>
      <c r="ED934" s="341"/>
      <c r="EE934" s="341" t="s">
        <v>3191</v>
      </c>
      <c r="EF934" s="349" t="s">
        <v>3192</v>
      </c>
      <c r="EG934" s="341" t="s">
        <v>4157</v>
      </c>
      <c r="EH934" s="341" t="s">
        <v>5208</v>
      </c>
      <c r="EI934" s="341" t="str">
        <f t="shared" si="118"/>
        <v>Sucre_Chalan</v>
      </c>
    </row>
    <row r="935" spans="1:139" ht="60">
      <c r="A935" s="228">
        <v>40390</v>
      </c>
      <c r="B935" s="102" t="s">
        <v>1615</v>
      </c>
      <c r="C935" s="102" t="s">
        <v>3119</v>
      </c>
      <c r="D935" s="206" t="s">
        <v>1201</v>
      </c>
      <c r="E935" s="320" t="s">
        <v>3412</v>
      </c>
      <c r="F935" s="320"/>
      <c r="G935" s="210"/>
      <c r="H935" s="71"/>
      <c r="I935" s="71"/>
      <c r="J935" s="71">
        <f>1521*5</f>
        <v>7605</v>
      </c>
      <c r="K935" s="71">
        <v>1521</v>
      </c>
      <c r="L935" s="1">
        <v>40416</v>
      </c>
      <c r="M935" s="73">
        <f t="shared" si="119"/>
        <v>720000</v>
      </c>
      <c r="N935" s="73">
        <f t="shared" si="120"/>
        <v>137615000</v>
      </c>
      <c r="O935" s="73">
        <f t="shared" si="124"/>
        <v>0</v>
      </c>
      <c r="P935" s="73">
        <f t="shared" si="121"/>
        <v>0</v>
      </c>
      <c r="Q935" s="73"/>
      <c r="R935" s="73">
        <v>0</v>
      </c>
      <c r="S935" s="75">
        <f t="shared" si="123"/>
        <v>138335000</v>
      </c>
      <c r="T935" s="77">
        <v>0</v>
      </c>
      <c r="U935" s="66">
        <v>40395</v>
      </c>
      <c r="V935" s="79">
        <v>38939</v>
      </c>
      <c r="W935" s="66" t="s">
        <v>1606</v>
      </c>
      <c r="X935" s="24" t="s">
        <v>1607</v>
      </c>
      <c r="Y935" s="83" t="s">
        <v>753</v>
      </c>
      <c r="Z935" s="177" t="s">
        <v>2580</v>
      </c>
      <c r="AA935" s="80" t="s">
        <v>177</v>
      </c>
      <c r="AB935" s="3"/>
      <c r="AC935" s="4"/>
      <c r="AD935" s="5"/>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v>40</v>
      </c>
      <c r="CC935" s="4">
        <f>40*18000</f>
        <v>720000</v>
      </c>
      <c r="CD935" s="6"/>
      <c r="CE935" s="7"/>
      <c r="CF935" s="6"/>
      <c r="CG935" s="7"/>
      <c r="CH935" s="6"/>
      <c r="CI935" s="7"/>
      <c r="CJ935" s="8">
        <f t="shared" si="122"/>
        <v>720000</v>
      </c>
      <c r="CK935" s="9"/>
      <c r="CL935" s="10"/>
      <c r="CM935" s="11">
        <f>70+1549</f>
        <v>1619</v>
      </c>
      <c r="CN935" s="12">
        <f>70*85000+1549*85000</f>
        <v>137615000</v>
      </c>
      <c r="CO935" s="28"/>
      <c r="CP935" s="12"/>
      <c r="CQ935" s="9"/>
      <c r="CR935" s="10"/>
      <c r="CS935" s="68"/>
      <c r="EC935" s="344" t="str">
        <f t="shared" si="125"/>
        <v>BOLIVAR_SANTA ROSA DEL SUR</v>
      </c>
      <c r="ED935" s="341"/>
      <c r="EE935" s="341" t="s">
        <v>3191</v>
      </c>
      <c r="EF935" s="349" t="s">
        <v>3192</v>
      </c>
      <c r="EG935" s="341" t="s">
        <v>4158</v>
      </c>
      <c r="EH935" s="341" t="s">
        <v>5209</v>
      </c>
      <c r="EI935" s="341" t="str">
        <f t="shared" si="118"/>
        <v>Sucre_El Roble</v>
      </c>
    </row>
    <row r="936" spans="1:139" ht="33.75">
      <c r="A936" s="228">
        <v>40390</v>
      </c>
      <c r="B936" s="102" t="s">
        <v>1615</v>
      </c>
      <c r="C936" s="102" t="s">
        <v>702</v>
      </c>
      <c r="D936" s="206" t="s">
        <v>1201</v>
      </c>
      <c r="E936" s="320" t="s">
        <v>3413</v>
      </c>
      <c r="F936" s="320"/>
      <c r="G936" s="210"/>
      <c r="H936" s="71"/>
      <c r="I936" s="71"/>
      <c r="J936" s="71">
        <f>1564*5</f>
        <v>7820</v>
      </c>
      <c r="K936" s="71">
        <v>1564</v>
      </c>
      <c r="L936" s="1">
        <v>40415</v>
      </c>
      <c r="M936" s="73">
        <f t="shared" si="119"/>
        <v>52855000</v>
      </c>
      <c r="N936" s="73">
        <f t="shared" si="120"/>
        <v>81685000</v>
      </c>
      <c r="O936" s="73">
        <f t="shared" si="124"/>
        <v>0</v>
      </c>
      <c r="P936" s="73">
        <f t="shared" si="121"/>
        <v>0</v>
      </c>
      <c r="Q936" s="73"/>
      <c r="R936" s="73">
        <v>0</v>
      </c>
      <c r="S936" s="75">
        <f t="shared" si="123"/>
        <v>134540000</v>
      </c>
      <c r="T936" s="77">
        <v>0</v>
      </c>
      <c r="U936" s="66">
        <v>40395</v>
      </c>
      <c r="V936" s="89" t="s">
        <v>816</v>
      </c>
      <c r="W936" s="66" t="s">
        <v>1606</v>
      </c>
      <c r="X936" s="24" t="s">
        <v>1607</v>
      </c>
      <c r="Y936" s="83" t="s">
        <v>2484</v>
      </c>
      <c r="Z936" s="177"/>
      <c r="AA936" s="80" t="s">
        <v>902</v>
      </c>
      <c r="AB936" s="3"/>
      <c r="AC936" s="4"/>
      <c r="AD936" s="5"/>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f>500+461</f>
        <v>961</v>
      </c>
      <c r="CC936" s="4">
        <f>500*18000+461*18000</f>
        <v>17298000</v>
      </c>
      <c r="CD936" s="6">
        <v>961</v>
      </c>
      <c r="CE936" s="7">
        <f>961*37000</f>
        <v>35557000</v>
      </c>
      <c r="CF936" s="6"/>
      <c r="CG936" s="7"/>
      <c r="CH936" s="6"/>
      <c r="CI936" s="7"/>
      <c r="CJ936" s="8">
        <f t="shared" si="122"/>
        <v>52855000</v>
      </c>
      <c r="CK936" s="9"/>
      <c r="CL936" s="10"/>
      <c r="CM936" s="11">
        <f>500+461</f>
        <v>961</v>
      </c>
      <c r="CN936" s="12">
        <f>500*85000+461*85000</f>
        <v>81685000</v>
      </c>
      <c r="CO936" s="28"/>
      <c r="CP936" s="12"/>
      <c r="CQ936" s="9"/>
      <c r="CR936" s="10"/>
      <c r="CS936" s="68"/>
      <c r="EC936" s="344" t="str">
        <f t="shared" si="125"/>
        <v>BOLIVAR_SIMITI</v>
      </c>
      <c r="ED936" s="341"/>
      <c r="EE936" s="341" t="s">
        <v>3191</v>
      </c>
      <c r="EF936" s="349" t="s">
        <v>3192</v>
      </c>
      <c r="EG936" s="341" t="s">
        <v>4159</v>
      </c>
      <c r="EH936" s="341" t="s">
        <v>5210</v>
      </c>
      <c r="EI936" s="341" t="str">
        <f t="shared" si="118"/>
        <v>Sucre_Galeras</v>
      </c>
    </row>
    <row r="937" spans="1:139" ht="25.5">
      <c r="A937" s="228">
        <v>40390</v>
      </c>
      <c r="B937" s="102" t="s">
        <v>1615</v>
      </c>
      <c r="C937" s="102" t="s">
        <v>1445</v>
      </c>
      <c r="D937" s="206" t="s">
        <v>1201</v>
      </c>
      <c r="E937" s="320" t="s">
        <v>3420</v>
      </c>
      <c r="F937" s="320"/>
      <c r="G937" s="210"/>
      <c r="H937" s="71"/>
      <c r="I937" s="71"/>
      <c r="J937" s="71">
        <f>12*5</f>
        <v>60</v>
      </c>
      <c r="K937" s="71">
        <v>12</v>
      </c>
      <c r="L937" s="1"/>
      <c r="M937" s="73">
        <f t="shared" si="119"/>
        <v>0</v>
      </c>
      <c r="N937" s="73">
        <f t="shared" si="120"/>
        <v>0</v>
      </c>
      <c r="O937" s="73">
        <f t="shared" si="124"/>
        <v>0</v>
      </c>
      <c r="P937" s="73">
        <f t="shared" si="121"/>
        <v>0</v>
      </c>
      <c r="Q937" s="73"/>
      <c r="R937" s="73">
        <v>0</v>
      </c>
      <c r="S937" s="75">
        <f t="shared" si="123"/>
        <v>0</v>
      </c>
      <c r="T937" s="77">
        <v>0</v>
      </c>
      <c r="U937" s="66">
        <v>40393</v>
      </c>
      <c r="V937" s="79"/>
      <c r="W937" s="66" t="s">
        <v>1585</v>
      </c>
      <c r="X937" s="24" t="s">
        <v>1586</v>
      </c>
      <c r="Y937" s="62"/>
      <c r="Z937" s="177" t="s">
        <v>894</v>
      </c>
      <c r="AA937" s="80" t="s">
        <v>902</v>
      </c>
      <c r="AB937" s="3"/>
      <c r="AC937" s="4"/>
      <c r="AD937" s="5"/>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6"/>
      <c r="CE937" s="7"/>
      <c r="CF937" s="6"/>
      <c r="CG937" s="7"/>
      <c r="CH937" s="6"/>
      <c r="CI937" s="7"/>
      <c r="CJ937" s="8">
        <f t="shared" si="122"/>
        <v>0</v>
      </c>
      <c r="CK937" s="9"/>
      <c r="CL937" s="10"/>
      <c r="CM937" s="11"/>
      <c r="CN937" s="12"/>
      <c r="CO937" s="28"/>
      <c r="CP937" s="12"/>
      <c r="CQ937" s="9"/>
      <c r="CR937" s="10"/>
      <c r="CS937" s="68"/>
      <c r="EC937" s="344" t="str">
        <f t="shared" si="125"/>
        <v>BOLIVAR_ZAMBRANO</v>
      </c>
      <c r="ED937" s="341"/>
      <c r="EE937" s="341" t="s">
        <v>3191</v>
      </c>
      <c r="EF937" s="349" t="s">
        <v>3192</v>
      </c>
      <c r="EG937" s="341" t="s">
        <v>4160</v>
      </c>
      <c r="EH937" s="341" t="s">
        <v>5211</v>
      </c>
      <c r="EI937" s="341" t="str">
        <f t="shared" si="118"/>
        <v>Sucre_Guaranda</v>
      </c>
    </row>
    <row r="938" spans="1:139" ht="38.25">
      <c r="A938" s="235">
        <v>40391</v>
      </c>
      <c r="B938" s="224" t="s">
        <v>1972</v>
      </c>
      <c r="C938" s="224" t="s">
        <v>680</v>
      </c>
      <c r="D938" s="236" t="s">
        <v>1201</v>
      </c>
      <c r="E938" s="324" t="s">
        <v>3308</v>
      </c>
      <c r="F938" s="324"/>
      <c r="G938" s="210"/>
      <c r="H938" s="71"/>
      <c r="I938" s="71"/>
      <c r="J938" s="71">
        <v>300</v>
      </c>
      <c r="K938" s="71">
        <v>60</v>
      </c>
      <c r="L938" s="1"/>
      <c r="M938" s="73">
        <f t="shared" si="119"/>
        <v>0</v>
      </c>
      <c r="N938" s="73">
        <f t="shared" si="120"/>
        <v>0</v>
      </c>
      <c r="O938" s="73">
        <f t="shared" si="124"/>
        <v>0</v>
      </c>
      <c r="P938" s="73">
        <f t="shared" si="121"/>
        <v>0</v>
      </c>
      <c r="Q938" s="73"/>
      <c r="R938" s="73">
        <v>0</v>
      </c>
      <c r="S938" s="75">
        <f t="shared" si="123"/>
        <v>0</v>
      </c>
      <c r="T938" s="77">
        <v>0</v>
      </c>
      <c r="U938" s="66">
        <v>40392</v>
      </c>
      <c r="V938" s="79"/>
      <c r="W938" s="66" t="s">
        <v>1585</v>
      </c>
      <c r="X938" s="24" t="s">
        <v>1586</v>
      </c>
      <c r="Y938" s="62"/>
      <c r="Z938" s="196" t="s">
        <v>894</v>
      </c>
      <c r="AA938" s="80" t="s">
        <v>681</v>
      </c>
      <c r="AB938" s="3"/>
      <c r="AC938" s="4"/>
      <c r="AD938" s="5"/>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6"/>
      <c r="CE938" s="7"/>
      <c r="CF938" s="6"/>
      <c r="CG938" s="7"/>
      <c r="CH938" s="6"/>
      <c r="CI938" s="7"/>
      <c r="CJ938" s="8">
        <f t="shared" si="122"/>
        <v>0</v>
      </c>
      <c r="CK938" s="9"/>
      <c r="CL938" s="10"/>
      <c r="CM938" s="11"/>
      <c r="CN938" s="12"/>
      <c r="CO938" s="28"/>
      <c r="CP938" s="12"/>
      <c r="CQ938" s="9"/>
      <c r="CR938" s="10"/>
      <c r="CS938" s="68"/>
      <c r="EC938" s="344" t="str">
        <f t="shared" si="125"/>
        <v>ANTIOQUIA_PUERTO TRIUNFO</v>
      </c>
      <c r="ED938" s="341"/>
      <c r="EE938" s="341" t="s">
        <v>3191</v>
      </c>
      <c r="EF938" s="349" t="s">
        <v>3192</v>
      </c>
      <c r="EG938" s="341" t="s">
        <v>4161</v>
      </c>
      <c r="EH938" s="341" t="s">
        <v>4435</v>
      </c>
      <c r="EI938" s="341" t="str">
        <f t="shared" si="118"/>
        <v>Sucre_La Union</v>
      </c>
    </row>
    <row r="939" spans="1:139" ht="38.25">
      <c r="A939" s="228">
        <v>40391</v>
      </c>
      <c r="B939" s="102" t="s">
        <v>1551</v>
      </c>
      <c r="C939" s="102" t="s">
        <v>1590</v>
      </c>
      <c r="D939" s="206" t="s">
        <v>1878</v>
      </c>
      <c r="E939" s="320" t="s">
        <v>3352</v>
      </c>
      <c r="F939" s="320"/>
      <c r="G939" s="210"/>
      <c r="H939" s="71"/>
      <c r="I939" s="71"/>
      <c r="J939" s="71">
        <v>275</v>
      </c>
      <c r="K939" s="71">
        <v>55</v>
      </c>
      <c r="L939" s="1"/>
      <c r="M939" s="73">
        <f t="shared" si="119"/>
        <v>0</v>
      </c>
      <c r="N939" s="73">
        <f t="shared" si="120"/>
        <v>0</v>
      </c>
      <c r="O939" s="73">
        <f t="shared" si="124"/>
        <v>0</v>
      </c>
      <c r="P939" s="73">
        <f t="shared" si="121"/>
        <v>0</v>
      </c>
      <c r="Q939" s="73"/>
      <c r="R939" s="73">
        <v>0</v>
      </c>
      <c r="S939" s="75">
        <f t="shared" si="123"/>
        <v>0</v>
      </c>
      <c r="T939" s="77">
        <v>0</v>
      </c>
      <c r="U939" s="66">
        <v>40393</v>
      </c>
      <c r="V939" s="79"/>
      <c r="W939" s="66" t="s">
        <v>1585</v>
      </c>
      <c r="X939" s="24" t="s">
        <v>1586</v>
      </c>
      <c r="Y939" s="62"/>
      <c r="Z939" s="177" t="s">
        <v>894</v>
      </c>
      <c r="AA939" s="80" t="s">
        <v>694</v>
      </c>
      <c r="AB939" s="3"/>
      <c r="AC939" s="4"/>
      <c r="AD939" s="5"/>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6"/>
      <c r="CE939" s="7"/>
      <c r="CF939" s="6"/>
      <c r="CG939" s="7"/>
      <c r="CH939" s="6"/>
      <c r="CI939" s="7"/>
      <c r="CJ939" s="8">
        <f t="shared" si="122"/>
        <v>0</v>
      </c>
      <c r="CK939" s="9"/>
      <c r="CL939" s="10"/>
      <c r="CM939" s="11"/>
      <c r="CN939" s="12"/>
      <c r="CO939" s="28"/>
      <c r="CP939" s="12"/>
      <c r="CQ939" s="9"/>
      <c r="CR939" s="10"/>
      <c r="CS939" s="68"/>
      <c r="EC939" s="344" t="str">
        <f t="shared" si="125"/>
        <v>ATLANTICO_BARRANQUILLA</v>
      </c>
      <c r="ED939" s="341"/>
      <c r="EE939" s="341" t="s">
        <v>3191</v>
      </c>
      <c r="EF939" s="349" t="s">
        <v>3192</v>
      </c>
      <c r="EG939" s="341" t="s">
        <v>4162</v>
      </c>
      <c r="EH939" s="341" t="s">
        <v>5212</v>
      </c>
      <c r="EI939" s="341" t="str">
        <f t="shared" si="118"/>
        <v>Sucre_Los Palmitos</v>
      </c>
    </row>
    <row r="940" spans="1:139" ht="78.75">
      <c r="A940" s="228">
        <v>40391</v>
      </c>
      <c r="B940" s="102" t="s">
        <v>1615</v>
      </c>
      <c r="C940" s="102" t="s">
        <v>1562</v>
      </c>
      <c r="D940" s="206" t="s">
        <v>1201</v>
      </c>
      <c r="E940" s="320" t="s">
        <v>3392</v>
      </c>
      <c r="F940" s="320"/>
      <c r="G940" s="210"/>
      <c r="H940" s="71"/>
      <c r="I940" s="71"/>
      <c r="J940" s="71">
        <f>7948*5</f>
        <v>39740</v>
      </c>
      <c r="K940" s="71">
        <v>7948</v>
      </c>
      <c r="L940" s="1">
        <v>40415</v>
      </c>
      <c r="M940" s="73">
        <f t="shared" si="119"/>
        <v>212700000</v>
      </c>
      <c r="N940" s="73">
        <f t="shared" si="120"/>
        <v>544000000</v>
      </c>
      <c r="O940" s="73">
        <f t="shared" ref="O940:O976" si="126">CP940+CR940</f>
        <v>0</v>
      </c>
      <c r="P940" s="73">
        <f t="shared" si="121"/>
        <v>0</v>
      </c>
      <c r="Q940" s="73"/>
      <c r="R940" s="73">
        <v>0</v>
      </c>
      <c r="S940" s="75">
        <f t="shared" si="123"/>
        <v>756700000</v>
      </c>
      <c r="T940" s="77">
        <v>0</v>
      </c>
      <c r="U940" s="66">
        <v>40395</v>
      </c>
      <c r="V940" s="79">
        <v>38939</v>
      </c>
      <c r="W940" s="66" t="s">
        <v>1606</v>
      </c>
      <c r="X940" s="24" t="s">
        <v>1607</v>
      </c>
      <c r="Y940" s="83" t="s">
        <v>2485</v>
      </c>
      <c r="Z940" s="177" t="s">
        <v>1795</v>
      </c>
      <c r="AA940" s="166" t="s">
        <v>2323</v>
      </c>
      <c r="AB940" s="3"/>
      <c r="AC940" s="4"/>
      <c r="AD940" s="5"/>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f>1500+2500+600+2300</f>
        <v>6900</v>
      </c>
      <c r="CC940" s="4">
        <f>1500*18000+2500*18000+600*23000+2300*23000</f>
        <v>138700000</v>
      </c>
      <c r="CD940" s="6">
        <v>2000</v>
      </c>
      <c r="CE940" s="7">
        <f>2000*37000</f>
        <v>74000000</v>
      </c>
      <c r="CF940" s="6"/>
      <c r="CG940" s="7"/>
      <c r="CH940" s="6"/>
      <c r="CI940" s="7"/>
      <c r="CJ940" s="8">
        <f t="shared" si="122"/>
        <v>212700000</v>
      </c>
      <c r="CK940" s="9"/>
      <c r="CL940" s="10"/>
      <c r="CM940" s="11">
        <f>500+1000+2000+1180+1720</f>
        <v>6400</v>
      </c>
      <c r="CN940" s="12">
        <f>500*85000+1000*85000+2000*85000+1180*85000+1720*85000</f>
        <v>544000000</v>
      </c>
      <c r="CO940" s="28"/>
      <c r="CP940" s="12"/>
      <c r="CQ940" s="9"/>
      <c r="CR940" s="10"/>
      <c r="CS940" s="68"/>
      <c r="EC940" s="344" t="str">
        <f t="shared" si="125"/>
        <v>BOLIVAR_MAGANGUE</v>
      </c>
      <c r="ED940" s="341"/>
      <c r="EE940" s="341" t="s">
        <v>3191</v>
      </c>
      <c r="EF940" s="349" t="s">
        <v>3192</v>
      </c>
      <c r="EG940" s="341" t="s">
        <v>4163</v>
      </c>
      <c r="EH940" s="341" t="s">
        <v>5213</v>
      </c>
      <c r="EI940" s="341" t="str">
        <f t="shared" si="118"/>
        <v>Sucre_Majagual</v>
      </c>
    </row>
    <row r="941" spans="1:139" ht="25.5">
      <c r="A941" s="228">
        <v>40391</v>
      </c>
      <c r="B941" s="102" t="s">
        <v>653</v>
      </c>
      <c r="C941" s="102" t="s">
        <v>399</v>
      </c>
      <c r="D941" s="206" t="s">
        <v>1878</v>
      </c>
      <c r="E941" s="320" t="s">
        <v>3543</v>
      </c>
      <c r="F941" s="320"/>
      <c r="G941" s="210"/>
      <c r="H941" s="71">
        <v>3</v>
      </c>
      <c r="I941" s="71"/>
      <c r="J941" s="71">
        <v>20</v>
      </c>
      <c r="K941" s="71">
        <v>4</v>
      </c>
      <c r="L941" s="1"/>
      <c r="M941" s="73">
        <f t="shared" si="119"/>
        <v>0</v>
      </c>
      <c r="N941" s="73">
        <f t="shared" si="120"/>
        <v>0</v>
      </c>
      <c r="O941" s="73">
        <f t="shared" si="126"/>
        <v>0</v>
      </c>
      <c r="P941" s="73">
        <f t="shared" si="121"/>
        <v>0</v>
      </c>
      <c r="Q941" s="73"/>
      <c r="R941" s="73">
        <v>0</v>
      </c>
      <c r="S941" s="75">
        <f t="shared" si="123"/>
        <v>0</v>
      </c>
      <c r="T941" s="77">
        <v>0</v>
      </c>
      <c r="U941" s="66">
        <v>40393</v>
      </c>
      <c r="V941" s="79"/>
      <c r="W941" s="66" t="s">
        <v>1606</v>
      </c>
      <c r="X941" s="24" t="s">
        <v>1607</v>
      </c>
      <c r="Y941" s="62"/>
      <c r="Z941" s="176" t="s">
        <v>3056</v>
      </c>
      <c r="AA941" s="80" t="s">
        <v>692</v>
      </c>
      <c r="AB941" s="3"/>
      <c r="AC941" s="4"/>
      <c r="AD941" s="5"/>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6"/>
      <c r="CE941" s="7"/>
      <c r="CF941" s="6"/>
      <c r="CG941" s="7"/>
      <c r="CH941" s="6"/>
      <c r="CI941" s="7"/>
      <c r="CJ941" s="8">
        <f t="shared" si="122"/>
        <v>0</v>
      </c>
      <c r="CK941" s="9"/>
      <c r="CL941" s="10"/>
      <c r="CM941" s="11"/>
      <c r="CN941" s="12"/>
      <c r="CO941" s="28"/>
      <c r="CP941" s="12"/>
      <c r="CQ941" s="9"/>
      <c r="CR941" s="10"/>
      <c r="CS941" s="68"/>
      <c r="EC941" s="344" t="str">
        <f t="shared" si="125"/>
        <v>CALDAS_MANIZALES</v>
      </c>
      <c r="ED941" s="341"/>
      <c r="EE941" s="341" t="s">
        <v>3191</v>
      </c>
      <c r="EF941" s="349" t="s">
        <v>3192</v>
      </c>
      <c r="EG941" s="341" t="s">
        <v>4164</v>
      </c>
      <c r="EH941" s="341" t="s">
        <v>5214</v>
      </c>
      <c r="EI941" s="341" t="str">
        <f t="shared" si="118"/>
        <v>Sucre_Morroa</v>
      </c>
    </row>
    <row r="942" spans="1:139" ht="38.25">
      <c r="A942" s="228">
        <v>40391</v>
      </c>
      <c r="B942" s="222" t="s">
        <v>1821</v>
      </c>
      <c r="C942" s="205" t="s">
        <v>1661</v>
      </c>
      <c r="D942" s="233" t="s">
        <v>1201</v>
      </c>
      <c r="E942" s="325" t="s">
        <v>3630</v>
      </c>
      <c r="F942" s="325"/>
      <c r="G942" s="204"/>
      <c r="H942" s="151"/>
      <c r="I942" s="151"/>
      <c r="J942" s="151">
        <f>579*5</f>
        <v>2895</v>
      </c>
      <c r="K942" s="151">
        <f>685-93-13</f>
        <v>579</v>
      </c>
      <c r="L942" s="1"/>
      <c r="M942" s="73">
        <f t="shared" si="119"/>
        <v>0</v>
      </c>
      <c r="N942" s="73">
        <f t="shared" si="120"/>
        <v>0</v>
      </c>
      <c r="O942" s="73">
        <f t="shared" si="126"/>
        <v>0</v>
      </c>
      <c r="P942" s="73">
        <f t="shared" si="121"/>
        <v>0</v>
      </c>
      <c r="Q942" s="73"/>
      <c r="R942" s="73">
        <v>0</v>
      </c>
      <c r="S942" s="75">
        <f t="shared" si="123"/>
        <v>0</v>
      </c>
      <c r="T942" s="77">
        <v>0</v>
      </c>
      <c r="U942" s="66">
        <v>40422</v>
      </c>
      <c r="V942" s="79"/>
      <c r="W942" s="66" t="s">
        <v>1585</v>
      </c>
      <c r="X942" s="24" t="s">
        <v>1586</v>
      </c>
      <c r="Y942" s="62"/>
      <c r="Z942" s="169" t="s">
        <v>356</v>
      </c>
      <c r="AA942" s="166" t="s">
        <v>647</v>
      </c>
      <c r="AB942" s="152"/>
      <c r="AC942" s="153"/>
      <c r="AD942" s="154"/>
      <c r="AE942" s="153"/>
      <c r="AF942" s="153"/>
      <c r="AG942" s="153"/>
      <c r="AH942" s="153"/>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c r="BF942" s="153"/>
      <c r="BG942" s="153"/>
      <c r="BH942" s="153"/>
      <c r="BI942" s="153"/>
      <c r="BJ942" s="153"/>
      <c r="BK942" s="153"/>
      <c r="BL942" s="153"/>
      <c r="BM942" s="153"/>
      <c r="BN942" s="153"/>
      <c r="BO942" s="153"/>
      <c r="BP942" s="153"/>
      <c r="BQ942" s="153"/>
      <c r="BR942" s="153"/>
      <c r="BS942" s="153"/>
      <c r="BT942" s="153"/>
      <c r="BU942" s="153"/>
      <c r="BV942" s="153"/>
      <c r="BW942" s="153"/>
      <c r="BX942" s="153"/>
      <c r="BY942" s="153"/>
      <c r="BZ942" s="153"/>
      <c r="CA942" s="153"/>
      <c r="CB942" s="153"/>
      <c r="CC942" s="153"/>
      <c r="CD942" s="155"/>
      <c r="CE942" s="156"/>
      <c r="CF942" s="155"/>
      <c r="CG942" s="156"/>
      <c r="CH942" s="155"/>
      <c r="CI942" s="156"/>
      <c r="CJ942" s="157">
        <f t="shared" si="122"/>
        <v>0</v>
      </c>
      <c r="CK942" s="158"/>
      <c r="CL942" s="159"/>
      <c r="CM942" s="160"/>
      <c r="CN942" s="161"/>
      <c r="CO942" s="162"/>
      <c r="CP942" s="161"/>
      <c r="CQ942" s="158"/>
      <c r="CR942" s="159"/>
      <c r="CS942" s="68"/>
      <c r="CT942" s="163"/>
      <c r="EC942" s="344" t="str">
        <f t="shared" si="125"/>
        <v>CESAR_AGUSTIN CODAZZI</v>
      </c>
      <c r="ED942" s="341"/>
      <c r="EE942" s="341" t="s">
        <v>3191</v>
      </c>
      <c r="EF942" s="349" t="s">
        <v>3192</v>
      </c>
      <c r="EG942" s="341" t="s">
        <v>4165</v>
      </c>
      <c r="EH942" s="341" t="s">
        <v>5215</v>
      </c>
      <c r="EI942" s="341" t="str">
        <f t="shared" si="118"/>
        <v>Sucre_Ovejas</v>
      </c>
    </row>
    <row r="943" spans="1:139" ht="25.5">
      <c r="A943" s="228">
        <v>40391</v>
      </c>
      <c r="B943" s="222" t="s">
        <v>1821</v>
      </c>
      <c r="C943" s="222" t="s">
        <v>744</v>
      </c>
      <c r="D943" s="233" t="s">
        <v>1201</v>
      </c>
      <c r="E943" s="325" t="s">
        <v>3631</v>
      </c>
      <c r="F943" s="325"/>
      <c r="G943" s="204"/>
      <c r="H943" s="151"/>
      <c r="I943" s="151"/>
      <c r="J943" s="151">
        <f>150*5</f>
        <v>750</v>
      </c>
      <c r="K943" s="151">
        <v>150</v>
      </c>
      <c r="L943" s="1">
        <v>40427</v>
      </c>
      <c r="M943" s="73">
        <f t="shared" si="119"/>
        <v>8100000</v>
      </c>
      <c r="N943" s="73">
        <f t="shared" si="120"/>
        <v>12750000</v>
      </c>
      <c r="O943" s="73">
        <f t="shared" si="126"/>
        <v>0</v>
      </c>
      <c r="P943" s="73">
        <f t="shared" si="121"/>
        <v>0</v>
      </c>
      <c r="Q943" s="73"/>
      <c r="R943" s="73">
        <v>0</v>
      </c>
      <c r="S943" s="75">
        <f t="shared" si="123"/>
        <v>20850000</v>
      </c>
      <c r="T943" s="77">
        <v>0</v>
      </c>
      <c r="U943" s="66">
        <v>40393</v>
      </c>
      <c r="V943" s="79">
        <v>38583</v>
      </c>
      <c r="W943" s="66" t="s">
        <v>1606</v>
      </c>
      <c r="X943" s="24" t="s">
        <v>1607</v>
      </c>
      <c r="Y943" s="83" t="s">
        <v>2085</v>
      </c>
      <c r="Z943" s="177" t="s">
        <v>1031</v>
      </c>
      <c r="AA943" s="239" t="s">
        <v>647</v>
      </c>
      <c r="AB943" s="168"/>
      <c r="AC943" s="153"/>
      <c r="AD943" s="154"/>
      <c r="AE943" s="153"/>
      <c r="AF943" s="153"/>
      <c r="AG943" s="153"/>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c r="BI943" s="153"/>
      <c r="BJ943" s="153"/>
      <c r="BK943" s="153"/>
      <c r="BL943" s="153"/>
      <c r="BM943" s="153"/>
      <c r="BN943" s="153"/>
      <c r="BO943" s="153"/>
      <c r="BP943" s="153"/>
      <c r="BQ943" s="153"/>
      <c r="BR943" s="153"/>
      <c r="BS943" s="153"/>
      <c r="BT943" s="153"/>
      <c r="BU943" s="153"/>
      <c r="BV943" s="153"/>
      <c r="BW943" s="153"/>
      <c r="BX943" s="153"/>
      <c r="BY943" s="153"/>
      <c r="BZ943" s="153"/>
      <c r="CA943" s="153"/>
      <c r="CB943" s="153">
        <v>150</v>
      </c>
      <c r="CC943" s="153">
        <f>150*18000</f>
        <v>2700000</v>
      </c>
      <c r="CD943" s="155"/>
      <c r="CE943" s="156"/>
      <c r="CF943" s="155">
        <v>150</v>
      </c>
      <c r="CG943" s="156">
        <f>150*36000</f>
        <v>5400000</v>
      </c>
      <c r="CH943" s="155"/>
      <c r="CI943" s="156"/>
      <c r="CJ943" s="157">
        <f t="shared" si="122"/>
        <v>8100000</v>
      </c>
      <c r="CK943" s="158"/>
      <c r="CL943" s="159"/>
      <c r="CM943" s="160">
        <v>150</v>
      </c>
      <c r="CN943" s="161">
        <f>150*85000</f>
        <v>12750000</v>
      </c>
      <c r="CO943" s="162"/>
      <c r="CP943" s="161"/>
      <c r="CQ943" s="158"/>
      <c r="CR943" s="159"/>
      <c r="CS943" s="68"/>
      <c r="CT943" s="163"/>
      <c r="EC943" s="344" t="str">
        <f t="shared" si="125"/>
        <v>CESAR_ASTREA</v>
      </c>
      <c r="ED943" s="341"/>
      <c r="EE943" s="341" t="s">
        <v>3191</v>
      </c>
      <c r="EF943" s="349" t="s">
        <v>3192</v>
      </c>
      <c r="EG943" s="341" t="s">
        <v>4166</v>
      </c>
      <c r="EH943" s="341" t="s">
        <v>5216</v>
      </c>
      <c r="EI943" s="341" t="str">
        <f t="shared" si="118"/>
        <v>Sucre_Palmito</v>
      </c>
    </row>
    <row r="944" spans="1:139" ht="25.5">
      <c r="A944" s="228">
        <v>40391</v>
      </c>
      <c r="B944" s="222" t="s">
        <v>1821</v>
      </c>
      <c r="C944" s="222" t="s">
        <v>601</v>
      </c>
      <c r="D944" s="233" t="s">
        <v>1201</v>
      </c>
      <c r="E944" s="325" t="s">
        <v>3632</v>
      </c>
      <c r="F944" s="325"/>
      <c r="G944" s="204"/>
      <c r="H944" s="151"/>
      <c r="I944" s="151"/>
      <c r="J944" s="151">
        <f>38*5</f>
        <v>190</v>
      </c>
      <c r="K944" s="151">
        <v>38</v>
      </c>
      <c r="L944" s="1">
        <v>40452</v>
      </c>
      <c r="M944" s="73">
        <f t="shared" si="119"/>
        <v>2052000</v>
      </c>
      <c r="N944" s="73">
        <f t="shared" si="120"/>
        <v>3230000</v>
      </c>
      <c r="O944" s="73">
        <f t="shared" si="126"/>
        <v>0</v>
      </c>
      <c r="P944" s="73">
        <f t="shared" si="121"/>
        <v>0</v>
      </c>
      <c r="Q944" s="73"/>
      <c r="R944" s="73">
        <v>0</v>
      </c>
      <c r="S944" s="75">
        <f t="shared" si="123"/>
        <v>5282000</v>
      </c>
      <c r="T944" s="77">
        <v>0</v>
      </c>
      <c r="U944" s="66">
        <v>40422</v>
      </c>
      <c r="V944" s="79">
        <v>50562</v>
      </c>
      <c r="W944" s="66" t="s">
        <v>1606</v>
      </c>
      <c r="X944" s="67" t="s">
        <v>1607</v>
      </c>
      <c r="Y944" s="62">
        <v>20729</v>
      </c>
      <c r="Z944" s="169" t="s">
        <v>2087</v>
      </c>
      <c r="AA944" s="166" t="s">
        <v>1658</v>
      </c>
      <c r="AB944" s="152"/>
      <c r="AC944" s="153"/>
      <c r="AD944" s="154"/>
      <c r="AE944" s="153"/>
      <c r="AF944" s="153"/>
      <c r="AG944" s="153"/>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c r="BF944" s="153"/>
      <c r="BG944" s="153"/>
      <c r="BH944" s="153"/>
      <c r="BI944" s="153"/>
      <c r="BJ944" s="153"/>
      <c r="BK944" s="153"/>
      <c r="BL944" s="153"/>
      <c r="BM944" s="153"/>
      <c r="BN944" s="153"/>
      <c r="BO944" s="153"/>
      <c r="BP944" s="153"/>
      <c r="BQ944" s="153"/>
      <c r="BR944" s="153"/>
      <c r="BS944" s="153"/>
      <c r="BT944" s="153"/>
      <c r="BU944" s="153"/>
      <c r="BV944" s="153"/>
      <c r="BW944" s="153"/>
      <c r="BX944" s="153"/>
      <c r="BY944" s="153"/>
      <c r="BZ944" s="153"/>
      <c r="CA944" s="153"/>
      <c r="CB944" s="153">
        <v>38</v>
      </c>
      <c r="CC944" s="153">
        <f>38*18000</f>
        <v>684000</v>
      </c>
      <c r="CD944" s="155"/>
      <c r="CE944" s="156"/>
      <c r="CF944" s="155">
        <v>38</v>
      </c>
      <c r="CG944" s="156">
        <f>38*36000</f>
        <v>1368000</v>
      </c>
      <c r="CH944" s="155"/>
      <c r="CI944" s="156"/>
      <c r="CJ944" s="157">
        <f t="shared" si="122"/>
        <v>2052000</v>
      </c>
      <c r="CK944" s="158"/>
      <c r="CL944" s="159"/>
      <c r="CM944" s="160">
        <v>38</v>
      </c>
      <c r="CN944" s="161">
        <f>38*85000</f>
        <v>3230000</v>
      </c>
      <c r="CO944" s="162"/>
      <c r="CP944" s="161"/>
      <c r="CQ944" s="158"/>
      <c r="CR944" s="159"/>
      <c r="CS944" s="68"/>
      <c r="CT944" s="163"/>
      <c r="EC944" s="344" t="str">
        <f t="shared" si="125"/>
        <v>CESAR_BECERRIL</v>
      </c>
      <c r="ED944" s="341"/>
      <c r="EE944" s="341" t="s">
        <v>3191</v>
      </c>
      <c r="EF944" s="349" t="s">
        <v>3192</v>
      </c>
      <c r="EG944" s="341" t="s">
        <v>4167</v>
      </c>
      <c r="EH944" s="341" t="s">
        <v>5217</v>
      </c>
      <c r="EI944" s="341" t="str">
        <f t="shared" si="118"/>
        <v>Sucre_Sampues</v>
      </c>
    </row>
    <row r="945" spans="1:139" ht="25.5">
      <c r="A945" s="228">
        <v>40391</v>
      </c>
      <c r="B945" s="222" t="s">
        <v>1821</v>
      </c>
      <c r="C945" s="222" t="s">
        <v>351</v>
      </c>
      <c r="D945" s="233" t="s">
        <v>1201</v>
      </c>
      <c r="E945" s="325" t="s">
        <v>3634</v>
      </c>
      <c r="F945" s="325"/>
      <c r="G945" s="204"/>
      <c r="H945" s="151"/>
      <c r="I945" s="151"/>
      <c r="J945" s="151">
        <f>2118*5</f>
        <v>10590</v>
      </c>
      <c r="K945" s="151">
        <v>2118</v>
      </c>
      <c r="L945" s="1">
        <v>40427</v>
      </c>
      <c r="M945" s="73">
        <f t="shared" si="119"/>
        <v>108000000</v>
      </c>
      <c r="N945" s="73">
        <f t="shared" si="120"/>
        <v>170000000</v>
      </c>
      <c r="O945" s="73">
        <f t="shared" si="126"/>
        <v>0</v>
      </c>
      <c r="P945" s="73">
        <f t="shared" si="121"/>
        <v>0</v>
      </c>
      <c r="Q945" s="73"/>
      <c r="R945" s="73">
        <v>0</v>
      </c>
      <c r="S945" s="75">
        <f t="shared" si="123"/>
        <v>278000000</v>
      </c>
      <c r="T945" s="77">
        <v>0</v>
      </c>
      <c r="U945" s="66">
        <v>40393</v>
      </c>
      <c r="V945" s="79">
        <v>38583</v>
      </c>
      <c r="W945" s="66" t="s">
        <v>1606</v>
      </c>
      <c r="X945" s="24" t="s">
        <v>1607</v>
      </c>
      <c r="Y945" s="83" t="s">
        <v>2085</v>
      </c>
      <c r="Z945" s="177" t="s">
        <v>1031</v>
      </c>
      <c r="AA945" s="166" t="s">
        <v>647</v>
      </c>
      <c r="AB945" s="152"/>
      <c r="AC945" s="153"/>
      <c r="AD945" s="154"/>
      <c r="AE945" s="153"/>
      <c r="AF945" s="153"/>
      <c r="AG945" s="153"/>
      <c r="AH945" s="153"/>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c r="BI945" s="153"/>
      <c r="BJ945" s="153"/>
      <c r="BK945" s="153"/>
      <c r="BL945" s="153"/>
      <c r="BM945" s="153"/>
      <c r="BN945" s="153"/>
      <c r="BO945" s="153"/>
      <c r="BP945" s="153"/>
      <c r="BQ945" s="153"/>
      <c r="BR945" s="153"/>
      <c r="BS945" s="153"/>
      <c r="BT945" s="153"/>
      <c r="BU945" s="153"/>
      <c r="BV945" s="153"/>
      <c r="BW945" s="153"/>
      <c r="BX945" s="153"/>
      <c r="BY945" s="153"/>
      <c r="BZ945" s="153"/>
      <c r="CA945" s="153"/>
      <c r="CB945" s="153">
        <v>2000</v>
      </c>
      <c r="CC945" s="153">
        <f>2000*18000</f>
        <v>36000000</v>
      </c>
      <c r="CD945" s="155"/>
      <c r="CE945" s="156"/>
      <c r="CF945" s="155">
        <v>2000</v>
      </c>
      <c r="CG945" s="156">
        <f>2000*36000</f>
        <v>72000000</v>
      </c>
      <c r="CH945" s="155"/>
      <c r="CI945" s="156"/>
      <c r="CJ945" s="157">
        <f t="shared" si="122"/>
        <v>108000000</v>
      </c>
      <c r="CK945" s="158"/>
      <c r="CL945" s="159"/>
      <c r="CM945" s="160">
        <v>2000</v>
      </c>
      <c r="CN945" s="161">
        <f>2000*85000</f>
        <v>170000000</v>
      </c>
      <c r="CO945" s="162"/>
      <c r="CP945" s="161"/>
      <c r="CQ945" s="158"/>
      <c r="CR945" s="159"/>
      <c r="CS945" s="68"/>
      <c r="CT945" s="171"/>
      <c r="EC945" s="344" t="str">
        <f t="shared" si="125"/>
        <v>CESAR_CHIMICHAGUA</v>
      </c>
      <c r="ED945" s="341"/>
      <c r="EE945" s="341" t="s">
        <v>3191</v>
      </c>
      <c r="EF945" s="349" t="s">
        <v>3192</v>
      </c>
      <c r="EG945" s="341" t="s">
        <v>4168</v>
      </c>
      <c r="EH945" s="341" t="s">
        <v>5218</v>
      </c>
      <c r="EI945" s="341" t="str">
        <f t="shared" si="118"/>
        <v>Sucre_San Benito Abad</v>
      </c>
    </row>
    <row r="946" spans="1:139" ht="60">
      <c r="A946" s="228">
        <v>40391</v>
      </c>
      <c r="B946" s="102" t="s">
        <v>1821</v>
      </c>
      <c r="C946" s="102" t="s">
        <v>1770</v>
      </c>
      <c r="D946" s="206" t="s">
        <v>1201</v>
      </c>
      <c r="E946" s="320" t="s">
        <v>3639</v>
      </c>
      <c r="F946" s="320"/>
      <c r="G946" s="210"/>
      <c r="H946" s="71"/>
      <c r="I946" s="71"/>
      <c r="J946" s="71">
        <f>762*5</f>
        <v>3810</v>
      </c>
      <c r="K946" s="71">
        <v>762</v>
      </c>
      <c r="L946" s="1"/>
      <c r="M946" s="73">
        <f t="shared" si="119"/>
        <v>0</v>
      </c>
      <c r="N946" s="73">
        <f t="shared" si="120"/>
        <v>0</v>
      </c>
      <c r="O946" s="73">
        <f t="shared" si="126"/>
        <v>0</v>
      </c>
      <c r="P946" s="73">
        <f t="shared" si="121"/>
        <v>0</v>
      </c>
      <c r="Q946" s="73"/>
      <c r="R946" s="73">
        <v>0</v>
      </c>
      <c r="S946" s="75">
        <f t="shared" si="123"/>
        <v>0</v>
      </c>
      <c r="T946" s="77">
        <v>0</v>
      </c>
      <c r="U946" s="66">
        <v>40379</v>
      </c>
      <c r="V946" s="79"/>
      <c r="W946" s="66" t="s">
        <v>1585</v>
      </c>
      <c r="X946" s="24" t="s">
        <v>1586</v>
      </c>
      <c r="Y946" s="62"/>
      <c r="Z946" s="177" t="s">
        <v>356</v>
      </c>
      <c r="AA946" s="80" t="s">
        <v>1531</v>
      </c>
      <c r="AB946" s="3"/>
      <c r="AC946" s="4"/>
      <c r="AD946" s="5"/>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6"/>
      <c r="CE946" s="7"/>
      <c r="CF946" s="6"/>
      <c r="CG946" s="7"/>
      <c r="CH946" s="6"/>
      <c r="CI946" s="7"/>
      <c r="CJ946" s="8">
        <f t="shared" si="122"/>
        <v>0</v>
      </c>
      <c r="CK946" s="9"/>
      <c r="CL946" s="10"/>
      <c r="CM946" s="11"/>
      <c r="CN946" s="12"/>
      <c r="CO946" s="28"/>
      <c r="CP946" s="12"/>
      <c r="CQ946" s="9"/>
      <c r="CR946" s="10"/>
      <c r="CS946" s="68"/>
      <c r="EC946" s="344" t="str">
        <f t="shared" si="125"/>
        <v>CESAR_GAMARRA</v>
      </c>
      <c r="ED946" s="341"/>
      <c r="EE946" s="341" t="s">
        <v>3191</v>
      </c>
      <c r="EF946" s="349" t="s">
        <v>3192</v>
      </c>
      <c r="EG946" s="341" t="s">
        <v>4169</v>
      </c>
      <c r="EH946" s="341" t="s">
        <v>5219</v>
      </c>
      <c r="EI946" s="341" t="str">
        <f t="shared" si="118"/>
        <v>Sucre_San Juan de Betulia</v>
      </c>
    </row>
    <row r="947" spans="1:139" ht="25.5">
      <c r="A947" s="228">
        <v>40391</v>
      </c>
      <c r="B947" s="222" t="s">
        <v>1821</v>
      </c>
      <c r="C947" s="222" t="s">
        <v>1653</v>
      </c>
      <c r="D947" s="233" t="s">
        <v>1201</v>
      </c>
      <c r="E947" s="325" t="s">
        <v>3648</v>
      </c>
      <c r="F947" s="325"/>
      <c r="G947" s="204"/>
      <c r="H947" s="151"/>
      <c r="I947" s="151"/>
      <c r="J947" s="151">
        <f>598*5</f>
        <v>2990</v>
      </c>
      <c r="K947" s="151">
        <v>598</v>
      </c>
      <c r="L947" s="1"/>
      <c r="M947" s="73">
        <f t="shared" si="119"/>
        <v>0</v>
      </c>
      <c r="N947" s="73">
        <f t="shared" si="120"/>
        <v>0</v>
      </c>
      <c r="O947" s="73">
        <f t="shared" si="126"/>
        <v>0</v>
      </c>
      <c r="P947" s="73">
        <f t="shared" si="121"/>
        <v>0</v>
      </c>
      <c r="Q947" s="73"/>
      <c r="R947" s="73">
        <v>0</v>
      </c>
      <c r="S947" s="75">
        <f t="shared" si="123"/>
        <v>0</v>
      </c>
      <c r="T947" s="77">
        <v>0</v>
      </c>
      <c r="U947" s="66">
        <v>40422</v>
      </c>
      <c r="V947" s="79"/>
      <c r="W947" s="66" t="s">
        <v>1585</v>
      </c>
      <c r="X947" s="24" t="s">
        <v>1586</v>
      </c>
      <c r="Y947" s="62"/>
      <c r="Z947" s="169" t="s">
        <v>356</v>
      </c>
      <c r="AA947" s="166" t="s">
        <v>647</v>
      </c>
      <c r="AB947" s="152"/>
      <c r="AC947" s="153"/>
      <c r="AD947" s="154"/>
      <c r="AE947" s="153"/>
      <c r="AF947" s="153"/>
      <c r="AG947" s="153"/>
      <c r="AH947" s="153"/>
      <c r="AI947" s="153"/>
      <c r="AJ947" s="153"/>
      <c r="AK947" s="153"/>
      <c r="AL947" s="153"/>
      <c r="AM947" s="153"/>
      <c r="AN947" s="153"/>
      <c r="AO947" s="153"/>
      <c r="AP947" s="153"/>
      <c r="AQ947" s="153"/>
      <c r="AR947" s="153"/>
      <c r="AS947" s="153"/>
      <c r="AT947" s="153"/>
      <c r="AU947" s="153"/>
      <c r="AV947" s="153"/>
      <c r="AW947" s="153"/>
      <c r="AX947" s="153"/>
      <c r="AY947" s="153"/>
      <c r="AZ947" s="153"/>
      <c r="BA947" s="153"/>
      <c r="BB947" s="153"/>
      <c r="BC947" s="153"/>
      <c r="BD947" s="153"/>
      <c r="BE947" s="153"/>
      <c r="BF947" s="153"/>
      <c r="BG947" s="153"/>
      <c r="BH947" s="153"/>
      <c r="BI947" s="153"/>
      <c r="BJ947" s="153"/>
      <c r="BK947" s="153"/>
      <c r="BL947" s="153"/>
      <c r="BM947" s="153"/>
      <c r="BN947" s="153"/>
      <c r="BO947" s="153"/>
      <c r="BP947" s="153"/>
      <c r="BQ947" s="153"/>
      <c r="BR947" s="153"/>
      <c r="BS947" s="153"/>
      <c r="BT947" s="153"/>
      <c r="BU947" s="153"/>
      <c r="BV947" s="153"/>
      <c r="BW947" s="153"/>
      <c r="BX947" s="153"/>
      <c r="BY947" s="153"/>
      <c r="BZ947" s="153"/>
      <c r="CA947" s="153"/>
      <c r="CB947" s="153"/>
      <c r="CC947" s="153"/>
      <c r="CD947" s="155"/>
      <c r="CE947" s="156"/>
      <c r="CF947" s="155"/>
      <c r="CG947" s="156"/>
      <c r="CH947" s="155"/>
      <c r="CI947" s="156"/>
      <c r="CJ947" s="157">
        <f t="shared" si="122"/>
        <v>0</v>
      </c>
      <c r="CK947" s="158"/>
      <c r="CL947" s="159"/>
      <c r="CM947" s="160"/>
      <c r="CN947" s="161"/>
      <c r="CO947" s="162"/>
      <c r="CP947" s="161"/>
      <c r="CQ947" s="158"/>
      <c r="CR947" s="159"/>
      <c r="CS947" s="68"/>
      <c r="CT947" s="163"/>
      <c r="EC947" s="344" t="str">
        <f t="shared" si="125"/>
        <v>CESAR_LA PAZ</v>
      </c>
      <c r="ED947" s="341"/>
      <c r="EE947" s="341" t="s">
        <v>3191</v>
      </c>
      <c r="EF947" s="349" t="s">
        <v>3192</v>
      </c>
      <c r="EG947" s="341" t="s">
        <v>4170</v>
      </c>
      <c r="EH947" s="341" t="s">
        <v>5220</v>
      </c>
      <c r="EI947" s="341" t="str">
        <f t="shared" si="118"/>
        <v>Sucre_San Marcos</v>
      </c>
    </row>
    <row r="948" spans="1:139" ht="25.5">
      <c r="A948" s="228">
        <v>40391</v>
      </c>
      <c r="B948" s="222" t="s">
        <v>1821</v>
      </c>
      <c r="C948" s="222" t="s">
        <v>354</v>
      </c>
      <c r="D948" s="233" t="s">
        <v>1201</v>
      </c>
      <c r="E948" s="325" t="s">
        <v>3645</v>
      </c>
      <c r="F948" s="325"/>
      <c r="G948" s="204"/>
      <c r="H948" s="151"/>
      <c r="I948" s="151"/>
      <c r="J948" s="151">
        <f>468*5</f>
        <v>2340</v>
      </c>
      <c r="K948" s="151">
        <v>468</v>
      </c>
      <c r="L948" s="1"/>
      <c r="M948" s="73">
        <f t="shared" si="119"/>
        <v>0</v>
      </c>
      <c r="N948" s="73">
        <f t="shared" si="120"/>
        <v>0</v>
      </c>
      <c r="O948" s="73">
        <f t="shared" si="126"/>
        <v>0</v>
      </c>
      <c r="P948" s="73">
        <f t="shared" si="121"/>
        <v>0</v>
      </c>
      <c r="Q948" s="73"/>
      <c r="R948" s="73">
        <v>0</v>
      </c>
      <c r="S948" s="75">
        <f t="shared" si="123"/>
        <v>0</v>
      </c>
      <c r="T948" s="77">
        <v>0</v>
      </c>
      <c r="U948" s="66">
        <v>40422</v>
      </c>
      <c r="V948" s="79"/>
      <c r="W948" s="66" t="s">
        <v>1585</v>
      </c>
      <c r="X948" s="24" t="s">
        <v>1586</v>
      </c>
      <c r="Y948" s="62"/>
      <c r="Z948" s="169" t="s">
        <v>356</v>
      </c>
      <c r="AA948" s="166" t="s">
        <v>647</v>
      </c>
      <c r="AB948" s="152"/>
      <c r="AC948" s="153"/>
      <c r="AD948" s="154"/>
      <c r="AE948" s="153"/>
      <c r="AF948" s="153"/>
      <c r="AG948" s="153"/>
      <c r="AH948" s="153"/>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c r="BF948" s="153"/>
      <c r="BG948" s="153"/>
      <c r="BH948" s="153"/>
      <c r="BI948" s="153"/>
      <c r="BJ948" s="153"/>
      <c r="BK948" s="153"/>
      <c r="BL948" s="153"/>
      <c r="BM948" s="153"/>
      <c r="BN948" s="153"/>
      <c r="BO948" s="153"/>
      <c r="BP948" s="153"/>
      <c r="BQ948" s="153"/>
      <c r="BR948" s="153"/>
      <c r="BS948" s="153"/>
      <c r="BT948" s="153"/>
      <c r="BU948" s="153"/>
      <c r="BV948" s="153"/>
      <c r="BW948" s="153"/>
      <c r="BX948" s="153"/>
      <c r="BY948" s="153"/>
      <c r="BZ948" s="153"/>
      <c r="CA948" s="153"/>
      <c r="CB948" s="153"/>
      <c r="CC948" s="153"/>
      <c r="CD948" s="155"/>
      <c r="CE948" s="156"/>
      <c r="CF948" s="155"/>
      <c r="CG948" s="156"/>
      <c r="CH948" s="155"/>
      <c r="CI948" s="156"/>
      <c r="CJ948" s="157">
        <f t="shared" si="122"/>
        <v>0</v>
      </c>
      <c r="CK948" s="158"/>
      <c r="CL948" s="159"/>
      <c r="CM948" s="160"/>
      <c r="CN948" s="161"/>
      <c r="CO948" s="162"/>
      <c r="CP948" s="161"/>
      <c r="CQ948" s="158"/>
      <c r="CR948" s="159"/>
      <c r="CS948" s="68"/>
      <c r="CT948" s="163"/>
      <c r="EC948" s="344" t="str">
        <f t="shared" si="125"/>
        <v>CESAR_PELAYA</v>
      </c>
      <c r="ED948" s="341"/>
      <c r="EE948" s="341" t="s">
        <v>3191</v>
      </c>
      <c r="EF948" s="349" t="s">
        <v>3192</v>
      </c>
      <c r="EG948" s="341" t="s">
        <v>4171</v>
      </c>
      <c r="EH948" s="341" t="s">
        <v>5221</v>
      </c>
      <c r="EI948" s="341" t="str">
        <f t="shared" si="118"/>
        <v>Sucre_San Onofre</v>
      </c>
    </row>
    <row r="949" spans="1:139" ht="38.25">
      <c r="A949" s="228">
        <v>40391</v>
      </c>
      <c r="B949" s="222" t="s">
        <v>1821</v>
      </c>
      <c r="C949" s="222" t="s">
        <v>352</v>
      </c>
      <c r="D949" s="233" t="s">
        <v>2606</v>
      </c>
      <c r="E949" s="325" t="s">
        <v>3646</v>
      </c>
      <c r="F949" s="325"/>
      <c r="G949" s="204"/>
      <c r="H949" s="151"/>
      <c r="I949" s="151"/>
      <c r="J949" s="151">
        <f>495*5</f>
        <v>2475</v>
      </c>
      <c r="K949" s="151">
        <v>495</v>
      </c>
      <c r="L949" s="1">
        <v>40427</v>
      </c>
      <c r="M949" s="73">
        <f t="shared" si="119"/>
        <v>5670000</v>
      </c>
      <c r="N949" s="73">
        <f t="shared" si="120"/>
        <v>8925000</v>
      </c>
      <c r="O949" s="73">
        <f t="shared" si="126"/>
        <v>0</v>
      </c>
      <c r="P949" s="73">
        <f t="shared" si="121"/>
        <v>0</v>
      </c>
      <c r="Q949" s="73"/>
      <c r="R949" s="73">
        <v>0</v>
      </c>
      <c r="S949" s="75">
        <f t="shared" si="123"/>
        <v>14595000</v>
      </c>
      <c r="T949" s="77">
        <v>0</v>
      </c>
      <c r="U949" s="228">
        <v>40393</v>
      </c>
      <c r="V949" s="79">
        <v>38583</v>
      </c>
      <c r="W949" s="66" t="s">
        <v>1606</v>
      </c>
      <c r="X949" s="24" t="s">
        <v>1607</v>
      </c>
      <c r="Y949" s="83" t="s">
        <v>2085</v>
      </c>
      <c r="Z949" s="177" t="s">
        <v>1031</v>
      </c>
      <c r="AA949" s="166" t="s">
        <v>647</v>
      </c>
      <c r="AB949" s="152"/>
      <c r="AC949" s="153"/>
      <c r="AD949" s="154"/>
      <c r="AE949" s="153"/>
      <c r="AF949" s="153"/>
      <c r="AG949" s="153"/>
      <c r="AH949" s="153"/>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c r="BI949" s="153"/>
      <c r="BJ949" s="153"/>
      <c r="BK949" s="153"/>
      <c r="BL949" s="153"/>
      <c r="BM949" s="153"/>
      <c r="BN949" s="153"/>
      <c r="BO949" s="153"/>
      <c r="BP949" s="153"/>
      <c r="BQ949" s="153"/>
      <c r="BR949" s="153"/>
      <c r="BS949" s="153"/>
      <c r="BT949" s="153"/>
      <c r="BU949" s="153"/>
      <c r="BV949" s="153"/>
      <c r="BW949" s="153"/>
      <c r="BX949" s="153"/>
      <c r="BY949" s="153"/>
      <c r="BZ949" s="153"/>
      <c r="CA949" s="153"/>
      <c r="CB949" s="153">
        <v>105</v>
      </c>
      <c r="CC949" s="153">
        <f>105*18000</f>
        <v>1890000</v>
      </c>
      <c r="CD949" s="155"/>
      <c r="CE949" s="156"/>
      <c r="CF949" s="155">
        <v>105</v>
      </c>
      <c r="CG949" s="156">
        <f>105*36000</f>
        <v>3780000</v>
      </c>
      <c r="CH949" s="155"/>
      <c r="CI949" s="156"/>
      <c r="CJ949" s="157">
        <f t="shared" si="122"/>
        <v>5670000</v>
      </c>
      <c r="CK949" s="158"/>
      <c r="CL949" s="159"/>
      <c r="CM949" s="160">
        <v>105</v>
      </c>
      <c r="CN949" s="161">
        <f>105*85000</f>
        <v>8925000</v>
      </c>
      <c r="CO949" s="162"/>
      <c r="CP949" s="161"/>
      <c r="CQ949" s="158"/>
      <c r="CR949" s="159"/>
      <c r="CS949" s="68"/>
      <c r="CT949" s="163"/>
      <c r="EC949" s="344" t="str">
        <f t="shared" si="125"/>
        <v>CESAR_PUEBLO BELLO</v>
      </c>
      <c r="ED949" s="341"/>
      <c r="EE949" s="341" t="s">
        <v>3191</v>
      </c>
      <c r="EF949" s="349" t="s">
        <v>3192</v>
      </c>
      <c r="EG949" s="341" t="s">
        <v>4172</v>
      </c>
      <c r="EH949" s="341" t="s">
        <v>4464</v>
      </c>
      <c r="EI949" s="341" t="str">
        <f t="shared" si="118"/>
        <v>Sucre_San Pedro</v>
      </c>
    </row>
    <row r="950" spans="1:139" ht="38.25">
      <c r="A950" s="228">
        <v>40391</v>
      </c>
      <c r="B950" s="222" t="s">
        <v>1821</v>
      </c>
      <c r="C950" s="222" t="s">
        <v>353</v>
      </c>
      <c r="D950" s="233" t="s">
        <v>2606</v>
      </c>
      <c r="E950" s="325" t="s">
        <v>3647</v>
      </c>
      <c r="F950" s="325"/>
      <c r="G950" s="204"/>
      <c r="H950" s="151"/>
      <c r="I950" s="151"/>
      <c r="J950" s="151">
        <f>230*5</f>
        <v>1150</v>
      </c>
      <c r="K950" s="151">
        <v>230</v>
      </c>
      <c r="L950" s="1"/>
      <c r="M950" s="73">
        <f t="shared" si="119"/>
        <v>0</v>
      </c>
      <c r="N950" s="73">
        <f t="shared" si="120"/>
        <v>0</v>
      </c>
      <c r="O950" s="73">
        <f t="shared" si="126"/>
        <v>0</v>
      </c>
      <c r="P950" s="73">
        <f t="shared" si="121"/>
        <v>0</v>
      </c>
      <c r="Q950" s="73"/>
      <c r="R950" s="73">
        <v>0</v>
      </c>
      <c r="S950" s="75">
        <f t="shared" si="123"/>
        <v>0</v>
      </c>
      <c r="T950" s="77">
        <v>0</v>
      </c>
      <c r="U950" s="66">
        <v>40422</v>
      </c>
      <c r="V950" s="79"/>
      <c r="W950" s="66" t="s">
        <v>1585</v>
      </c>
      <c r="X950" s="24" t="s">
        <v>1586</v>
      </c>
      <c r="Y950" s="62"/>
      <c r="Z950" s="169" t="s">
        <v>356</v>
      </c>
      <c r="AA950" s="166" t="s">
        <v>1666</v>
      </c>
      <c r="AB950" s="152"/>
      <c r="AC950" s="153"/>
      <c r="AD950" s="154"/>
      <c r="AE950" s="153"/>
      <c r="AF950" s="153"/>
      <c r="AG950" s="153"/>
      <c r="AH950" s="153"/>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c r="BF950" s="153"/>
      <c r="BG950" s="153"/>
      <c r="BH950" s="153"/>
      <c r="BI950" s="153"/>
      <c r="BJ950" s="153"/>
      <c r="BK950" s="153"/>
      <c r="BL950" s="153"/>
      <c r="BM950" s="153"/>
      <c r="BN950" s="153"/>
      <c r="BO950" s="153"/>
      <c r="BP950" s="153"/>
      <c r="BQ950" s="153"/>
      <c r="BR950" s="153"/>
      <c r="BS950" s="153"/>
      <c r="BT950" s="153"/>
      <c r="BU950" s="153"/>
      <c r="BV950" s="153"/>
      <c r="BW950" s="153"/>
      <c r="BX950" s="153"/>
      <c r="BY950" s="153"/>
      <c r="BZ950" s="153"/>
      <c r="CA950" s="153"/>
      <c r="CB950" s="153"/>
      <c r="CC950" s="153"/>
      <c r="CD950" s="155"/>
      <c r="CE950" s="156"/>
      <c r="CF950" s="155"/>
      <c r="CG950" s="156"/>
      <c r="CH950" s="155"/>
      <c r="CI950" s="156"/>
      <c r="CJ950" s="157">
        <f t="shared" si="122"/>
        <v>0</v>
      </c>
      <c r="CK950" s="158"/>
      <c r="CL950" s="159"/>
      <c r="CM950" s="160"/>
      <c r="CN950" s="161"/>
      <c r="CO950" s="162"/>
      <c r="CP950" s="161"/>
      <c r="CQ950" s="158"/>
      <c r="CR950" s="159"/>
      <c r="CS950" s="68"/>
      <c r="CT950" s="163"/>
      <c r="EC950" s="344" t="str">
        <f t="shared" si="125"/>
        <v>CESAR_RIO DE ORO</v>
      </c>
      <c r="ED950" s="341"/>
      <c r="EE950" s="341" t="s">
        <v>3191</v>
      </c>
      <c r="EF950" s="349" t="s">
        <v>3192</v>
      </c>
      <c r="EG950" s="341" t="s">
        <v>4173</v>
      </c>
      <c r="EH950" s="341" t="s">
        <v>5222</v>
      </c>
      <c r="EI950" s="341" t="str">
        <f t="shared" si="118"/>
        <v>Sucre_San Luis de Since</v>
      </c>
    </row>
    <row r="951" spans="1:139" ht="25.5">
      <c r="A951" s="228">
        <v>40391</v>
      </c>
      <c r="B951" s="222" t="s">
        <v>1996</v>
      </c>
      <c r="C951" s="222" t="s">
        <v>2800</v>
      </c>
      <c r="D951" s="233" t="s">
        <v>1201</v>
      </c>
      <c r="E951" s="325" t="s">
        <v>3817</v>
      </c>
      <c r="F951" s="325"/>
      <c r="G951" s="204"/>
      <c r="H951" s="151"/>
      <c r="I951" s="151"/>
      <c r="J951" s="151">
        <f>20924-1388</f>
        <v>19536</v>
      </c>
      <c r="K951" s="175">
        <f>5338-219</f>
        <v>5119</v>
      </c>
      <c r="L951" s="1"/>
      <c r="M951" s="73">
        <f t="shared" si="119"/>
        <v>0</v>
      </c>
      <c r="N951" s="73">
        <f t="shared" si="120"/>
        <v>136000000</v>
      </c>
      <c r="O951" s="73">
        <f t="shared" si="126"/>
        <v>0</v>
      </c>
      <c r="P951" s="73">
        <f t="shared" si="121"/>
        <v>0</v>
      </c>
      <c r="Q951" s="73"/>
      <c r="R951" s="73">
        <v>0</v>
      </c>
      <c r="S951" s="75">
        <f t="shared" si="123"/>
        <v>136000000</v>
      </c>
      <c r="T951" s="77">
        <v>0</v>
      </c>
      <c r="U951" s="66">
        <v>40444</v>
      </c>
      <c r="V951" s="79">
        <v>50757</v>
      </c>
      <c r="W951" s="66" t="s">
        <v>1606</v>
      </c>
      <c r="X951" s="24" t="s">
        <v>1607</v>
      </c>
      <c r="Y951" s="62"/>
      <c r="Z951" s="169"/>
      <c r="AA951" s="166"/>
      <c r="AB951" s="152"/>
      <c r="AC951" s="153"/>
      <c r="AD951" s="154"/>
      <c r="AE951" s="153"/>
      <c r="AF951" s="153"/>
      <c r="AG951" s="153"/>
      <c r="AH951" s="153"/>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c r="BI951" s="153"/>
      <c r="BJ951" s="153"/>
      <c r="BK951" s="153"/>
      <c r="BL951" s="153"/>
      <c r="BM951" s="153"/>
      <c r="BN951" s="153"/>
      <c r="BO951" s="153"/>
      <c r="BP951" s="153"/>
      <c r="BQ951" s="153"/>
      <c r="BR951" s="153"/>
      <c r="BS951" s="153"/>
      <c r="BT951" s="153"/>
      <c r="BU951" s="153"/>
      <c r="BV951" s="153"/>
      <c r="BW951" s="153"/>
      <c r="BX951" s="153"/>
      <c r="BY951" s="153"/>
      <c r="BZ951" s="153"/>
      <c r="CA951" s="153"/>
      <c r="CB951" s="153"/>
      <c r="CC951" s="153"/>
      <c r="CD951" s="155"/>
      <c r="CE951" s="156"/>
      <c r="CF951" s="155"/>
      <c r="CG951" s="156"/>
      <c r="CH951" s="155"/>
      <c r="CI951" s="156"/>
      <c r="CJ951" s="157">
        <f t="shared" si="122"/>
        <v>0</v>
      </c>
      <c r="CK951" s="158"/>
      <c r="CL951" s="159"/>
      <c r="CM951" s="160">
        <v>1600</v>
      </c>
      <c r="CN951" s="161">
        <f>1600*85000</f>
        <v>136000000</v>
      </c>
      <c r="CO951" s="162"/>
      <c r="CP951" s="161"/>
      <c r="CQ951" s="158"/>
      <c r="CR951" s="159"/>
      <c r="CS951" s="68"/>
      <c r="CT951" s="163"/>
      <c r="EC951" s="344" t="str">
        <f t="shared" si="125"/>
        <v>CHOCO_RIOSUCIO</v>
      </c>
      <c r="ED951" s="341"/>
      <c r="EE951" s="341" t="s">
        <v>3191</v>
      </c>
      <c r="EF951" s="349" t="s">
        <v>3192</v>
      </c>
      <c r="EG951" s="341" t="s">
        <v>4174</v>
      </c>
      <c r="EH951" s="341" t="s">
        <v>3192</v>
      </c>
      <c r="EI951" s="341" t="str">
        <f t="shared" si="118"/>
        <v>Sucre_Sucre</v>
      </c>
    </row>
    <row r="952" spans="1:139" ht="84">
      <c r="A952" s="228">
        <v>40391</v>
      </c>
      <c r="B952" s="102" t="s">
        <v>1295</v>
      </c>
      <c r="C952" s="222" t="s">
        <v>381</v>
      </c>
      <c r="D952" s="233" t="s">
        <v>1201</v>
      </c>
      <c r="E952" s="325" t="s">
        <v>3669</v>
      </c>
      <c r="F952" s="325"/>
      <c r="G952" s="204"/>
      <c r="H952" s="151"/>
      <c r="I952" s="151"/>
      <c r="J952" s="151">
        <v>2123</v>
      </c>
      <c r="K952" s="151">
        <v>426</v>
      </c>
      <c r="L952" s="1">
        <v>40448</v>
      </c>
      <c r="M952" s="73">
        <f t="shared" si="119"/>
        <v>8398400</v>
      </c>
      <c r="N952" s="73">
        <f t="shared" si="120"/>
        <v>76585000</v>
      </c>
      <c r="O952" s="73">
        <f t="shared" si="126"/>
        <v>0</v>
      </c>
      <c r="P952" s="73">
        <f t="shared" si="121"/>
        <v>0</v>
      </c>
      <c r="Q952" s="73"/>
      <c r="R952" s="73">
        <v>0</v>
      </c>
      <c r="S952" s="75">
        <f t="shared" si="123"/>
        <v>84983400</v>
      </c>
      <c r="T952" s="77">
        <v>0</v>
      </c>
      <c r="U952" s="66">
        <v>40429</v>
      </c>
      <c r="V952" s="79">
        <v>38767</v>
      </c>
      <c r="W952" s="66" t="s">
        <v>1606</v>
      </c>
      <c r="X952" s="24" t="s">
        <v>1607</v>
      </c>
      <c r="Y952" s="83" t="s">
        <v>2570</v>
      </c>
      <c r="Z952" s="169" t="s">
        <v>1435</v>
      </c>
      <c r="AA952" s="174" t="s">
        <v>380</v>
      </c>
      <c r="AB952" s="152"/>
      <c r="AC952" s="153"/>
      <c r="AD952" s="154"/>
      <c r="AE952" s="153"/>
      <c r="AF952" s="153"/>
      <c r="AG952" s="153"/>
      <c r="AH952" s="153"/>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c r="BF952" s="153"/>
      <c r="BG952" s="153"/>
      <c r="BH952" s="153"/>
      <c r="BI952" s="153"/>
      <c r="BJ952" s="153"/>
      <c r="BK952" s="153"/>
      <c r="BL952" s="153"/>
      <c r="BM952" s="153"/>
      <c r="BN952" s="153">
        <v>2</v>
      </c>
      <c r="BO952" s="153">
        <f>2*504000</f>
        <v>1008000</v>
      </c>
      <c r="BP952" s="153"/>
      <c r="BQ952" s="153"/>
      <c r="BR952" s="153"/>
      <c r="BS952" s="153"/>
      <c r="BT952" s="153"/>
      <c r="BU952" s="153"/>
      <c r="BV952" s="153"/>
      <c r="BW952" s="153"/>
      <c r="BX952" s="153"/>
      <c r="BY952" s="153"/>
      <c r="BZ952" s="153"/>
      <c r="CA952" s="153"/>
      <c r="CB952" s="153"/>
      <c r="CC952" s="153"/>
      <c r="CD952" s="155">
        <v>200</v>
      </c>
      <c r="CE952" s="156">
        <f>200*36952</f>
        <v>7390400</v>
      </c>
      <c r="CF952" s="155"/>
      <c r="CG952" s="156"/>
      <c r="CH952" s="155"/>
      <c r="CI952" s="156"/>
      <c r="CJ952" s="157">
        <f t="shared" si="122"/>
        <v>8398400</v>
      </c>
      <c r="CK952" s="158"/>
      <c r="CL952" s="159"/>
      <c r="CM952" s="160">
        <f>200+301+400</f>
        <v>901</v>
      </c>
      <c r="CN952" s="161">
        <f>200*85000+301*85000+400*85000</f>
        <v>76585000</v>
      </c>
      <c r="CO952" s="162"/>
      <c r="CP952" s="161"/>
      <c r="CQ952" s="158"/>
      <c r="CR952" s="159"/>
      <c r="CS952" s="68"/>
      <c r="CT952" s="163"/>
      <c r="EC952" s="344" t="str">
        <f t="shared" si="125"/>
        <v>CORDOBA_PUEBLO NUEVO</v>
      </c>
      <c r="ED952" s="341"/>
      <c r="EE952" s="341" t="s">
        <v>3191</v>
      </c>
      <c r="EF952" s="349" t="s">
        <v>3192</v>
      </c>
      <c r="EG952" s="341" t="s">
        <v>4175</v>
      </c>
      <c r="EH952" s="341" t="s">
        <v>5223</v>
      </c>
      <c r="EI952" s="341" t="str">
        <f t="shared" si="118"/>
        <v>Sucre_Santiago de Tolu</v>
      </c>
    </row>
    <row r="953" spans="1:139" ht="48">
      <c r="A953" s="228">
        <v>40391</v>
      </c>
      <c r="B953" s="102" t="s">
        <v>1440</v>
      </c>
      <c r="C953" s="102" t="s">
        <v>1395</v>
      </c>
      <c r="D953" s="206" t="s">
        <v>1201</v>
      </c>
      <c r="E953" s="320" t="s">
        <v>3878</v>
      </c>
      <c r="F953" s="320"/>
      <c r="G953" s="210"/>
      <c r="H953" s="71"/>
      <c r="I953" s="71"/>
      <c r="J953" s="71">
        <v>1325</v>
      </c>
      <c r="K953" s="71">
        <v>265</v>
      </c>
      <c r="L953" s="1"/>
      <c r="M953" s="73">
        <f t="shared" si="119"/>
        <v>12831200</v>
      </c>
      <c r="N953" s="73">
        <f t="shared" si="120"/>
        <v>140250000</v>
      </c>
      <c r="O953" s="73">
        <f t="shared" si="126"/>
        <v>22500000</v>
      </c>
      <c r="P953" s="73">
        <f t="shared" si="121"/>
        <v>4500800</v>
      </c>
      <c r="Q953" s="73"/>
      <c r="R953" s="73">
        <v>0</v>
      </c>
      <c r="S953" s="75">
        <f t="shared" si="123"/>
        <v>180082000</v>
      </c>
      <c r="T953" s="77">
        <v>0</v>
      </c>
      <c r="U953" s="66">
        <v>40350</v>
      </c>
      <c r="V953" s="79">
        <v>52364</v>
      </c>
      <c r="W953" s="66" t="s">
        <v>1606</v>
      </c>
      <c r="X953" s="24" t="s">
        <v>1607</v>
      </c>
      <c r="Y953" s="62">
        <v>27295</v>
      </c>
      <c r="Z953" s="177" t="s">
        <v>2580</v>
      </c>
      <c r="AA953" s="166" t="s">
        <v>2942</v>
      </c>
      <c r="AB953" s="3"/>
      <c r="AC953" s="4"/>
      <c r="AD953" s="5"/>
      <c r="AE953" s="4"/>
      <c r="AF953" s="4"/>
      <c r="AG953" s="4"/>
      <c r="AH953" s="4"/>
      <c r="AI953" s="4"/>
      <c r="AJ953" s="4"/>
      <c r="AK953" s="4"/>
      <c r="AL953" s="4"/>
      <c r="AM953" s="4"/>
      <c r="AN953" s="4"/>
      <c r="AO953" s="4"/>
      <c r="AP953" s="4"/>
      <c r="AQ953" s="4"/>
      <c r="AR953" s="4"/>
      <c r="AS953" s="4"/>
      <c r="AT953" s="4"/>
      <c r="AU953" s="4"/>
      <c r="AV953" s="4"/>
      <c r="AW953" s="4"/>
      <c r="AX953" s="4"/>
      <c r="AY953" s="4"/>
      <c r="AZ953" s="4">
        <v>200</v>
      </c>
      <c r="BA953" s="4">
        <f>200*25500</f>
        <v>5100000</v>
      </c>
      <c r="BB953" s="4"/>
      <c r="BC953" s="4"/>
      <c r="BD953" s="4"/>
      <c r="BE953" s="4"/>
      <c r="BF953" s="4"/>
      <c r="BG953" s="4"/>
      <c r="BH953" s="4"/>
      <c r="BI953" s="4"/>
      <c r="BJ953" s="4"/>
      <c r="BK953" s="4"/>
      <c r="BL953" s="4"/>
      <c r="BM953" s="4"/>
      <c r="BN953" s="4">
        <f>3+5</f>
        <v>8</v>
      </c>
      <c r="BO953" s="4">
        <f>3*510400+5*520000</f>
        <v>4131200</v>
      </c>
      <c r="BP953" s="4"/>
      <c r="BQ953" s="4"/>
      <c r="BR953" s="4"/>
      <c r="BS953" s="4"/>
      <c r="BT953" s="4"/>
      <c r="BU953" s="4"/>
      <c r="BV953" s="4"/>
      <c r="BW953" s="4"/>
      <c r="BX953" s="4"/>
      <c r="BY953" s="4"/>
      <c r="BZ953" s="4"/>
      <c r="CA953" s="4"/>
      <c r="CB953" s="4">
        <v>200</v>
      </c>
      <c r="CC953" s="4">
        <f>200*18000</f>
        <v>3600000</v>
      </c>
      <c r="CD953" s="6"/>
      <c r="CE953" s="7"/>
      <c r="CF953" s="6"/>
      <c r="CG953" s="7"/>
      <c r="CH953" s="6"/>
      <c r="CI953" s="7"/>
      <c r="CJ953" s="8">
        <f t="shared" si="122"/>
        <v>12831200</v>
      </c>
      <c r="CK953" s="9">
        <v>5000</v>
      </c>
      <c r="CL953" s="10">
        <f>5000*900.16</f>
        <v>4500800</v>
      </c>
      <c r="CM953" s="11">
        <f>200+1200+250</f>
        <v>1650</v>
      </c>
      <c r="CN953" s="12">
        <f>200*85000+1200*85000+250*85000</f>
        <v>140250000</v>
      </c>
      <c r="CO953" s="28"/>
      <c r="CP953" s="12"/>
      <c r="CQ953" s="9">
        <v>1000</v>
      </c>
      <c r="CR953" s="10">
        <f>1000*22500</f>
        <v>22500000</v>
      </c>
      <c r="CS953" s="68"/>
      <c r="EC953" s="344" t="str">
        <f t="shared" si="125"/>
        <v>MAGDALENA_ARIGUANI</v>
      </c>
      <c r="ED953" s="341"/>
      <c r="EE953" s="341" t="s">
        <v>3191</v>
      </c>
      <c r="EF953" s="349" t="s">
        <v>3192</v>
      </c>
      <c r="EG953" s="341" t="s">
        <v>4176</v>
      </c>
      <c r="EH953" s="341" t="s">
        <v>5224</v>
      </c>
      <c r="EI953" s="341" t="str">
        <f t="shared" si="118"/>
        <v>Sucre_Tolu Viejo</v>
      </c>
    </row>
    <row r="954" spans="1:139" ht="72">
      <c r="A954" s="228">
        <v>40391</v>
      </c>
      <c r="B954" s="102" t="s">
        <v>1440</v>
      </c>
      <c r="C954" s="102" t="s">
        <v>3164</v>
      </c>
      <c r="D954" s="206" t="s">
        <v>1201</v>
      </c>
      <c r="E954" s="320" t="s">
        <v>3879</v>
      </c>
      <c r="F954" s="320"/>
      <c r="G954" s="210"/>
      <c r="H954" s="71"/>
      <c r="I954" s="71"/>
      <c r="J954" s="71">
        <v>6255</v>
      </c>
      <c r="K954" s="71">
        <v>1251</v>
      </c>
      <c r="L954" s="1">
        <v>40422</v>
      </c>
      <c r="M954" s="73">
        <f t="shared" si="119"/>
        <v>33652000</v>
      </c>
      <c r="N954" s="73">
        <f t="shared" si="120"/>
        <v>344335000</v>
      </c>
      <c r="O954" s="73">
        <f t="shared" si="126"/>
        <v>0</v>
      </c>
      <c r="P954" s="73">
        <f t="shared" si="121"/>
        <v>4500800</v>
      </c>
      <c r="Q954" s="73"/>
      <c r="R954" s="73">
        <v>29999022.859999999</v>
      </c>
      <c r="S954" s="75">
        <f t="shared" si="123"/>
        <v>412486822.86000001</v>
      </c>
      <c r="T954" s="77">
        <v>0</v>
      </c>
      <c r="U954" s="66">
        <v>40396</v>
      </c>
      <c r="V954" s="79">
        <v>39941</v>
      </c>
      <c r="W954" s="66" t="s">
        <v>1606</v>
      </c>
      <c r="X954" s="24" t="s">
        <v>1607</v>
      </c>
      <c r="Y954" s="83" t="s">
        <v>242</v>
      </c>
      <c r="Z954" s="199" t="s">
        <v>822</v>
      </c>
      <c r="AA954" s="80" t="s">
        <v>359</v>
      </c>
      <c r="AB954" s="3"/>
      <c r="AC954" s="4"/>
      <c r="AD954" s="5"/>
      <c r="AE954" s="4"/>
      <c r="AF954" s="4"/>
      <c r="AG954" s="4"/>
      <c r="AH954" s="4"/>
      <c r="AI954" s="4"/>
      <c r="AJ954" s="4"/>
      <c r="AK954" s="4"/>
      <c r="AL954" s="4"/>
      <c r="AM954" s="4"/>
      <c r="AN954" s="4"/>
      <c r="AO954" s="4"/>
      <c r="AP954" s="4"/>
      <c r="AQ954" s="4"/>
      <c r="AR954" s="4"/>
      <c r="AS954" s="4"/>
      <c r="AT954" s="4"/>
      <c r="AU954" s="4"/>
      <c r="AV954" s="4"/>
      <c r="AW954" s="4"/>
      <c r="AX954" s="4"/>
      <c r="AY954" s="4"/>
      <c r="AZ954" s="4">
        <v>200</v>
      </c>
      <c r="BA954" s="4">
        <f>200*25500</f>
        <v>5100000</v>
      </c>
      <c r="BB954" s="4"/>
      <c r="BC954" s="4"/>
      <c r="BD954" s="4"/>
      <c r="BE954" s="4"/>
      <c r="BF954" s="4"/>
      <c r="BG954" s="4"/>
      <c r="BH954" s="4"/>
      <c r="BI954" s="4"/>
      <c r="BJ954" s="4"/>
      <c r="BK954" s="4"/>
      <c r="BL954" s="4"/>
      <c r="BM954" s="4"/>
      <c r="BN954" s="4">
        <f>5+5</f>
        <v>10</v>
      </c>
      <c r="BO954" s="4">
        <f>5*510400+5*520000</f>
        <v>5152000</v>
      </c>
      <c r="BP954" s="4"/>
      <c r="BQ954" s="4"/>
      <c r="BR954" s="4"/>
      <c r="BS954" s="4"/>
      <c r="BT954" s="4"/>
      <c r="BU954" s="4"/>
      <c r="BV954" s="4"/>
      <c r="BW954" s="4"/>
      <c r="BX954" s="4"/>
      <c r="BY954" s="4"/>
      <c r="BZ954" s="4"/>
      <c r="CA954" s="4"/>
      <c r="CB954" s="4">
        <v>1300</v>
      </c>
      <c r="CC954" s="4">
        <f>1300*18000</f>
        <v>23400000</v>
      </c>
      <c r="CD954" s="6"/>
      <c r="CE954" s="7"/>
      <c r="CF954" s="6"/>
      <c r="CG954" s="7"/>
      <c r="CH954" s="6"/>
      <c r="CI954" s="7"/>
      <c r="CJ954" s="8">
        <f t="shared" si="122"/>
        <v>33652000</v>
      </c>
      <c r="CK954" s="9">
        <v>5000</v>
      </c>
      <c r="CL954" s="10">
        <f>5000*900.16</f>
        <v>4500800</v>
      </c>
      <c r="CM954" s="11">
        <f>1300+1500+1251</f>
        <v>4051</v>
      </c>
      <c r="CN954" s="12">
        <f>1300*85000+1500*85000+1251*85000</f>
        <v>344335000</v>
      </c>
      <c r="CO954" s="28"/>
      <c r="CP954" s="12"/>
      <c r="CQ954" s="9"/>
      <c r="CR954" s="10"/>
      <c r="CS954" s="68">
        <v>4</v>
      </c>
      <c r="EC954" s="344" t="str">
        <f t="shared" si="125"/>
        <v>MAGDALENA_CERRO SAN ANTONIO</v>
      </c>
      <c r="ED954" s="341"/>
      <c r="EE954" s="341" t="s">
        <v>3197</v>
      </c>
      <c r="EF954" s="349" t="s">
        <v>3198</v>
      </c>
      <c r="EG954" s="341" t="s">
        <v>4177</v>
      </c>
      <c r="EH954" s="341" t="s">
        <v>5225</v>
      </c>
      <c r="EI954" s="341" t="str">
        <f t="shared" si="118"/>
        <v>Tolima_Ibague</v>
      </c>
    </row>
    <row r="955" spans="1:139" ht="38.25">
      <c r="A955" s="228">
        <v>40391</v>
      </c>
      <c r="B955" s="102" t="s">
        <v>1440</v>
      </c>
      <c r="C955" s="102" t="s">
        <v>1487</v>
      </c>
      <c r="D955" s="206" t="s">
        <v>1201</v>
      </c>
      <c r="E955" s="320" t="s">
        <v>3881</v>
      </c>
      <c r="F955" s="320"/>
      <c r="G955" s="210"/>
      <c r="H955" s="71"/>
      <c r="I955" s="71"/>
      <c r="J955" s="71">
        <v>20029</v>
      </c>
      <c r="K955" s="71">
        <v>4006</v>
      </c>
      <c r="L955" s="1"/>
      <c r="M955" s="73">
        <f t="shared" si="119"/>
        <v>12010800</v>
      </c>
      <c r="N955" s="73">
        <f t="shared" si="120"/>
        <v>210800000</v>
      </c>
      <c r="O955" s="73">
        <f t="shared" si="126"/>
        <v>0</v>
      </c>
      <c r="P955" s="73">
        <f t="shared" si="121"/>
        <v>11702080</v>
      </c>
      <c r="Q955" s="73"/>
      <c r="R955" s="73">
        <v>0</v>
      </c>
      <c r="S955" s="75">
        <f t="shared" si="123"/>
        <v>234512880</v>
      </c>
      <c r="T955" s="77">
        <v>0</v>
      </c>
      <c r="U955" s="66">
        <v>40399</v>
      </c>
      <c r="V955" s="79">
        <v>39691</v>
      </c>
      <c r="W955" s="66" t="s">
        <v>1606</v>
      </c>
      <c r="X955" s="24" t="s">
        <v>1607</v>
      </c>
      <c r="Y955" s="62">
        <v>22723</v>
      </c>
      <c r="Z955" s="177" t="s">
        <v>813</v>
      </c>
      <c r="AA955" s="80" t="s">
        <v>1471</v>
      </c>
      <c r="AB955" s="3"/>
      <c r="AC955" s="4"/>
      <c r="AD955" s="5"/>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f>2+5</f>
        <v>7</v>
      </c>
      <c r="BO955" s="4">
        <f>2*510400+5*470000</f>
        <v>3370800</v>
      </c>
      <c r="BP955" s="4"/>
      <c r="BQ955" s="4"/>
      <c r="BR955" s="4"/>
      <c r="BS955" s="4"/>
      <c r="BT955" s="4"/>
      <c r="BU955" s="4"/>
      <c r="BV955" s="4"/>
      <c r="BW955" s="4"/>
      <c r="BX955" s="4"/>
      <c r="BY955" s="4"/>
      <c r="BZ955" s="4"/>
      <c r="CA955" s="4"/>
      <c r="CB955" s="4">
        <v>480</v>
      </c>
      <c r="CC955" s="4">
        <f>480*18000</f>
        <v>8640000</v>
      </c>
      <c r="CD955" s="6"/>
      <c r="CE955" s="7"/>
      <c r="CF955" s="6"/>
      <c r="CG955" s="7"/>
      <c r="CH955" s="6"/>
      <c r="CI955" s="7"/>
      <c r="CJ955" s="8">
        <f t="shared" si="122"/>
        <v>12010800</v>
      </c>
      <c r="CK955" s="9">
        <f>10000+3000</f>
        <v>13000</v>
      </c>
      <c r="CL955" s="10">
        <f>10000*900.16+3000*900.16</f>
        <v>11702080</v>
      </c>
      <c r="CM955" s="11">
        <f>480+1000+1000</f>
        <v>2480</v>
      </c>
      <c r="CN955" s="12">
        <f>480*85000+1000*85000+1000*85000</f>
        <v>210800000</v>
      </c>
      <c r="CO955" s="28"/>
      <c r="CP955" s="12"/>
      <c r="CQ955" s="9"/>
      <c r="CR955" s="10"/>
      <c r="CS955" s="68"/>
      <c r="EC955" s="344" t="str">
        <f t="shared" si="125"/>
        <v>MAGDALENA_CIENAGA</v>
      </c>
      <c r="ED955" s="341"/>
      <c r="EE955" s="341" t="s">
        <v>3197</v>
      </c>
      <c r="EF955" s="349" t="s">
        <v>3198</v>
      </c>
      <c r="EG955" s="341" t="s">
        <v>4178</v>
      </c>
      <c r="EH955" s="341" t="s">
        <v>5226</v>
      </c>
      <c r="EI955" s="341" t="str">
        <f t="shared" si="118"/>
        <v>Tolima_Alpujarra</v>
      </c>
    </row>
    <row r="956" spans="1:139" ht="38.25">
      <c r="A956" s="228">
        <v>40391</v>
      </c>
      <c r="B956" s="102" t="s">
        <v>1440</v>
      </c>
      <c r="C956" s="102" t="s">
        <v>1522</v>
      </c>
      <c r="D956" s="206" t="s">
        <v>1201</v>
      </c>
      <c r="E956" s="320" t="s">
        <v>3882</v>
      </c>
      <c r="F956" s="320"/>
      <c r="G956" s="210"/>
      <c r="H956" s="71"/>
      <c r="I956" s="71"/>
      <c r="J956" s="417">
        <f>2176*3.7</f>
        <v>8051.2000000000007</v>
      </c>
      <c r="K956" s="71">
        <v>2176</v>
      </c>
      <c r="L956" s="1">
        <v>40536</v>
      </c>
      <c r="M956" s="73">
        <f t="shared" si="119"/>
        <v>38371200</v>
      </c>
      <c r="N956" s="73">
        <f t="shared" si="120"/>
        <v>383350000</v>
      </c>
      <c r="O956" s="73">
        <f t="shared" si="126"/>
        <v>40396800</v>
      </c>
      <c r="P956" s="73">
        <f t="shared" si="121"/>
        <v>4500800</v>
      </c>
      <c r="Q956" s="73"/>
      <c r="R956" s="73">
        <v>0</v>
      </c>
      <c r="S956" s="75">
        <f t="shared" si="123"/>
        <v>466618800</v>
      </c>
      <c r="T956" s="77">
        <v>0</v>
      </c>
      <c r="U956" s="66">
        <v>40396</v>
      </c>
      <c r="V956" s="79">
        <v>39941</v>
      </c>
      <c r="W956" s="66" t="s">
        <v>1606</v>
      </c>
      <c r="X956" s="24" t="s">
        <v>1607</v>
      </c>
      <c r="Y956" s="62">
        <v>27459</v>
      </c>
      <c r="Z956" s="199" t="s">
        <v>822</v>
      </c>
      <c r="AA956" s="80" t="s">
        <v>1523</v>
      </c>
      <c r="AB956" s="3"/>
      <c r="AC956" s="4"/>
      <c r="AD956" s="5"/>
      <c r="AE956" s="4"/>
      <c r="AF956" s="4"/>
      <c r="AG956" s="4"/>
      <c r="AH956" s="4"/>
      <c r="AI956" s="4"/>
      <c r="AJ956" s="4"/>
      <c r="AK956" s="4"/>
      <c r="AL956" s="4"/>
      <c r="AM956" s="4"/>
      <c r="AN956" s="4"/>
      <c r="AO956" s="4"/>
      <c r="AP956" s="4"/>
      <c r="AQ956" s="4"/>
      <c r="AR956" s="4"/>
      <c r="AS956" s="4"/>
      <c r="AT956" s="4"/>
      <c r="AU956" s="4"/>
      <c r="AV956" s="4"/>
      <c r="AW956" s="4"/>
      <c r="AX956" s="4"/>
      <c r="AY956" s="4"/>
      <c r="AZ956" s="4">
        <v>300</v>
      </c>
      <c r="BA956" s="4">
        <f>300*25500</f>
        <v>7650000</v>
      </c>
      <c r="BB956" s="4"/>
      <c r="BC956" s="4"/>
      <c r="BD956" s="4"/>
      <c r="BE956" s="4"/>
      <c r="BF956" s="4"/>
      <c r="BG956" s="4"/>
      <c r="BH956" s="4"/>
      <c r="BI956" s="4"/>
      <c r="BJ956" s="4"/>
      <c r="BK956" s="4"/>
      <c r="BL956" s="4"/>
      <c r="BM956" s="4"/>
      <c r="BN956" s="4">
        <f>3+5+15</f>
        <v>23</v>
      </c>
      <c r="BO956" s="4">
        <f>3*510400+5*468000+15*470000</f>
        <v>10921200</v>
      </c>
      <c r="BP956" s="4"/>
      <c r="BQ956" s="4"/>
      <c r="BR956" s="4"/>
      <c r="BS956" s="4"/>
      <c r="BT956" s="4"/>
      <c r="BU956" s="4"/>
      <c r="BV956" s="4"/>
      <c r="BW956" s="4"/>
      <c r="BX956" s="4"/>
      <c r="BY956" s="4"/>
      <c r="BZ956" s="4"/>
      <c r="CA956" s="4"/>
      <c r="CB956" s="4">
        <f>600+500</f>
        <v>1100</v>
      </c>
      <c r="CC956" s="4">
        <f>600*18000+500*18000</f>
        <v>19800000</v>
      </c>
      <c r="CD956" s="6"/>
      <c r="CE956" s="7"/>
      <c r="CF956" s="6"/>
      <c r="CG956" s="7"/>
      <c r="CH956" s="6"/>
      <c r="CI956" s="7"/>
      <c r="CJ956" s="8">
        <f t="shared" si="122"/>
        <v>38371200</v>
      </c>
      <c r="CK956" s="9">
        <v>5000</v>
      </c>
      <c r="CL956" s="10">
        <f>5000*900.16</f>
        <v>4500800</v>
      </c>
      <c r="CM956" s="11">
        <f>600+1800+2110</f>
        <v>4510</v>
      </c>
      <c r="CN956" s="12">
        <f>600*85000+1800*85000+2110*85000</f>
        <v>383350000</v>
      </c>
      <c r="CO956" s="28"/>
      <c r="CP956" s="12"/>
      <c r="CQ956" s="9">
        <v>2400</v>
      </c>
      <c r="CR956" s="10">
        <f>2400*16832</f>
        <v>40396800</v>
      </c>
      <c r="CS956" s="68"/>
      <c r="EC956" s="344" t="str">
        <f t="shared" si="125"/>
        <v>MAGDALENA_CONCORDIA</v>
      </c>
      <c r="ED956" s="341"/>
      <c r="EE956" s="341" t="s">
        <v>3197</v>
      </c>
      <c r="EF956" s="349" t="s">
        <v>3198</v>
      </c>
      <c r="EG956" s="341" t="s">
        <v>4179</v>
      </c>
      <c r="EH956" s="341" t="s">
        <v>5227</v>
      </c>
      <c r="EI956" s="341" t="str">
        <f t="shared" ref="EI956:EI1019" si="127">EF956&amp;"_"&amp;EH956</f>
        <v>Tolima_Alvarado</v>
      </c>
    </row>
    <row r="957" spans="1:139" ht="72">
      <c r="A957" s="228">
        <v>40391</v>
      </c>
      <c r="B957" s="102" t="s">
        <v>1440</v>
      </c>
      <c r="C957" s="102" t="s">
        <v>1441</v>
      </c>
      <c r="D957" s="206" t="s">
        <v>1201</v>
      </c>
      <c r="E957" s="320" t="s">
        <v>3883</v>
      </c>
      <c r="F957" s="320"/>
      <c r="G957" s="210"/>
      <c r="H957" s="71"/>
      <c r="I957" s="71"/>
      <c r="J957" s="71">
        <v>40750</v>
      </c>
      <c r="K957" s="71">
        <v>8150</v>
      </c>
      <c r="L957" s="1">
        <v>40420</v>
      </c>
      <c r="M957" s="73">
        <f t="shared" si="119"/>
        <v>527438000</v>
      </c>
      <c r="N957" s="73">
        <f t="shared" si="120"/>
        <v>1581000000</v>
      </c>
      <c r="O957" s="73">
        <f t="shared" si="126"/>
        <v>0</v>
      </c>
      <c r="P957" s="73">
        <f t="shared" si="121"/>
        <v>4500800</v>
      </c>
      <c r="Q957" s="73"/>
      <c r="R957" s="73">
        <v>0</v>
      </c>
      <c r="S957" s="75">
        <f t="shared" si="123"/>
        <v>2112938800</v>
      </c>
      <c r="T957" s="77">
        <v>0</v>
      </c>
      <c r="U957" s="66">
        <v>40396</v>
      </c>
      <c r="V957" s="79">
        <v>39941</v>
      </c>
      <c r="W957" s="66" t="s">
        <v>1606</v>
      </c>
      <c r="X957" s="24" t="s">
        <v>1607</v>
      </c>
      <c r="Y957" s="83" t="s">
        <v>240</v>
      </c>
      <c r="Z957" s="199" t="s">
        <v>822</v>
      </c>
      <c r="AA957" s="80" t="s">
        <v>709</v>
      </c>
      <c r="AB957" s="3"/>
      <c r="AC957" s="4"/>
      <c r="AD957" s="5"/>
      <c r="AE957" s="4"/>
      <c r="AF957" s="4"/>
      <c r="AG957" s="4"/>
      <c r="AH957" s="4"/>
      <c r="AI957" s="4"/>
      <c r="AJ957" s="4"/>
      <c r="AK957" s="4"/>
      <c r="AL957" s="4"/>
      <c r="AM957" s="4"/>
      <c r="AN957" s="4">
        <v>3000</v>
      </c>
      <c r="AO957" s="4">
        <f>3000*56000</f>
        <v>168000000</v>
      </c>
      <c r="AP957" s="4"/>
      <c r="AQ957" s="4"/>
      <c r="AR957" s="4"/>
      <c r="AS957" s="4"/>
      <c r="AT957" s="4"/>
      <c r="AU957" s="4"/>
      <c r="AV957" s="4"/>
      <c r="AW957" s="4"/>
      <c r="AX957" s="4"/>
      <c r="AY957" s="4"/>
      <c r="AZ957" s="4">
        <v>500</v>
      </c>
      <c r="BA957" s="4">
        <f>500*25500</f>
        <v>12750000</v>
      </c>
      <c r="BB957" s="4"/>
      <c r="BC957" s="4"/>
      <c r="BD957" s="4"/>
      <c r="BE957" s="4"/>
      <c r="BF957" s="4"/>
      <c r="BG957" s="4"/>
      <c r="BH957" s="4"/>
      <c r="BI957" s="4"/>
      <c r="BJ957" s="4"/>
      <c r="BK957" s="4"/>
      <c r="BL957" s="4"/>
      <c r="BM957" s="4"/>
      <c r="BN957" s="4">
        <f>25+300</f>
        <v>325</v>
      </c>
      <c r="BO957" s="4">
        <f>20*510400+5*520000+300*504600</f>
        <v>164188000</v>
      </c>
      <c r="BP957" s="4"/>
      <c r="BQ957" s="4"/>
      <c r="BR957" s="4"/>
      <c r="BS957" s="4"/>
      <c r="BT957" s="4"/>
      <c r="BU957" s="4"/>
      <c r="BV957" s="4"/>
      <c r="BW957" s="4"/>
      <c r="BX957" s="4"/>
      <c r="BY957" s="4"/>
      <c r="BZ957" s="4"/>
      <c r="CA957" s="4"/>
      <c r="CB957" s="4">
        <v>5000</v>
      </c>
      <c r="CC957" s="4">
        <f>5000*18000</f>
        <v>90000000</v>
      </c>
      <c r="CD957" s="6">
        <v>2500</v>
      </c>
      <c r="CE957" s="7">
        <f>2500*37000</f>
        <v>92500000</v>
      </c>
      <c r="CF957" s="6"/>
      <c r="CG957" s="7"/>
      <c r="CH957" s="6"/>
      <c r="CI957" s="7"/>
      <c r="CJ957" s="8">
        <f t="shared" si="122"/>
        <v>527438000</v>
      </c>
      <c r="CK957" s="9">
        <v>5000</v>
      </c>
      <c r="CL957" s="10">
        <f>5000*900.16</f>
        <v>4500800</v>
      </c>
      <c r="CM957" s="11">
        <f>1000+5200+1200+1500+1500+8200</f>
        <v>18600</v>
      </c>
      <c r="CN957" s="12">
        <f>1000*85000+5200*85000+1200*85000+1500*85000+1500*85000+8200*85000</f>
        <v>1581000000</v>
      </c>
      <c r="CO957" s="28"/>
      <c r="CP957" s="12"/>
      <c r="CQ957" s="9"/>
      <c r="CR957" s="10"/>
      <c r="CS957" s="68"/>
      <c r="EC957" s="344" t="str">
        <f t="shared" si="125"/>
        <v>MAGDALENA_EL BANCO</v>
      </c>
      <c r="ED957" s="341"/>
      <c r="EE957" s="341" t="s">
        <v>3197</v>
      </c>
      <c r="EF957" s="349" t="s">
        <v>3198</v>
      </c>
      <c r="EG957" s="341" t="s">
        <v>4180</v>
      </c>
      <c r="EH957" s="341" t="s">
        <v>5228</v>
      </c>
      <c r="EI957" s="341" t="str">
        <f t="shared" si="127"/>
        <v>Tolima_Ambalema</v>
      </c>
    </row>
    <row r="958" spans="1:139" ht="72">
      <c r="A958" s="228">
        <v>40391</v>
      </c>
      <c r="B958" s="102" t="s">
        <v>1440</v>
      </c>
      <c r="C958" s="102" t="s">
        <v>1476</v>
      </c>
      <c r="D958" s="206" t="s">
        <v>1201</v>
      </c>
      <c r="E958" s="320" t="s">
        <v>3884</v>
      </c>
      <c r="F958" s="320"/>
      <c r="G958" s="210"/>
      <c r="H958" s="71"/>
      <c r="I958" s="71"/>
      <c r="J958" s="71">
        <v>15085</v>
      </c>
      <c r="K958" s="71">
        <v>3017</v>
      </c>
      <c r="L958" s="1"/>
      <c r="M958" s="73">
        <f t="shared" si="119"/>
        <v>26656200</v>
      </c>
      <c r="N958" s="73">
        <f t="shared" si="120"/>
        <v>242335000</v>
      </c>
      <c r="O958" s="73">
        <f t="shared" si="126"/>
        <v>0</v>
      </c>
      <c r="P958" s="73">
        <f t="shared" si="121"/>
        <v>4500800</v>
      </c>
      <c r="Q958" s="73"/>
      <c r="R958" s="73">
        <v>150000000</v>
      </c>
      <c r="S958" s="75">
        <f t="shared" si="123"/>
        <v>423492000</v>
      </c>
      <c r="T958" s="77">
        <v>0</v>
      </c>
      <c r="U958" s="66">
        <v>40396</v>
      </c>
      <c r="V958" s="89" t="s">
        <v>821</v>
      </c>
      <c r="W958" s="66" t="s">
        <v>1606</v>
      </c>
      <c r="X958" s="24" t="s">
        <v>1607</v>
      </c>
      <c r="Y958" s="62">
        <v>45812</v>
      </c>
      <c r="Z958" s="199" t="s">
        <v>822</v>
      </c>
      <c r="AA958" s="80" t="s">
        <v>872</v>
      </c>
      <c r="AB958" s="3"/>
      <c r="AC958" s="4"/>
      <c r="AD958" s="5"/>
      <c r="AE958" s="4"/>
      <c r="AF958" s="4"/>
      <c r="AG958" s="4"/>
      <c r="AH958" s="4"/>
      <c r="AI958" s="4"/>
      <c r="AJ958" s="4"/>
      <c r="AK958" s="4"/>
      <c r="AL958" s="4"/>
      <c r="AM958" s="4"/>
      <c r="AN958" s="4">
        <v>200</v>
      </c>
      <c r="AO958" s="4">
        <f>200*56000</f>
        <v>11200000</v>
      </c>
      <c r="AP958" s="4"/>
      <c r="AQ958" s="4"/>
      <c r="AR958" s="4"/>
      <c r="AS958" s="4"/>
      <c r="AT958" s="4"/>
      <c r="AU958" s="4"/>
      <c r="AV958" s="4"/>
      <c r="AW958" s="4"/>
      <c r="AX958" s="4"/>
      <c r="AY958" s="4"/>
      <c r="AZ958" s="4">
        <v>150</v>
      </c>
      <c r="BA958" s="4">
        <f>150*25500</f>
        <v>3825000</v>
      </c>
      <c r="BB958" s="4"/>
      <c r="BC958" s="4"/>
      <c r="BD958" s="4"/>
      <c r="BE958" s="4"/>
      <c r="BF958" s="4"/>
      <c r="BG958" s="4"/>
      <c r="BH958" s="4"/>
      <c r="BI958" s="4"/>
      <c r="BJ958" s="4"/>
      <c r="BK958" s="4"/>
      <c r="BL958" s="4"/>
      <c r="BM958" s="4"/>
      <c r="BN958" s="4">
        <f>3+10</f>
        <v>13</v>
      </c>
      <c r="BO958" s="4">
        <f>3*510400+10*470000</f>
        <v>6231200</v>
      </c>
      <c r="BP958" s="4"/>
      <c r="BQ958" s="4"/>
      <c r="BR958" s="4"/>
      <c r="BS958" s="4"/>
      <c r="BT958" s="4"/>
      <c r="BU958" s="4"/>
      <c r="BV958" s="4"/>
      <c r="BW958" s="4"/>
      <c r="BX958" s="4"/>
      <c r="BY958" s="4"/>
      <c r="BZ958" s="4"/>
      <c r="CA958" s="4"/>
      <c r="CB958" s="4">
        <v>300</v>
      </c>
      <c r="CC958" s="4">
        <f>300*18000</f>
        <v>5400000</v>
      </c>
      <c r="CD958" s="6"/>
      <c r="CE958" s="7"/>
      <c r="CF958" s="6"/>
      <c r="CG958" s="7"/>
      <c r="CH958" s="6"/>
      <c r="CI958" s="7"/>
      <c r="CJ958" s="8">
        <f t="shared" si="122"/>
        <v>26656200</v>
      </c>
      <c r="CK958" s="9">
        <v>5000</v>
      </c>
      <c r="CL958" s="10">
        <f>5000*900.16</f>
        <v>4500800</v>
      </c>
      <c r="CM958" s="11">
        <f>300+2551</f>
        <v>2851</v>
      </c>
      <c r="CN958" s="12">
        <f>300*85000+2551*85000</f>
        <v>242335000</v>
      </c>
      <c r="CO958" s="28"/>
      <c r="CP958" s="12"/>
      <c r="CQ958" s="9"/>
      <c r="CR958" s="10"/>
      <c r="CS958" s="68">
        <v>4</v>
      </c>
      <c r="EC958" s="344" t="str">
        <f t="shared" si="125"/>
        <v>MAGDALENA_EL PIÑON</v>
      </c>
      <c r="ED958" s="341"/>
      <c r="EE958" s="341" t="s">
        <v>3197</v>
      </c>
      <c r="EF958" s="349" t="s">
        <v>3198</v>
      </c>
      <c r="EG958" s="341" t="s">
        <v>4181</v>
      </c>
      <c r="EH958" s="341" t="s">
        <v>5229</v>
      </c>
      <c r="EI958" s="341" t="str">
        <f t="shared" si="127"/>
        <v>Tolima_Anzoategui</v>
      </c>
    </row>
    <row r="959" spans="1:139" ht="48">
      <c r="A959" s="228">
        <v>40391</v>
      </c>
      <c r="B959" s="102" t="s">
        <v>1440</v>
      </c>
      <c r="C959" s="102" t="s">
        <v>1482</v>
      </c>
      <c r="D959" s="206" t="s">
        <v>1201</v>
      </c>
      <c r="E959" s="320" t="s">
        <v>3885</v>
      </c>
      <c r="F959" s="320"/>
      <c r="G959" s="210"/>
      <c r="H959" s="71"/>
      <c r="I959" s="71"/>
      <c r="J959" s="71">
        <v>2135</v>
      </c>
      <c r="K959" s="71">
        <v>427</v>
      </c>
      <c r="L959" s="1">
        <v>40520</v>
      </c>
      <c r="M959" s="73">
        <f t="shared" si="119"/>
        <v>4066200</v>
      </c>
      <c r="N959" s="73">
        <f t="shared" si="120"/>
        <v>124950000</v>
      </c>
      <c r="O959" s="73">
        <f t="shared" si="126"/>
        <v>0</v>
      </c>
      <c r="P959" s="73">
        <f t="shared" si="121"/>
        <v>3600640</v>
      </c>
      <c r="Q959" s="73"/>
      <c r="R959" s="73">
        <v>0</v>
      </c>
      <c r="S959" s="75">
        <f t="shared" si="123"/>
        <v>132616840</v>
      </c>
      <c r="T959" s="77">
        <v>0</v>
      </c>
      <c r="U959" s="66">
        <v>40396</v>
      </c>
      <c r="V959" s="79">
        <v>39941</v>
      </c>
      <c r="W959" s="66" t="s">
        <v>1606</v>
      </c>
      <c r="X959" s="24" t="s">
        <v>1607</v>
      </c>
      <c r="Y959" s="62">
        <v>26378</v>
      </c>
      <c r="Z959" s="199" t="s">
        <v>822</v>
      </c>
      <c r="AA959" s="80" t="s">
        <v>1467</v>
      </c>
      <c r="AB959" s="3"/>
      <c r="AC959" s="4"/>
      <c r="AD959" s="5"/>
      <c r="AE959" s="4"/>
      <c r="AF959" s="4"/>
      <c r="AG959" s="4"/>
      <c r="AH959" s="4"/>
      <c r="AI959" s="4"/>
      <c r="AJ959" s="4"/>
      <c r="AK959" s="4"/>
      <c r="AL959" s="4"/>
      <c r="AM959" s="4"/>
      <c r="AN959" s="4"/>
      <c r="AO959" s="4"/>
      <c r="AP959" s="4"/>
      <c r="AQ959" s="4"/>
      <c r="AR959" s="4"/>
      <c r="AS959" s="4"/>
      <c r="AT959" s="4"/>
      <c r="AU959" s="4"/>
      <c r="AV959" s="4"/>
      <c r="AW959" s="4"/>
      <c r="AX959" s="4"/>
      <c r="AY959" s="4"/>
      <c r="AZ959" s="4">
        <v>50</v>
      </c>
      <c r="BA959" s="4">
        <f>50*25500</f>
        <v>1275000</v>
      </c>
      <c r="BB959" s="4"/>
      <c r="BC959" s="4"/>
      <c r="BD959" s="4"/>
      <c r="BE959" s="4"/>
      <c r="BF959" s="4"/>
      <c r="BG959" s="4"/>
      <c r="BH959" s="4"/>
      <c r="BI959" s="4"/>
      <c r="BJ959" s="4"/>
      <c r="BK959" s="4"/>
      <c r="BL959" s="4"/>
      <c r="BM959" s="4"/>
      <c r="BN959" s="4">
        <v>3</v>
      </c>
      <c r="BO959" s="4">
        <f>3*510400</f>
        <v>1531200</v>
      </c>
      <c r="BP959" s="4"/>
      <c r="BQ959" s="4"/>
      <c r="BR959" s="4"/>
      <c r="BS959" s="4"/>
      <c r="BT959" s="4"/>
      <c r="BU959" s="4"/>
      <c r="BV959" s="4"/>
      <c r="BW959" s="4"/>
      <c r="BX959" s="4"/>
      <c r="BY959" s="4"/>
      <c r="BZ959" s="4"/>
      <c r="CA959" s="4"/>
      <c r="CB959" s="4">
        <v>70</v>
      </c>
      <c r="CC959" s="4">
        <f>70*18000</f>
        <v>1260000</v>
      </c>
      <c r="CD959" s="6"/>
      <c r="CE959" s="7"/>
      <c r="CF959" s="6"/>
      <c r="CG959" s="7"/>
      <c r="CH959" s="6"/>
      <c r="CI959" s="7"/>
      <c r="CJ959" s="8">
        <f t="shared" si="122"/>
        <v>4066200</v>
      </c>
      <c r="CK959" s="9">
        <v>4000</v>
      </c>
      <c r="CL959" s="10">
        <f>4000*900.16</f>
        <v>3600640</v>
      </c>
      <c r="CM959" s="11">
        <f>70+1000+400</f>
        <v>1470</v>
      </c>
      <c r="CN959" s="12">
        <f>70*85000+1000*85000+400*85000</f>
        <v>124950000</v>
      </c>
      <c r="CO959" s="28"/>
      <c r="CP959" s="12"/>
      <c r="CQ959" s="9"/>
      <c r="CR959" s="10"/>
      <c r="CS959" s="68"/>
      <c r="EC959" s="344" t="str">
        <f t="shared" si="125"/>
        <v>MAGDALENA_EL RETEN</v>
      </c>
      <c r="ED959" s="341"/>
      <c r="EE959" s="341" t="s">
        <v>3197</v>
      </c>
      <c r="EF959" s="349" t="s">
        <v>3198</v>
      </c>
      <c r="EG959" s="341" t="s">
        <v>4182</v>
      </c>
      <c r="EH959" s="341" t="s">
        <v>5230</v>
      </c>
      <c r="EI959" s="341" t="str">
        <f t="shared" si="127"/>
        <v>Tolima_Armero</v>
      </c>
    </row>
    <row r="960" spans="1:139" ht="84">
      <c r="A960" s="228">
        <v>40391</v>
      </c>
      <c r="B960" s="102" t="s">
        <v>1440</v>
      </c>
      <c r="C960" s="102" t="s">
        <v>1393</v>
      </c>
      <c r="D960" s="206" t="s">
        <v>1201</v>
      </c>
      <c r="E960" s="320" t="s">
        <v>3886</v>
      </c>
      <c r="F960" s="320"/>
      <c r="G960" s="210"/>
      <c r="H960" s="71"/>
      <c r="I960" s="71"/>
      <c r="J960" s="71">
        <v>7625</v>
      </c>
      <c r="K960" s="71">
        <v>1525</v>
      </c>
      <c r="L960" s="1">
        <v>40520</v>
      </c>
      <c r="M960" s="73">
        <f t="shared" si="119"/>
        <v>23455200</v>
      </c>
      <c r="N960" s="73">
        <f t="shared" si="120"/>
        <v>188530000</v>
      </c>
      <c r="O960" s="73">
        <f t="shared" si="126"/>
        <v>0</v>
      </c>
      <c r="P960" s="73">
        <f t="shared" si="121"/>
        <v>4500800</v>
      </c>
      <c r="Q960" s="73"/>
      <c r="R960" s="73">
        <v>0</v>
      </c>
      <c r="S960" s="75">
        <f t="shared" si="123"/>
        <v>216486000</v>
      </c>
      <c r="T960" s="77">
        <v>0</v>
      </c>
      <c r="U960" s="66">
        <v>40396</v>
      </c>
      <c r="V960" s="79">
        <v>39941</v>
      </c>
      <c r="W960" s="66" t="s">
        <v>1606</v>
      </c>
      <c r="X960" s="24" t="s">
        <v>1607</v>
      </c>
      <c r="Y960" s="62">
        <v>26378</v>
      </c>
      <c r="Z960" s="199" t="s">
        <v>822</v>
      </c>
      <c r="AA960" s="80" t="s">
        <v>712</v>
      </c>
      <c r="AB960" s="3"/>
      <c r="AC960" s="4"/>
      <c r="AD960" s="5"/>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v>3</v>
      </c>
      <c r="BO960" s="4">
        <f>3*510400</f>
        <v>1531200</v>
      </c>
      <c r="BP960" s="4"/>
      <c r="BQ960" s="4"/>
      <c r="BR960" s="4"/>
      <c r="BS960" s="4"/>
      <c r="BT960" s="4"/>
      <c r="BU960" s="4"/>
      <c r="BV960" s="4"/>
      <c r="BW960" s="4"/>
      <c r="BX960" s="4"/>
      <c r="BY960" s="4"/>
      <c r="BZ960" s="4"/>
      <c r="CA960" s="4"/>
      <c r="CB960" s="4">
        <v>1218</v>
      </c>
      <c r="CC960" s="4">
        <f>1218*18000</f>
        <v>21924000</v>
      </c>
      <c r="CD960" s="6"/>
      <c r="CE960" s="7"/>
      <c r="CF960" s="6"/>
      <c r="CG960" s="7"/>
      <c r="CH960" s="6"/>
      <c r="CI960" s="7"/>
      <c r="CJ960" s="8">
        <f t="shared" si="122"/>
        <v>23455200</v>
      </c>
      <c r="CK960" s="9">
        <v>5000</v>
      </c>
      <c r="CL960" s="10">
        <f>5000*900.16</f>
        <v>4500800</v>
      </c>
      <c r="CM960" s="11">
        <f>1218+1000</f>
        <v>2218</v>
      </c>
      <c r="CN960" s="12">
        <f>1218*85000+1000*85000</f>
        <v>188530000</v>
      </c>
      <c r="CO960" s="28"/>
      <c r="CP960" s="12"/>
      <c r="CQ960" s="9"/>
      <c r="CR960" s="10"/>
      <c r="CS960" s="68"/>
      <c r="EC960" s="344" t="str">
        <f t="shared" si="125"/>
        <v>MAGDALENA_FUNDACION</v>
      </c>
      <c r="ED960" s="341"/>
      <c r="EE960" s="341" t="s">
        <v>3197</v>
      </c>
      <c r="EF960" s="349" t="s">
        <v>3198</v>
      </c>
      <c r="EG960" s="341" t="s">
        <v>4183</v>
      </c>
      <c r="EH960" s="341" t="s">
        <v>5231</v>
      </c>
      <c r="EI960" s="341" t="str">
        <f t="shared" si="127"/>
        <v>Tolima_Ataco</v>
      </c>
    </row>
    <row r="961" spans="1:139" ht="72">
      <c r="A961" s="228">
        <v>40391</v>
      </c>
      <c r="B961" s="102" t="s">
        <v>1440</v>
      </c>
      <c r="C961" s="102" t="s">
        <v>1483</v>
      </c>
      <c r="D961" s="206" t="s">
        <v>1201</v>
      </c>
      <c r="E961" s="320" t="s">
        <v>3887</v>
      </c>
      <c r="F961" s="320"/>
      <c r="G961" s="210"/>
      <c r="H961" s="71"/>
      <c r="I961" s="71"/>
      <c r="J961" s="71">
        <v>9365</v>
      </c>
      <c r="K961" s="71">
        <v>1873</v>
      </c>
      <c r="L961" s="1">
        <v>40470</v>
      </c>
      <c r="M961" s="73">
        <f t="shared" si="119"/>
        <v>58648200</v>
      </c>
      <c r="N961" s="73">
        <f t="shared" si="120"/>
        <v>379270000</v>
      </c>
      <c r="O961" s="73">
        <f t="shared" si="126"/>
        <v>0</v>
      </c>
      <c r="P961" s="73">
        <f t="shared" si="121"/>
        <v>4500800</v>
      </c>
      <c r="Q961" s="73">
        <v>64472800</v>
      </c>
      <c r="R961" s="73">
        <v>0</v>
      </c>
      <c r="S961" s="75">
        <f t="shared" si="123"/>
        <v>506891800</v>
      </c>
      <c r="T961" s="77">
        <v>0</v>
      </c>
      <c r="U961" s="66">
        <v>40396</v>
      </c>
      <c r="V961" s="89" t="s">
        <v>2072</v>
      </c>
      <c r="W961" s="66" t="s">
        <v>1606</v>
      </c>
      <c r="X961" s="24" t="s">
        <v>1607</v>
      </c>
      <c r="Y961" s="62">
        <v>22205</v>
      </c>
      <c r="Z961" s="199" t="s">
        <v>2073</v>
      </c>
      <c r="AA961" s="80" t="s">
        <v>413</v>
      </c>
      <c r="AB961" s="3"/>
      <c r="AC961" s="4"/>
      <c r="AD961" s="5"/>
      <c r="AE961" s="4"/>
      <c r="AF961" s="4"/>
      <c r="AG961" s="4"/>
      <c r="AH961" s="4"/>
      <c r="AI961" s="4"/>
      <c r="AJ961" s="4"/>
      <c r="AK961" s="4"/>
      <c r="AL961" s="4"/>
      <c r="AM961" s="4"/>
      <c r="AN961" s="4"/>
      <c r="AO961" s="4"/>
      <c r="AP961" s="4"/>
      <c r="AQ961" s="4"/>
      <c r="AR961" s="4"/>
      <c r="AS961" s="4"/>
      <c r="AT961" s="4"/>
      <c r="AU961" s="4"/>
      <c r="AV961" s="4"/>
      <c r="AW961" s="4"/>
      <c r="AX961" s="4"/>
      <c r="AY961" s="4"/>
      <c r="AZ961" s="4">
        <v>250</v>
      </c>
      <c r="BA961" s="4">
        <f>250*25500</f>
        <v>6375000</v>
      </c>
      <c r="BB961" s="4"/>
      <c r="BC961" s="4"/>
      <c r="BD961" s="4"/>
      <c r="BE961" s="4"/>
      <c r="BF961" s="4"/>
      <c r="BG961" s="4"/>
      <c r="BH961" s="4"/>
      <c r="BI961" s="4"/>
      <c r="BJ961" s="4"/>
      <c r="BK961" s="4"/>
      <c r="BL961" s="4"/>
      <c r="BM961" s="4"/>
      <c r="BN961" s="4">
        <f>3+5</f>
        <v>8</v>
      </c>
      <c r="BO961" s="4">
        <f>3*510400+5*470000</f>
        <v>3881200</v>
      </c>
      <c r="BP961" s="4"/>
      <c r="BQ961" s="4"/>
      <c r="BR961" s="4"/>
      <c r="BS961" s="4"/>
      <c r="BT961" s="4"/>
      <c r="BU961" s="4"/>
      <c r="BV961" s="4"/>
      <c r="BW961" s="4"/>
      <c r="BX961" s="4"/>
      <c r="BY961" s="4"/>
      <c r="BZ961" s="4"/>
      <c r="CA961" s="4"/>
      <c r="CB961" s="4">
        <f>862+500+300</f>
        <v>1662</v>
      </c>
      <c r="CC961" s="4">
        <f>862*18000+500*18000+300*18000</f>
        <v>29916000</v>
      </c>
      <c r="CD961" s="6">
        <v>500</v>
      </c>
      <c r="CE961" s="7">
        <f>500*36952</f>
        <v>18476000</v>
      </c>
      <c r="CF961" s="6"/>
      <c r="CG961" s="7"/>
      <c r="CH961" s="6"/>
      <c r="CI961" s="7"/>
      <c r="CJ961" s="8">
        <f t="shared" si="122"/>
        <v>58648200</v>
      </c>
      <c r="CK961" s="9">
        <v>5000</v>
      </c>
      <c r="CL961" s="10">
        <f>5000*900.16</f>
        <v>4500800</v>
      </c>
      <c r="CM961" s="11">
        <f>862+500+1500+1600</f>
        <v>4462</v>
      </c>
      <c r="CN961" s="12">
        <f>862*85000+500*85000+1500*85000+1600*85000</f>
        <v>379270000</v>
      </c>
      <c r="CO961" s="28"/>
      <c r="CP961" s="12"/>
      <c r="CQ961" s="9"/>
      <c r="CR961" s="10"/>
      <c r="CS961" s="68"/>
      <c r="EC961" s="344" t="str">
        <f t="shared" si="125"/>
        <v>MAGDALENA_GUAMAL</v>
      </c>
      <c r="ED961" s="341"/>
      <c r="EE961" s="341" t="s">
        <v>3197</v>
      </c>
      <c r="EF961" s="349" t="s">
        <v>3198</v>
      </c>
      <c r="EG961" s="341" t="s">
        <v>4184</v>
      </c>
      <c r="EH961" s="341" t="s">
        <v>5232</v>
      </c>
      <c r="EI961" s="341" t="str">
        <f t="shared" si="127"/>
        <v>Tolima_Cajamarca</v>
      </c>
    </row>
    <row r="962" spans="1:139" ht="84">
      <c r="A962" s="228">
        <v>40391</v>
      </c>
      <c r="B962" s="102" t="s">
        <v>1440</v>
      </c>
      <c r="C962" s="102" t="s">
        <v>1484</v>
      </c>
      <c r="D962" s="206" t="s">
        <v>1201</v>
      </c>
      <c r="E962" s="320" t="s">
        <v>3889</v>
      </c>
      <c r="F962" s="320"/>
      <c r="G962" s="210"/>
      <c r="H962" s="71"/>
      <c r="I962" s="71"/>
      <c r="J962" s="417">
        <f>1865*3.7</f>
        <v>6900.5</v>
      </c>
      <c r="K962" s="71">
        <v>1865</v>
      </c>
      <c r="L962" s="1">
        <v>40505</v>
      </c>
      <c r="M962" s="73">
        <f t="shared" si="119"/>
        <v>60802000</v>
      </c>
      <c r="N962" s="73">
        <f t="shared" si="120"/>
        <v>308550000</v>
      </c>
      <c r="O962" s="73">
        <f t="shared" si="126"/>
        <v>0</v>
      </c>
      <c r="P962" s="73">
        <f t="shared" si="121"/>
        <v>4500800</v>
      </c>
      <c r="Q962" s="73"/>
      <c r="R962" s="73">
        <v>82339000</v>
      </c>
      <c r="S962" s="75">
        <f t="shared" si="123"/>
        <v>456191800</v>
      </c>
      <c r="T962" s="77">
        <v>0</v>
      </c>
      <c r="U962" s="66">
        <v>40396</v>
      </c>
      <c r="V962" s="79">
        <v>39941</v>
      </c>
      <c r="W962" s="66" t="s">
        <v>1606</v>
      </c>
      <c r="X962" s="24" t="s">
        <v>1607</v>
      </c>
      <c r="Y962" s="62">
        <v>44149</v>
      </c>
      <c r="Z962" s="199" t="s">
        <v>822</v>
      </c>
      <c r="AA962" s="80" t="s">
        <v>2777</v>
      </c>
      <c r="AB962" s="3"/>
      <c r="AC962" s="4"/>
      <c r="AD962" s="5"/>
      <c r="AE962" s="4"/>
      <c r="AF962" s="4"/>
      <c r="AG962" s="4"/>
      <c r="AH962" s="4"/>
      <c r="AI962" s="4"/>
      <c r="AJ962" s="4"/>
      <c r="AK962" s="4"/>
      <c r="AL962" s="4"/>
      <c r="AM962" s="4"/>
      <c r="AN962" s="4">
        <v>300</v>
      </c>
      <c r="AO962" s="4">
        <f>300*56000</f>
        <v>16800000</v>
      </c>
      <c r="AP962" s="4"/>
      <c r="AQ962" s="4"/>
      <c r="AR962" s="4"/>
      <c r="AS962" s="4"/>
      <c r="AT962" s="4"/>
      <c r="AU962" s="4"/>
      <c r="AV962" s="4"/>
      <c r="AW962" s="4"/>
      <c r="AX962" s="4"/>
      <c r="AY962" s="4"/>
      <c r="AZ962" s="4">
        <v>500</v>
      </c>
      <c r="BA962" s="4">
        <f>500*25500</f>
        <v>12750000</v>
      </c>
      <c r="BB962" s="4"/>
      <c r="BC962" s="4"/>
      <c r="BD962" s="4"/>
      <c r="BE962" s="4"/>
      <c r="BF962" s="4"/>
      <c r="BG962" s="4"/>
      <c r="BH962" s="4"/>
      <c r="BI962" s="4"/>
      <c r="BJ962" s="4"/>
      <c r="BK962" s="4"/>
      <c r="BL962" s="4"/>
      <c r="BM962" s="4"/>
      <c r="BN962" s="4">
        <f>5+10+30</f>
        <v>45</v>
      </c>
      <c r="BO962" s="4">
        <f>5*510400+10*470000+30*470000</f>
        <v>21352000</v>
      </c>
      <c r="BP962" s="4"/>
      <c r="BQ962" s="4"/>
      <c r="BR962" s="4"/>
      <c r="BS962" s="4"/>
      <c r="BT962" s="4"/>
      <c r="BU962" s="4"/>
      <c r="BV962" s="4"/>
      <c r="BW962" s="4"/>
      <c r="BX962" s="4"/>
      <c r="BY962" s="4"/>
      <c r="BZ962" s="4"/>
      <c r="CA962" s="4"/>
      <c r="CB962" s="4">
        <v>550</v>
      </c>
      <c r="CC962" s="4">
        <f>550*18000</f>
        <v>9900000</v>
      </c>
      <c r="CD962" s="6"/>
      <c r="CE962" s="7"/>
      <c r="CF962" s="6"/>
      <c r="CG962" s="7"/>
      <c r="CH962" s="6"/>
      <c r="CI962" s="7"/>
      <c r="CJ962" s="8">
        <f t="shared" si="122"/>
        <v>60802000</v>
      </c>
      <c r="CK962" s="9">
        <v>5000</v>
      </c>
      <c r="CL962" s="10">
        <f>5000*900.16</f>
        <v>4500800</v>
      </c>
      <c r="CM962" s="11">
        <f>550+2000+1080</f>
        <v>3630</v>
      </c>
      <c r="CN962" s="12">
        <f>550*85000+2000*85000+1080*85000</f>
        <v>308550000</v>
      </c>
      <c r="CO962" s="28"/>
      <c r="CP962" s="12"/>
      <c r="CQ962" s="9"/>
      <c r="CR962" s="10"/>
      <c r="CS962" s="68">
        <v>4</v>
      </c>
      <c r="EC962" s="344" t="str">
        <f t="shared" si="125"/>
        <v>MAGDALENA_PEDRAZA</v>
      </c>
      <c r="ED962" s="341"/>
      <c r="EE962" s="341" t="s">
        <v>3197</v>
      </c>
      <c r="EF962" s="349" t="s">
        <v>3198</v>
      </c>
      <c r="EG962" s="341" t="s">
        <v>4185</v>
      </c>
      <c r="EH962" s="341" t="s">
        <v>5233</v>
      </c>
      <c r="EI962" s="341" t="str">
        <f t="shared" si="127"/>
        <v>Tolima_Carmen de Apicala</v>
      </c>
    </row>
    <row r="963" spans="1:139" ht="51">
      <c r="A963" s="228">
        <v>40391</v>
      </c>
      <c r="B963" s="102" t="s">
        <v>1440</v>
      </c>
      <c r="C963" s="102" t="s">
        <v>1480</v>
      </c>
      <c r="D963" s="206" t="s">
        <v>1201</v>
      </c>
      <c r="E963" s="320" t="s">
        <v>3890</v>
      </c>
      <c r="F963" s="320"/>
      <c r="G963" s="210"/>
      <c r="H963" s="71"/>
      <c r="I963" s="71"/>
      <c r="J963" s="71">
        <v>10185</v>
      </c>
      <c r="K963" s="71">
        <v>2037</v>
      </c>
      <c r="L963" s="1">
        <v>40452</v>
      </c>
      <c r="M963" s="73">
        <f t="shared" ref="M963:M1026" si="128">CJ963</f>
        <v>99322600</v>
      </c>
      <c r="N963" s="73">
        <f t="shared" ref="N963:N1026" si="129">CN963</f>
        <v>402645000</v>
      </c>
      <c r="O963" s="73">
        <f t="shared" si="126"/>
        <v>20198400</v>
      </c>
      <c r="P963" s="73">
        <f t="shared" ref="P963:P1026" si="130">CL963</f>
        <v>2700480</v>
      </c>
      <c r="Q963" s="73"/>
      <c r="R963" s="73">
        <v>0</v>
      </c>
      <c r="S963" s="75">
        <f t="shared" si="123"/>
        <v>524866480</v>
      </c>
      <c r="T963" s="77">
        <v>0</v>
      </c>
      <c r="U963" s="66">
        <v>40396</v>
      </c>
      <c r="V963" s="79">
        <v>39941</v>
      </c>
      <c r="W963" s="66" t="s">
        <v>1606</v>
      </c>
      <c r="X963" s="24" t="s">
        <v>1607</v>
      </c>
      <c r="Y963" s="62">
        <v>20868</v>
      </c>
      <c r="Z963" s="199" t="s">
        <v>822</v>
      </c>
      <c r="AA963" s="80" t="s">
        <v>710</v>
      </c>
      <c r="AB963" s="3"/>
      <c r="AC963" s="4"/>
      <c r="AD963" s="5"/>
      <c r="AE963" s="4"/>
      <c r="AF963" s="4"/>
      <c r="AG963" s="4"/>
      <c r="AH963" s="4"/>
      <c r="AI963" s="4"/>
      <c r="AJ963" s="4"/>
      <c r="AK963" s="4"/>
      <c r="AL963" s="4"/>
      <c r="AM963" s="4"/>
      <c r="AN963" s="4"/>
      <c r="AO963" s="4"/>
      <c r="AP963" s="4"/>
      <c r="AQ963" s="4"/>
      <c r="AR963" s="4"/>
      <c r="AS963" s="4"/>
      <c r="AT963" s="4"/>
      <c r="AU963" s="4"/>
      <c r="AV963" s="4"/>
      <c r="AW963" s="4"/>
      <c r="AX963" s="4"/>
      <c r="AY963" s="4"/>
      <c r="AZ963" s="4">
        <f>700+150</f>
        <v>850</v>
      </c>
      <c r="BA963" s="4">
        <f>700*25500+150*25500</f>
        <v>21675000</v>
      </c>
      <c r="BB963" s="4"/>
      <c r="BC963" s="4"/>
      <c r="BD963" s="4"/>
      <c r="BE963" s="4"/>
      <c r="BF963" s="4"/>
      <c r="BG963" s="4"/>
      <c r="BH963" s="4"/>
      <c r="BI963" s="4"/>
      <c r="BJ963" s="4"/>
      <c r="BK963" s="4"/>
      <c r="BL963" s="4"/>
      <c r="BM963" s="4"/>
      <c r="BN963" s="4">
        <f>3+5+10</f>
        <v>18</v>
      </c>
      <c r="BO963" s="4">
        <f>3*510400+5*470000+10*470000</f>
        <v>8581200</v>
      </c>
      <c r="BP963" s="4"/>
      <c r="BQ963" s="4"/>
      <c r="BR963" s="4"/>
      <c r="BS963" s="4"/>
      <c r="BT963" s="4"/>
      <c r="BU963" s="4"/>
      <c r="BV963" s="4"/>
      <c r="BW963" s="4"/>
      <c r="BX963" s="4"/>
      <c r="BY963" s="4"/>
      <c r="BZ963" s="4"/>
      <c r="CA963" s="4"/>
      <c r="CB963" s="4">
        <f>1400+700+300</f>
        <v>2400</v>
      </c>
      <c r="CC963" s="4">
        <f>1400*18000+700*18000+300*18000</f>
        <v>43200000</v>
      </c>
      <c r="CD963" s="6">
        <v>700</v>
      </c>
      <c r="CE963" s="7">
        <f>700*36952</f>
        <v>25866400</v>
      </c>
      <c r="CF963" s="6"/>
      <c r="CG963" s="7"/>
      <c r="CH963" s="6"/>
      <c r="CI963" s="7"/>
      <c r="CJ963" s="8">
        <f t="shared" ref="CJ963:CJ1026" si="131">AC963+AE963+AG963+AI963+AK963+AM963+AO963+AQ963+AS963+AU963+AW963+AY963+BA963+BC963+BE963+BG963+BI963+BK963+BM963+BO963+BQ963+BS963+BU963+BW963+BY963+CA963+CC963+CE963+CG963+CI963</f>
        <v>99322600</v>
      </c>
      <c r="CK963" s="9">
        <v>3000</v>
      </c>
      <c r="CL963" s="10">
        <f>3000*900.16</f>
        <v>2700480</v>
      </c>
      <c r="CM963" s="11">
        <f>700+700+1500+1837</f>
        <v>4737</v>
      </c>
      <c r="CN963" s="12">
        <f>700*85000+700*85000+1500*85000+1837*85000</f>
        <v>402645000</v>
      </c>
      <c r="CO963" s="28"/>
      <c r="CP963" s="12"/>
      <c r="CQ963" s="9">
        <v>1200</v>
      </c>
      <c r="CR963" s="10">
        <f>1200*16832</f>
        <v>20198400</v>
      </c>
      <c r="CS963" s="68"/>
      <c r="EC963" s="344" t="str">
        <f t="shared" si="125"/>
        <v>MAGDALENA_PIJIÑO DEL CARMEN</v>
      </c>
      <c r="ED963" s="341"/>
      <c r="EE963" s="341" t="s">
        <v>3197</v>
      </c>
      <c r="EF963" s="349" t="s">
        <v>3198</v>
      </c>
      <c r="EG963" s="341" t="s">
        <v>4186</v>
      </c>
      <c r="EH963" s="341" t="s">
        <v>5234</v>
      </c>
      <c r="EI963" s="341" t="str">
        <f t="shared" si="127"/>
        <v>Tolima_Casabianca</v>
      </c>
    </row>
    <row r="964" spans="1:139" ht="48">
      <c r="A964" s="228">
        <v>40391</v>
      </c>
      <c r="B964" s="102" t="s">
        <v>1440</v>
      </c>
      <c r="C964" s="102" t="s">
        <v>1477</v>
      </c>
      <c r="D964" s="206" t="s">
        <v>1201</v>
      </c>
      <c r="E964" s="320" t="s">
        <v>3891</v>
      </c>
      <c r="F964" s="320"/>
      <c r="G964" s="210"/>
      <c r="H964" s="71"/>
      <c r="I964" s="71"/>
      <c r="J964" s="71">
        <v>8525</v>
      </c>
      <c r="K964" s="71">
        <v>1705</v>
      </c>
      <c r="L964" s="1"/>
      <c r="M964" s="73">
        <f t="shared" si="128"/>
        <v>4620800</v>
      </c>
      <c r="N964" s="73">
        <f t="shared" si="129"/>
        <v>59500000</v>
      </c>
      <c r="O964" s="73">
        <f t="shared" si="126"/>
        <v>0</v>
      </c>
      <c r="P964" s="73">
        <f t="shared" si="130"/>
        <v>1800320</v>
      </c>
      <c r="Q964" s="73"/>
      <c r="R964" s="73">
        <v>0</v>
      </c>
      <c r="S964" s="75">
        <f t="shared" si="123"/>
        <v>65921120</v>
      </c>
      <c r="T964" s="77">
        <v>0</v>
      </c>
      <c r="U964" s="66">
        <v>40396</v>
      </c>
      <c r="V964" s="79">
        <v>39941</v>
      </c>
      <c r="W964" s="66" t="s">
        <v>1606</v>
      </c>
      <c r="X964" s="24" t="s">
        <v>1607</v>
      </c>
      <c r="Y964" s="62"/>
      <c r="Z964" s="199" t="s">
        <v>822</v>
      </c>
      <c r="AA964" s="80" t="s">
        <v>707</v>
      </c>
      <c r="AB964" s="3"/>
      <c r="AC964" s="4"/>
      <c r="AD964" s="5"/>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v>2</v>
      </c>
      <c r="BO964" s="4">
        <f>2*510400</f>
        <v>1020800</v>
      </c>
      <c r="BP964" s="4"/>
      <c r="BQ964" s="4"/>
      <c r="BR964" s="4"/>
      <c r="BS964" s="4"/>
      <c r="BT964" s="4"/>
      <c r="BU964" s="4"/>
      <c r="BV964" s="4"/>
      <c r="BW964" s="4"/>
      <c r="BX964" s="4"/>
      <c r="BY964" s="4"/>
      <c r="BZ964" s="4"/>
      <c r="CA964" s="4"/>
      <c r="CB964" s="4">
        <v>200</v>
      </c>
      <c r="CC964" s="4">
        <f>200*18000</f>
        <v>3600000</v>
      </c>
      <c r="CD964" s="6"/>
      <c r="CE964" s="7"/>
      <c r="CF964" s="6"/>
      <c r="CG964" s="7"/>
      <c r="CH964" s="6"/>
      <c r="CI964" s="7"/>
      <c r="CJ964" s="8">
        <f t="shared" si="131"/>
        <v>4620800</v>
      </c>
      <c r="CK964" s="9">
        <v>2000</v>
      </c>
      <c r="CL964" s="10">
        <f>2000*900.16</f>
        <v>1800320</v>
      </c>
      <c r="CM964" s="11">
        <f>200+400+100</f>
        <v>700</v>
      </c>
      <c r="CN964" s="12">
        <f>200*85000+400*85000+100*85000</f>
        <v>59500000</v>
      </c>
      <c r="CO964" s="28"/>
      <c r="CP964" s="12"/>
      <c r="CQ964" s="9"/>
      <c r="CR964" s="10"/>
      <c r="CS964" s="68"/>
      <c r="EC964" s="344" t="str">
        <f t="shared" si="125"/>
        <v>MAGDALENA_PIVIJAY</v>
      </c>
      <c r="ED964" s="341"/>
      <c r="EE964" s="341" t="s">
        <v>3197</v>
      </c>
      <c r="EF964" s="349" t="s">
        <v>3198</v>
      </c>
      <c r="EG964" s="341" t="s">
        <v>4187</v>
      </c>
      <c r="EH964" s="341" t="s">
        <v>5235</v>
      </c>
      <c r="EI964" s="341" t="str">
        <f t="shared" si="127"/>
        <v>Tolima_Chaparral</v>
      </c>
    </row>
    <row r="965" spans="1:139" ht="96">
      <c r="A965" s="228">
        <v>40391</v>
      </c>
      <c r="B965" s="102" t="s">
        <v>1440</v>
      </c>
      <c r="C965" s="102" t="s">
        <v>3165</v>
      </c>
      <c r="D965" s="206" t="s">
        <v>1201</v>
      </c>
      <c r="E965" s="320" t="s">
        <v>3893</v>
      </c>
      <c r="F965" s="320"/>
      <c r="G965" s="210"/>
      <c r="H965" s="71"/>
      <c r="I965" s="71"/>
      <c r="J965" s="71">
        <v>6000</v>
      </c>
      <c r="K965" s="71">
        <v>1200</v>
      </c>
      <c r="L965" s="1">
        <v>40477</v>
      </c>
      <c r="M965" s="73">
        <f t="shared" si="128"/>
        <v>40300000</v>
      </c>
      <c r="N965" s="73">
        <f t="shared" si="129"/>
        <v>323000000</v>
      </c>
      <c r="O965" s="73">
        <f t="shared" si="126"/>
        <v>0</v>
      </c>
      <c r="P965" s="73">
        <f t="shared" si="130"/>
        <v>2700480</v>
      </c>
      <c r="Q965" s="73"/>
      <c r="R965" s="73">
        <v>57200000</v>
      </c>
      <c r="S965" s="75">
        <f t="shared" si="123"/>
        <v>423200480</v>
      </c>
      <c r="T965" s="77">
        <v>0</v>
      </c>
      <c r="U965" s="66">
        <v>40396</v>
      </c>
      <c r="V965" s="79">
        <v>39941</v>
      </c>
      <c r="W965" s="66" t="s">
        <v>1606</v>
      </c>
      <c r="X965" s="24" t="s">
        <v>1607</v>
      </c>
      <c r="Y965" s="62">
        <v>39659</v>
      </c>
      <c r="Z965" s="199" t="s">
        <v>822</v>
      </c>
      <c r="AA965" s="80" t="s">
        <v>711</v>
      </c>
      <c r="AB965" s="3"/>
      <c r="AC965" s="4"/>
      <c r="AD965" s="5"/>
      <c r="AE965" s="4"/>
      <c r="AF965" s="4"/>
      <c r="AG965" s="4"/>
      <c r="AH965" s="4"/>
      <c r="AI965" s="4"/>
      <c r="AJ965" s="4"/>
      <c r="AK965" s="4"/>
      <c r="AL965" s="4"/>
      <c r="AM965" s="4"/>
      <c r="AN965" s="4"/>
      <c r="AO965" s="4"/>
      <c r="AP965" s="4"/>
      <c r="AQ965" s="4"/>
      <c r="AR965" s="4"/>
      <c r="AS965" s="4"/>
      <c r="AT965" s="4"/>
      <c r="AU965" s="4"/>
      <c r="AV965" s="4"/>
      <c r="AW965" s="4"/>
      <c r="AX965" s="4"/>
      <c r="AY965" s="4"/>
      <c r="AZ965" s="4">
        <v>500</v>
      </c>
      <c r="BA965" s="4">
        <f>500*25500</f>
        <v>12750000</v>
      </c>
      <c r="BB965" s="4"/>
      <c r="BC965" s="4"/>
      <c r="BD965" s="4"/>
      <c r="BE965" s="4"/>
      <c r="BF965" s="4"/>
      <c r="BG965" s="4"/>
      <c r="BH965" s="4"/>
      <c r="BI965" s="4"/>
      <c r="BJ965" s="4"/>
      <c r="BK965" s="4"/>
      <c r="BL965" s="4"/>
      <c r="BM965" s="4"/>
      <c r="BN965" s="4">
        <v>5</v>
      </c>
      <c r="BO965" s="4">
        <f>5*470000</f>
        <v>2350000</v>
      </c>
      <c r="BP965" s="4"/>
      <c r="BQ965" s="4"/>
      <c r="BR965" s="4"/>
      <c r="BS965" s="4"/>
      <c r="BT965" s="4"/>
      <c r="BU965" s="4"/>
      <c r="BV965" s="4"/>
      <c r="BW965" s="4"/>
      <c r="BX965" s="4"/>
      <c r="BY965" s="4"/>
      <c r="BZ965" s="4"/>
      <c r="CA965" s="4"/>
      <c r="CB965" s="4">
        <f>400+1000</f>
        <v>1400</v>
      </c>
      <c r="CC965" s="4">
        <f>400*18000+1000*18000</f>
        <v>25200000</v>
      </c>
      <c r="CD965" s="6"/>
      <c r="CE965" s="7"/>
      <c r="CF965" s="6"/>
      <c r="CG965" s="7"/>
      <c r="CH965" s="6"/>
      <c r="CI965" s="7"/>
      <c r="CJ965" s="8">
        <f t="shared" si="131"/>
        <v>40300000</v>
      </c>
      <c r="CK965" s="9">
        <v>3000</v>
      </c>
      <c r="CL965" s="10">
        <f>3000*900.16</f>
        <v>2700480</v>
      </c>
      <c r="CM965" s="11">
        <f>400+1200+1000+1200</f>
        <v>3800</v>
      </c>
      <c r="CN965" s="12">
        <f>400*85000+1200*85000+1000*85000+1200*85000</f>
        <v>323000000</v>
      </c>
      <c r="CO965" s="28"/>
      <c r="CP965" s="12"/>
      <c r="CQ965" s="9"/>
      <c r="CR965" s="10"/>
      <c r="CS965" s="68">
        <v>2</v>
      </c>
      <c r="EC965" s="344" t="str">
        <f t="shared" si="125"/>
        <v>MAGDALENA_PUEBLOVIEJO</v>
      </c>
      <c r="ED965" s="341"/>
      <c r="EE965" s="341" t="s">
        <v>3197</v>
      </c>
      <c r="EF965" s="349" t="s">
        <v>3198</v>
      </c>
      <c r="EG965" s="341" t="s">
        <v>4188</v>
      </c>
      <c r="EH965" s="341" t="s">
        <v>5236</v>
      </c>
      <c r="EI965" s="341" t="str">
        <f t="shared" si="127"/>
        <v>Tolima_Coello</v>
      </c>
    </row>
    <row r="966" spans="1:139" ht="48">
      <c r="A966" s="228">
        <v>40391</v>
      </c>
      <c r="B966" s="102" t="s">
        <v>1440</v>
      </c>
      <c r="C966" s="102" t="s">
        <v>1520</v>
      </c>
      <c r="D966" s="206" t="s">
        <v>1201</v>
      </c>
      <c r="E966" s="320" t="s">
        <v>3894</v>
      </c>
      <c r="F966" s="320"/>
      <c r="G966" s="210"/>
      <c r="H966" s="71"/>
      <c r="I966" s="71"/>
      <c r="J966" s="417">
        <f>2226*3.7</f>
        <v>8236.2000000000007</v>
      </c>
      <c r="K966" s="71">
        <v>2226</v>
      </c>
      <c r="L966" s="1"/>
      <c r="M966" s="73">
        <f t="shared" si="128"/>
        <v>98991200</v>
      </c>
      <c r="N966" s="73">
        <f t="shared" si="129"/>
        <v>359040000</v>
      </c>
      <c r="O966" s="73">
        <f t="shared" si="126"/>
        <v>0</v>
      </c>
      <c r="P966" s="73">
        <f t="shared" si="130"/>
        <v>4500800</v>
      </c>
      <c r="Q966" s="73"/>
      <c r="R966" s="73">
        <v>0</v>
      </c>
      <c r="S966" s="75">
        <f t="shared" si="123"/>
        <v>462532000</v>
      </c>
      <c r="T966" s="77">
        <v>0</v>
      </c>
      <c r="U966" s="66">
        <v>40396</v>
      </c>
      <c r="V966" s="79">
        <v>39941</v>
      </c>
      <c r="W966" s="66" t="s">
        <v>1606</v>
      </c>
      <c r="X966" s="24" t="s">
        <v>1607</v>
      </c>
      <c r="Y966" s="62">
        <v>26466</v>
      </c>
      <c r="Z966" s="199" t="s">
        <v>822</v>
      </c>
      <c r="AA966" s="80" t="s">
        <v>1521</v>
      </c>
      <c r="AB966" s="3"/>
      <c r="AC966" s="4"/>
      <c r="AD966" s="5"/>
      <c r="AE966" s="4"/>
      <c r="AF966" s="4"/>
      <c r="AG966" s="4"/>
      <c r="AH966" s="4"/>
      <c r="AI966" s="4"/>
      <c r="AJ966" s="4"/>
      <c r="AK966" s="4"/>
      <c r="AL966" s="4"/>
      <c r="AM966" s="4"/>
      <c r="AN966" s="4">
        <v>500</v>
      </c>
      <c r="AO966" s="4">
        <f>500*56000</f>
        <v>28000000</v>
      </c>
      <c r="AP966" s="4"/>
      <c r="AQ966" s="4"/>
      <c r="AR966" s="4"/>
      <c r="AS966" s="4"/>
      <c r="AT966" s="4"/>
      <c r="AU966" s="4"/>
      <c r="AV966" s="4"/>
      <c r="AW966" s="4"/>
      <c r="AX966" s="4"/>
      <c r="AY966" s="4"/>
      <c r="AZ966" s="4">
        <v>500</v>
      </c>
      <c r="BA966" s="4">
        <f>500*25500</f>
        <v>12750000</v>
      </c>
      <c r="BB966" s="4"/>
      <c r="BC966" s="4"/>
      <c r="BD966" s="4"/>
      <c r="BE966" s="4"/>
      <c r="BF966" s="4"/>
      <c r="BG966" s="4"/>
      <c r="BH966" s="4"/>
      <c r="BI966" s="4"/>
      <c r="BJ966" s="4"/>
      <c r="BK966" s="4"/>
      <c r="BL966" s="4"/>
      <c r="BM966" s="4"/>
      <c r="BN966" s="4">
        <f>8+18</f>
        <v>26</v>
      </c>
      <c r="BO966" s="4">
        <f>3*510400+5*450000+18*470000</f>
        <v>12241200</v>
      </c>
      <c r="BP966" s="4"/>
      <c r="BQ966" s="4"/>
      <c r="BR966" s="4"/>
      <c r="BS966" s="4"/>
      <c r="BT966" s="4"/>
      <c r="BU966" s="4"/>
      <c r="BV966" s="4"/>
      <c r="BW966" s="4"/>
      <c r="BX966" s="4"/>
      <c r="BY966" s="4"/>
      <c r="BZ966" s="4"/>
      <c r="CA966" s="4"/>
      <c r="CB966" s="4">
        <v>500</v>
      </c>
      <c r="CC966" s="4">
        <f>500*18000</f>
        <v>9000000</v>
      </c>
      <c r="CD966" s="6">
        <v>1000</v>
      </c>
      <c r="CE966" s="7">
        <f>1000*37000</f>
        <v>37000000</v>
      </c>
      <c r="CF966" s="6"/>
      <c r="CG966" s="7"/>
      <c r="CH966" s="6"/>
      <c r="CI966" s="7"/>
      <c r="CJ966" s="8">
        <f t="shared" si="131"/>
        <v>98991200</v>
      </c>
      <c r="CK966" s="9">
        <v>5000</v>
      </c>
      <c r="CL966" s="10">
        <f>5000*900.16</f>
        <v>4500800</v>
      </c>
      <c r="CM966" s="11">
        <f>500+1500+2224</f>
        <v>4224</v>
      </c>
      <c r="CN966" s="12">
        <f>500*85000+1500*85000+2224*85000</f>
        <v>359040000</v>
      </c>
      <c r="CO966" s="28"/>
      <c r="CP966" s="12"/>
      <c r="CQ966" s="9"/>
      <c r="CR966" s="10"/>
      <c r="CS966" s="68"/>
      <c r="CT966" s="22">
        <v>1211</v>
      </c>
      <c r="EC966" s="344" t="str">
        <f t="shared" si="125"/>
        <v>MAGDALENA_REMOLINO</v>
      </c>
      <c r="ED966" s="341"/>
      <c r="EE966" s="341" t="s">
        <v>3197</v>
      </c>
      <c r="EF966" s="349" t="s">
        <v>3198</v>
      </c>
      <c r="EG966" s="341" t="s">
        <v>4189</v>
      </c>
      <c r="EH966" s="341" t="s">
        <v>5237</v>
      </c>
      <c r="EI966" s="341" t="str">
        <f t="shared" si="127"/>
        <v>Tolima_Coyaima</v>
      </c>
    </row>
    <row r="967" spans="1:139" s="19" customFormat="1" ht="76.5">
      <c r="A967" s="228">
        <v>40391</v>
      </c>
      <c r="B967" s="102" t="s">
        <v>1440</v>
      </c>
      <c r="C967" s="102" t="s">
        <v>3166</v>
      </c>
      <c r="D967" s="206" t="s">
        <v>1201</v>
      </c>
      <c r="E967" s="320" t="s">
        <v>3897</v>
      </c>
      <c r="F967" s="320"/>
      <c r="G967" s="210"/>
      <c r="H967" s="71"/>
      <c r="I967" s="71"/>
      <c r="J967" s="71">
        <v>13500</v>
      </c>
      <c r="K967" s="71">
        <v>2700</v>
      </c>
      <c r="L967" s="1">
        <v>40466</v>
      </c>
      <c r="M967" s="73">
        <f t="shared" si="128"/>
        <v>126431600</v>
      </c>
      <c r="N967" s="73">
        <f t="shared" si="129"/>
        <v>555050000</v>
      </c>
      <c r="O967" s="73">
        <f t="shared" si="126"/>
        <v>0</v>
      </c>
      <c r="P967" s="73">
        <f t="shared" si="130"/>
        <v>1800320</v>
      </c>
      <c r="Q967" s="73">
        <f>49000000*1.16</f>
        <v>56839999.999999993</v>
      </c>
      <c r="R967" s="73">
        <v>0</v>
      </c>
      <c r="S967" s="75">
        <f t="shared" si="123"/>
        <v>740121920</v>
      </c>
      <c r="T967" s="77">
        <v>0</v>
      </c>
      <c r="U967" s="66">
        <v>40396</v>
      </c>
      <c r="V967" s="79">
        <v>39941</v>
      </c>
      <c r="W967" s="66" t="s">
        <v>1606</v>
      </c>
      <c r="X967" s="24" t="s">
        <v>1607</v>
      </c>
      <c r="Y967" s="62">
        <v>21463</v>
      </c>
      <c r="Z967" s="199" t="s">
        <v>822</v>
      </c>
      <c r="AA967" s="80" t="s">
        <v>3</v>
      </c>
      <c r="AB967" s="3"/>
      <c r="AC967" s="4"/>
      <c r="AD967" s="5"/>
      <c r="AE967" s="4"/>
      <c r="AF967" s="4"/>
      <c r="AG967" s="4"/>
      <c r="AH967" s="4"/>
      <c r="AI967" s="4"/>
      <c r="AJ967" s="4"/>
      <c r="AK967" s="4"/>
      <c r="AL967" s="4"/>
      <c r="AM967" s="4"/>
      <c r="AN967" s="4"/>
      <c r="AO967" s="4"/>
      <c r="AP967" s="4"/>
      <c r="AQ967" s="4"/>
      <c r="AR967" s="4"/>
      <c r="AS967" s="4"/>
      <c r="AT967" s="4"/>
      <c r="AU967" s="4"/>
      <c r="AV967" s="4"/>
      <c r="AW967" s="4"/>
      <c r="AX967" s="4"/>
      <c r="AY967" s="4"/>
      <c r="AZ967" s="4">
        <f>500+200</f>
        <v>700</v>
      </c>
      <c r="BA967" s="4">
        <f>500*25500+200*25500</f>
        <v>17850000</v>
      </c>
      <c r="BB967" s="4"/>
      <c r="BC967" s="4"/>
      <c r="BD967" s="4"/>
      <c r="BE967" s="4"/>
      <c r="BF967" s="4"/>
      <c r="BG967" s="4"/>
      <c r="BH967" s="4"/>
      <c r="BI967" s="4"/>
      <c r="BJ967" s="4"/>
      <c r="BK967" s="4"/>
      <c r="BL967" s="4"/>
      <c r="BM967" s="4"/>
      <c r="BN967" s="4">
        <f>3+4+20+55</f>
        <v>82</v>
      </c>
      <c r="BO967" s="4">
        <f>3*450000+4*510400+20*470000+55*470000</f>
        <v>38641600</v>
      </c>
      <c r="BP967" s="4"/>
      <c r="BQ967" s="4"/>
      <c r="BR967" s="4"/>
      <c r="BS967" s="4"/>
      <c r="BT967" s="4"/>
      <c r="BU967" s="4"/>
      <c r="BV967" s="4"/>
      <c r="BW967" s="4"/>
      <c r="BX967" s="4"/>
      <c r="BY967" s="4"/>
      <c r="BZ967" s="4"/>
      <c r="CA967" s="4"/>
      <c r="CB967" s="4">
        <f>500+1030+300</f>
        <v>1830</v>
      </c>
      <c r="CC967" s="4">
        <f>500*18000+1030*18000+300*18000</f>
        <v>32940000</v>
      </c>
      <c r="CD967" s="6">
        <v>1000</v>
      </c>
      <c r="CE967" s="7">
        <f>1000*37000</f>
        <v>37000000</v>
      </c>
      <c r="CF967" s="6"/>
      <c r="CG967" s="7"/>
      <c r="CH967" s="6"/>
      <c r="CI967" s="7"/>
      <c r="CJ967" s="8">
        <f t="shared" si="131"/>
        <v>126431600</v>
      </c>
      <c r="CK967" s="9">
        <v>2000</v>
      </c>
      <c r="CL967" s="10">
        <f>2000*900.16</f>
        <v>1800320</v>
      </c>
      <c r="CM967" s="11">
        <f>1030+1000+1800+2700</f>
        <v>6530</v>
      </c>
      <c r="CN967" s="12">
        <f>1030*85000+1000*85000+1800*85000+2700*85000</f>
        <v>555050000</v>
      </c>
      <c r="CO967" s="28"/>
      <c r="CP967" s="12"/>
      <c r="CQ967" s="9"/>
      <c r="CR967" s="10"/>
      <c r="CS967" s="68"/>
      <c r="CT967" s="22"/>
      <c r="EC967" s="344" t="str">
        <f t="shared" si="125"/>
        <v>MAGDALENA_SAN SEBASTIAN DE BUENAVISTA</v>
      </c>
      <c r="ED967" s="341"/>
      <c r="EE967" s="341" t="s">
        <v>3197</v>
      </c>
      <c r="EF967" s="349" t="s">
        <v>3198</v>
      </c>
      <c r="EG967" s="341" t="s">
        <v>4190</v>
      </c>
      <c r="EH967" s="341" t="s">
        <v>5238</v>
      </c>
      <c r="EI967" s="341" t="str">
        <f t="shared" si="127"/>
        <v>Tolima_Cunday</v>
      </c>
    </row>
    <row r="968" spans="1:139" ht="51">
      <c r="A968" s="228">
        <v>40391</v>
      </c>
      <c r="B968" s="102" t="s">
        <v>1440</v>
      </c>
      <c r="C968" s="102" t="s">
        <v>1478</v>
      </c>
      <c r="D968" s="206" t="s">
        <v>1201</v>
      </c>
      <c r="E968" s="320" t="s">
        <v>3900</v>
      </c>
      <c r="F968" s="320"/>
      <c r="G968" s="210"/>
      <c r="H968" s="71"/>
      <c r="I968" s="71"/>
      <c r="J968" s="71">
        <v>3600</v>
      </c>
      <c r="K968" s="71">
        <v>720</v>
      </c>
      <c r="L968" s="1"/>
      <c r="M968" s="73">
        <f t="shared" si="128"/>
        <v>12763200</v>
      </c>
      <c r="N968" s="73">
        <f t="shared" si="129"/>
        <v>53040000</v>
      </c>
      <c r="O968" s="73">
        <f t="shared" si="126"/>
        <v>0</v>
      </c>
      <c r="P968" s="73">
        <f t="shared" si="130"/>
        <v>4500800</v>
      </c>
      <c r="Q968" s="73"/>
      <c r="R968" s="73">
        <v>0</v>
      </c>
      <c r="S968" s="75">
        <f t="shared" si="123"/>
        <v>70304000</v>
      </c>
      <c r="T968" s="77">
        <v>0</v>
      </c>
      <c r="U968" s="66">
        <v>40396</v>
      </c>
      <c r="V968" s="79">
        <v>39941</v>
      </c>
      <c r="W968" s="66" t="s">
        <v>1606</v>
      </c>
      <c r="X968" s="24" t="s">
        <v>1607</v>
      </c>
      <c r="Y968" s="62"/>
      <c r="Z968" s="199" t="s">
        <v>822</v>
      </c>
      <c r="AA968" s="80" t="s">
        <v>1479</v>
      </c>
      <c r="AB968" s="3"/>
      <c r="AC968" s="4"/>
      <c r="AD968" s="5"/>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v>3</v>
      </c>
      <c r="BO968" s="4">
        <f>3*510400</f>
        <v>1531200</v>
      </c>
      <c r="BP968" s="4"/>
      <c r="BQ968" s="4"/>
      <c r="BR968" s="4"/>
      <c r="BS968" s="4"/>
      <c r="BT968" s="4"/>
      <c r="BU968" s="4"/>
      <c r="BV968" s="4"/>
      <c r="BW968" s="4"/>
      <c r="BX968" s="4"/>
      <c r="BY968" s="4"/>
      <c r="BZ968" s="4"/>
      <c r="CA968" s="4"/>
      <c r="CB968" s="4">
        <v>624</v>
      </c>
      <c r="CC968" s="4">
        <f>624*18000</f>
        <v>11232000</v>
      </c>
      <c r="CD968" s="6"/>
      <c r="CE968" s="7"/>
      <c r="CF968" s="6"/>
      <c r="CG968" s="7"/>
      <c r="CH968" s="6"/>
      <c r="CI968" s="7"/>
      <c r="CJ968" s="8">
        <f t="shared" si="131"/>
        <v>12763200</v>
      </c>
      <c r="CK968" s="9">
        <v>5000</v>
      </c>
      <c r="CL968" s="10">
        <f>5000*900.16</f>
        <v>4500800</v>
      </c>
      <c r="CM968" s="11">
        <v>624</v>
      </c>
      <c r="CN968" s="12">
        <f>624*85000</f>
        <v>53040000</v>
      </c>
      <c r="CO968" s="28"/>
      <c r="CP968" s="12"/>
      <c r="CQ968" s="9"/>
      <c r="CR968" s="10"/>
      <c r="CS968" s="68"/>
      <c r="EC968" s="344" t="str">
        <f t="shared" si="125"/>
        <v>MAGDALENA_SANTA BARBARA DE PINTO</v>
      </c>
      <c r="ED968" s="341"/>
      <c r="EE968" s="341" t="s">
        <v>3197</v>
      </c>
      <c r="EF968" s="349" t="s">
        <v>3198</v>
      </c>
      <c r="EG968" s="341" t="s">
        <v>4191</v>
      </c>
      <c r="EH968" s="341" t="s">
        <v>5239</v>
      </c>
      <c r="EI968" s="341" t="str">
        <f t="shared" si="127"/>
        <v>Tolima_Dolores</v>
      </c>
    </row>
    <row r="969" spans="1:139" ht="72">
      <c r="A969" s="228">
        <v>40391</v>
      </c>
      <c r="B969" s="102" t="s">
        <v>1440</v>
      </c>
      <c r="C969" s="102" t="s">
        <v>3167</v>
      </c>
      <c r="D969" s="206" t="s">
        <v>1201</v>
      </c>
      <c r="E969" s="320" t="s">
        <v>3901</v>
      </c>
      <c r="F969" s="320"/>
      <c r="G969" s="210"/>
      <c r="H969" s="71"/>
      <c r="I969" s="71"/>
      <c r="J969" s="71">
        <v>19005</v>
      </c>
      <c r="K969" s="71">
        <v>3801</v>
      </c>
      <c r="L969" s="1">
        <v>40458</v>
      </c>
      <c r="M969" s="73">
        <f t="shared" si="128"/>
        <v>28081200</v>
      </c>
      <c r="N969" s="73">
        <f t="shared" si="129"/>
        <v>259250000</v>
      </c>
      <c r="O969" s="73">
        <f t="shared" si="126"/>
        <v>0</v>
      </c>
      <c r="P969" s="73">
        <f t="shared" si="130"/>
        <v>2700480</v>
      </c>
      <c r="Q969" s="73"/>
      <c r="R969" s="73">
        <v>0</v>
      </c>
      <c r="S969" s="75">
        <f t="shared" ref="S969:S1032" si="132">M969+N969+O969+P969+Q969+R969</f>
        <v>290031680</v>
      </c>
      <c r="T969" s="77">
        <v>0</v>
      </c>
      <c r="U969" s="66">
        <v>40396</v>
      </c>
      <c r="V969" s="79">
        <v>39941</v>
      </c>
      <c r="W969" s="66" t="s">
        <v>1606</v>
      </c>
      <c r="X969" s="24" t="s">
        <v>1607</v>
      </c>
      <c r="Y969" s="83" t="s">
        <v>241</v>
      </c>
      <c r="Z969" s="199" t="s">
        <v>2310</v>
      </c>
      <c r="AA969" s="80" t="s">
        <v>705</v>
      </c>
      <c r="AB969" s="3"/>
      <c r="AC969" s="4"/>
      <c r="AD969" s="5"/>
      <c r="AE969" s="4"/>
      <c r="AF969" s="4"/>
      <c r="AG969" s="4"/>
      <c r="AH969" s="4"/>
      <c r="AI969" s="4"/>
      <c r="AJ969" s="4"/>
      <c r="AK969" s="4"/>
      <c r="AL969" s="4"/>
      <c r="AM969" s="4"/>
      <c r="AN969" s="4"/>
      <c r="AO969" s="4"/>
      <c r="AP969" s="4"/>
      <c r="AQ969" s="4"/>
      <c r="AR969" s="4"/>
      <c r="AS969" s="4"/>
      <c r="AT969" s="4"/>
      <c r="AU969" s="4"/>
      <c r="AV969" s="4"/>
      <c r="AW969" s="4"/>
      <c r="AX969" s="4"/>
      <c r="AY969" s="4"/>
      <c r="AZ969" s="4">
        <v>100</v>
      </c>
      <c r="BA969" s="4">
        <f>100*25500</f>
        <v>2550000</v>
      </c>
      <c r="BB969" s="4"/>
      <c r="BC969" s="4"/>
      <c r="BD969" s="4"/>
      <c r="BE969" s="4"/>
      <c r="BF969" s="4"/>
      <c r="BG969" s="4"/>
      <c r="BH969" s="4"/>
      <c r="BI969" s="4"/>
      <c r="BJ969" s="4"/>
      <c r="BK969" s="4"/>
      <c r="BL969" s="4"/>
      <c r="BM969" s="4"/>
      <c r="BN969" s="4">
        <f>3+30</f>
        <v>33</v>
      </c>
      <c r="BO969" s="4">
        <f>3*510400+30*470000</f>
        <v>15631200</v>
      </c>
      <c r="BP969" s="4"/>
      <c r="BQ969" s="4"/>
      <c r="BR969" s="4"/>
      <c r="BS969" s="4"/>
      <c r="BT969" s="4"/>
      <c r="BU969" s="4"/>
      <c r="BV969" s="4"/>
      <c r="BW969" s="4"/>
      <c r="BX969" s="4"/>
      <c r="BY969" s="4"/>
      <c r="BZ969" s="4"/>
      <c r="CA969" s="4"/>
      <c r="CB969" s="4">
        <v>550</v>
      </c>
      <c r="CC969" s="4">
        <f>550*18000</f>
        <v>9900000</v>
      </c>
      <c r="CD969" s="6"/>
      <c r="CE969" s="7"/>
      <c r="CF969" s="6"/>
      <c r="CG969" s="7"/>
      <c r="CH969" s="6"/>
      <c r="CI969" s="7"/>
      <c r="CJ969" s="8">
        <f t="shared" si="131"/>
        <v>28081200</v>
      </c>
      <c r="CK969" s="9">
        <v>3000</v>
      </c>
      <c r="CL969" s="10">
        <f>3000*900.16</f>
        <v>2700480</v>
      </c>
      <c r="CM969" s="11">
        <f>1200-550+1000+1400</f>
        <v>3050</v>
      </c>
      <c r="CN969" s="12">
        <f>1200*85000-550*85000+1000*85000+1400*85000</f>
        <v>259250000</v>
      </c>
      <c r="CO969" s="28"/>
      <c r="CP969" s="12"/>
      <c r="CQ969" s="9"/>
      <c r="CR969" s="10"/>
      <c r="CS969" s="68"/>
      <c r="EC969" s="344" t="str">
        <f t="shared" si="125"/>
        <v>MAGDALENA_SITIONUEVO</v>
      </c>
      <c r="ED969" s="341"/>
      <c r="EE969" s="341" t="s">
        <v>3197</v>
      </c>
      <c r="EF969" s="349" t="s">
        <v>3198</v>
      </c>
      <c r="EG969" s="341" t="s">
        <v>4192</v>
      </c>
      <c r="EH969" s="341" t="s">
        <v>5240</v>
      </c>
      <c r="EI969" s="341" t="str">
        <f t="shared" si="127"/>
        <v>Tolima_Espinal</v>
      </c>
    </row>
    <row r="970" spans="1:139" ht="108">
      <c r="A970" s="228">
        <v>40391</v>
      </c>
      <c r="B970" s="102" t="s">
        <v>1440</v>
      </c>
      <c r="C970" s="102" t="s">
        <v>1481</v>
      </c>
      <c r="D970" s="206" t="s">
        <v>1201</v>
      </c>
      <c r="E970" s="320" t="s">
        <v>3902</v>
      </c>
      <c r="F970" s="320"/>
      <c r="G970" s="210"/>
      <c r="H970" s="71"/>
      <c r="I970" s="71"/>
      <c r="J970" s="71">
        <f>6000-840</f>
        <v>5160</v>
      </c>
      <c r="K970" s="71">
        <f>1200-168</f>
        <v>1032</v>
      </c>
      <c r="L970" s="1">
        <v>40504</v>
      </c>
      <c r="M970" s="73">
        <f t="shared" si="128"/>
        <v>87101481.799999997</v>
      </c>
      <c r="N970" s="73">
        <f t="shared" si="129"/>
        <v>199750000</v>
      </c>
      <c r="O970" s="73">
        <f t="shared" si="126"/>
        <v>0</v>
      </c>
      <c r="P970" s="73">
        <f t="shared" si="130"/>
        <v>1800320</v>
      </c>
      <c r="Q970" s="73">
        <v>54288000</v>
      </c>
      <c r="R970" s="73">
        <v>100823920</v>
      </c>
      <c r="S970" s="75">
        <f t="shared" si="132"/>
        <v>443763721.80000001</v>
      </c>
      <c r="T970" s="77">
        <v>0</v>
      </c>
      <c r="U970" s="66">
        <v>40396</v>
      </c>
      <c r="V970" s="79">
        <v>39941</v>
      </c>
      <c r="W970" s="66" t="s">
        <v>1606</v>
      </c>
      <c r="X970" s="24" t="s">
        <v>1607</v>
      </c>
      <c r="Y970" s="62">
        <v>44002</v>
      </c>
      <c r="Z970" s="199" t="s">
        <v>822</v>
      </c>
      <c r="AA970" s="87" t="s">
        <v>2131</v>
      </c>
      <c r="AB970" s="3"/>
      <c r="AC970" s="4"/>
      <c r="AD970" s="5"/>
      <c r="AE970" s="4"/>
      <c r="AF970" s="4"/>
      <c r="AG970" s="4"/>
      <c r="AH970" s="4"/>
      <c r="AI970" s="4"/>
      <c r="AJ970" s="4"/>
      <c r="AK970" s="4"/>
      <c r="AL970" s="4"/>
      <c r="AM970" s="4"/>
      <c r="AN970" s="4">
        <v>700</v>
      </c>
      <c r="AO970" s="4">
        <f>700*56000</f>
        <v>39200000</v>
      </c>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f>7+10</f>
        <v>17</v>
      </c>
      <c r="BO970" s="4">
        <f>2*510400+5*450000+10*470000</f>
        <v>7970800</v>
      </c>
      <c r="BP970" s="4"/>
      <c r="BQ970" s="4"/>
      <c r="BR970" s="4"/>
      <c r="BS970" s="4"/>
      <c r="BT970" s="4"/>
      <c r="BU970" s="4"/>
      <c r="BV970" s="4"/>
      <c r="BW970" s="4"/>
      <c r="BX970" s="4">
        <v>700</v>
      </c>
      <c r="BY970" s="4">
        <f>700*21000</f>
        <v>14700000</v>
      </c>
      <c r="BZ970" s="4"/>
      <c r="CA970" s="4"/>
      <c r="CB970" s="4">
        <v>550</v>
      </c>
      <c r="CC970" s="4">
        <f>550*18000</f>
        <v>9900000</v>
      </c>
      <c r="CD970" s="6"/>
      <c r="CE970" s="7"/>
      <c r="CF970" s="6">
        <v>1</v>
      </c>
      <c r="CG970" s="7">
        <f>3*500000.6+13830680</f>
        <v>15330681.800000001</v>
      </c>
      <c r="CH970" s="6"/>
      <c r="CI970" s="7"/>
      <c r="CJ970" s="8">
        <f t="shared" si="131"/>
        <v>87101481.799999997</v>
      </c>
      <c r="CK970" s="9">
        <v>2000</v>
      </c>
      <c r="CL970" s="10">
        <f>2000*900.16</f>
        <v>1800320</v>
      </c>
      <c r="CM970" s="11">
        <f>550+1800</f>
        <v>2350</v>
      </c>
      <c r="CN970" s="12">
        <f>550*85000+1800*85000</f>
        <v>199750000</v>
      </c>
      <c r="CO970" s="28"/>
      <c r="CP970" s="12"/>
      <c r="CQ970" s="9"/>
      <c r="CR970" s="10"/>
      <c r="CS970" s="68">
        <v>2</v>
      </c>
      <c r="CT970" s="240" t="s">
        <v>1130</v>
      </c>
      <c r="EC970" s="344" t="str">
        <f t="shared" si="125"/>
        <v>MAGDALENA_TENERIFE</v>
      </c>
      <c r="ED970" s="341"/>
      <c r="EE970" s="341" t="s">
        <v>3197</v>
      </c>
      <c r="EF970" s="349" t="s">
        <v>3198</v>
      </c>
      <c r="EG970" s="341" t="s">
        <v>4193</v>
      </c>
      <c r="EH970" s="341" t="s">
        <v>5241</v>
      </c>
      <c r="EI970" s="341" t="str">
        <f t="shared" si="127"/>
        <v>Tolima_Falan</v>
      </c>
    </row>
    <row r="971" spans="1:139" ht="60">
      <c r="A971" s="228">
        <v>40391</v>
      </c>
      <c r="B971" s="102" t="s">
        <v>1440</v>
      </c>
      <c r="C971" s="102" t="s">
        <v>1475</v>
      </c>
      <c r="D971" s="206" t="s">
        <v>1201</v>
      </c>
      <c r="E971" s="320" t="s">
        <v>3903</v>
      </c>
      <c r="F971" s="320"/>
      <c r="G971" s="210"/>
      <c r="H971" s="71"/>
      <c r="I971" s="71"/>
      <c r="J971" s="71">
        <v>6000</v>
      </c>
      <c r="K971" s="71">
        <v>1200</v>
      </c>
      <c r="L971" s="1">
        <v>40536</v>
      </c>
      <c r="M971" s="73">
        <f t="shared" si="128"/>
        <v>35197200</v>
      </c>
      <c r="N971" s="73">
        <f t="shared" si="129"/>
        <v>313395000</v>
      </c>
      <c r="O971" s="73">
        <f t="shared" si="126"/>
        <v>0</v>
      </c>
      <c r="P971" s="73">
        <f t="shared" si="130"/>
        <v>4500800</v>
      </c>
      <c r="Q971" s="73"/>
      <c r="R971" s="73">
        <v>0</v>
      </c>
      <c r="S971" s="75">
        <f t="shared" si="132"/>
        <v>353093000</v>
      </c>
      <c r="T971" s="77">
        <v>0</v>
      </c>
      <c r="U971" s="66">
        <v>40396</v>
      </c>
      <c r="V971" s="79">
        <v>39941</v>
      </c>
      <c r="W971" s="66" t="s">
        <v>1606</v>
      </c>
      <c r="X971" s="24" t="s">
        <v>1607</v>
      </c>
      <c r="Y971" s="62"/>
      <c r="Z971" s="199" t="s">
        <v>822</v>
      </c>
      <c r="AA971" s="80" t="s">
        <v>706</v>
      </c>
      <c r="AB971" s="3"/>
      <c r="AC971" s="4"/>
      <c r="AD971" s="5"/>
      <c r="AE971" s="4"/>
      <c r="AF971" s="4"/>
      <c r="AG971" s="4"/>
      <c r="AH971" s="4"/>
      <c r="AI971" s="4"/>
      <c r="AJ971" s="4"/>
      <c r="AK971" s="4"/>
      <c r="AL971" s="4"/>
      <c r="AM971" s="4"/>
      <c r="AN971" s="4"/>
      <c r="AO971" s="4"/>
      <c r="AP971" s="4"/>
      <c r="AQ971" s="4"/>
      <c r="AR971" s="4"/>
      <c r="AS971" s="4"/>
      <c r="AT971" s="4"/>
      <c r="AU971" s="4"/>
      <c r="AV971" s="4"/>
      <c r="AW971" s="4"/>
      <c r="AX971" s="4"/>
      <c r="AY971" s="4"/>
      <c r="AZ971" s="4">
        <v>200</v>
      </c>
      <c r="BA971" s="4">
        <f>200*25500</f>
        <v>5100000</v>
      </c>
      <c r="BB971" s="4"/>
      <c r="BC971" s="4"/>
      <c r="BD971" s="4"/>
      <c r="BE971" s="4"/>
      <c r="BF971" s="4"/>
      <c r="BG971" s="4"/>
      <c r="BH971" s="4"/>
      <c r="BI971" s="4"/>
      <c r="BJ971" s="4"/>
      <c r="BK971" s="4"/>
      <c r="BL971" s="4"/>
      <c r="BM971" s="4"/>
      <c r="BN971" s="4">
        <f>3+5+18</f>
        <v>26</v>
      </c>
      <c r="BO971" s="4">
        <f>3*510400+5*468000+18*470000</f>
        <v>12331200</v>
      </c>
      <c r="BP971" s="4"/>
      <c r="BQ971" s="4"/>
      <c r="BR971" s="4"/>
      <c r="BS971" s="4"/>
      <c r="BT971" s="4"/>
      <c r="BU971" s="4"/>
      <c r="BV971" s="4"/>
      <c r="BW971" s="4"/>
      <c r="BX971" s="4"/>
      <c r="BY971" s="4"/>
      <c r="BZ971" s="4"/>
      <c r="CA971" s="4"/>
      <c r="CB971" s="4">
        <f>687+300</f>
        <v>987</v>
      </c>
      <c r="CC971" s="4">
        <f>687*18000+300*18000</f>
        <v>17766000</v>
      </c>
      <c r="CD971" s="6"/>
      <c r="CE971" s="7"/>
      <c r="CF971" s="6"/>
      <c r="CG971" s="7"/>
      <c r="CH971" s="6"/>
      <c r="CI971" s="7"/>
      <c r="CJ971" s="8">
        <f t="shared" si="131"/>
        <v>35197200</v>
      </c>
      <c r="CK971" s="9">
        <v>5000</v>
      </c>
      <c r="CL971" s="10">
        <f>5000*900.16</f>
        <v>4500800</v>
      </c>
      <c r="CM971" s="11">
        <f>687+1800+1200</f>
        <v>3687</v>
      </c>
      <c r="CN971" s="12">
        <f>687*85000+1800*85000+1200*85000</f>
        <v>313395000</v>
      </c>
      <c r="CO971" s="28"/>
      <c r="CP971" s="12"/>
      <c r="CQ971" s="9"/>
      <c r="CR971" s="10"/>
      <c r="CS971" s="68"/>
      <c r="EC971" s="344" t="str">
        <f t="shared" si="125"/>
        <v>MAGDALENA_ZAPAYAN</v>
      </c>
      <c r="ED971" s="341"/>
      <c r="EE971" s="341" t="s">
        <v>3197</v>
      </c>
      <c r="EF971" s="349" t="s">
        <v>3198</v>
      </c>
      <c r="EG971" s="341" t="s">
        <v>4194</v>
      </c>
      <c r="EH971" s="341" t="s">
        <v>5242</v>
      </c>
      <c r="EI971" s="341" t="str">
        <f t="shared" si="127"/>
        <v>Tolima_Flandes</v>
      </c>
    </row>
    <row r="972" spans="1:139" ht="38.25">
      <c r="A972" s="228">
        <v>40391</v>
      </c>
      <c r="B972" s="102" t="s">
        <v>1440</v>
      </c>
      <c r="C972" s="102" t="s">
        <v>977</v>
      </c>
      <c r="D972" s="206" t="s">
        <v>1201</v>
      </c>
      <c r="E972" s="320" t="s">
        <v>3904</v>
      </c>
      <c r="F972" s="320"/>
      <c r="G972" s="210"/>
      <c r="H972" s="71"/>
      <c r="I972" s="71"/>
      <c r="J972" s="71">
        <v>225</v>
      </c>
      <c r="K972" s="71">
        <v>45</v>
      </c>
      <c r="L972" s="1"/>
      <c r="M972" s="73">
        <f t="shared" si="128"/>
        <v>0</v>
      </c>
      <c r="N972" s="73">
        <f t="shared" si="129"/>
        <v>0</v>
      </c>
      <c r="O972" s="73">
        <f t="shared" si="126"/>
        <v>0</v>
      </c>
      <c r="P972" s="73">
        <f t="shared" si="130"/>
        <v>0</v>
      </c>
      <c r="Q972" s="73"/>
      <c r="R972" s="73">
        <v>0</v>
      </c>
      <c r="S972" s="75">
        <f t="shared" si="132"/>
        <v>0</v>
      </c>
      <c r="T972" s="77">
        <v>0</v>
      </c>
      <c r="U972" s="66">
        <v>40413</v>
      </c>
      <c r="V972" s="79"/>
      <c r="W972" s="66" t="s">
        <v>1585</v>
      </c>
      <c r="X972" s="24" t="s">
        <v>1586</v>
      </c>
      <c r="Y972" s="62"/>
      <c r="Z972" s="177" t="s">
        <v>894</v>
      </c>
      <c r="AA972" s="82" t="s">
        <v>192</v>
      </c>
      <c r="AB972" s="105"/>
      <c r="AC972" s="4"/>
      <c r="AD972" s="5"/>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6"/>
      <c r="CE972" s="7"/>
      <c r="CF972" s="6"/>
      <c r="CG972" s="7"/>
      <c r="CH972" s="6"/>
      <c r="CI972" s="7"/>
      <c r="CJ972" s="8">
        <f t="shared" si="131"/>
        <v>0</v>
      </c>
      <c r="CK972" s="9"/>
      <c r="CL972" s="10"/>
      <c r="CM972" s="11"/>
      <c r="CN972" s="12"/>
      <c r="CO972" s="28"/>
      <c r="CP972" s="12"/>
      <c r="CQ972" s="9"/>
      <c r="CR972" s="10"/>
      <c r="CS972" s="68"/>
      <c r="EC972" s="344" t="str">
        <f t="shared" si="125"/>
        <v>MAGDALENA_ZONA BANANERA</v>
      </c>
      <c r="ED972" s="341"/>
      <c r="EE972" s="341" t="s">
        <v>3197</v>
      </c>
      <c r="EF972" s="349" t="s">
        <v>3198</v>
      </c>
      <c r="EG972" s="341" t="s">
        <v>4195</v>
      </c>
      <c r="EH972" s="341" t="s">
        <v>5243</v>
      </c>
      <c r="EI972" s="341" t="str">
        <f t="shared" si="127"/>
        <v>Tolima_Fresno</v>
      </c>
    </row>
    <row r="973" spans="1:139" ht="38.25">
      <c r="A973" s="228">
        <v>40391</v>
      </c>
      <c r="B973" s="102" t="s">
        <v>396</v>
      </c>
      <c r="C973" s="102" t="s">
        <v>1350</v>
      </c>
      <c r="D973" s="206" t="s">
        <v>1201</v>
      </c>
      <c r="E973" s="320" t="s">
        <v>3907</v>
      </c>
      <c r="F973" s="320"/>
      <c r="G973" s="210"/>
      <c r="H973" s="71"/>
      <c r="I973" s="71"/>
      <c r="J973" s="71">
        <f>438-121</f>
        <v>317</v>
      </c>
      <c r="K973" s="71">
        <v>72</v>
      </c>
      <c r="L973" s="1"/>
      <c r="M973" s="73">
        <f t="shared" si="128"/>
        <v>0</v>
      </c>
      <c r="N973" s="73">
        <f t="shared" si="129"/>
        <v>0</v>
      </c>
      <c r="O973" s="73">
        <f t="shared" si="126"/>
        <v>0</v>
      </c>
      <c r="P973" s="73">
        <f t="shared" si="130"/>
        <v>0</v>
      </c>
      <c r="Q973" s="73"/>
      <c r="R973" s="73">
        <v>0</v>
      </c>
      <c r="S973" s="75">
        <f t="shared" si="132"/>
        <v>0</v>
      </c>
      <c r="T973" s="77">
        <v>0</v>
      </c>
      <c r="U973" s="66">
        <v>40393</v>
      </c>
      <c r="V973" s="79"/>
      <c r="W973" s="66" t="s">
        <v>1585</v>
      </c>
      <c r="X973" s="24" t="s">
        <v>1586</v>
      </c>
      <c r="Y973" s="62"/>
      <c r="Z973" s="177" t="s">
        <v>894</v>
      </c>
      <c r="AA973" s="80" t="s">
        <v>693</v>
      </c>
      <c r="AB973" s="3"/>
      <c r="AC973" s="4"/>
      <c r="AD973" s="5"/>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6"/>
      <c r="CE973" s="7"/>
      <c r="CF973" s="6"/>
      <c r="CG973" s="7"/>
      <c r="CH973" s="6"/>
      <c r="CI973" s="7"/>
      <c r="CJ973" s="8">
        <f t="shared" si="131"/>
        <v>0</v>
      </c>
      <c r="CK973" s="9"/>
      <c r="CL973" s="10"/>
      <c r="CM973" s="11"/>
      <c r="CN973" s="12"/>
      <c r="CO973" s="28"/>
      <c r="CP973" s="12"/>
      <c r="CQ973" s="9"/>
      <c r="CR973" s="10"/>
      <c r="CS973" s="68"/>
      <c r="EC973" s="344" t="str">
        <f t="shared" si="125"/>
        <v>META_BARRANCA DE UPIA</v>
      </c>
      <c r="ED973" s="341"/>
      <c r="EE973" s="341" t="s">
        <v>3197</v>
      </c>
      <c r="EF973" s="349" t="s">
        <v>3198</v>
      </c>
      <c r="EG973" s="341" t="s">
        <v>4196</v>
      </c>
      <c r="EH973" s="341" t="s">
        <v>5244</v>
      </c>
      <c r="EI973" s="341" t="str">
        <f t="shared" si="127"/>
        <v>Tolima_Guamo</v>
      </c>
    </row>
    <row r="974" spans="1:139" ht="38.25">
      <c r="A974" s="228">
        <v>40391</v>
      </c>
      <c r="B974" s="102" t="s">
        <v>1609</v>
      </c>
      <c r="C974" s="102" t="s">
        <v>1838</v>
      </c>
      <c r="D974" s="206" t="s">
        <v>1878</v>
      </c>
      <c r="E974" s="320" t="s">
        <v>4054</v>
      </c>
      <c r="F974" s="320"/>
      <c r="G974" s="210"/>
      <c r="H974" s="71"/>
      <c r="I974" s="71"/>
      <c r="J974" s="71">
        <v>10</v>
      </c>
      <c r="K974" s="71">
        <v>2</v>
      </c>
      <c r="L974" s="1"/>
      <c r="M974" s="73">
        <f t="shared" si="128"/>
        <v>0</v>
      </c>
      <c r="N974" s="73">
        <f t="shared" si="129"/>
        <v>0</v>
      </c>
      <c r="O974" s="73">
        <f t="shared" si="126"/>
        <v>0</v>
      </c>
      <c r="P974" s="73">
        <f t="shared" si="130"/>
        <v>0</v>
      </c>
      <c r="Q974" s="73"/>
      <c r="R974" s="73">
        <v>0</v>
      </c>
      <c r="S974" s="75">
        <f t="shared" si="132"/>
        <v>0</v>
      </c>
      <c r="T974" s="77">
        <v>0</v>
      </c>
      <c r="U974" s="66">
        <v>40391</v>
      </c>
      <c r="V974" s="79"/>
      <c r="W974" s="66" t="s">
        <v>1585</v>
      </c>
      <c r="X974" s="24" t="s">
        <v>1586</v>
      </c>
      <c r="Y974" s="62"/>
      <c r="Z974" s="177" t="s">
        <v>894</v>
      </c>
      <c r="AA974" s="80" t="s">
        <v>1457</v>
      </c>
      <c r="AB974" s="3"/>
      <c r="AC974" s="4"/>
      <c r="AD974" s="5"/>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6"/>
      <c r="CE974" s="7"/>
      <c r="CF974" s="6"/>
      <c r="CG974" s="7"/>
      <c r="CH974" s="6"/>
      <c r="CI974" s="7"/>
      <c r="CJ974" s="8">
        <f t="shared" si="131"/>
        <v>0</v>
      </c>
      <c r="CK974" s="9"/>
      <c r="CL974" s="10"/>
      <c r="CM974" s="11"/>
      <c r="CN974" s="12"/>
      <c r="CO974" s="28"/>
      <c r="CP974" s="12"/>
      <c r="CQ974" s="9"/>
      <c r="CR974" s="10"/>
      <c r="CS974" s="68"/>
      <c r="EC974" s="344" t="str">
        <f t="shared" si="125"/>
        <v>RISARALDA_DOSQUEBRADAS</v>
      </c>
      <c r="ED974" s="341"/>
      <c r="EE974" s="341" t="s">
        <v>3197</v>
      </c>
      <c r="EF974" s="349" t="s">
        <v>3198</v>
      </c>
      <c r="EG974" s="341" t="s">
        <v>4197</v>
      </c>
      <c r="EH974" s="341" t="s">
        <v>5245</v>
      </c>
      <c r="EI974" s="341" t="str">
        <f t="shared" si="127"/>
        <v>Tolima_Herveo</v>
      </c>
    </row>
    <row r="975" spans="1:139" ht="38.25">
      <c r="A975" s="228">
        <v>40392</v>
      </c>
      <c r="B975" s="102" t="s">
        <v>1295</v>
      </c>
      <c r="C975" s="102" t="s">
        <v>1219</v>
      </c>
      <c r="D975" s="206" t="s">
        <v>2606</v>
      </c>
      <c r="E975" s="320" t="s">
        <v>3675</v>
      </c>
      <c r="F975" s="320"/>
      <c r="G975" s="210"/>
      <c r="H975" s="71"/>
      <c r="I975" s="71"/>
      <c r="J975" s="71">
        <v>80</v>
      </c>
      <c r="K975" s="71">
        <v>62</v>
      </c>
      <c r="L975" s="1"/>
      <c r="M975" s="73">
        <f t="shared" si="128"/>
        <v>0</v>
      </c>
      <c r="N975" s="73">
        <f t="shared" si="129"/>
        <v>5950000</v>
      </c>
      <c r="O975" s="73">
        <f t="shared" si="126"/>
        <v>0</v>
      </c>
      <c r="P975" s="73">
        <f t="shared" si="130"/>
        <v>0</v>
      </c>
      <c r="Q975" s="73"/>
      <c r="R975" s="73">
        <v>0</v>
      </c>
      <c r="S975" s="75">
        <f t="shared" si="132"/>
        <v>5950000</v>
      </c>
      <c r="T975" s="77">
        <v>0</v>
      </c>
      <c r="U975" s="66">
        <v>40394</v>
      </c>
      <c r="V975" s="79"/>
      <c r="W975" s="66" t="s">
        <v>1606</v>
      </c>
      <c r="X975" s="24" t="s">
        <v>1607</v>
      </c>
      <c r="Y975" s="62"/>
      <c r="Z975" s="177" t="s">
        <v>894</v>
      </c>
      <c r="AA975" s="80" t="s">
        <v>2738</v>
      </c>
      <c r="AB975" s="3"/>
      <c r="AC975" s="4"/>
      <c r="AD975" s="5"/>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6"/>
      <c r="CE975" s="7"/>
      <c r="CF975" s="6"/>
      <c r="CG975" s="7"/>
      <c r="CH975" s="6"/>
      <c r="CI975" s="7"/>
      <c r="CJ975" s="8">
        <f t="shared" si="131"/>
        <v>0</v>
      </c>
      <c r="CK975" s="9"/>
      <c r="CL975" s="10"/>
      <c r="CM975" s="11">
        <v>70</v>
      </c>
      <c r="CN975" s="12">
        <f>70*85000</f>
        <v>5950000</v>
      </c>
      <c r="CO975" s="28"/>
      <c r="CP975" s="12"/>
      <c r="CQ975" s="9"/>
      <c r="CR975" s="10"/>
      <c r="CS975" s="68"/>
      <c r="EC975" s="344" t="str">
        <f t="shared" si="125"/>
        <v>CORDOBA_SAN ANTERO</v>
      </c>
      <c r="ED975" s="341"/>
      <c r="EE975" s="341" t="s">
        <v>3197</v>
      </c>
      <c r="EF975" s="349" t="s">
        <v>3198</v>
      </c>
      <c r="EG975" s="341" t="s">
        <v>4198</v>
      </c>
      <c r="EH975" s="341" t="s">
        <v>5246</v>
      </c>
      <c r="EI975" s="341" t="str">
        <f t="shared" si="127"/>
        <v>Tolima_Honda</v>
      </c>
    </row>
    <row r="976" spans="1:139" ht="102">
      <c r="A976" s="228">
        <v>40392</v>
      </c>
      <c r="B976" s="102" t="s">
        <v>4321</v>
      </c>
      <c r="C976" s="102" t="s">
        <v>1488</v>
      </c>
      <c r="D976" s="206" t="s">
        <v>1201</v>
      </c>
      <c r="E976" s="320" t="e">
        <v>#N/A</v>
      </c>
      <c r="F976" s="320"/>
      <c r="G976" s="210"/>
      <c r="H976" s="71"/>
      <c r="I976" s="71"/>
      <c r="J976" s="71"/>
      <c r="K976" s="71"/>
      <c r="L976" s="1">
        <v>40417</v>
      </c>
      <c r="M976" s="73">
        <f t="shared" si="128"/>
        <v>120860250</v>
      </c>
      <c r="N976" s="73">
        <f t="shared" si="129"/>
        <v>165750000</v>
      </c>
      <c r="O976" s="73">
        <f t="shared" si="126"/>
        <v>0</v>
      </c>
      <c r="P976" s="73">
        <f t="shared" si="130"/>
        <v>0</v>
      </c>
      <c r="Q976" s="73"/>
      <c r="R976" s="73">
        <v>0</v>
      </c>
      <c r="S976" s="75">
        <f t="shared" si="132"/>
        <v>286610250</v>
      </c>
      <c r="T976" s="77">
        <v>0</v>
      </c>
      <c r="U976" s="66">
        <v>40392</v>
      </c>
      <c r="V976" s="89" t="s">
        <v>350</v>
      </c>
      <c r="W976" s="66" t="s">
        <v>1606</v>
      </c>
      <c r="X976" s="24" t="s">
        <v>1607</v>
      </c>
      <c r="Y976" s="83" t="s">
        <v>349</v>
      </c>
      <c r="Z976" s="196" t="s">
        <v>1489</v>
      </c>
      <c r="AA976" s="80" t="s">
        <v>1490</v>
      </c>
      <c r="AB976" s="3"/>
      <c r="AC976" s="4"/>
      <c r="AD976" s="5"/>
      <c r="AE976" s="4"/>
      <c r="AF976" s="4"/>
      <c r="AG976" s="4"/>
      <c r="AH976" s="4"/>
      <c r="AI976" s="4"/>
      <c r="AJ976" s="4"/>
      <c r="AK976" s="4"/>
      <c r="AL976" s="4"/>
      <c r="AM976" s="4"/>
      <c r="AN976" s="4"/>
      <c r="AO976" s="4"/>
      <c r="AP976" s="4"/>
      <c r="AQ976" s="4"/>
      <c r="AR976" s="4"/>
      <c r="AS976" s="4"/>
      <c r="AT976" s="4"/>
      <c r="AU976" s="4"/>
      <c r="AV976" s="4"/>
      <c r="AW976" s="4"/>
      <c r="AX976" s="4"/>
      <c r="AY976" s="4"/>
      <c r="AZ976" s="4">
        <v>1000</v>
      </c>
      <c r="BA976" s="4">
        <f>1000*27500</f>
        <v>27500000</v>
      </c>
      <c r="BB976" s="4"/>
      <c r="BC976" s="4"/>
      <c r="BD976" s="4"/>
      <c r="BE976" s="4"/>
      <c r="BF976" s="4"/>
      <c r="BG976" s="4"/>
      <c r="BH976" s="4"/>
      <c r="BI976" s="4"/>
      <c r="BJ976" s="4"/>
      <c r="BK976" s="4"/>
      <c r="BL976" s="4"/>
      <c r="BM976" s="4"/>
      <c r="BN976" s="4"/>
      <c r="BO976" s="4"/>
      <c r="BP976" s="4"/>
      <c r="BQ976" s="4"/>
      <c r="BR976" s="4"/>
      <c r="BS976" s="4"/>
      <c r="BT976" s="4"/>
      <c r="BU976" s="4"/>
      <c r="BV976" s="4"/>
      <c r="BW976" s="4"/>
      <c r="BX976" s="4">
        <v>1000</v>
      </c>
      <c r="BY976" s="4">
        <f>1000*22000</f>
        <v>22000000</v>
      </c>
      <c r="BZ976" s="4"/>
      <c r="CA976" s="4"/>
      <c r="CB976" s="4"/>
      <c r="CC976" s="4"/>
      <c r="CD976" s="6">
        <v>1950</v>
      </c>
      <c r="CE976" s="7">
        <f>1950*36595</f>
        <v>71360250</v>
      </c>
      <c r="CF976" s="6"/>
      <c r="CG976" s="7"/>
      <c r="CH976" s="6"/>
      <c r="CI976" s="7"/>
      <c r="CJ976" s="8">
        <f t="shared" si="131"/>
        <v>120860250</v>
      </c>
      <c r="CK976" s="9"/>
      <c r="CL976" s="10"/>
      <c r="CM976" s="11">
        <v>1950</v>
      </c>
      <c r="CN976" s="12">
        <f>1950*85000</f>
        <v>165750000</v>
      </c>
      <c r="CO976" s="28"/>
      <c r="CP976" s="12"/>
      <c r="CQ976" s="9"/>
      <c r="CR976" s="10"/>
      <c r="CS976" s="68"/>
      <c r="EC976" s="344" t="str">
        <f t="shared" si="125"/>
        <v>LA GUAJIRA_MAICAO/VILLANUEVA/URIBIA/FONSECA/ALBANIA/RIOHACHA</v>
      </c>
      <c r="ED976" s="341"/>
      <c r="EE976" s="341" t="s">
        <v>3197</v>
      </c>
      <c r="EF976" s="349" t="s">
        <v>3198</v>
      </c>
      <c r="EG976" s="341" t="s">
        <v>4199</v>
      </c>
      <c r="EH976" s="341" t="s">
        <v>5247</v>
      </c>
      <c r="EI976" s="341" t="str">
        <f t="shared" si="127"/>
        <v>Tolima_Icononzo</v>
      </c>
    </row>
    <row r="977" spans="1:139" ht="38.25">
      <c r="A977" s="228">
        <v>40392</v>
      </c>
      <c r="B977" s="102" t="s">
        <v>965</v>
      </c>
      <c r="C977" s="102" t="s">
        <v>696</v>
      </c>
      <c r="D977" s="206" t="s">
        <v>1201</v>
      </c>
      <c r="E977" s="320" t="s">
        <v>4014</v>
      </c>
      <c r="F977" s="320"/>
      <c r="G977" s="210"/>
      <c r="H977" s="71"/>
      <c r="I977" s="71"/>
      <c r="J977" s="71">
        <f>4195-25-75</f>
        <v>4095</v>
      </c>
      <c r="K977" s="71">
        <f>879-5-15</f>
        <v>859</v>
      </c>
      <c r="L977" s="1">
        <v>40514</v>
      </c>
      <c r="M977" s="73">
        <f t="shared" si="128"/>
        <v>0</v>
      </c>
      <c r="N977" s="73">
        <f t="shared" si="129"/>
        <v>0</v>
      </c>
      <c r="O977" s="73">
        <f>500*21315+600*19952+160*200000.24+2000*994.12+3000*104.4</f>
        <v>56930178.399999999</v>
      </c>
      <c r="P977" s="73">
        <f t="shared" si="130"/>
        <v>0</v>
      </c>
      <c r="Q977" s="73"/>
      <c r="R977" s="73">
        <v>0</v>
      </c>
      <c r="S977" s="75">
        <f t="shared" si="132"/>
        <v>56930178.399999999</v>
      </c>
      <c r="T977" s="77">
        <v>0</v>
      </c>
      <c r="U977" s="66">
        <v>40393</v>
      </c>
      <c r="V977" s="79">
        <v>48682</v>
      </c>
      <c r="W977" s="66" t="s">
        <v>1606</v>
      </c>
      <c r="X977" s="24" t="s">
        <v>1607</v>
      </c>
      <c r="Y977" s="62">
        <v>25687</v>
      </c>
      <c r="Z977" s="177" t="s">
        <v>2087</v>
      </c>
      <c r="AA977" s="80" t="s">
        <v>697</v>
      </c>
      <c r="AB977" s="3"/>
      <c r="AC977" s="4"/>
      <c r="AD977" s="5"/>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6"/>
      <c r="CE977" s="7"/>
      <c r="CF977" s="6"/>
      <c r="CG977" s="7"/>
      <c r="CH977" s="6"/>
      <c r="CI977" s="7"/>
      <c r="CJ977" s="8">
        <f t="shared" si="131"/>
        <v>0</v>
      </c>
      <c r="CK977" s="9"/>
      <c r="CL977" s="10"/>
      <c r="CM977" s="11"/>
      <c r="CN977" s="12"/>
      <c r="CO977" s="28"/>
      <c r="CP977" s="12"/>
      <c r="CQ977" s="9"/>
      <c r="CR977" s="10"/>
      <c r="CS977" s="68"/>
      <c r="EC977" s="344" t="str">
        <f t="shared" si="125"/>
        <v>NORTE DE SANTANDER_HACARI</v>
      </c>
      <c r="ED977" s="341"/>
      <c r="EE977" s="341" t="s">
        <v>3197</v>
      </c>
      <c r="EF977" s="349" t="s">
        <v>3198</v>
      </c>
      <c r="EG977" s="341" t="s">
        <v>4200</v>
      </c>
      <c r="EH977" s="341" t="s">
        <v>5248</v>
      </c>
      <c r="EI977" s="341" t="str">
        <f t="shared" si="127"/>
        <v>Tolima_Lerida</v>
      </c>
    </row>
    <row r="978" spans="1:139" ht="156">
      <c r="A978" s="228">
        <v>40392</v>
      </c>
      <c r="B978" s="222" t="s">
        <v>1612</v>
      </c>
      <c r="C978" s="222" t="s">
        <v>367</v>
      </c>
      <c r="D978" s="206" t="s">
        <v>1878</v>
      </c>
      <c r="E978" s="320" t="s">
        <v>4044</v>
      </c>
      <c r="F978" s="320"/>
      <c r="G978" s="204"/>
      <c r="H978" s="151"/>
      <c r="I978" s="151"/>
      <c r="J978" s="151">
        <f>501*5</f>
        <v>2505</v>
      </c>
      <c r="K978" s="151">
        <v>501</v>
      </c>
      <c r="L978" s="1">
        <v>40424</v>
      </c>
      <c r="M978" s="73">
        <f t="shared" si="128"/>
        <v>0</v>
      </c>
      <c r="N978" s="73">
        <f t="shared" si="129"/>
        <v>0</v>
      </c>
      <c r="O978" s="73">
        <f t="shared" ref="O978:O1009" si="133">CP978+CR978</f>
        <v>0</v>
      </c>
      <c r="P978" s="73">
        <f t="shared" si="130"/>
        <v>0</v>
      </c>
      <c r="Q978" s="73"/>
      <c r="R978" s="73">
        <v>80000000</v>
      </c>
      <c r="S978" s="75">
        <f t="shared" si="132"/>
        <v>80000000</v>
      </c>
      <c r="T978" s="77">
        <v>0</v>
      </c>
      <c r="U978" s="66">
        <v>40403</v>
      </c>
      <c r="V978" s="79">
        <v>40849</v>
      </c>
      <c r="W978" s="66" t="s">
        <v>1606</v>
      </c>
      <c r="X978" s="24" t="s">
        <v>1607</v>
      </c>
      <c r="Y978" s="62">
        <v>30860</v>
      </c>
      <c r="Z978" s="169" t="s">
        <v>2580</v>
      </c>
      <c r="AA978" s="317" t="s">
        <v>368</v>
      </c>
      <c r="AB978" s="168"/>
      <c r="AC978" s="153"/>
      <c r="AD978" s="154"/>
      <c r="AE978" s="153"/>
      <c r="AF978" s="153"/>
      <c r="AG978" s="153"/>
      <c r="AH978" s="153"/>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c r="BF978" s="153"/>
      <c r="BG978" s="153"/>
      <c r="BH978" s="153"/>
      <c r="BI978" s="153"/>
      <c r="BJ978" s="153"/>
      <c r="BK978" s="153"/>
      <c r="BL978" s="153"/>
      <c r="BM978" s="153"/>
      <c r="BN978" s="153"/>
      <c r="BO978" s="153"/>
      <c r="BP978" s="153"/>
      <c r="BQ978" s="153"/>
      <c r="BR978" s="153"/>
      <c r="BS978" s="153"/>
      <c r="BT978" s="153"/>
      <c r="BU978" s="153"/>
      <c r="BV978" s="153"/>
      <c r="BW978" s="153"/>
      <c r="BX978" s="153"/>
      <c r="BY978" s="153"/>
      <c r="BZ978" s="153"/>
      <c r="CA978" s="153"/>
      <c r="CB978" s="153"/>
      <c r="CC978" s="153"/>
      <c r="CD978" s="155"/>
      <c r="CE978" s="156"/>
      <c r="CF978" s="155"/>
      <c r="CG978" s="156"/>
      <c r="CH978" s="155"/>
      <c r="CI978" s="156"/>
      <c r="CJ978" s="157">
        <f t="shared" si="131"/>
        <v>0</v>
      </c>
      <c r="CK978" s="158"/>
      <c r="CL978" s="159"/>
      <c r="CM978" s="160"/>
      <c r="CN978" s="161"/>
      <c r="CO978" s="162"/>
      <c r="CP978" s="161"/>
      <c r="CQ978" s="158"/>
      <c r="CR978" s="159"/>
      <c r="CS978" s="68">
        <v>2</v>
      </c>
      <c r="CT978" s="163"/>
      <c r="EC978" s="344" t="str">
        <f t="shared" si="125"/>
        <v>QUINDIO_GENOVA</v>
      </c>
      <c r="ED978" s="341"/>
      <c r="EE978" s="341" t="s">
        <v>3197</v>
      </c>
      <c r="EF978" s="349" t="s">
        <v>3198</v>
      </c>
      <c r="EG978" s="341" t="s">
        <v>4201</v>
      </c>
      <c r="EH978" s="341" t="s">
        <v>5249</v>
      </c>
      <c r="EI978" s="341" t="str">
        <f t="shared" si="127"/>
        <v>Tolima_Libano</v>
      </c>
    </row>
    <row r="979" spans="1:139" ht="25.5">
      <c r="A979" s="228">
        <v>40392</v>
      </c>
      <c r="B979" s="102" t="s">
        <v>1943</v>
      </c>
      <c r="C979" s="102" t="s">
        <v>1966</v>
      </c>
      <c r="D979" s="206" t="s">
        <v>1201</v>
      </c>
      <c r="E979" s="320" t="s">
        <v>4159</v>
      </c>
      <c r="F979" s="320"/>
      <c r="G979" s="210"/>
      <c r="H979" s="71"/>
      <c r="I979" s="71"/>
      <c r="J979" s="71">
        <v>1050</v>
      </c>
      <c r="K979" s="71">
        <v>250</v>
      </c>
      <c r="L979" s="1">
        <v>40429</v>
      </c>
      <c r="M979" s="73">
        <f t="shared" si="128"/>
        <v>47475000</v>
      </c>
      <c r="N979" s="73">
        <f t="shared" si="129"/>
        <v>85000000</v>
      </c>
      <c r="O979" s="73">
        <f t="shared" si="133"/>
        <v>0</v>
      </c>
      <c r="P979" s="73">
        <f t="shared" si="130"/>
        <v>0</v>
      </c>
      <c r="Q979" s="73"/>
      <c r="R979" s="73">
        <v>0</v>
      </c>
      <c r="S979" s="75">
        <f t="shared" si="132"/>
        <v>132475000</v>
      </c>
      <c r="T979" s="77">
        <v>0</v>
      </c>
      <c r="U979" s="66">
        <v>40409</v>
      </c>
      <c r="V979" s="79">
        <v>41943</v>
      </c>
      <c r="W979" s="66" t="s">
        <v>1606</v>
      </c>
      <c r="X979" s="24" t="s">
        <v>1607</v>
      </c>
      <c r="Y979" s="62"/>
      <c r="Z979" s="177" t="s">
        <v>1050</v>
      </c>
      <c r="AA979" s="80" t="s">
        <v>1459</v>
      </c>
      <c r="AB979" s="3"/>
      <c r="AC979" s="4"/>
      <c r="AD979" s="5"/>
      <c r="AE979" s="4"/>
      <c r="AF979" s="4"/>
      <c r="AG979" s="4"/>
      <c r="AH979" s="4"/>
      <c r="AI979" s="4"/>
      <c r="AJ979" s="4"/>
      <c r="AK979" s="4"/>
      <c r="AL979" s="4"/>
      <c r="AM979" s="4"/>
      <c r="AN979" s="4"/>
      <c r="AO979" s="4"/>
      <c r="AP979" s="4">
        <v>350</v>
      </c>
      <c r="AQ979" s="4">
        <f>350*56000</f>
        <v>19600000</v>
      </c>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v>800</v>
      </c>
      <c r="CC979" s="4">
        <f>800*18000</f>
        <v>14400000</v>
      </c>
      <c r="CD979" s="6">
        <v>350</v>
      </c>
      <c r="CE979" s="7">
        <f>350*38500</f>
        <v>13475000</v>
      </c>
      <c r="CF979" s="6"/>
      <c r="CG979" s="7"/>
      <c r="CH979" s="6"/>
      <c r="CI979" s="7"/>
      <c r="CJ979" s="8">
        <f t="shared" si="131"/>
        <v>47475000</v>
      </c>
      <c r="CK979" s="9"/>
      <c r="CL979" s="10"/>
      <c r="CM979" s="11">
        <f>350+250+400</f>
        <v>1000</v>
      </c>
      <c r="CN979" s="12">
        <f>350*85000+250*85000+400*85000</f>
        <v>85000000</v>
      </c>
      <c r="CO979" s="28"/>
      <c r="CP979" s="12"/>
      <c r="CQ979" s="9"/>
      <c r="CR979" s="10"/>
      <c r="CS979" s="68"/>
      <c r="CT979" s="22">
        <v>1201</v>
      </c>
      <c r="EC979" s="344" t="str">
        <f t="shared" si="125"/>
        <v>SUCRE_GALERAS</v>
      </c>
      <c r="ED979" s="341"/>
      <c r="EE979" s="341" t="s">
        <v>3197</v>
      </c>
      <c r="EF979" s="349" t="s">
        <v>3198</v>
      </c>
      <c r="EG979" s="341" t="s">
        <v>4202</v>
      </c>
      <c r="EH979" s="341" t="s">
        <v>5250</v>
      </c>
      <c r="EI979" s="341" t="str">
        <f t="shared" si="127"/>
        <v>Tolima_Mariquita</v>
      </c>
    </row>
    <row r="980" spans="1:139" ht="36">
      <c r="A980" s="228">
        <v>40393</v>
      </c>
      <c r="B980" s="222" t="s">
        <v>1821</v>
      </c>
      <c r="C980" s="222" t="s">
        <v>338</v>
      </c>
      <c r="D980" s="233" t="s">
        <v>1201</v>
      </c>
      <c r="E980" s="325" t="s">
        <v>3640</v>
      </c>
      <c r="F980" s="325"/>
      <c r="G980" s="204"/>
      <c r="H980" s="151"/>
      <c r="I980" s="151"/>
      <c r="J980" s="151">
        <f>223*5</f>
        <v>1115</v>
      </c>
      <c r="K980" s="151">
        <v>223</v>
      </c>
      <c r="L980" s="1">
        <v>40427</v>
      </c>
      <c r="M980" s="73">
        <f t="shared" si="128"/>
        <v>2268000</v>
      </c>
      <c r="N980" s="73">
        <f t="shared" si="129"/>
        <v>3570000</v>
      </c>
      <c r="O980" s="73">
        <f t="shared" si="133"/>
        <v>0</v>
      </c>
      <c r="P980" s="73">
        <f t="shared" si="130"/>
        <v>0</v>
      </c>
      <c r="Q980" s="73"/>
      <c r="R980" s="73">
        <v>0</v>
      </c>
      <c r="S980" s="75">
        <f t="shared" si="132"/>
        <v>5838000</v>
      </c>
      <c r="T980" s="77">
        <v>0</v>
      </c>
      <c r="U980" s="66">
        <v>40393</v>
      </c>
      <c r="V980" s="79">
        <v>38583</v>
      </c>
      <c r="W980" s="66" t="s">
        <v>1606</v>
      </c>
      <c r="X980" s="24" t="s">
        <v>1607</v>
      </c>
      <c r="Y980" s="83" t="s">
        <v>2085</v>
      </c>
      <c r="Z980" s="177" t="s">
        <v>1031</v>
      </c>
      <c r="AA980" s="166" t="s">
        <v>1663</v>
      </c>
      <c r="AB980" s="152"/>
      <c r="AC980" s="153"/>
      <c r="AD980" s="154"/>
      <c r="AE980" s="153"/>
      <c r="AF980" s="153"/>
      <c r="AG980" s="153"/>
      <c r="AH980" s="153"/>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c r="BF980" s="153"/>
      <c r="BG980" s="153"/>
      <c r="BH980" s="153"/>
      <c r="BI980" s="153"/>
      <c r="BJ980" s="153"/>
      <c r="BK980" s="153"/>
      <c r="BL980" s="153"/>
      <c r="BM980" s="153"/>
      <c r="BN980" s="153"/>
      <c r="BO980" s="153"/>
      <c r="BP980" s="153"/>
      <c r="BQ980" s="153"/>
      <c r="BR980" s="153"/>
      <c r="BS980" s="153"/>
      <c r="BT980" s="153"/>
      <c r="BU980" s="153"/>
      <c r="BV980" s="153"/>
      <c r="BW980" s="153"/>
      <c r="BX980" s="153"/>
      <c r="BY980" s="153"/>
      <c r="BZ980" s="153"/>
      <c r="CA980" s="153"/>
      <c r="CB980" s="153">
        <v>42</v>
      </c>
      <c r="CC980" s="153">
        <f>42*18000</f>
        <v>756000</v>
      </c>
      <c r="CD980" s="155"/>
      <c r="CE980" s="156"/>
      <c r="CF980" s="155">
        <v>42</v>
      </c>
      <c r="CG980" s="156">
        <f>42*36000</f>
        <v>1512000</v>
      </c>
      <c r="CH980" s="155"/>
      <c r="CI980" s="156"/>
      <c r="CJ980" s="157">
        <f t="shared" si="131"/>
        <v>2268000</v>
      </c>
      <c r="CK980" s="158"/>
      <c r="CL980" s="159"/>
      <c r="CM980" s="160">
        <v>42</v>
      </c>
      <c r="CN980" s="161">
        <f>42*85000</f>
        <v>3570000</v>
      </c>
      <c r="CO980" s="162"/>
      <c r="CP980" s="161"/>
      <c r="CQ980" s="158"/>
      <c r="CR980" s="159"/>
      <c r="CS980" s="68"/>
      <c r="CT980" s="163"/>
      <c r="EC980" s="344" t="str">
        <f t="shared" si="125"/>
        <v>CESAR_GONZALEZ</v>
      </c>
      <c r="ED980" s="341"/>
      <c r="EE980" s="341" t="s">
        <v>3197</v>
      </c>
      <c r="EF980" s="349" t="s">
        <v>3198</v>
      </c>
      <c r="EG980" s="341" t="s">
        <v>4203</v>
      </c>
      <c r="EH980" s="341" t="s">
        <v>5251</v>
      </c>
      <c r="EI980" s="341" t="str">
        <f t="shared" si="127"/>
        <v>Tolima_Melgar</v>
      </c>
    </row>
    <row r="981" spans="1:139" ht="25.5">
      <c r="A981" s="228">
        <v>40393</v>
      </c>
      <c r="B981" s="205" t="s">
        <v>1821</v>
      </c>
      <c r="C981" s="205" t="s">
        <v>1266</v>
      </c>
      <c r="D981" s="207" t="s">
        <v>1201</v>
      </c>
      <c r="E981" s="323" t="s">
        <v>3650</v>
      </c>
      <c r="F981" s="323"/>
      <c r="G981" s="204"/>
      <c r="H981" s="151"/>
      <c r="I981" s="151"/>
      <c r="J981" s="151">
        <v>10</v>
      </c>
      <c r="K981" s="151">
        <v>2</v>
      </c>
      <c r="L981" s="1"/>
      <c r="M981" s="73">
        <f t="shared" si="128"/>
        <v>0</v>
      </c>
      <c r="N981" s="73">
        <f t="shared" si="129"/>
        <v>0</v>
      </c>
      <c r="O981" s="73">
        <f t="shared" si="133"/>
        <v>0</v>
      </c>
      <c r="P981" s="73">
        <f t="shared" si="130"/>
        <v>0</v>
      </c>
      <c r="Q981" s="73"/>
      <c r="R981" s="73">
        <v>0</v>
      </c>
      <c r="S981" s="75">
        <f t="shared" si="132"/>
        <v>0</v>
      </c>
      <c r="T981" s="77">
        <v>0</v>
      </c>
      <c r="U981" s="66">
        <v>40393</v>
      </c>
      <c r="V981" s="79"/>
      <c r="W981" s="66" t="s">
        <v>1585</v>
      </c>
      <c r="X981" s="24" t="s">
        <v>1586</v>
      </c>
      <c r="Y981" s="62"/>
      <c r="Z981" s="169" t="s">
        <v>894</v>
      </c>
      <c r="AA981" s="166"/>
      <c r="AB981" s="152"/>
      <c r="AC981" s="153"/>
      <c r="AD981" s="154"/>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53"/>
      <c r="BM981" s="153"/>
      <c r="BN981" s="153"/>
      <c r="BO981" s="153"/>
      <c r="BP981" s="153"/>
      <c r="BQ981" s="153"/>
      <c r="BR981" s="153"/>
      <c r="BS981" s="153"/>
      <c r="BT981" s="153"/>
      <c r="BU981" s="153"/>
      <c r="BV981" s="153"/>
      <c r="BW981" s="153"/>
      <c r="BX981" s="153"/>
      <c r="BY981" s="153"/>
      <c r="BZ981" s="153"/>
      <c r="CA981" s="153"/>
      <c r="CB981" s="153"/>
      <c r="CC981" s="153"/>
      <c r="CD981" s="155"/>
      <c r="CE981" s="156"/>
      <c r="CF981" s="155"/>
      <c r="CG981" s="156"/>
      <c r="CH981" s="155"/>
      <c r="CI981" s="156"/>
      <c r="CJ981" s="157">
        <f t="shared" si="131"/>
        <v>0</v>
      </c>
      <c r="CK981" s="158"/>
      <c r="CL981" s="159"/>
      <c r="CM981" s="160"/>
      <c r="CN981" s="161"/>
      <c r="CO981" s="162"/>
      <c r="CP981" s="161"/>
      <c r="CQ981" s="158"/>
      <c r="CR981" s="159"/>
      <c r="CS981" s="68"/>
      <c r="CT981" s="163">
        <v>1297</v>
      </c>
      <c r="EC981" s="344" t="str">
        <f t="shared" si="125"/>
        <v>CESAR_SAN DIEGO</v>
      </c>
      <c r="ED981" s="341"/>
      <c r="EE981" s="341" t="s">
        <v>3197</v>
      </c>
      <c r="EF981" s="349" t="s">
        <v>3198</v>
      </c>
      <c r="EG981" s="341" t="s">
        <v>4204</v>
      </c>
      <c r="EH981" s="341" t="s">
        <v>5252</v>
      </c>
      <c r="EI981" s="341" t="str">
        <f t="shared" si="127"/>
        <v>Tolima_Murillo</v>
      </c>
    </row>
    <row r="982" spans="1:139" ht="60">
      <c r="A982" s="228">
        <v>40393</v>
      </c>
      <c r="B982" s="102" t="s">
        <v>965</v>
      </c>
      <c r="C982" s="102" t="s">
        <v>1448</v>
      </c>
      <c r="D982" s="206" t="s">
        <v>1902</v>
      </c>
      <c r="E982" s="320" t="s">
        <v>4007</v>
      </c>
      <c r="F982" s="320"/>
      <c r="G982" s="210"/>
      <c r="H982" s="71"/>
      <c r="I982" s="71"/>
      <c r="J982" s="71">
        <v>1377</v>
      </c>
      <c r="K982" s="71">
        <v>354</v>
      </c>
      <c r="L982" s="1"/>
      <c r="M982" s="73">
        <f t="shared" si="128"/>
        <v>0</v>
      </c>
      <c r="N982" s="73">
        <f t="shared" si="129"/>
        <v>0</v>
      </c>
      <c r="O982" s="73">
        <f t="shared" si="133"/>
        <v>0</v>
      </c>
      <c r="P982" s="73">
        <f t="shared" si="130"/>
        <v>0</v>
      </c>
      <c r="Q982" s="73"/>
      <c r="R982" s="73">
        <v>0</v>
      </c>
      <c r="S982" s="75">
        <f t="shared" si="132"/>
        <v>0</v>
      </c>
      <c r="T982" s="77">
        <v>0</v>
      </c>
      <c r="U982" s="66">
        <v>40394</v>
      </c>
      <c r="V982" s="79"/>
      <c r="W982" s="66" t="s">
        <v>1585</v>
      </c>
      <c r="X982" s="24" t="s">
        <v>1586</v>
      </c>
      <c r="Y982" s="62"/>
      <c r="Z982" s="177" t="s">
        <v>894</v>
      </c>
      <c r="AA982" s="80" t="s">
        <v>1449</v>
      </c>
      <c r="AB982" s="3"/>
      <c r="AC982" s="4"/>
      <c r="AD982" s="5"/>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6"/>
      <c r="CE982" s="7"/>
      <c r="CF982" s="6"/>
      <c r="CG982" s="7"/>
      <c r="CH982" s="6"/>
      <c r="CI982" s="7"/>
      <c r="CJ982" s="8">
        <f t="shared" si="131"/>
        <v>0</v>
      </c>
      <c r="CK982" s="9"/>
      <c r="CL982" s="10"/>
      <c r="CM982" s="11"/>
      <c r="CN982" s="12"/>
      <c r="CO982" s="28"/>
      <c r="CP982" s="12"/>
      <c r="CQ982" s="9"/>
      <c r="CR982" s="10"/>
      <c r="CS982" s="68"/>
      <c r="EC982" s="344" t="str">
        <f t="shared" si="125"/>
        <v>NORTE DE SANTANDER_CONVENCION</v>
      </c>
      <c r="ED982" s="341"/>
      <c r="EE982" s="341" t="s">
        <v>3197</v>
      </c>
      <c r="EF982" s="349" t="s">
        <v>3198</v>
      </c>
      <c r="EG982" s="341" t="s">
        <v>4205</v>
      </c>
      <c r="EH982" s="341" t="s">
        <v>5253</v>
      </c>
      <c r="EI982" s="341" t="str">
        <f t="shared" si="127"/>
        <v>Tolima_Natagaima</v>
      </c>
    </row>
    <row r="983" spans="1:139" s="164" customFormat="1" ht="51">
      <c r="A983" s="228">
        <v>40393</v>
      </c>
      <c r="B983" s="223" t="s">
        <v>965</v>
      </c>
      <c r="C983" s="102" t="s">
        <v>695</v>
      </c>
      <c r="D983" s="206" t="s">
        <v>1902</v>
      </c>
      <c r="E983" s="320" t="s">
        <v>4033</v>
      </c>
      <c r="F983" s="320"/>
      <c r="G983" s="210">
        <v>1</v>
      </c>
      <c r="H983" s="71">
        <v>5</v>
      </c>
      <c r="I983" s="71">
        <v>2</v>
      </c>
      <c r="J983" s="71">
        <v>1390</v>
      </c>
      <c r="K983" s="71">
        <v>431</v>
      </c>
      <c r="L983" s="1">
        <v>40410</v>
      </c>
      <c r="M983" s="73">
        <f t="shared" si="128"/>
        <v>0</v>
      </c>
      <c r="N983" s="73">
        <f t="shared" si="129"/>
        <v>0</v>
      </c>
      <c r="O983" s="73">
        <f t="shared" si="133"/>
        <v>0</v>
      </c>
      <c r="P983" s="73">
        <f t="shared" si="130"/>
        <v>0</v>
      </c>
      <c r="Q983" s="73">
        <f>650*23425+45*29455+2000*1092</f>
        <v>18735725</v>
      </c>
      <c r="R983" s="73">
        <v>0</v>
      </c>
      <c r="S983" s="75">
        <f t="shared" si="132"/>
        <v>18735725</v>
      </c>
      <c r="T983" s="77">
        <v>0</v>
      </c>
      <c r="U983" s="66">
        <v>40393</v>
      </c>
      <c r="V983" s="79">
        <v>40659</v>
      </c>
      <c r="W983" s="66" t="s">
        <v>1606</v>
      </c>
      <c r="X983" s="24" t="s">
        <v>1607</v>
      </c>
      <c r="Y983" s="62">
        <v>255</v>
      </c>
      <c r="Z983" s="177" t="s">
        <v>2580</v>
      </c>
      <c r="AA983" s="80" t="s">
        <v>1447</v>
      </c>
      <c r="AB983" s="3"/>
      <c r="AC983" s="4"/>
      <c r="AD983" s="5"/>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6"/>
      <c r="CE983" s="7"/>
      <c r="CF983" s="6"/>
      <c r="CG983" s="7"/>
      <c r="CH983" s="6"/>
      <c r="CI983" s="7"/>
      <c r="CJ983" s="8">
        <f t="shared" si="131"/>
        <v>0</v>
      </c>
      <c r="CK983" s="9"/>
      <c r="CL983" s="10"/>
      <c r="CM983" s="11"/>
      <c r="CN983" s="12"/>
      <c r="CO983" s="28"/>
      <c r="CP983" s="12"/>
      <c r="CQ983" s="9"/>
      <c r="CR983" s="10"/>
      <c r="CS983" s="68"/>
      <c r="CT983" s="22"/>
      <c r="EC983" s="344" t="str">
        <f t="shared" si="125"/>
        <v>NORTE DE SANTANDER_TEORAMA</v>
      </c>
      <c r="ED983" s="341"/>
      <c r="EE983" s="341" t="s">
        <v>3197</v>
      </c>
      <c r="EF983" s="349" t="s">
        <v>3198</v>
      </c>
      <c r="EG983" s="341" t="s">
        <v>4206</v>
      </c>
      <c r="EH983" s="341" t="s">
        <v>5254</v>
      </c>
      <c r="EI983" s="341" t="str">
        <f t="shared" si="127"/>
        <v>Tolima_Ortega</v>
      </c>
    </row>
    <row r="984" spans="1:139" s="164" customFormat="1" ht="84">
      <c r="A984" s="228">
        <v>40393</v>
      </c>
      <c r="B984" s="102" t="s">
        <v>1943</v>
      </c>
      <c r="C984" s="102" t="s">
        <v>1450</v>
      </c>
      <c r="D984" s="206" t="s">
        <v>1201</v>
      </c>
      <c r="E984" s="320" t="s">
        <v>4156</v>
      </c>
      <c r="F984" s="320"/>
      <c r="G984" s="210"/>
      <c r="H984" s="71"/>
      <c r="I984" s="71"/>
      <c r="J984" s="71">
        <v>708</v>
      </c>
      <c r="K984" s="71">
        <v>215</v>
      </c>
      <c r="L984" s="1">
        <v>40452</v>
      </c>
      <c r="M984" s="73">
        <f t="shared" si="128"/>
        <v>8325000</v>
      </c>
      <c r="N984" s="73">
        <f t="shared" si="129"/>
        <v>37400000</v>
      </c>
      <c r="O984" s="73">
        <f t="shared" si="133"/>
        <v>0</v>
      </c>
      <c r="P984" s="73">
        <f t="shared" si="130"/>
        <v>0</v>
      </c>
      <c r="Q984" s="73"/>
      <c r="R984" s="73">
        <v>0</v>
      </c>
      <c r="S984" s="75">
        <f t="shared" si="132"/>
        <v>45725000</v>
      </c>
      <c r="T984" s="77">
        <v>0</v>
      </c>
      <c r="U984" s="66">
        <v>40394</v>
      </c>
      <c r="V984" s="79">
        <v>43395</v>
      </c>
      <c r="W984" s="66" t="s">
        <v>1606</v>
      </c>
      <c r="X984" s="24" t="s">
        <v>1607</v>
      </c>
      <c r="Y984" s="62">
        <v>20539</v>
      </c>
      <c r="Z984" s="177" t="s">
        <v>1050</v>
      </c>
      <c r="AA984" s="80" t="s">
        <v>487</v>
      </c>
      <c r="AB984" s="3"/>
      <c r="AC984" s="4"/>
      <c r="AD984" s="5"/>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6">
        <v>225</v>
      </c>
      <c r="CE984" s="7">
        <f>225*37000</f>
        <v>8325000</v>
      </c>
      <c r="CF984" s="6"/>
      <c r="CG984" s="7"/>
      <c r="CH984" s="6"/>
      <c r="CI984" s="7"/>
      <c r="CJ984" s="8">
        <f t="shared" si="131"/>
        <v>8325000</v>
      </c>
      <c r="CK984" s="9"/>
      <c r="CL984" s="10"/>
      <c r="CM984" s="11">
        <f>225+215</f>
        <v>440</v>
      </c>
      <c r="CN984" s="12">
        <f>225*85000+215*85000</f>
        <v>37400000</v>
      </c>
      <c r="CO984" s="28"/>
      <c r="CP984" s="12"/>
      <c r="CQ984" s="9"/>
      <c r="CR984" s="10"/>
      <c r="CS984" s="68"/>
      <c r="CT984" s="22"/>
      <c r="EC984" s="344" t="str">
        <f t="shared" si="125"/>
        <v>SUCRE_COVEÑAS</v>
      </c>
      <c r="ED984" s="341"/>
      <c r="EE984" s="341" t="s">
        <v>3197</v>
      </c>
      <c r="EF984" s="349" t="s">
        <v>3198</v>
      </c>
      <c r="EG984" s="341" t="s">
        <v>4207</v>
      </c>
      <c r="EH984" s="341" t="s">
        <v>5255</v>
      </c>
      <c r="EI984" s="341" t="str">
        <f t="shared" si="127"/>
        <v>Tolima_Palocabildo</v>
      </c>
    </row>
    <row r="985" spans="1:139" s="164" customFormat="1" ht="67.5">
      <c r="A985" s="228">
        <v>40394</v>
      </c>
      <c r="B985" s="102" t="s">
        <v>1615</v>
      </c>
      <c r="C985" s="102" t="s">
        <v>1515</v>
      </c>
      <c r="D985" s="206" t="s">
        <v>1201</v>
      </c>
      <c r="E985" s="320" t="s">
        <v>3394</v>
      </c>
      <c r="F985" s="320"/>
      <c r="G985" s="210"/>
      <c r="H985" s="71"/>
      <c r="I985" s="71"/>
      <c r="J985" s="417">
        <f>2315*3.7</f>
        <v>8565.5</v>
      </c>
      <c r="K985" s="71">
        <v>2315</v>
      </c>
      <c r="L985" s="1">
        <v>40415</v>
      </c>
      <c r="M985" s="73">
        <f t="shared" si="128"/>
        <v>121718680</v>
      </c>
      <c r="N985" s="73">
        <f t="shared" si="129"/>
        <v>342719230</v>
      </c>
      <c r="O985" s="73">
        <f t="shared" si="133"/>
        <v>0</v>
      </c>
      <c r="P985" s="73">
        <f t="shared" si="130"/>
        <v>9048000</v>
      </c>
      <c r="Q985" s="73"/>
      <c r="R985" s="73">
        <v>0</v>
      </c>
      <c r="S985" s="75">
        <f t="shared" si="132"/>
        <v>473485910</v>
      </c>
      <c r="T985" s="77">
        <v>0</v>
      </c>
      <c r="U985" s="66">
        <v>40395</v>
      </c>
      <c r="V985" s="79">
        <v>38939</v>
      </c>
      <c r="W985" s="66" t="s">
        <v>1606</v>
      </c>
      <c r="X985" s="24" t="s">
        <v>1607</v>
      </c>
      <c r="Y985" s="83" t="s">
        <v>534</v>
      </c>
      <c r="Z985" s="177" t="s">
        <v>2580</v>
      </c>
      <c r="AA985" s="80" t="s">
        <v>902</v>
      </c>
      <c r="AB985" s="3"/>
      <c r="AC985" s="4"/>
      <c r="AD985" s="5"/>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f>1000+1215</f>
        <v>2215</v>
      </c>
      <c r="CC985" s="4">
        <f>1000*18000+1215*18000</f>
        <v>39870000</v>
      </c>
      <c r="CD985" s="6">
        <v>2215</v>
      </c>
      <c r="CE985" s="7">
        <f>2215*36952</f>
        <v>81848680</v>
      </c>
      <c r="CF985" s="6"/>
      <c r="CG985" s="7"/>
      <c r="CH985" s="6"/>
      <c r="CI985" s="7"/>
      <c r="CJ985" s="8">
        <f t="shared" si="131"/>
        <v>121718680</v>
      </c>
      <c r="CK985" s="9">
        <v>10000</v>
      </c>
      <c r="CL985" s="10">
        <f>10000*904.8</f>
        <v>9048000</v>
      </c>
      <c r="CM985" s="11">
        <f>500+1216+2316</f>
        <v>4032</v>
      </c>
      <c r="CN985" s="12">
        <f>500*84998.46+1216*85000+2316*85000</f>
        <v>342719230</v>
      </c>
      <c r="CO985" s="28"/>
      <c r="CP985" s="12"/>
      <c r="CQ985" s="9"/>
      <c r="CR985" s="10"/>
      <c r="CS985" s="68"/>
      <c r="CT985" s="22"/>
      <c r="EC985" s="344" t="str">
        <f t="shared" si="125"/>
        <v>BOLIVAR_MARGARITA</v>
      </c>
      <c r="ED985" s="341"/>
      <c r="EE985" s="341" t="s">
        <v>3197</v>
      </c>
      <c r="EF985" s="349" t="s">
        <v>3198</v>
      </c>
      <c r="EG985" s="341" t="s">
        <v>4208</v>
      </c>
      <c r="EH985" s="341" t="s">
        <v>5256</v>
      </c>
      <c r="EI985" s="341" t="str">
        <f t="shared" si="127"/>
        <v>Tolima_Piedras</v>
      </c>
    </row>
    <row r="986" spans="1:139" s="164" customFormat="1" ht="72">
      <c r="A986" s="228">
        <v>40394</v>
      </c>
      <c r="B986" s="102" t="s">
        <v>1615</v>
      </c>
      <c r="C986" s="102" t="s">
        <v>1514</v>
      </c>
      <c r="D986" s="206" t="s">
        <v>1201</v>
      </c>
      <c r="E986" s="320" t="s">
        <v>3402</v>
      </c>
      <c r="F986" s="320"/>
      <c r="G986" s="210"/>
      <c r="H986" s="71"/>
      <c r="I986" s="71"/>
      <c r="J986" s="417">
        <f>1340*3.7</f>
        <v>4958</v>
      </c>
      <c r="K986" s="71">
        <v>1340</v>
      </c>
      <c r="L986" s="1">
        <v>40415</v>
      </c>
      <c r="M986" s="73">
        <f t="shared" si="128"/>
        <v>81655000</v>
      </c>
      <c r="N986" s="73">
        <f t="shared" si="129"/>
        <v>73950000</v>
      </c>
      <c r="O986" s="73">
        <f t="shared" si="133"/>
        <v>0</v>
      </c>
      <c r="P986" s="73">
        <f t="shared" si="130"/>
        <v>9048000</v>
      </c>
      <c r="Q986" s="73">
        <f>500*24000</f>
        <v>12000000</v>
      </c>
      <c r="R986" s="73">
        <v>30000000</v>
      </c>
      <c r="S986" s="75">
        <f t="shared" si="132"/>
        <v>206653000</v>
      </c>
      <c r="T986" s="77">
        <v>0</v>
      </c>
      <c r="U986" s="66">
        <v>40395</v>
      </c>
      <c r="V986" s="79">
        <v>38939</v>
      </c>
      <c r="W986" s="66" t="s">
        <v>1606</v>
      </c>
      <c r="X986" s="24" t="s">
        <v>1607</v>
      </c>
      <c r="Y986" s="83" t="s">
        <v>2487</v>
      </c>
      <c r="Z986" s="177" t="s">
        <v>2580</v>
      </c>
      <c r="AA986" s="80" t="s">
        <v>477</v>
      </c>
      <c r="AB986" s="3"/>
      <c r="AC986" s="4"/>
      <c r="AD986" s="5"/>
      <c r="AE986" s="4"/>
      <c r="AF986" s="4"/>
      <c r="AG986" s="4"/>
      <c r="AH986" s="4"/>
      <c r="AI986" s="4"/>
      <c r="AJ986" s="4"/>
      <c r="AK986" s="4"/>
      <c r="AL986" s="4"/>
      <c r="AM986" s="4"/>
      <c r="AN986" s="4">
        <v>630</v>
      </c>
      <c r="AO986" s="4">
        <f>630*56000</f>
        <v>35280000</v>
      </c>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v>10</v>
      </c>
      <c r="BO986" s="4">
        <f>10*520000</f>
        <v>5200000</v>
      </c>
      <c r="BP986" s="4"/>
      <c r="BQ986" s="4"/>
      <c r="BR986" s="4"/>
      <c r="BS986" s="4"/>
      <c r="BT986" s="4"/>
      <c r="BU986" s="4"/>
      <c r="BV986" s="4"/>
      <c r="BW986" s="4"/>
      <c r="BX986" s="4">
        <v>630</v>
      </c>
      <c r="BY986" s="4">
        <f>630*21500</f>
        <v>13545000</v>
      </c>
      <c r="BZ986" s="4"/>
      <c r="CA986" s="4"/>
      <c r="CB986" s="4">
        <f>200+40</f>
        <v>240</v>
      </c>
      <c r="CC986" s="4">
        <f>200*18000+40*18000</f>
        <v>4320000</v>
      </c>
      <c r="CD986" s="6">
        <v>630</v>
      </c>
      <c r="CE986" s="7">
        <f>630*37000</f>
        <v>23310000</v>
      </c>
      <c r="CF986" s="6"/>
      <c r="CG986" s="7"/>
      <c r="CH986" s="6"/>
      <c r="CI986" s="7"/>
      <c r="CJ986" s="8">
        <f t="shared" si="131"/>
        <v>81655000</v>
      </c>
      <c r="CK986" s="9">
        <v>10000</v>
      </c>
      <c r="CL986" s="10">
        <f>10000*904.8</f>
        <v>9048000</v>
      </c>
      <c r="CM986" s="11">
        <f>200+40+630</f>
        <v>870</v>
      </c>
      <c r="CN986" s="12">
        <f>200*85000+40*85000+630*85000</f>
        <v>73950000</v>
      </c>
      <c r="CO986" s="28"/>
      <c r="CP986" s="12"/>
      <c r="CQ986" s="9"/>
      <c r="CR986" s="10"/>
      <c r="CS986" s="68"/>
      <c r="CT986" s="22"/>
      <c r="EC986" s="344" t="str">
        <f t="shared" ref="EC986:EC1049" si="134">B986&amp;"_"&amp;C986</f>
        <v>BOLIVAR_SAN CRISTOBAL</v>
      </c>
      <c r="ED986" s="341"/>
      <c r="EE986" s="341" t="s">
        <v>3197</v>
      </c>
      <c r="EF986" s="349" t="s">
        <v>3198</v>
      </c>
      <c r="EG986" s="341" t="s">
        <v>4209</v>
      </c>
      <c r="EH986" s="341" t="s">
        <v>5257</v>
      </c>
      <c r="EI986" s="341" t="str">
        <f t="shared" si="127"/>
        <v>Tolima_Planadas</v>
      </c>
    </row>
    <row r="987" spans="1:139" s="164" customFormat="1" ht="60">
      <c r="A987" s="228">
        <v>40394</v>
      </c>
      <c r="B987" s="102" t="s">
        <v>1615</v>
      </c>
      <c r="C987" s="102" t="s">
        <v>1198</v>
      </c>
      <c r="D987" s="206" t="s">
        <v>1201</v>
      </c>
      <c r="E987" s="320" t="s">
        <v>3414</v>
      </c>
      <c r="F987" s="320"/>
      <c r="G987" s="210"/>
      <c r="H987" s="71"/>
      <c r="I987" s="71"/>
      <c r="J987" s="417">
        <f>1942*3.7</f>
        <v>7185.4000000000005</v>
      </c>
      <c r="K987" s="71">
        <v>1942</v>
      </c>
      <c r="L987" s="1">
        <v>40415</v>
      </c>
      <c r="M987" s="73">
        <f t="shared" si="128"/>
        <v>94124000</v>
      </c>
      <c r="N987" s="73">
        <f t="shared" si="129"/>
        <v>87975000</v>
      </c>
      <c r="O987" s="73">
        <f t="shared" si="133"/>
        <v>0</v>
      </c>
      <c r="P987" s="73">
        <f t="shared" si="130"/>
        <v>9048000</v>
      </c>
      <c r="Q987" s="73">
        <f>621*18000</f>
        <v>11178000</v>
      </c>
      <c r="R987" s="73">
        <v>0</v>
      </c>
      <c r="S987" s="75">
        <f t="shared" si="132"/>
        <v>202325000</v>
      </c>
      <c r="T987" s="77">
        <v>0</v>
      </c>
      <c r="U987" s="66">
        <v>40395</v>
      </c>
      <c r="V987" s="79">
        <v>38939</v>
      </c>
      <c r="W987" s="66" t="s">
        <v>1606</v>
      </c>
      <c r="X987" s="24" t="s">
        <v>1607</v>
      </c>
      <c r="Y987" s="83" t="s">
        <v>778</v>
      </c>
      <c r="Z987" s="177" t="s">
        <v>2580</v>
      </c>
      <c r="AA987" s="165" t="s">
        <v>3088</v>
      </c>
      <c r="AB987" s="3"/>
      <c r="AC987" s="4"/>
      <c r="AD987" s="5"/>
      <c r="AE987" s="4"/>
      <c r="AF987" s="4"/>
      <c r="AG987" s="4"/>
      <c r="AH987" s="4"/>
      <c r="AI987" s="4"/>
      <c r="AJ987" s="4"/>
      <c r="AK987" s="4"/>
      <c r="AL987" s="4"/>
      <c r="AM987" s="4"/>
      <c r="AN987" s="4"/>
      <c r="AO987" s="4"/>
      <c r="AP987" s="4">
        <v>621</v>
      </c>
      <c r="AQ987" s="4">
        <f>+AP987*56000</f>
        <v>34776000</v>
      </c>
      <c r="AR987" s="4"/>
      <c r="AS987" s="4"/>
      <c r="AT987" s="4"/>
      <c r="AU987" s="4"/>
      <c r="AV987" s="4"/>
      <c r="AW987" s="4"/>
      <c r="AX987" s="4"/>
      <c r="AY987" s="4"/>
      <c r="AZ987" s="4"/>
      <c r="BA987" s="4"/>
      <c r="BB987" s="4"/>
      <c r="BC987" s="4"/>
      <c r="BD987" s="4"/>
      <c r="BE987" s="4"/>
      <c r="BF987" s="4"/>
      <c r="BG987" s="4"/>
      <c r="BH987" s="4"/>
      <c r="BI987" s="4"/>
      <c r="BJ987" s="4"/>
      <c r="BK987" s="4"/>
      <c r="BL987" s="4"/>
      <c r="BM987" s="4"/>
      <c r="BN987" s="4">
        <v>10</v>
      </c>
      <c r="BO987" s="4">
        <f>10*470000</f>
        <v>4700000</v>
      </c>
      <c r="BP987" s="4"/>
      <c r="BQ987" s="4"/>
      <c r="BR987" s="4"/>
      <c r="BS987" s="4"/>
      <c r="BT987" s="4"/>
      <c r="BU987" s="4"/>
      <c r="BV987" s="4"/>
      <c r="BW987" s="4"/>
      <c r="BX987" s="4">
        <v>621</v>
      </c>
      <c r="BY987" s="4">
        <f>621*21000</f>
        <v>13041000</v>
      </c>
      <c r="BZ987" s="4"/>
      <c r="CA987" s="4"/>
      <c r="CB987" s="4">
        <f>414+621</f>
        <v>1035</v>
      </c>
      <c r="CC987" s="4">
        <f>414*18000+621*18000</f>
        <v>18630000</v>
      </c>
      <c r="CD987" s="6">
        <v>621</v>
      </c>
      <c r="CE987" s="7">
        <f>621*37000</f>
        <v>22977000</v>
      </c>
      <c r="CF987" s="6"/>
      <c r="CG987" s="7"/>
      <c r="CH987" s="6"/>
      <c r="CI987" s="7"/>
      <c r="CJ987" s="8">
        <f t="shared" si="131"/>
        <v>94124000</v>
      </c>
      <c r="CK987" s="9">
        <v>10000</v>
      </c>
      <c r="CL987" s="10">
        <f>10000*904.8</f>
        <v>9048000</v>
      </c>
      <c r="CM987" s="11">
        <f>414+621</f>
        <v>1035</v>
      </c>
      <c r="CN987" s="12">
        <f>414*85000+621*85000</f>
        <v>87975000</v>
      </c>
      <c r="CO987" s="28"/>
      <c r="CP987" s="12"/>
      <c r="CQ987" s="9"/>
      <c r="CR987" s="10"/>
      <c r="CS987" s="68"/>
      <c r="CT987" s="22"/>
      <c r="EC987" s="344" t="str">
        <f t="shared" si="134"/>
        <v>BOLIVAR_SOPLAVIENTO</v>
      </c>
      <c r="ED987" s="341"/>
      <c r="EE987" s="341" t="s">
        <v>3197</v>
      </c>
      <c r="EF987" s="349" t="s">
        <v>3198</v>
      </c>
      <c r="EG987" s="341" t="s">
        <v>4210</v>
      </c>
      <c r="EH987" s="341" t="s">
        <v>5258</v>
      </c>
      <c r="EI987" s="341" t="str">
        <f t="shared" si="127"/>
        <v>Tolima_Prado</v>
      </c>
    </row>
    <row r="988" spans="1:139" s="164" customFormat="1" ht="96">
      <c r="A988" s="228">
        <v>40395</v>
      </c>
      <c r="B988" s="102" t="s">
        <v>1615</v>
      </c>
      <c r="C988" s="102" t="s">
        <v>1558</v>
      </c>
      <c r="D988" s="206" t="s">
        <v>1201</v>
      </c>
      <c r="E988" s="320" t="s">
        <v>3383</v>
      </c>
      <c r="F988" s="320"/>
      <c r="G988" s="210"/>
      <c r="H988" s="71"/>
      <c r="I988" s="71"/>
      <c r="J988" s="71">
        <f>2241*5</f>
        <v>11205</v>
      </c>
      <c r="K988" s="71">
        <v>2241</v>
      </c>
      <c r="L988" s="1">
        <v>40415</v>
      </c>
      <c r="M988" s="73">
        <f t="shared" si="128"/>
        <v>224502000</v>
      </c>
      <c r="N988" s="73">
        <f t="shared" si="129"/>
        <v>167450000</v>
      </c>
      <c r="O988" s="73">
        <f t="shared" si="133"/>
        <v>0</v>
      </c>
      <c r="P988" s="73">
        <f t="shared" si="130"/>
        <v>0</v>
      </c>
      <c r="Q988" s="73">
        <f>1600*18000</f>
        <v>28800000</v>
      </c>
      <c r="R988" s="73">
        <v>69894000</v>
      </c>
      <c r="S988" s="75">
        <f t="shared" si="132"/>
        <v>490646000</v>
      </c>
      <c r="T988" s="77">
        <v>0</v>
      </c>
      <c r="U988" s="66">
        <v>40395</v>
      </c>
      <c r="V988" s="79">
        <v>38939</v>
      </c>
      <c r="W988" s="66" t="s">
        <v>1606</v>
      </c>
      <c r="X988" s="24" t="s">
        <v>1607</v>
      </c>
      <c r="Y988" s="83" t="s">
        <v>2486</v>
      </c>
      <c r="Z988" s="177" t="s">
        <v>2580</v>
      </c>
      <c r="AA988" s="80" t="s">
        <v>3087</v>
      </c>
      <c r="AB988" s="3"/>
      <c r="AC988" s="4"/>
      <c r="AD988" s="5"/>
      <c r="AE988" s="4"/>
      <c r="AF988" s="4"/>
      <c r="AG988" s="4"/>
      <c r="AH988" s="4"/>
      <c r="AI988" s="4"/>
      <c r="AJ988" s="4"/>
      <c r="AK988" s="4"/>
      <c r="AL988" s="4"/>
      <c r="AM988" s="4"/>
      <c r="AN988" s="4"/>
      <c r="AO988" s="4"/>
      <c r="AP988" s="4">
        <v>1600</v>
      </c>
      <c r="AQ988" s="4">
        <f>1600*56000</f>
        <v>89600000</v>
      </c>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v>1600</v>
      </c>
      <c r="BY988" s="4">
        <f>1600*21000</f>
        <v>33600000</v>
      </c>
      <c r="BZ988" s="4"/>
      <c r="CA988" s="4"/>
      <c r="CB988" s="4">
        <f>370+369+1600</f>
        <v>2339</v>
      </c>
      <c r="CC988" s="4">
        <f>370*18000+369*18000+1600*18000</f>
        <v>42102000</v>
      </c>
      <c r="CD988" s="6">
        <v>1600</v>
      </c>
      <c r="CE988" s="7">
        <f>1600*37000</f>
        <v>59200000</v>
      </c>
      <c r="CF988" s="6"/>
      <c r="CG988" s="7"/>
      <c r="CH988" s="6"/>
      <c r="CI988" s="7"/>
      <c r="CJ988" s="8">
        <f t="shared" si="131"/>
        <v>224502000</v>
      </c>
      <c r="CK988" s="9"/>
      <c r="CL988" s="10"/>
      <c r="CM988" s="11">
        <f>370+1600</f>
        <v>1970</v>
      </c>
      <c r="CN988" s="12">
        <f>370*85000+1600*85000</f>
        <v>167450000</v>
      </c>
      <c r="CO988" s="28"/>
      <c r="CP988" s="12"/>
      <c r="CQ988" s="9"/>
      <c r="CR988" s="10"/>
      <c r="CS988" s="68"/>
      <c r="CT988" s="22"/>
      <c r="EC988" s="344" t="str">
        <f t="shared" si="134"/>
        <v>BOLIVAR_CALAMAR</v>
      </c>
      <c r="ED988" s="341"/>
      <c r="EE988" s="341" t="s">
        <v>3197</v>
      </c>
      <c r="EF988" s="349" t="s">
        <v>3198</v>
      </c>
      <c r="EG988" s="341" t="s">
        <v>4211</v>
      </c>
      <c r="EH988" s="341" t="s">
        <v>5259</v>
      </c>
      <c r="EI988" s="341" t="str">
        <f t="shared" si="127"/>
        <v>Tolima_Purificacion</v>
      </c>
    </row>
    <row r="989" spans="1:139" s="164" customFormat="1" ht="25.5">
      <c r="A989" s="228">
        <v>40395</v>
      </c>
      <c r="B989" s="222" t="s">
        <v>1192</v>
      </c>
      <c r="C989" s="222" t="s">
        <v>2043</v>
      </c>
      <c r="D989" s="233" t="s">
        <v>2606</v>
      </c>
      <c r="E989" s="325" t="s">
        <v>3483</v>
      </c>
      <c r="F989" s="325"/>
      <c r="G989" s="204"/>
      <c r="H989" s="151"/>
      <c r="I989" s="151"/>
      <c r="J989" s="151">
        <f>105*5</f>
        <v>525</v>
      </c>
      <c r="K989" s="151">
        <v>105</v>
      </c>
      <c r="L989" s="1">
        <v>40530</v>
      </c>
      <c r="M989" s="73">
        <f t="shared" si="128"/>
        <v>12620932.800000001</v>
      </c>
      <c r="N989" s="73">
        <f t="shared" si="129"/>
        <v>8925000</v>
      </c>
      <c r="O989" s="73">
        <f t="shared" si="133"/>
        <v>0</v>
      </c>
      <c r="P989" s="73">
        <f t="shared" si="130"/>
        <v>0</v>
      </c>
      <c r="Q989" s="73"/>
      <c r="R989" s="73">
        <v>0</v>
      </c>
      <c r="S989" s="75">
        <f t="shared" si="132"/>
        <v>21545932.800000001</v>
      </c>
      <c r="T989" s="77">
        <v>0</v>
      </c>
      <c r="U989" s="66">
        <v>40441</v>
      </c>
      <c r="V989" s="79"/>
      <c r="W989" s="66" t="s">
        <v>1606</v>
      </c>
      <c r="X989" s="24" t="s">
        <v>1607</v>
      </c>
      <c r="Y989" s="83" t="s">
        <v>237</v>
      </c>
      <c r="Z989" s="169" t="s">
        <v>894</v>
      </c>
      <c r="AA989" s="166" t="s">
        <v>1793</v>
      </c>
      <c r="AB989" s="152"/>
      <c r="AC989" s="153"/>
      <c r="AD989" s="154"/>
      <c r="AE989" s="153"/>
      <c r="AF989" s="153"/>
      <c r="AG989" s="153"/>
      <c r="AH989" s="153"/>
      <c r="AI989" s="153"/>
      <c r="AJ989" s="153"/>
      <c r="AK989" s="153"/>
      <c r="AL989" s="153"/>
      <c r="AM989" s="153"/>
      <c r="AN989" s="153"/>
      <c r="AO989" s="153"/>
      <c r="AP989" s="153"/>
      <c r="AQ989" s="153"/>
      <c r="AR989" s="153"/>
      <c r="AS989" s="153"/>
      <c r="AT989" s="153"/>
      <c r="AU989" s="153"/>
      <c r="AV989" s="153"/>
      <c r="AW989" s="153"/>
      <c r="AX989" s="153"/>
      <c r="AY989" s="153"/>
      <c r="AZ989" s="153">
        <v>105</v>
      </c>
      <c r="BA989" s="153">
        <f>105*25500</f>
        <v>2677500</v>
      </c>
      <c r="BB989" s="153"/>
      <c r="BC989" s="153"/>
      <c r="BD989" s="153"/>
      <c r="BE989" s="153"/>
      <c r="BF989" s="153"/>
      <c r="BG989" s="153"/>
      <c r="BH989" s="153"/>
      <c r="BI989" s="153"/>
      <c r="BJ989" s="153"/>
      <c r="BK989" s="153"/>
      <c r="BL989" s="153"/>
      <c r="BM989" s="153"/>
      <c r="BN989" s="153"/>
      <c r="BO989" s="153"/>
      <c r="BP989" s="153"/>
      <c r="BQ989" s="153"/>
      <c r="BR989" s="153"/>
      <c r="BS989" s="153"/>
      <c r="BT989" s="153"/>
      <c r="BU989" s="153"/>
      <c r="BV989" s="153"/>
      <c r="BW989" s="153"/>
      <c r="BX989" s="153">
        <v>105</v>
      </c>
      <c r="BY989" s="153">
        <f>105*18000</f>
        <v>1890000</v>
      </c>
      <c r="BZ989" s="153"/>
      <c r="CA989" s="153"/>
      <c r="CB989" s="153"/>
      <c r="CC989" s="153"/>
      <c r="CD989" s="155">
        <v>105</v>
      </c>
      <c r="CE989" s="156">
        <f>105*36999.36</f>
        <v>3884932.8000000003</v>
      </c>
      <c r="CF989" s="155">
        <v>105</v>
      </c>
      <c r="CG989" s="156">
        <f>105*39700</f>
        <v>4168500</v>
      </c>
      <c r="CH989" s="155"/>
      <c r="CI989" s="156"/>
      <c r="CJ989" s="157">
        <f t="shared" si="131"/>
        <v>12620932.800000001</v>
      </c>
      <c r="CK989" s="158"/>
      <c r="CL989" s="159"/>
      <c r="CM989" s="160">
        <v>105</v>
      </c>
      <c r="CN989" s="161">
        <f>105*85000</f>
        <v>8925000</v>
      </c>
      <c r="CO989" s="162"/>
      <c r="CP989" s="161"/>
      <c r="CQ989" s="158"/>
      <c r="CR989" s="159"/>
      <c r="CS989" s="68"/>
      <c r="CT989" s="163"/>
      <c r="EC989" s="344" t="str">
        <f t="shared" si="134"/>
        <v>BOYACA_OTANCHE</v>
      </c>
      <c r="ED989" s="341"/>
      <c r="EE989" s="341" t="s">
        <v>3197</v>
      </c>
      <c r="EF989" s="349" t="s">
        <v>3198</v>
      </c>
      <c r="EG989" s="341" t="s">
        <v>4212</v>
      </c>
      <c r="EH989" s="341" t="s">
        <v>5260</v>
      </c>
      <c r="EI989" s="341" t="str">
        <f t="shared" si="127"/>
        <v>Tolima_Rioblanco</v>
      </c>
    </row>
    <row r="990" spans="1:139" s="164" customFormat="1" ht="25.5">
      <c r="A990" s="228">
        <v>40395</v>
      </c>
      <c r="B990" s="205" t="s">
        <v>1192</v>
      </c>
      <c r="C990" s="205" t="s">
        <v>102</v>
      </c>
      <c r="D990" s="207" t="s">
        <v>1878</v>
      </c>
      <c r="E990" s="323" t="s">
        <v>3484</v>
      </c>
      <c r="F990" s="323"/>
      <c r="G990" s="204"/>
      <c r="H990" s="151"/>
      <c r="I990" s="151"/>
      <c r="J990" s="151">
        <f>56*5</f>
        <v>280</v>
      </c>
      <c r="K990" s="151">
        <v>56</v>
      </c>
      <c r="L990" s="1"/>
      <c r="M990" s="73">
        <f t="shared" si="128"/>
        <v>0</v>
      </c>
      <c r="N990" s="73">
        <f t="shared" si="129"/>
        <v>0</v>
      </c>
      <c r="O990" s="73">
        <f t="shared" si="133"/>
        <v>0</v>
      </c>
      <c r="P990" s="73">
        <f t="shared" si="130"/>
        <v>0</v>
      </c>
      <c r="Q990" s="73"/>
      <c r="R990" s="73">
        <v>0</v>
      </c>
      <c r="S990" s="75">
        <f t="shared" si="132"/>
        <v>0</v>
      </c>
      <c r="T990" s="77">
        <v>0</v>
      </c>
      <c r="U990" s="66">
        <v>40589</v>
      </c>
      <c r="V990" s="79"/>
      <c r="W990" s="66" t="s">
        <v>1585</v>
      </c>
      <c r="X990" s="24" t="s">
        <v>1586</v>
      </c>
      <c r="Y990" s="62"/>
      <c r="Z990" s="169" t="s">
        <v>894</v>
      </c>
      <c r="AA990" s="166" t="s">
        <v>95</v>
      </c>
      <c r="AB990" s="152"/>
      <c r="AC990" s="153"/>
      <c r="AD990" s="154"/>
      <c r="AE990" s="153"/>
      <c r="AF990" s="153"/>
      <c r="AG990" s="153"/>
      <c r="AH990" s="153"/>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c r="BF990" s="153"/>
      <c r="BG990" s="153"/>
      <c r="BH990" s="153"/>
      <c r="BI990" s="153"/>
      <c r="BJ990" s="153"/>
      <c r="BK990" s="153"/>
      <c r="BL990" s="153"/>
      <c r="BM990" s="153"/>
      <c r="BN990" s="153"/>
      <c r="BO990" s="153"/>
      <c r="BP990" s="153"/>
      <c r="BQ990" s="153"/>
      <c r="BR990" s="153"/>
      <c r="BS990" s="153"/>
      <c r="BT990" s="153"/>
      <c r="BU990" s="153"/>
      <c r="BV990" s="153"/>
      <c r="BW990" s="153"/>
      <c r="BX990" s="153"/>
      <c r="BY990" s="153"/>
      <c r="BZ990" s="153"/>
      <c r="CA990" s="153"/>
      <c r="CB990" s="153"/>
      <c r="CC990" s="153"/>
      <c r="CD990" s="155"/>
      <c r="CE990" s="156"/>
      <c r="CF990" s="155"/>
      <c r="CG990" s="156"/>
      <c r="CH990" s="155"/>
      <c r="CI990" s="156"/>
      <c r="CJ990" s="157">
        <f t="shared" si="131"/>
        <v>0</v>
      </c>
      <c r="CK990" s="158"/>
      <c r="CL990" s="159"/>
      <c r="CM990" s="160"/>
      <c r="CN990" s="161"/>
      <c r="CO990" s="162"/>
      <c r="CP990" s="161"/>
      <c r="CQ990" s="158"/>
      <c r="CR990" s="159"/>
      <c r="CS990" s="68"/>
      <c r="CT990" s="163"/>
      <c r="EC990" s="344" t="str">
        <f t="shared" si="134"/>
        <v>BOYACA_PACHAVITA</v>
      </c>
      <c r="ED990" s="341"/>
      <c r="EE990" s="341" t="s">
        <v>3197</v>
      </c>
      <c r="EF990" s="349" t="s">
        <v>3198</v>
      </c>
      <c r="EG990" s="341" t="s">
        <v>4213</v>
      </c>
      <c r="EH990" s="341" t="s">
        <v>5261</v>
      </c>
      <c r="EI990" s="341" t="str">
        <f t="shared" si="127"/>
        <v>Tolima_Roncesvalles</v>
      </c>
    </row>
    <row r="991" spans="1:139" s="164" customFormat="1" ht="51">
      <c r="A991" s="228">
        <v>40395</v>
      </c>
      <c r="B991" s="222" t="s">
        <v>1192</v>
      </c>
      <c r="C991" s="205" t="s">
        <v>885</v>
      </c>
      <c r="D991" s="233" t="s">
        <v>2606</v>
      </c>
      <c r="E991" s="325" t="s">
        <v>3507</v>
      </c>
      <c r="F991" s="325"/>
      <c r="G991" s="204"/>
      <c r="H991" s="151"/>
      <c r="I991" s="151"/>
      <c r="J991" s="151">
        <f>387*5</f>
        <v>1935</v>
      </c>
      <c r="K991" s="151">
        <f>426-5-20-14</f>
        <v>387</v>
      </c>
      <c r="L991" s="1">
        <v>40530</v>
      </c>
      <c r="M991" s="73">
        <f t="shared" si="128"/>
        <v>12019936</v>
      </c>
      <c r="N991" s="73">
        <f t="shared" si="129"/>
        <v>8500000</v>
      </c>
      <c r="O991" s="73">
        <f t="shared" si="133"/>
        <v>0</v>
      </c>
      <c r="P991" s="73">
        <f t="shared" si="130"/>
        <v>0</v>
      </c>
      <c r="Q991" s="73"/>
      <c r="R991" s="73">
        <v>0</v>
      </c>
      <c r="S991" s="75">
        <f t="shared" si="132"/>
        <v>20519936</v>
      </c>
      <c r="T991" s="77">
        <v>0</v>
      </c>
      <c r="U991" s="66">
        <v>40441</v>
      </c>
      <c r="V991" s="79"/>
      <c r="W991" s="66" t="s">
        <v>1606</v>
      </c>
      <c r="X991" s="24" t="s">
        <v>1607</v>
      </c>
      <c r="Y991" s="83" t="s">
        <v>237</v>
      </c>
      <c r="Z991" s="176" t="s">
        <v>2759</v>
      </c>
      <c r="AA991" s="239" t="s">
        <v>1792</v>
      </c>
      <c r="AB991" s="168"/>
      <c r="AC991" s="153"/>
      <c r="AD991" s="154"/>
      <c r="AE991" s="153"/>
      <c r="AF991" s="153"/>
      <c r="AG991" s="153"/>
      <c r="AH991" s="153"/>
      <c r="AI991" s="153"/>
      <c r="AJ991" s="153"/>
      <c r="AK991" s="153"/>
      <c r="AL991" s="153"/>
      <c r="AM991" s="153"/>
      <c r="AN991" s="153"/>
      <c r="AO991" s="153"/>
      <c r="AP991" s="153"/>
      <c r="AQ991" s="153"/>
      <c r="AR991" s="153"/>
      <c r="AS991" s="153"/>
      <c r="AT991" s="153"/>
      <c r="AU991" s="153"/>
      <c r="AV991" s="153"/>
      <c r="AW991" s="153"/>
      <c r="AX991" s="153"/>
      <c r="AY991" s="153"/>
      <c r="AZ991" s="153">
        <v>100</v>
      </c>
      <c r="BA991" s="153">
        <f>100*25500</f>
        <v>2550000</v>
      </c>
      <c r="BB991" s="153"/>
      <c r="BC991" s="153"/>
      <c r="BD991" s="153"/>
      <c r="BE991" s="153"/>
      <c r="BF991" s="153"/>
      <c r="BG991" s="153"/>
      <c r="BH991" s="153"/>
      <c r="BI991" s="153"/>
      <c r="BJ991" s="153"/>
      <c r="BK991" s="153"/>
      <c r="BL991" s="153"/>
      <c r="BM991" s="153"/>
      <c r="BN991" s="153"/>
      <c r="BO991" s="153"/>
      <c r="BP991" s="153"/>
      <c r="BQ991" s="153"/>
      <c r="BR991" s="153"/>
      <c r="BS991" s="153"/>
      <c r="BT991" s="153"/>
      <c r="BU991" s="153"/>
      <c r="BV991" s="153"/>
      <c r="BW991" s="153"/>
      <c r="BX991" s="153"/>
      <c r="BY991" s="153"/>
      <c r="BZ991" s="153"/>
      <c r="CA991" s="153"/>
      <c r="CB991" s="153">
        <v>100</v>
      </c>
      <c r="CC991" s="153">
        <f>100*18000</f>
        <v>1800000</v>
      </c>
      <c r="CD991" s="155">
        <v>100</v>
      </c>
      <c r="CE991" s="156">
        <f>100*36999.36</f>
        <v>3699936</v>
      </c>
      <c r="CF991" s="155">
        <v>100</v>
      </c>
      <c r="CG991" s="156">
        <f>100*39700</f>
        <v>3970000</v>
      </c>
      <c r="CH991" s="155"/>
      <c r="CI991" s="156"/>
      <c r="CJ991" s="157">
        <f t="shared" si="131"/>
        <v>12019936</v>
      </c>
      <c r="CK991" s="158"/>
      <c r="CL991" s="159"/>
      <c r="CM991" s="160">
        <v>100</v>
      </c>
      <c r="CN991" s="161">
        <f>100*85000</f>
        <v>8500000</v>
      </c>
      <c r="CO991" s="162"/>
      <c r="CP991" s="161"/>
      <c r="CQ991" s="158"/>
      <c r="CR991" s="159"/>
      <c r="CS991" s="68"/>
      <c r="CT991" s="163"/>
      <c r="EC991" s="344" t="str">
        <f t="shared" si="134"/>
        <v>BOYACA_SAN PABLO DE BORBUR</v>
      </c>
      <c r="ED991" s="341"/>
      <c r="EE991" s="341" t="s">
        <v>3197</v>
      </c>
      <c r="EF991" s="349" t="s">
        <v>3198</v>
      </c>
      <c r="EG991" s="341" t="s">
        <v>4214</v>
      </c>
      <c r="EH991" s="341" t="s">
        <v>5262</v>
      </c>
      <c r="EI991" s="341" t="str">
        <f t="shared" si="127"/>
        <v>Tolima_Rovira</v>
      </c>
    </row>
    <row r="992" spans="1:139" s="164" customFormat="1" ht="38.25">
      <c r="A992" s="228">
        <v>40395</v>
      </c>
      <c r="B992" s="205" t="s">
        <v>1943</v>
      </c>
      <c r="C992" s="205" t="s">
        <v>3195</v>
      </c>
      <c r="D992" s="207" t="s">
        <v>1201</v>
      </c>
      <c r="E992" s="323" t="s">
        <v>4175</v>
      </c>
      <c r="F992" s="323"/>
      <c r="G992" s="204"/>
      <c r="H992" s="151"/>
      <c r="I992" s="151"/>
      <c r="J992" s="151">
        <v>500</v>
      </c>
      <c r="K992" s="151">
        <v>172</v>
      </c>
      <c r="L992" s="1">
        <v>40487</v>
      </c>
      <c r="M992" s="73">
        <f t="shared" si="128"/>
        <v>46476000</v>
      </c>
      <c r="N992" s="73">
        <f t="shared" si="129"/>
        <v>104890000</v>
      </c>
      <c r="O992" s="73">
        <f t="shared" si="133"/>
        <v>0</v>
      </c>
      <c r="P992" s="73">
        <f t="shared" si="130"/>
        <v>0</v>
      </c>
      <c r="Q992" s="73"/>
      <c r="R992" s="73">
        <v>0</v>
      </c>
      <c r="S992" s="75">
        <f t="shared" si="132"/>
        <v>151366000</v>
      </c>
      <c r="T992" s="77">
        <v>0</v>
      </c>
      <c r="U992" s="66">
        <v>40441</v>
      </c>
      <c r="V992" s="89" t="s">
        <v>2571</v>
      </c>
      <c r="W992" s="66" t="s">
        <v>1606</v>
      </c>
      <c r="X992" s="24" t="s">
        <v>1607</v>
      </c>
      <c r="Y992" s="62">
        <v>23551</v>
      </c>
      <c r="Z992" s="169" t="s">
        <v>1435</v>
      </c>
      <c r="AA992" s="166" t="s">
        <v>2055</v>
      </c>
      <c r="AB992" s="152"/>
      <c r="AC992" s="153"/>
      <c r="AD992" s="154"/>
      <c r="AE992" s="153"/>
      <c r="AF992" s="153"/>
      <c r="AG992" s="153"/>
      <c r="AH992" s="153"/>
      <c r="AI992" s="153"/>
      <c r="AJ992" s="153"/>
      <c r="AK992" s="153"/>
      <c r="AL992" s="153"/>
      <c r="AM992" s="153"/>
      <c r="AN992" s="153"/>
      <c r="AO992" s="153"/>
      <c r="AP992" s="153">
        <v>500</v>
      </c>
      <c r="AQ992" s="153">
        <f>500*56000</f>
        <v>28000000</v>
      </c>
      <c r="AR992" s="153"/>
      <c r="AS992" s="153"/>
      <c r="AT992" s="153"/>
      <c r="AU992" s="153"/>
      <c r="AV992" s="153"/>
      <c r="AW992" s="153"/>
      <c r="AX992" s="153"/>
      <c r="AY992" s="153"/>
      <c r="AZ992" s="153"/>
      <c r="BA992" s="153"/>
      <c r="BB992" s="153"/>
      <c r="BC992" s="153"/>
      <c r="BD992" s="153"/>
      <c r="BE992" s="153"/>
      <c r="BF992" s="153"/>
      <c r="BG992" s="153"/>
      <c r="BH992" s="153"/>
      <c r="BI992" s="153"/>
      <c r="BJ992" s="153"/>
      <c r="BK992" s="153"/>
      <c r="BL992" s="153"/>
      <c r="BM992" s="153"/>
      <c r="BN992" s="153"/>
      <c r="BO992" s="153"/>
      <c r="BP992" s="153"/>
      <c r="BQ992" s="153"/>
      <c r="BR992" s="153"/>
      <c r="BS992" s="153"/>
      <c r="BT992" s="153"/>
      <c r="BU992" s="153"/>
      <c r="BV992" s="153"/>
      <c r="BW992" s="153"/>
      <c r="BX992" s="153"/>
      <c r="BY992" s="153"/>
      <c r="BZ992" s="153"/>
      <c r="CA992" s="153"/>
      <c r="CB992" s="153"/>
      <c r="CC992" s="153"/>
      <c r="CD992" s="155">
        <v>500</v>
      </c>
      <c r="CE992" s="156">
        <f>500*36952</f>
        <v>18476000</v>
      </c>
      <c r="CF992" s="155"/>
      <c r="CG992" s="156"/>
      <c r="CH992" s="155"/>
      <c r="CI992" s="156"/>
      <c r="CJ992" s="157">
        <f t="shared" si="131"/>
        <v>46476000</v>
      </c>
      <c r="CK992" s="158"/>
      <c r="CL992" s="159"/>
      <c r="CM992" s="160">
        <f>734+500</f>
        <v>1234</v>
      </c>
      <c r="CN992" s="161">
        <f>734*85000+500*85000</f>
        <v>104890000</v>
      </c>
      <c r="CO992" s="162"/>
      <c r="CP992" s="161"/>
      <c r="CQ992" s="158"/>
      <c r="CR992" s="159"/>
      <c r="CS992" s="68"/>
      <c r="CT992" s="163"/>
      <c r="EC992" s="344" t="str">
        <f t="shared" si="134"/>
        <v>SUCRE_SANTIAGO DE TOLU</v>
      </c>
      <c r="ED992" s="341"/>
      <c r="EE992" s="341" t="s">
        <v>3197</v>
      </c>
      <c r="EF992" s="349" t="s">
        <v>3198</v>
      </c>
      <c r="EG992" s="341" t="s">
        <v>4215</v>
      </c>
      <c r="EH992" s="341" t="s">
        <v>5263</v>
      </c>
      <c r="EI992" s="341" t="str">
        <f t="shared" si="127"/>
        <v>Tolima_Saldaña</v>
      </c>
    </row>
    <row r="993" spans="1:139" s="164" customFormat="1" ht="51">
      <c r="A993" s="228">
        <v>40396</v>
      </c>
      <c r="B993" s="102" t="s">
        <v>1615</v>
      </c>
      <c r="C993" s="102" t="s">
        <v>175</v>
      </c>
      <c r="D993" s="206" t="s">
        <v>1923</v>
      </c>
      <c r="E993" s="320" t="s">
        <v>3388</v>
      </c>
      <c r="F993" s="320"/>
      <c r="G993" s="210"/>
      <c r="H993" s="71"/>
      <c r="I993" s="71"/>
      <c r="J993" s="71"/>
      <c r="K993" s="71"/>
      <c r="L993" s="1"/>
      <c r="M993" s="73">
        <f t="shared" si="128"/>
        <v>0</v>
      </c>
      <c r="N993" s="73">
        <f t="shared" si="129"/>
        <v>0</v>
      </c>
      <c r="O993" s="73">
        <f t="shared" si="133"/>
        <v>0</v>
      </c>
      <c r="P993" s="73">
        <f t="shared" si="130"/>
        <v>0</v>
      </c>
      <c r="Q993" s="73"/>
      <c r="R993" s="73">
        <v>0</v>
      </c>
      <c r="S993" s="75">
        <f t="shared" si="132"/>
        <v>0</v>
      </c>
      <c r="T993" s="77">
        <v>0</v>
      </c>
      <c r="U993" s="66">
        <v>40399</v>
      </c>
      <c r="V993" s="79"/>
      <c r="W993" s="66" t="s">
        <v>1585</v>
      </c>
      <c r="X993" s="24" t="s">
        <v>1586</v>
      </c>
      <c r="Y993" s="62"/>
      <c r="Z993" s="177" t="s">
        <v>894</v>
      </c>
      <c r="AA993" s="80" t="s">
        <v>1463</v>
      </c>
      <c r="AB993" s="3"/>
      <c r="AC993" s="4"/>
      <c r="AD993" s="5"/>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6"/>
      <c r="CE993" s="7"/>
      <c r="CF993" s="6"/>
      <c r="CG993" s="7"/>
      <c r="CH993" s="6"/>
      <c r="CI993" s="7"/>
      <c r="CJ993" s="8">
        <f t="shared" si="131"/>
        <v>0</v>
      </c>
      <c r="CK993" s="9"/>
      <c r="CL993" s="10"/>
      <c r="CM993" s="11"/>
      <c r="CN993" s="12"/>
      <c r="CO993" s="28"/>
      <c r="CP993" s="12"/>
      <c r="CQ993" s="9"/>
      <c r="CR993" s="10"/>
      <c r="CS993" s="68"/>
      <c r="CT993" s="22"/>
      <c r="EC993" s="344" t="str">
        <f t="shared" si="134"/>
        <v>BOLIVAR_EL CARMEN DE BOLIVAR</v>
      </c>
      <c r="ED993" s="341"/>
      <c r="EE993" s="341" t="s">
        <v>3197</v>
      </c>
      <c r="EF993" s="349" t="s">
        <v>3198</v>
      </c>
      <c r="EG993" s="341" t="s">
        <v>4216</v>
      </c>
      <c r="EH993" s="341" t="s">
        <v>5264</v>
      </c>
      <c r="EI993" s="341" t="str">
        <f t="shared" si="127"/>
        <v>Tolima_San Antonio</v>
      </c>
    </row>
    <row r="994" spans="1:139" s="164" customFormat="1" ht="45">
      <c r="A994" s="228">
        <v>40396</v>
      </c>
      <c r="B994" s="102" t="s">
        <v>1295</v>
      </c>
      <c r="C994" s="102" t="s">
        <v>684</v>
      </c>
      <c r="D994" s="206" t="s">
        <v>2606</v>
      </c>
      <c r="E994" s="320" t="s">
        <v>3679</v>
      </c>
      <c r="F994" s="320"/>
      <c r="G994" s="210"/>
      <c r="H994" s="71"/>
      <c r="I994" s="71"/>
      <c r="J994" s="71">
        <v>49</v>
      </c>
      <c r="K994" s="71">
        <v>13</v>
      </c>
      <c r="L994" s="1">
        <v>40448</v>
      </c>
      <c r="M994" s="73">
        <f t="shared" si="128"/>
        <v>12093600</v>
      </c>
      <c r="N994" s="73">
        <f t="shared" si="129"/>
        <v>25500000</v>
      </c>
      <c r="O994" s="73">
        <f t="shared" si="133"/>
        <v>0</v>
      </c>
      <c r="P994" s="73">
        <f t="shared" si="130"/>
        <v>0</v>
      </c>
      <c r="Q994" s="73"/>
      <c r="R994" s="73">
        <v>0</v>
      </c>
      <c r="S994" s="75">
        <f t="shared" si="132"/>
        <v>37593600</v>
      </c>
      <c r="T994" s="77">
        <v>0</v>
      </c>
      <c r="U994" s="66">
        <v>40399</v>
      </c>
      <c r="V994" s="79">
        <v>38767</v>
      </c>
      <c r="W994" s="66" t="s">
        <v>1606</v>
      </c>
      <c r="X994" s="24" t="s">
        <v>1607</v>
      </c>
      <c r="Y994" s="83" t="s">
        <v>2570</v>
      </c>
      <c r="Z994" s="177" t="s">
        <v>2580</v>
      </c>
      <c r="AA994" s="80" t="s">
        <v>1493</v>
      </c>
      <c r="AB994" s="3"/>
      <c r="AC994" s="4"/>
      <c r="AD994" s="5"/>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v>2</v>
      </c>
      <c r="BO994" s="4">
        <f>2*504000</f>
        <v>1008000</v>
      </c>
      <c r="BP994" s="4"/>
      <c r="BQ994" s="4"/>
      <c r="BR994" s="4"/>
      <c r="BS994" s="4"/>
      <c r="BT994" s="4"/>
      <c r="BU994" s="4"/>
      <c r="BV994" s="4"/>
      <c r="BW994" s="4"/>
      <c r="BX994" s="4"/>
      <c r="BY994" s="4"/>
      <c r="BZ994" s="4"/>
      <c r="CA994" s="4"/>
      <c r="CB994" s="4"/>
      <c r="CC994" s="4"/>
      <c r="CD994" s="6">
        <v>300</v>
      </c>
      <c r="CE994" s="7">
        <f>300*36952</f>
        <v>11085600</v>
      </c>
      <c r="CF994" s="6"/>
      <c r="CG994" s="7"/>
      <c r="CH994" s="6"/>
      <c r="CI994" s="7"/>
      <c r="CJ994" s="8">
        <f t="shared" si="131"/>
        <v>12093600</v>
      </c>
      <c r="CK994" s="9"/>
      <c r="CL994" s="10"/>
      <c r="CM994" s="11">
        <v>300</v>
      </c>
      <c r="CN994" s="12">
        <f>300*85000</f>
        <v>25500000</v>
      </c>
      <c r="CO994" s="28"/>
      <c r="CP994" s="12"/>
      <c r="CQ994" s="9"/>
      <c r="CR994" s="10"/>
      <c r="CS994" s="68"/>
      <c r="CT994" s="22"/>
      <c r="EC994" s="344" t="str">
        <f t="shared" si="134"/>
        <v>CORDOBA_TIERRALTA</v>
      </c>
      <c r="ED994" s="341"/>
      <c r="EE994" s="341" t="s">
        <v>3197</v>
      </c>
      <c r="EF994" s="349" t="s">
        <v>3198</v>
      </c>
      <c r="EG994" s="341" t="s">
        <v>4217</v>
      </c>
      <c r="EH994" s="341" t="s">
        <v>4463</v>
      </c>
      <c r="EI994" s="341" t="str">
        <f t="shared" si="127"/>
        <v>Tolima_San Luis</v>
      </c>
    </row>
    <row r="995" spans="1:139" s="164" customFormat="1" ht="45">
      <c r="A995" s="234">
        <v>40396</v>
      </c>
      <c r="B995" s="102" t="s">
        <v>1440</v>
      </c>
      <c r="C995" s="102" t="s">
        <v>1394</v>
      </c>
      <c r="D995" s="206" t="s">
        <v>1201</v>
      </c>
      <c r="E995" s="320" t="s">
        <v>3892</v>
      </c>
      <c r="F995" s="320"/>
      <c r="G995" s="210"/>
      <c r="H995" s="71"/>
      <c r="I995" s="71"/>
      <c r="J995" s="71">
        <f>940*5</f>
        <v>4700</v>
      </c>
      <c r="K995" s="71">
        <v>940</v>
      </c>
      <c r="L995" s="135"/>
      <c r="M995" s="136">
        <f t="shared" si="128"/>
        <v>16481200</v>
      </c>
      <c r="N995" s="136">
        <f t="shared" si="129"/>
        <v>314500000</v>
      </c>
      <c r="O995" s="136">
        <f t="shared" si="133"/>
        <v>0</v>
      </c>
      <c r="P995" s="136">
        <f t="shared" si="130"/>
        <v>2700480</v>
      </c>
      <c r="Q995" s="136"/>
      <c r="R995" s="136">
        <v>0</v>
      </c>
      <c r="S995" s="137">
        <f t="shared" si="132"/>
        <v>333681680</v>
      </c>
      <c r="T995" s="138">
        <v>0</v>
      </c>
      <c r="U995" s="66">
        <v>40413</v>
      </c>
      <c r="V995" s="79">
        <v>52364</v>
      </c>
      <c r="W995" s="66" t="s">
        <v>1606</v>
      </c>
      <c r="X995" s="24" t="s">
        <v>1607</v>
      </c>
      <c r="Y995" s="62"/>
      <c r="Z995" s="177" t="s">
        <v>2580</v>
      </c>
      <c r="AA995" s="80" t="s">
        <v>189</v>
      </c>
      <c r="AB995" s="139"/>
      <c r="AC995" s="140"/>
      <c r="AD995" s="141"/>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f>3+5</f>
        <v>8</v>
      </c>
      <c r="BO995" s="140">
        <f>3*510400+5*470000</f>
        <v>3881200</v>
      </c>
      <c r="BP995" s="140"/>
      <c r="BQ995" s="140"/>
      <c r="BR995" s="140"/>
      <c r="BS995" s="140"/>
      <c r="BT995" s="140"/>
      <c r="BU995" s="140"/>
      <c r="BV995" s="140"/>
      <c r="BW995" s="140"/>
      <c r="BX995" s="140"/>
      <c r="BY995" s="140"/>
      <c r="BZ995" s="140"/>
      <c r="CA995" s="140"/>
      <c r="CB995" s="140">
        <v>700</v>
      </c>
      <c r="CC995" s="140">
        <f>700*18000</f>
        <v>12600000</v>
      </c>
      <c r="CD995" s="142"/>
      <c r="CE995" s="143"/>
      <c r="CF995" s="142"/>
      <c r="CG995" s="143"/>
      <c r="CH995" s="142"/>
      <c r="CI995" s="143"/>
      <c r="CJ995" s="144">
        <f t="shared" si="131"/>
        <v>16481200</v>
      </c>
      <c r="CK995" s="145">
        <v>3000</v>
      </c>
      <c r="CL995" s="146">
        <f>3000*900.16</f>
        <v>2700480</v>
      </c>
      <c r="CM995" s="147">
        <f>700+3000</f>
        <v>3700</v>
      </c>
      <c r="CN995" s="148">
        <f>700*85000+3000*85000</f>
        <v>314500000</v>
      </c>
      <c r="CO995" s="149"/>
      <c r="CP995" s="148"/>
      <c r="CQ995" s="145"/>
      <c r="CR995" s="146"/>
      <c r="CS995" s="68"/>
      <c r="CT995" s="150"/>
      <c r="EC995" s="344" t="str">
        <f t="shared" si="134"/>
        <v>MAGDALENA_PLATO</v>
      </c>
      <c r="ED995" s="341"/>
      <c r="EE995" s="341" t="s">
        <v>3197</v>
      </c>
      <c r="EF995" s="349" t="s">
        <v>3198</v>
      </c>
      <c r="EG995" s="341" t="s">
        <v>4218</v>
      </c>
      <c r="EH995" s="341" t="s">
        <v>5265</v>
      </c>
      <c r="EI995" s="341" t="str">
        <f t="shared" si="127"/>
        <v>Tolima_Santa Isabel</v>
      </c>
    </row>
    <row r="996" spans="1:139" s="164" customFormat="1" ht="72">
      <c r="A996" s="228">
        <v>40396</v>
      </c>
      <c r="B996" s="102" t="s">
        <v>1440</v>
      </c>
      <c r="C996" s="102" t="s">
        <v>1461</v>
      </c>
      <c r="D996" s="206" t="s">
        <v>1201</v>
      </c>
      <c r="E996" s="320" t="s">
        <v>3898</v>
      </c>
      <c r="F996" s="320"/>
      <c r="G996" s="210"/>
      <c r="H996" s="71"/>
      <c r="I996" s="133" t="s">
        <v>1202</v>
      </c>
      <c r="J996" s="417">
        <f>2935*3.3</f>
        <v>9685.5</v>
      </c>
      <c r="K996" s="71">
        <v>2935</v>
      </c>
      <c r="L996" s="1">
        <v>40448</v>
      </c>
      <c r="M996" s="73">
        <f t="shared" si="128"/>
        <v>112199200</v>
      </c>
      <c r="N996" s="73">
        <f t="shared" si="129"/>
        <v>591600000</v>
      </c>
      <c r="O996" s="73">
        <f t="shared" si="133"/>
        <v>0</v>
      </c>
      <c r="P996" s="73">
        <f t="shared" si="130"/>
        <v>3600640</v>
      </c>
      <c r="Q996" s="73">
        <v>64280000</v>
      </c>
      <c r="R996" s="73">
        <v>0</v>
      </c>
      <c r="S996" s="75">
        <f t="shared" si="132"/>
        <v>771679840</v>
      </c>
      <c r="T996" s="77">
        <v>0</v>
      </c>
      <c r="U996" s="66">
        <v>40399</v>
      </c>
      <c r="V996" s="79">
        <v>39941</v>
      </c>
      <c r="W996" s="66" t="s">
        <v>1606</v>
      </c>
      <c r="X996" s="24" t="s">
        <v>1607</v>
      </c>
      <c r="Y996" s="83" t="s">
        <v>485</v>
      </c>
      <c r="Z996" s="199" t="s">
        <v>822</v>
      </c>
      <c r="AA996" s="80" t="s">
        <v>486</v>
      </c>
      <c r="AB996" s="3"/>
      <c r="AC996" s="4"/>
      <c r="AD996" s="5"/>
      <c r="AE996" s="4"/>
      <c r="AF996" s="4"/>
      <c r="AG996" s="4"/>
      <c r="AH996" s="4"/>
      <c r="AI996" s="4"/>
      <c r="AJ996" s="4"/>
      <c r="AK996" s="4"/>
      <c r="AL996" s="4"/>
      <c r="AM996" s="4"/>
      <c r="AN996" s="4"/>
      <c r="AO996" s="4"/>
      <c r="AP996" s="4"/>
      <c r="AQ996" s="4"/>
      <c r="AR996" s="4"/>
      <c r="AS996" s="4"/>
      <c r="AT996" s="4"/>
      <c r="AU996" s="4"/>
      <c r="AV996" s="4"/>
      <c r="AW996" s="4"/>
      <c r="AX996" s="4"/>
      <c r="AY996" s="4"/>
      <c r="AZ996" s="4">
        <v>500</v>
      </c>
      <c r="BA996" s="4">
        <f>500*25500</f>
        <v>12750000</v>
      </c>
      <c r="BB996" s="4"/>
      <c r="BC996" s="4"/>
      <c r="BD996" s="4"/>
      <c r="BE996" s="4"/>
      <c r="BF996" s="4"/>
      <c r="BG996" s="4"/>
      <c r="BH996" s="4"/>
      <c r="BI996" s="4"/>
      <c r="BJ996" s="4"/>
      <c r="BK996" s="4"/>
      <c r="BL996" s="4"/>
      <c r="BM996" s="4"/>
      <c r="BN996" s="4">
        <f>3+5</f>
        <v>8</v>
      </c>
      <c r="BO996" s="4">
        <f>3*510400+5*470000</f>
        <v>3881200</v>
      </c>
      <c r="BP996" s="4"/>
      <c r="BQ996" s="4"/>
      <c r="BR996" s="4"/>
      <c r="BS996" s="4"/>
      <c r="BT996" s="4"/>
      <c r="BU996" s="4"/>
      <c r="BV996" s="4"/>
      <c r="BW996" s="4"/>
      <c r="BX996" s="4"/>
      <c r="BY996" s="4"/>
      <c r="BZ996" s="4"/>
      <c r="CA996" s="4"/>
      <c r="CB996" s="4">
        <v>2230</v>
      </c>
      <c r="CC996" s="4">
        <f>2230*18000</f>
        <v>40140000</v>
      </c>
      <c r="CD996" s="6">
        <v>1500</v>
      </c>
      <c r="CE996" s="7">
        <f>1500*36952</f>
        <v>55428000</v>
      </c>
      <c r="CF996" s="6"/>
      <c r="CG996" s="7"/>
      <c r="CH996" s="6"/>
      <c r="CI996" s="7"/>
      <c r="CJ996" s="8">
        <f t="shared" si="131"/>
        <v>112199200</v>
      </c>
      <c r="CK996" s="9">
        <v>4000</v>
      </c>
      <c r="CL996" s="10">
        <f>4000*900.16</f>
        <v>3600640</v>
      </c>
      <c r="CM996" s="11">
        <f>1500+2230+1000+2230</f>
        <v>6960</v>
      </c>
      <c r="CN996" s="12">
        <f>1500*85000+2230*85000+1000*85000+2230*85000</f>
        <v>591600000</v>
      </c>
      <c r="CO996" s="28"/>
      <c r="CP996" s="12"/>
      <c r="CQ996" s="9"/>
      <c r="CR996" s="10"/>
      <c r="CS996" s="68"/>
      <c r="CT996" s="22">
        <v>1204</v>
      </c>
      <c r="EC996" s="344" t="str">
        <f t="shared" si="134"/>
        <v>MAGDALENA_SAN ZENON</v>
      </c>
      <c r="ED996" s="341"/>
      <c r="EE996" s="341" t="s">
        <v>3197</v>
      </c>
      <c r="EF996" s="349" t="s">
        <v>3198</v>
      </c>
      <c r="EG996" s="341" t="s">
        <v>4219</v>
      </c>
      <c r="EH996" s="341" t="s">
        <v>4749</v>
      </c>
      <c r="EI996" s="341" t="str">
        <f t="shared" si="127"/>
        <v>Tolima_Suarez</v>
      </c>
    </row>
    <row r="997" spans="1:139" s="164" customFormat="1" ht="48">
      <c r="A997" s="228">
        <v>40396</v>
      </c>
      <c r="B997" s="102" t="s">
        <v>1440</v>
      </c>
      <c r="C997" s="102" t="s">
        <v>1462</v>
      </c>
      <c r="D997" s="206" t="s">
        <v>1201</v>
      </c>
      <c r="E997" s="320" t="s">
        <v>3899</v>
      </c>
      <c r="F997" s="320"/>
      <c r="G997" s="210"/>
      <c r="H997" s="71"/>
      <c r="I997" s="71"/>
      <c r="J997" s="71">
        <v>4405</v>
      </c>
      <c r="K997" s="71">
        <f>900-19</f>
        <v>881</v>
      </c>
      <c r="L997" s="1"/>
      <c r="M997" s="73">
        <f t="shared" si="128"/>
        <v>12360800</v>
      </c>
      <c r="N997" s="73">
        <f t="shared" si="129"/>
        <v>127500000</v>
      </c>
      <c r="O997" s="73">
        <f t="shared" si="133"/>
        <v>0</v>
      </c>
      <c r="P997" s="73">
        <f t="shared" si="130"/>
        <v>4500800</v>
      </c>
      <c r="Q997" s="73"/>
      <c r="R997" s="73">
        <v>0</v>
      </c>
      <c r="S997" s="75">
        <f t="shared" si="132"/>
        <v>144361600</v>
      </c>
      <c r="T997" s="77">
        <v>0</v>
      </c>
      <c r="U997" s="66">
        <v>40399</v>
      </c>
      <c r="V997" s="79">
        <v>39941</v>
      </c>
      <c r="W997" s="66" t="s">
        <v>1606</v>
      </c>
      <c r="X997" s="24" t="s">
        <v>1607</v>
      </c>
      <c r="Y997" s="62"/>
      <c r="Z997" s="199" t="s">
        <v>822</v>
      </c>
      <c r="AA997" s="82" t="s">
        <v>704</v>
      </c>
      <c r="AB997" s="105"/>
      <c r="AC997" s="4"/>
      <c r="AD997" s="5"/>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f>2+5</f>
        <v>7</v>
      </c>
      <c r="BO997" s="4">
        <f>2*510400+5*468000</f>
        <v>3360800</v>
      </c>
      <c r="BP997" s="4"/>
      <c r="BQ997" s="4"/>
      <c r="BR997" s="4"/>
      <c r="BS997" s="4"/>
      <c r="BT997" s="4"/>
      <c r="BU997" s="4"/>
      <c r="BV997" s="4"/>
      <c r="BW997" s="4"/>
      <c r="BX997" s="4"/>
      <c r="BY997" s="4"/>
      <c r="BZ997" s="4"/>
      <c r="CA997" s="4"/>
      <c r="CB997" s="4">
        <v>500</v>
      </c>
      <c r="CC997" s="4">
        <f>500*18000</f>
        <v>9000000</v>
      </c>
      <c r="CD997" s="6"/>
      <c r="CE997" s="7"/>
      <c r="CF997" s="6"/>
      <c r="CG997" s="7"/>
      <c r="CH997" s="6"/>
      <c r="CI997" s="7"/>
      <c r="CJ997" s="8">
        <f t="shared" si="131"/>
        <v>12360800</v>
      </c>
      <c r="CK997" s="9">
        <v>5000</v>
      </c>
      <c r="CL997" s="10">
        <f>5000*900.16</f>
        <v>4500800</v>
      </c>
      <c r="CM997" s="11">
        <f>500+1000</f>
        <v>1500</v>
      </c>
      <c r="CN997" s="12">
        <f>500*85000+1000*85000</f>
        <v>127500000</v>
      </c>
      <c r="CO997" s="28"/>
      <c r="CP997" s="12"/>
      <c r="CQ997" s="9"/>
      <c r="CR997" s="10"/>
      <c r="CS997" s="68"/>
      <c r="CT997" s="22"/>
      <c r="EC997" s="344" t="str">
        <f t="shared" si="134"/>
        <v>MAGDALENA_SANTA ANA</v>
      </c>
      <c r="ED997" s="341"/>
      <c r="EE997" s="341" t="s">
        <v>3197</v>
      </c>
      <c r="EF997" s="349" t="s">
        <v>3198</v>
      </c>
      <c r="EG997" s="341" t="s">
        <v>4220</v>
      </c>
      <c r="EH997" s="341" t="s">
        <v>5266</v>
      </c>
      <c r="EI997" s="341" t="str">
        <f t="shared" si="127"/>
        <v>Tolima_Valle de San Juan</v>
      </c>
    </row>
    <row r="998" spans="1:139" s="164" customFormat="1" ht="38.25">
      <c r="A998" s="228">
        <v>40396</v>
      </c>
      <c r="B998" s="205" t="s">
        <v>1609</v>
      </c>
      <c r="C998" s="205" t="s">
        <v>2377</v>
      </c>
      <c r="D998" s="207" t="s">
        <v>2606</v>
      </c>
      <c r="E998" s="323"/>
      <c r="F998" s="323"/>
      <c r="G998" s="204"/>
      <c r="H998" s="151"/>
      <c r="I998" s="151"/>
      <c r="J998" s="151">
        <v>210</v>
      </c>
      <c r="K998" s="151">
        <v>42</v>
      </c>
      <c r="L998" s="1"/>
      <c r="M998" s="73">
        <f t="shared" si="128"/>
        <v>0</v>
      </c>
      <c r="N998" s="73">
        <f t="shared" si="129"/>
        <v>0</v>
      </c>
      <c r="O998" s="73">
        <f t="shared" si="133"/>
        <v>0</v>
      </c>
      <c r="P998" s="73">
        <f t="shared" si="130"/>
        <v>0</v>
      </c>
      <c r="Q998" s="73"/>
      <c r="R998" s="73">
        <v>0</v>
      </c>
      <c r="S998" s="75">
        <f t="shared" si="132"/>
        <v>0</v>
      </c>
      <c r="T998" s="77">
        <v>0</v>
      </c>
      <c r="U998" s="66">
        <v>40624</v>
      </c>
      <c r="V998" s="79"/>
      <c r="W998" s="66" t="s">
        <v>1585</v>
      </c>
      <c r="X998" s="24" t="s">
        <v>1586</v>
      </c>
      <c r="Y998" s="62"/>
      <c r="Z998" s="169" t="s">
        <v>894</v>
      </c>
      <c r="AA998" s="166" t="s">
        <v>155</v>
      </c>
      <c r="AB998" s="168"/>
      <c r="AC998" s="153"/>
      <c r="AD998" s="154"/>
      <c r="AE998" s="153"/>
      <c r="AF998" s="153"/>
      <c r="AG998" s="153"/>
      <c r="AH998" s="153"/>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c r="BF998" s="153"/>
      <c r="BG998" s="153"/>
      <c r="BH998" s="153"/>
      <c r="BI998" s="153"/>
      <c r="BJ998" s="153"/>
      <c r="BK998" s="153"/>
      <c r="BL998" s="153"/>
      <c r="BM998" s="153"/>
      <c r="BN998" s="153"/>
      <c r="BO998" s="153"/>
      <c r="BP998" s="153"/>
      <c r="BQ998" s="153"/>
      <c r="BR998" s="153"/>
      <c r="BS998" s="153"/>
      <c r="BT998" s="153"/>
      <c r="BU998" s="153"/>
      <c r="BV998" s="153"/>
      <c r="BW998" s="153"/>
      <c r="BX998" s="153"/>
      <c r="BY998" s="153"/>
      <c r="BZ998" s="153"/>
      <c r="CA998" s="153"/>
      <c r="CB998" s="153"/>
      <c r="CC998" s="153"/>
      <c r="CD998" s="155"/>
      <c r="CE998" s="156"/>
      <c r="CF998" s="155"/>
      <c r="CG998" s="156"/>
      <c r="CH998" s="155"/>
      <c r="CI998" s="156"/>
      <c r="CJ998" s="157">
        <f t="shared" si="131"/>
        <v>0</v>
      </c>
      <c r="CK998" s="158"/>
      <c r="CL998" s="159"/>
      <c r="CM998" s="160"/>
      <c r="CN998" s="161"/>
      <c r="CO998" s="162"/>
      <c r="CP998" s="161"/>
      <c r="CQ998" s="158"/>
      <c r="CR998" s="159"/>
      <c r="CS998" s="68"/>
      <c r="CT998" s="163"/>
      <c r="EC998" s="344" t="str">
        <f t="shared" si="134"/>
        <v>RISARALDA_MARSELLA</v>
      </c>
      <c r="ED998" s="341"/>
      <c r="EE998" s="341" t="s">
        <v>3197</v>
      </c>
      <c r="EF998" s="349" t="s">
        <v>3198</v>
      </c>
      <c r="EG998" s="341" t="s">
        <v>4221</v>
      </c>
      <c r="EH998" s="341" t="s">
        <v>5267</v>
      </c>
      <c r="EI998" s="341" t="str">
        <f t="shared" si="127"/>
        <v>Tolima_Venadillo</v>
      </c>
    </row>
    <row r="999" spans="1:139" s="164" customFormat="1" ht="60">
      <c r="A999" s="228">
        <v>40397</v>
      </c>
      <c r="B999" s="102" t="s">
        <v>1551</v>
      </c>
      <c r="C999" s="102" t="s">
        <v>1465</v>
      </c>
      <c r="D999" s="206" t="s">
        <v>1201</v>
      </c>
      <c r="E999" s="320" t="s">
        <v>3357</v>
      </c>
      <c r="F999" s="320"/>
      <c r="G999" s="210">
        <v>1</v>
      </c>
      <c r="H999" s="71"/>
      <c r="I999" s="71"/>
      <c r="J999" s="71">
        <f>30*5</f>
        <v>150</v>
      </c>
      <c r="K999" s="71">
        <f>75-45</f>
        <v>30</v>
      </c>
      <c r="L999" s="1">
        <v>40536</v>
      </c>
      <c r="M999" s="73">
        <f t="shared" si="128"/>
        <v>0</v>
      </c>
      <c r="N999" s="73">
        <f t="shared" si="129"/>
        <v>4165000</v>
      </c>
      <c r="O999" s="73">
        <f t="shared" si="133"/>
        <v>0</v>
      </c>
      <c r="P999" s="73">
        <f t="shared" si="130"/>
        <v>0</v>
      </c>
      <c r="Q999" s="73"/>
      <c r="R999" s="73">
        <v>0</v>
      </c>
      <c r="S999" s="75">
        <f t="shared" si="132"/>
        <v>4165000</v>
      </c>
      <c r="T999" s="77">
        <v>0</v>
      </c>
      <c r="U999" s="66">
        <v>40399</v>
      </c>
      <c r="V999" s="79">
        <v>42603</v>
      </c>
      <c r="W999" s="66" t="s">
        <v>1606</v>
      </c>
      <c r="X999" s="24" t="s">
        <v>1607</v>
      </c>
      <c r="Y999" s="62">
        <v>27459</v>
      </c>
      <c r="Z999" s="177" t="s">
        <v>346</v>
      </c>
      <c r="AA999" s="80" t="s">
        <v>344</v>
      </c>
      <c r="AB999" s="3"/>
      <c r="AC999" s="4"/>
      <c r="AD999" s="5"/>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6"/>
      <c r="CE999" s="7"/>
      <c r="CF999" s="6"/>
      <c r="CG999" s="7"/>
      <c r="CH999" s="6"/>
      <c r="CI999" s="7"/>
      <c r="CJ999" s="8">
        <f t="shared" si="131"/>
        <v>0</v>
      </c>
      <c r="CK999" s="9"/>
      <c r="CL999" s="10"/>
      <c r="CM999" s="11">
        <v>49</v>
      </c>
      <c r="CN999" s="12">
        <f>49*85000</f>
        <v>4165000</v>
      </c>
      <c r="CO999" s="28"/>
      <c r="CP999" s="12"/>
      <c r="CQ999" s="9"/>
      <c r="CR999" s="10"/>
      <c r="CS999" s="68"/>
      <c r="CT999" s="22"/>
      <c r="EC999" s="344" t="str">
        <f t="shared" si="134"/>
        <v>ATLANTICO_JUAN DE ACOSTA</v>
      </c>
      <c r="ED999" s="341"/>
      <c r="EE999" s="341" t="s">
        <v>3197</v>
      </c>
      <c r="EF999" s="349" t="s">
        <v>3198</v>
      </c>
      <c r="EG999" s="341" t="s">
        <v>4222</v>
      </c>
      <c r="EH999" s="341" t="s">
        <v>5268</v>
      </c>
      <c r="EI999" s="341" t="str">
        <f t="shared" si="127"/>
        <v>Tolima_Villahermosa</v>
      </c>
    </row>
    <row r="1000" spans="1:139" s="164" customFormat="1" ht="25.5">
      <c r="A1000" s="228">
        <v>40397</v>
      </c>
      <c r="B1000" s="102" t="s">
        <v>1996</v>
      </c>
      <c r="C1000" s="102" t="s">
        <v>1945</v>
      </c>
      <c r="D1000" s="206" t="s">
        <v>1878</v>
      </c>
      <c r="E1000" s="320" t="s">
        <v>3793</v>
      </c>
      <c r="F1000" s="320"/>
      <c r="G1000" s="210"/>
      <c r="H1000" s="71"/>
      <c r="I1000" s="71"/>
      <c r="J1000" s="71">
        <v>35</v>
      </c>
      <c r="K1000" s="71">
        <v>4</v>
      </c>
      <c r="L1000" s="1"/>
      <c r="M1000" s="73">
        <f t="shared" si="128"/>
        <v>0</v>
      </c>
      <c r="N1000" s="73">
        <f t="shared" si="129"/>
        <v>0</v>
      </c>
      <c r="O1000" s="73">
        <f t="shared" si="133"/>
        <v>0</v>
      </c>
      <c r="P1000" s="73">
        <f t="shared" si="130"/>
        <v>0</v>
      </c>
      <c r="Q1000" s="73"/>
      <c r="R1000" s="73">
        <v>0</v>
      </c>
      <c r="S1000" s="75">
        <f t="shared" si="132"/>
        <v>0</v>
      </c>
      <c r="T1000" s="77">
        <v>0</v>
      </c>
      <c r="U1000" s="66">
        <v>40399</v>
      </c>
      <c r="V1000" s="79"/>
      <c r="W1000" s="66" t="s">
        <v>1585</v>
      </c>
      <c r="X1000" s="24" t="s">
        <v>1586</v>
      </c>
      <c r="Y1000" s="62"/>
      <c r="Z1000" s="177" t="s">
        <v>894</v>
      </c>
      <c r="AA1000" s="80" t="s">
        <v>1464</v>
      </c>
      <c r="AB1000" s="3"/>
      <c r="AC1000" s="4"/>
      <c r="AD1000" s="5"/>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6"/>
      <c r="CE1000" s="7"/>
      <c r="CF1000" s="6"/>
      <c r="CG1000" s="7"/>
      <c r="CH1000" s="6"/>
      <c r="CI1000" s="7"/>
      <c r="CJ1000" s="8">
        <f t="shared" si="131"/>
        <v>0</v>
      </c>
      <c r="CK1000" s="9"/>
      <c r="CL1000" s="10"/>
      <c r="CM1000" s="11"/>
      <c r="CN1000" s="12"/>
      <c r="CO1000" s="28"/>
      <c r="CP1000" s="12"/>
      <c r="CQ1000" s="9"/>
      <c r="CR1000" s="10"/>
      <c r="CS1000" s="68"/>
      <c r="CT1000" s="22"/>
      <c r="EC1000" s="344" t="str">
        <f t="shared" si="134"/>
        <v>CHOCO_QUIBDO</v>
      </c>
      <c r="ED1000" s="341"/>
      <c r="EE1000" s="341" t="s">
        <v>3197</v>
      </c>
      <c r="EF1000" s="349" t="s">
        <v>3198</v>
      </c>
      <c r="EG1000" s="341" t="s">
        <v>4223</v>
      </c>
      <c r="EH1000" s="341" t="s">
        <v>5269</v>
      </c>
      <c r="EI1000" s="341" t="str">
        <f t="shared" si="127"/>
        <v>Tolima_Villarrica</v>
      </c>
    </row>
    <row r="1001" spans="1:139" s="164" customFormat="1" ht="38.25">
      <c r="A1001" s="228">
        <v>40397</v>
      </c>
      <c r="B1001" s="102" t="s">
        <v>1440</v>
      </c>
      <c r="C1001" s="102" t="s">
        <v>1487</v>
      </c>
      <c r="D1001" s="206" t="s">
        <v>1594</v>
      </c>
      <c r="E1001" s="320" t="s">
        <v>3881</v>
      </c>
      <c r="F1001" s="320"/>
      <c r="G1001" s="210">
        <v>1</v>
      </c>
      <c r="H1001" s="71"/>
      <c r="I1001" s="71"/>
      <c r="J1001" s="71"/>
      <c r="K1001" s="71"/>
      <c r="L1001" s="1"/>
      <c r="M1001" s="73">
        <f t="shared" si="128"/>
        <v>0</v>
      </c>
      <c r="N1001" s="73">
        <f t="shared" si="129"/>
        <v>0</v>
      </c>
      <c r="O1001" s="73">
        <f t="shared" si="133"/>
        <v>0</v>
      </c>
      <c r="P1001" s="73">
        <f t="shared" si="130"/>
        <v>0</v>
      </c>
      <c r="Q1001" s="73"/>
      <c r="R1001" s="73">
        <v>0</v>
      </c>
      <c r="S1001" s="75">
        <f t="shared" si="132"/>
        <v>0</v>
      </c>
      <c r="T1001" s="77">
        <v>0</v>
      </c>
      <c r="U1001" s="66">
        <v>40400</v>
      </c>
      <c r="V1001" s="79"/>
      <c r="W1001" s="66" t="s">
        <v>1585</v>
      </c>
      <c r="X1001" s="24" t="s">
        <v>1586</v>
      </c>
      <c r="Y1001" s="62"/>
      <c r="Z1001" s="177" t="s">
        <v>894</v>
      </c>
      <c r="AA1001" s="82" t="s">
        <v>1495</v>
      </c>
      <c r="AB1001" s="105"/>
      <c r="AC1001" s="4"/>
      <c r="AD1001" s="5"/>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6"/>
      <c r="CE1001" s="7"/>
      <c r="CF1001" s="6"/>
      <c r="CG1001" s="7"/>
      <c r="CH1001" s="6"/>
      <c r="CI1001" s="7"/>
      <c r="CJ1001" s="8">
        <f t="shared" si="131"/>
        <v>0</v>
      </c>
      <c r="CK1001" s="9"/>
      <c r="CL1001" s="10"/>
      <c r="CM1001" s="11"/>
      <c r="CN1001" s="12"/>
      <c r="CO1001" s="28"/>
      <c r="CP1001" s="12"/>
      <c r="CQ1001" s="9"/>
      <c r="CR1001" s="10"/>
      <c r="CS1001" s="68"/>
      <c r="CT1001" s="22"/>
      <c r="EC1001" s="344" t="str">
        <f t="shared" si="134"/>
        <v>MAGDALENA_CIENAGA</v>
      </c>
      <c r="ED1001" s="341"/>
      <c r="EE1001" s="341" t="s">
        <v>3202</v>
      </c>
      <c r="EF1001" s="349" t="s">
        <v>3203</v>
      </c>
      <c r="EG1001" s="341" t="s">
        <v>4224</v>
      </c>
      <c r="EH1001" s="341" t="s">
        <v>5270</v>
      </c>
      <c r="EI1001" s="341" t="str">
        <f t="shared" si="127"/>
        <v>Valle del Cauca_Cali</v>
      </c>
    </row>
    <row r="1002" spans="1:139" s="164" customFormat="1" ht="51">
      <c r="A1002" s="228">
        <v>40398</v>
      </c>
      <c r="B1002" s="102" t="s">
        <v>1551</v>
      </c>
      <c r="C1002" s="102" t="s">
        <v>1547</v>
      </c>
      <c r="D1002" s="206" t="s">
        <v>1201</v>
      </c>
      <c r="E1002" s="320" t="s">
        <v>3354</v>
      </c>
      <c r="F1002" s="320"/>
      <c r="G1002" s="210"/>
      <c r="H1002" s="71"/>
      <c r="I1002" s="71"/>
      <c r="J1002" s="417">
        <f>5239*3.4</f>
        <v>17812.599999999999</v>
      </c>
      <c r="K1002" s="71">
        <v>5239</v>
      </c>
      <c r="L1002" s="1">
        <v>40536</v>
      </c>
      <c r="M1002" s="73">
        <f t="shared" si="128"/>
        <v>0</v>
      </c>
      <c r="N1002" s="73">
        <f t="shared" si="129"/>
        <v>14025000</v>
      </c>
      <c r="O1002" s="73">
        <f t="shared" si="133"/>
        <v>0</v>
      </c>
      <c r="P1002" s="73">
        <f t="shared" si="130"/>
        <v>0</v>
      </c>
      <c r="Q1002" s="73"/>
      <c r="R1002" s="73">
        <v>0</v>
      </c>
      <c r="S1002" s="75">
        <f t="shared" si="132"/>
        <v>14025000</v>
      </c>
      <c r="T1002" s="77">
        <v>0</v>
      </c>
      <c r="U1002" s="66">
        <v>40398</v>
      </c>
      <c r="V1002" s="79"/>
      <c r="W1002" s="66" t="s">
        <v>1606</v>
      </c>
      <c r="X1002" s="24" t="s">
        <v>1607</v>
      </c>
      <c r="Y1002" s="62">
        <v>27459</v>
      </c>
      <c r="Z1002" s="177" t="s">
        <v>894</v>
      </c>
      <c r="AA1002" s="80" t="s">
        <v>1516</v>
      </c>
      <c r="AB1002" s="3"/>
      <c r="AC1002" s="4"/>
      <c r="AD1002" s="5"/>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6"/>
      <c r="CE1002" s="7"/>
      <c r="CF1002" s="6"/>
      <c r="CG1002" s="7"/>
      <c r="CH1002" s="6"/>
      <c r="CI1002" s="7"/>
      <c r="CJ1002" s="8">
        <f t="shared" si="131"/>
        <v>0</v>
      </c>
      <c r="CK1002" s="9"/>
      <c r="CL1002" s="10"/>
      <c r="CM1002" s="11">
        <v>165</v>
      </c>
      <c r="CN1002" s="12">
        <f>165*85000</f>
        <v>14025000</v>
      </c>
      <c r="CO1002" s="28"/>
      <c r="CP1002" s="12"/>
      <c r="CQ1002" s="9"/>
      <c r="CR1002" s="10"/>
      <c r="CS1002" s="68"/>
      <c r="CT1002" s="22"/>
      <c r="EC1002" s="344" t="str">
        <f t="shared" si="134"/>
        <v>ATLANTICO_CAMPO DE LA CRUZ</v>
      </c>
      <c r="ED1002" s="341"/>
      <c r="EE1002" s="341" t="s">
        <v>3202</v>
      </c>
      <c r="EF1002" s="349" t="s">
        <v>3203</v>
      </c>
      <c r="EG1002" s="341" t="s">
        <v>4225</v>
      </c>
      <c r="EH1002" s="341" t="s">
        <v>5271</v>
      </c>
      <c r="EI1002" s="341" t="str">
        <f t="shared" si="127"/>
        <v>Valle del Cauca_Alcala</v>
      </c>
    </row>
    <row r="1003" spans="1:139" s="164" customFormat="1" ht="60">
      <c r="A1003" s="228">
        <v>40398</v>
      </c>
      <c r="B1003" s="102" t="s">
        <v>1551</v>
      </c>
      <c r="C1003" s="102" t="s">
        <v>1549</v>
      </c>
      <c r="D1003" s="206" t="s">
        <v>1201</v>
      </c>
      <c r="E1003" s="320" t="s">
        <v>3360</v>
      </c>
      <c r="F1003" s="320"/>
      <c r="G1003" s="210"/>
      <c r="H1003" s="71"/>
      <c r="I1003" s="71"/>
      <c r="J1003" s="417">
        <f>150*3.7</f>
        <v>555</v>
      </c>
      <c r="K1003" s="71">
        <v>150</v>
      </c>
      <c r="L1003" s="1"/>
      <c r="M1003" s="73">
        <f t="shared" si="128"/>
        <v>0</v>
      </c>
      <c r="N1003" s="73">
        <f t="shared" si="129"/>
        <v>0</v>
      </c>
      <c r="O1003" s="73">
        <f t="shared" si="133"/>
        <v>0</v>
      </c>
      <c r="P1003" s="73">
        <f t="shared" si="130"/>
        <v>0</v>
      </c>
      <c r="Q1003" s="73"/>
      <c r="R1003" s="73">
        <v>0</v>
      </c>
      <c r="S1003" s="75">
        <f t="shared" si="132"/>
        <v>0</v>
      </c>
      <c r="T1003" s="77">
        <v>0</v>
      </c>
      <c r="U1003" s="66">
        <v>40398</v>
      </c>
      <c r="V1003" s="79"/>
      <c r="W1003" s="66" t="s">
        <v>1606</v>
      </c>
      <c r="X1003" s="24" t="s">
        <v>1607</v>
      </c>
      <c r="Y1003" s="62"/>
      <c r="Z1003" s="176" t="s">
        <v>3056</v>
      </c>
      <c r="AA1003" s="80" t="s">
        <v>1517</v>
      </c>
      <c r="AB1003" s="3"/>
      <c r="AC1003" s="4"/>
      <c r="AD1003" s="5"/>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6"/>
      <c r="CE1003" s="7"/>
      <c r="CF1003" s="6"/>
      <c r="CG1003" s="7"/>
      <c r="CH1003" s="6"/>
      <c r="CI1003" s="7"/>
      <c r="CJ1003" s="8">
        <f t="shared" si="131"/>
        <v>0</v>
      </c>
      <c r="CK1003" s="9"/>
      <c r="CL1003" s="10"/>
      <c r="CM1003" s="11"/>
      <c r="CN1003" s="12"/>
      <c r="CO1003" s="28"/>
      <c r="CP1003" s="12"/>
      <c r="CQ1003" s="9"/>
      <c r="CR1003" s="10"/>
      <c r="CS1003" s="68"/>
      <c r="CT1003" s="22"/>
      <c r="EC1003" s="344" t="str">
        <f t="shared" si="134"/>
        <v>ATLANTICO_MANATI</v>
      </c>
      <c r="ED1003" s="341"/>
      <c r="EE1003" s="341" t="s">
        <v>3202</v>
      </c>
      <c r="EF1003" s="349" t="s">
        <v>3203</v>
      </c>
      <c r="EG1003" s="341" t="s">
        <v>4226</v>
      </c>
      <c r="EH1003" s="341" t="s">
        <v>5272</v>
      </c>
      <c r="EI1003" s="341" t="str">
        <f t="shared" si="127"/>
        <v>Valle del Cauca_Andalucia</v>
      </c>
    </row>
    <row r="1004" spans="1:139" s="164" customFormat="1" ht="38.25">
      <c r="A1004" s="228">
        <v>40398</v>
      </c>
      <c r="B1004" s="102" t="s">
        <v>1551</v>
      </c>
      <c r="C1004" s="102" t="s">
        <v>306</v>
      </c>
      <c r="D1004" s="206" t="s">
        <v>1201</v>
      </c>
      <c r="E1004" s="320" t="s">
        <v>3373</v>
      </c>
      <c r="F1004" s="320"/>
      <c r="G1004" s="210"/>
      <c r="H1004" s="71"/>
      <c r="I1004" s="71"/>
      <c r="J1004" s="71">
        <f>43*5</f>
        <v>215</v>
      </c>
      <c r="K1004" s="71">
        <f>58-15</f>
        <v>43</v>
      </c>
      <c r="L1004" s="1"/>
      <c r="M1004" s="73">
        <f t="shared" si="128"/>
        <v>0</v>
      </c>
      <c r="N1004" s="73">
        <f t="shared" si="129"/>
        <v>0</v>
      </c>
      <c r="O1004" s="73">
        <f t="shared" si="133"/>
        <v>0</v>
      </c>
      <c r="P1004" s="73">
        <f t="shared" si="130"/>
        <v>0</v>
      </c>
      <c r="Q1004" s="73"/>
      <c r="R1004" s="73">
        <v>0</v>
      </c>
      <c r="S1004" s="75">
        <f t="shared" si="132"/>
        <v>0</v>
      </c>
      <c r="T1004" s="77">
        <v>0</v>
      </c>
      <c r="U1004" s="66">
        <v>40399</v>
      </c>
      <c r="V1004" s="79"/>
      <c r="W1004" s="66" t="s">
        <v>1606</v>
      </c>
      <c r="X1004" s="24" t="s">
        <v>1607</v>
      </c>
      <c r="Y1004" s="62"/>
      <c r="Z1004" s="176" t="s">
        <v>3056</v>
      </c>
      <c r="AA1004" s="80" t="s">
        <v>2610</v>
      </c>
      <c r="AB1004" s="3"/>
      <c r="AC1004" s="4"/>
      <c r="AD1004" s="5"/>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6"/>
      <c r="CE1004" s="7"/>
      <c r="CF1004" s="6"/>
      <c r="CG1004" s="7"/>
      <c r="CH1004" s="6"/>
      <c r="CI1004" s="7"/>
      <c r="CJ1004" s="8">
        <f t="shared" si="131"/>
        <v>0</v>
      </c>
      <c r="CK1004" s="9"/>
      <c r="CL1004" s="10"/>
      <c r="CM1004" s="11"/>
      <c r="CN1004" s="12"/>
      <c r="CO1004" s="28"/>
      <c r="CP1004" s="12"/>
      <c r="CQ1004" s="9"/>
      <c r="CR1004" s="10"/>
      <c r="CS1004" s="68"/>
      <c r="CT1004" s="22"/>
      <c r="EC1004" s="344" t="str">
        <f t="shared" si="134"/>
        <v>ATLANTICO_TUBARA</v>
      </c>
      <c r="ED1004" s="341"/>
      <c r="EE1004" s="341" t="s">
        <v>3202</v>
      </c>
      <c r="EF1004" s="349" t="s">
        <v>3203</v>
      </c>
      <c r="EG1004" s="341" t="s">
        <v>4227</v>
      </c>
      <c r="EH1004" s="341" t="s">
        <v>5273</v>
      </c>
      <c r="EI1004" s="341" t="str">
        <f t="shared" si="127"/>
        <v>Valle del Cauca_Ansermanuevo</v>
      </c>
    </row>
    <row r="1005" spans="1:139" s="164" customFormat="1" ht="60">
      <c r="A1005" s="228">
        <v>40398</v>
      </c>
      <c r="B1005" s="102" t="s">
        <v>1615</v>
      </c>
      <c r="C1005" s="102" t="s">
        <v>175</v>
      </c>
      <c r="D1005" s="206" t="s">
        <v>1201</v>
      </c>
      <c r="E1005" s="320" t="s">
        <v>3388</v>
      </c>
      <c r="F1005" s="320"/>
      <c r="G1005" s="210"/>
      <c r="H1005" s="71"/>
      <c r="I1005" s="71"/>
      <c r="J1005" s="71">
        <f>813*5</f>
        <v>4065</v>
      </c>
      <c r="K1005" s="71">
        <v>813</v>
      </c>
      <c r="L1005" s="1"/>
      <c r="M1005" s="73">
        <f t="shared" si="128"/>
        <v>5868000</v>
      </c>
      <c r="N1005" s="73">
        <f t="shared" si="129"/>
        <v>27710000</v>
      </c>
      <c r="O1005" s="73">
        <f t="shared" si="133"/>
        <v>0</v>
      </c>
      <c r="P1005" s="73">
        <f t="shared" si="130"/>
        <v>0</v>
      </c>
      <c r="Q1005" s="73"/>
      <c r="R1005" s="73">
        <v>0</v>
      </c>
      <c r="S1005" s="75">
        <f t="shared" si="132"/>
        <v>33578000</v>
      </c>
      <c r="T1005" s="77">
        <v>0</v>
      </c>
      <c r="U1005" s="66">
        <v>40400</v>
      </c>
      <c r="V1005" s="79">
        <v>47162</v>
      </c>
      <c r="W1005" s="66" t="s">
        <v>1606</v>
      </c>
      <c r="X1005" s="24" t="s">
        <v>1607</v>
      </c>
      <c r="Y1005" s="62">
        <v>24652</v>
      </c>
      <c r="Z1005" s="177" t="s">
        <v>2580</v>
      </c>
      <c r="AA1005" s="80" t="s">
        <v>176</v>
      </c>
      <c r="AB1005" s="3"/>
      <c r="AC1005" s="4"/>
      <c r="AD1005" s="5"/>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v>326</v>
      </c>
      <c r="CC1005" s="4">
        <f>326*18000</f>
        <v>5868000</v>
      </c>
      <c r="CD1005" s="6"/>
      <c r="CE1005" s="7"/>
      <c r="CF1005" s="6"/>
      <c r="CG1005" s="7"/>
      <c r="CH1005" s="6"/>
      <c r="CI1005" s="7"/>
      <c r="CJ1005" s="8">
        <f t="shared" si="131"/>
        <v>5868000</v>
      </c>
      <c r="CK1005" s="9"/>
      <c r="CL1005" s="10"/>
      <c r="CM1005" s="11">
        <v>326</v>
      </c>
      <c r="CN1005" s="12">
        <f>326*85000</f>
        <v>27710000</v>
      </c>
      <c r="CO1005" s="28"/>
      <c r="CP1005" s="12"/>
      <c r="CQ1005" s="9"/>
      <c r="CR1005" s="10"/>
      <c r="CS1005" s="68"/>
      <c r="CT1005" s="22"/>
      <c r="EC1005" s="344" t="str">
        <f t="shared" si="134"/>
        <v>BOLIVAR_EL CARMEN DE BOLIVAR</v>
      </c>
      <c r="ED1005" s="341"/>
      <c r="EE1005" s="341" t="s">
        <v>3202</v>
      </c>
      <c r="EF1005" s="349" t="s">
        <v>3203</v>
      </c>
      <c r="EG1005" s="341" t="s">
        <v>4228</v>
      </c>
      <c r="EH1005" s="341" t="s">
        <v>4385</v>
      </c>
      <c r="EI1005" s="341" t="str">
        <f t="shared" si="127"/>
        <v>Valle del Cauca_Argelia</v>
      </c>
    </row>
    <row r="1006" spans="1:139" s="164" customFormat="1" ht="38.25">
      <c r="A1006" s="228">
        <v>40398</v>
      </c>
      <c r="B1006" s="205" t="s">
        <v>962</v>
      </c>
      <c r="C1006" s="205" t="s">
        <v>39</v>
      </c>
      <c r="D1006" s="207" t="s">
        <v>1201</v>
      </c>
      <c r="E1006" s="323" t="s">
        <v>3833</v>
      </c>
      <c r="F1006" s="323"/>
      <c r="G1006" s="204"/>
      <c r="H1006" s="151"/>
      <c r="I1006" s="151"/>
      <c r="J1006" s="151">
        <v>100</v>
      </c>
      <c r="K1006" s="151">
        <v>20</v>
      </c>
      <c r="L1006" s="1"/>
      <c r="M1006" s="73">
        <f t="shared" si="128"/>
        <v>0</v>
      </c>
      <c r="N1006" s="73">
        <f t="shared" si="129"/>
        <v>0</v>
      </c>
      <c r="O1006" s="73">
        <f t="shared" si="133"/>
        <v>0</v>
      </c>
      <c r="P1006" s="73">
        <f t="shared" si="130"/>
        <v>0</v>
      </c>
      <c r="Q1006" s="73"/>
      <c r="R1006" s="73">
        <v>0</v>
      </c>
      <c r="S1006" s="243">
        <f t="shared" si="132"/>
        <v>0</v>
      </c>
      <c r="T1006" s="77">
        <v>0</v>
      </c>
      <c r="U1006" s="66">
        <v>40581</v>
      </c>
      <c r="V1006" s="79"/>
      <c r="W1006" s="66" t="s">
        <v>1585</v>
      </c>
      <c r="X1006" s="24" t="s">
        <v>1586</v>
      </c>
      <c r="Y1006" s="62"/>
      <c r="Z1006" s="169" t="s">
        <v>894</v>
      </c>
      <c r="AA1006" s="166" t="s">
        <v>54</v>
      </c>
      <c r="AB1006" s="152"/>
      <c r="AC1006" s="153"/>
      <c r="AD1006" s="154"/>
      <c r="AE1006" s="153"/>
      <c r="AF1006" s="153"/>
      <c r="AG1006" s="153"/>
      <c r="AH1006" s="153"/>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c r="BF1006" s="153"/>
      <c r="BG1006" s="153"/>
      <c r="BH1006" s="153"/>
      <c r="BI1006" s="153"/>
      <c r="BJ1006" s="153"/>
      <c r="BK1006" s="153"/>
      <c r="BL1006" s="153"/>
      <c r="BM1006" s="153"/>
      <c r="BN1006" s="153"/>
      <c r="BO1006" s="153"/>
      <c r="BP1006" s="153"/>
      <c r="BQ1006" s="153"/>
      <c r="BR1006" s="153"/>
      <c r="BS1006" s="153"/>
      <c r="BT1006" s="153"/>
      <c r="BU1006" s="153"/>
      <c r="BV1006" s="153"/>
      <c r="BW1006" s="153"/>
      <c r="BX1006" s="153"/>
      <c r="BY1006" s="153"/>
      <c r="BZ1006" s="153"/>
      <c r="CA1006" s="153"/>
      <c r="CB1006" s="153"/>
      <c r="CC1006" s="153"/>
      <c r="CD1006" s="155"/>
      <c r="CE1006" s="156"/>
      <c r="CF1006" s="155"/>
      <c r="CG1006" s="156"/>
      <c r="CH1006" s="155"/>
      <c r="CI1006" s="156"/>
      <c r="CJ1006" s="157">
        <f t="shared" si="131"/>
        <v>0</v>
      </c>
      <c r="CK1006" s="158"/>
      <c r="CL1006" s="159"/>
      <c r="CM1006" s="160"/>
      <c r="CN1006" s="161"/>
      <c r="CO1006" s="162"/>
      <c r="CP1006" s="161"/>
      <c r="CQ1006" s="158"/>
      <c r="CR1006" s="159"/>
      <c r="CS1006" s="68"/>
      <c r="CT1006" s="163"/>
      <c r="EC1006" s="344" t="str">
        <f t="shared" si="134"/>
        <v>HUILA_GARZON</v>
      </c>
      <c r="ED1006" s="341"/>
      <c r="EE1006" s="341" t="s">
        <v>3202</v>
      </c>
      <c r="EF1006" s="349" t="s">
        <v>3203</v>
      </c>
      <c r="EG1006" s="341" t="s">
        <v>4229</v>
      </c>
      <c r="EH1006" s="341" t="s">
        <v>3115</v>
      </c>
      <c r="EI1006" s="341" t="str">
        <f t="shared" si="127"/>
        <v>Valle del Cauca_Bolivar</v>
      </c>
    </row>
    <row r="1007" spans="1:139" s="164" customFormat="1" ht="38.25">
      <c r="A1007" s="228">
        <v>40399</v>
      </c>
      <c r="B1007" s="102" t="s">
        <v>2298</v>
      </c>
      <c r="C1007" s="102" t="s">
        <v>1610</v>
      </c>
      <c r="D1007" s="206" t="s">
        <v>1316</v>
      </c>
      <c r="E1007" s="320" t="s">
        <v>3375</v>
      </c>
      <c r="F1007" s="320"/>
      <c r="G1007" s="210"/>
      <c r="H1007" s="71"/>
      <c r="I1007" s="71"/>
      <c r="J1007" s="71"/>
      <c r="K1007" s="71"/>
      <c r="L1007" s="1"/>
      <c r="M1007" s="73">
        <f t="shared" si="128"/>
        <v>0</v>
      </c>
      <c r="N1007" s="73">
        <f t="shared" si="129"/>
        <v>0</v>
      </c>
      <c r="O1007" s="73">
        <f t="shared" si="133"/>
        <v>0</v>
      </c>
      <c r="P1007" s="73">
        <f t="shared" si="130"/>
        <v>0</v>
      </c>
      <c r="Q1007" s="73"/>
      <c r="R1007" s="73">
        <v>0</v>
      </c>
      <c r="S1007" s="75">
        <f t="shared" si="132"/>
        <v>0</v>
      </c>
      <c r="T1007" s="77">
        <v>0</v>
      </c>
      <c r="U1007" s="66">
        <v>40400</v>
      </c>
      <c r="V1007" s="79"/>
      <c r="W1007" s="66" t="s">
        <v>1585</v>
      </c>
      <c r="X1007" s="24" t="s">
        <v>1586</v>
      </c>
      <c r="Y1007" s="62"/>
      <c r="Z1007" s="177" t="s">
        <v>894</v>
      </c>
      <c r="AA1007" s="80" t="s">
        <v>1518</v>
      </c>
      <c r="AB1007" s="3"/>
      <c r="AC1007" s="4"/>
      <c r="AD1007" s="5"/>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6"/>
      <c r="CE1007" s="7"/>
      <c r="CF1007" s="6"/>
      <c r="CG1007" s="7"/>
      <c r="CH1007" s="6"/>
      <c r="CI1007" s="7"/>
      <c r="CJ1007" s="8">
        <f t="shared" si="131"/>
        <v>0</v>
      </c>
      <c r="CK1007" s="9"/>
      <c r="CL1007" s="10"/>
      <c r="CM1007" s="11"/>
      <c r="CN1007" s="12"/>
      <c r="CO1007" s="28"/>
      <c r="CP1007" s="12"/>
      <c r="CQ1007" s="9"/>
      <c r="CR1007" s="10"/>
      <c r="CS1007" s="68"/>
      <c r="CT1007" s="22"/>
      <c r="EC1007" s="344" t="str">
        <f t="shared" si="134"/>
        <v>BOGOTA D.C._BOGOTA</v>
      </c>
      <c r="ED1007" s="341"/>
      <c r="EE1007" s="341" t="s">
        <v>3202</v>
      </c>
      <c r="EF1007" s="349" t="s">
        <v>3203</v>
      </c>
      <c r="EG1007" s="341" t="s">
        <v>4230</v>
      </c>
      <c r="EH1007" s="341" t="s">
        <v>5274</v>
      </c>
      <c r="EI1007" s="341" t="str">
        <f t="shared" si="127"/>
        <v>Valle del Cauca_Buenaventura</v>
      </c>
    </row>
    <row r="1008" spans="1:139" s="164" customFormat="1" ht="96">
      <c r="A1008" s="228">
        <v>40399</v>
      </c>
      <c r="B1008" s="205" t="s">
        <v>1612</v>
      </c>
      <c r="C1008" s="205" t="s">
        <v>1149</v>
      </c>
      <c r="D1008" s="206" t="s">
        <v>1878</v>
      </c>
      <c r="E1008" s="320" t="s">
        <v>4049</v>
      </c>
      <c r="F1008" s="320"/>
      <c r="G1008" s="204"/>
      <c r="H1008" s="151"/>
      <c r="I1008" s="151"/>
      <c r="J1008" s="151"/>
      <c r="K1008" s="151"/>
      <c r="L1008" s="1">
        <v>40479</v>
      </c>
      <c r="M1008" s="73">
        <f t="shared" si="128"/>
        <v>0</v>
      </c>
      <c r="N1008" s="73">
        <f t="shared" si="129"/>
        <v>0</v>
      </c>
      <c r="O1008" s="73">
        <f t="shared" si="133"/>
        <v>0</v>
      </c>
      <c r="P1008" s="73">
        <f t="shared" si="130"/>
        <v>0</v>
      </c>
      <c r="Q1008" s="73"/>
      <c r="R1008" s="73">
        <v>60000000</v>
      </c>
      <c r="S1008" s="75">
        <f t="shared" si="132"/>
        <v>60000000</v>
      </c>
      <c r="T1008" s="77">
        <v>0</v>
      </c>
      <c r="U1008" s="66">
        <v>40466</v>
      </c>
      <c r="V1008" s="79">
        <v>56546</v>
      </c>
      <c r="W1008" s="66" t="s">
        <v>1606</v>
      </c>
      <c r="X1008" s="24" t="s">
        <v>1607</v>
      </c>
      <c r="Y1008" s="104">
        <v>39888</v>
      </c>
      <c r="Z1008" s="104" t="s">
        <v>1435</v>
      </c>
      <c r="AA1008" s="166" t="s">
        <v>484</v>
      </c>
      <c r="AB1008" s="152"/>
      <c r="AC1008" s="153"/>
      <c r="AD1008" s="154"/>
      <c r="AE1008" s="153"/>
      <c r="AF1008" s="153"/>
      <c r="AG1008" s="153"/>
      <c r="AH1008" s="153"/>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c r="BF1008" s="153"/>
      <c r="BG1008" s="153"/>
      <c r="BH1008" s="153"/>
      <c r="BI1008" s="153"/>
      <c r="BJ1008" s="153"/>
      <c r="BK1008" s="153"/>
      <c r="BL1008" s="153"/>
      <c r="BM1008" s="153"/>
      <c r="BN1008" s="153"/>
      <c r="BO1008" s="153"/>
      <c r="BP1008" s="153"/>
      <c r="BQ1008" s="153"/>
      <c r="BR1008" s="153"/>
      <c r="BS1008" s="153"/>
      <c r="BT1008" s="153"/>
      <c r="BU1008" s="153"/>
      <c r="BV1008" s="153"/>
      <c r="BW1008" s="153"/>
      <c r="BX1008" s="153"/>
      <c r="BY1008" s="153"/>
      <c r="BZ1008" s="153"/>
      <c r="CA1008" s="153"/>
      <c r="CB1008" s="153"/>
      <c r="CC1008" s="153"/>
      <c r="CD1008" s="155"/>
      <c r="CE1008" s="156"/>
      <c r="CF1008" s="155"/>
      <c r="CG1008" s="156"/>
      <c r="CH1008" s="155"/>
      <c r="CI1008" s="156"/>
      <c r="CJ1008" s="157">
        <f t="shared" si="131"/>
        <v>0</v>
      </c>
      <c r="CK1008" s="158"/>
      <c r="CL1008" s="159"/>
      <c r="CM1008" s="160"/>
      <c r="CN1008" s="161"/>
      <c r="CO1008" s="162"/>
      <c r="CP1008" s="161"/>
      <c r="CQ1008" s="158"/>
      <c r="CR1008" s="159"/>
      <c r="CS1008" s="68"/>
      <c r="CT1008" s="163"/>
      <c r="EC1008" s="344" t="str">
        <f t="shared" si="134"/>
        <v>QUINDIO_SALENTO</v>
      </c>
      <c r="ED1008" s="341"/>
      <c r="EE1008" s="341" t="s">
        <v>3202</v>
      </c>
      <c r="EF1008" s="349" t="s">
        <v>3203</v>
      </c>
      <c r="EG1008" s="341" t="s">
        <v>4231</v>
      </c>
      <c r="EH1008" s="341" t="s">
        <v>5275</v>
      </c>
      <c r="EI1008" s="341" t="str">
        <f t="shared" si="127"/>
        <v>Valle del Cauca_Guadalajara de Buga</v>
      </c>
    </row>
    <row r="1009" spans="1:139" s="164" customFormat="1" ht="38.25">
      <c r="A1009" s="228">
        <v>40400</v>
      </c>
      <c r="B1009" s="102" t="s">
        <v>1972</v>
      </c>
      <c r="C1009" s="102" t="s">
        <v>1841</v>
      </c>
      <c r="D1009" s="206" t="s">
        <v>1923</v>
      </c>
      <c r="E1009" s="320" t="s">
        <v>3331</v>
      </c>
      <c r="F1009" s="320"/>
      <c r="G1009" s="210"/>
      <c r="H1009" s="71">
        <v>9</v>
      </c>
      <c r="I1009" s="71"/>
      <c r="J1009" s="71"/>
      <c r="K1009" s="71"/>
      <c r="L1009" s="1"/>
      <c r="M1009" s="73">
        <f t="shared" si="128"/>
        <v>0</v>
      </c>
      <c r="N1009" s="73">
        <f t="shared" si="129"/>
        <v>0</v>
      </c>
      <c r="O1009" s="73">
        <f t="shared" si="133"/>
        <v>0</v>
      </c>
      <c r="P1009" s="73">
        <f t="shared" si="130"/>
        <v>0</v>
      </c>
      <c r="Q1009" s="73"/>
      <c r="R1009" s="73">
        <v>0</v>
      </c>
      <c r="S1009" s="75">
        <f t="shared" si="132"/>
        <v>0</v>
      </c>
      <c r="T1009" s="77">
        <v>0</v>
      </c>
      <c r="U1009" s="66">
        <v>40403</v>
      </c>
      <c r="V1009" s="79"/>
      <c r="W1009" s="66" t="s">
        <v>1585</v>
      </c>
      <c r="X1009" s="24" t="s">
        <v>1586</v>
      </c>
      <c r="Y1009" s="62"/>
      <c r="Z1009" s="177" t="s">
        <v>894</v>
      </c>
      <c r="AA1009" s="80" t="s">
        <v>1496</v>
      </c>
      <c r="AB1009" s="3"/>
      <c r="AC1009" s="4"/>
      <c r="AD1009" s="5"/>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6"/>
      <c r="CE1009" s="7"/>
      <c r="CF1009" s="6"/>
      <c r="CG1009" s="7"/>
      <c r="CH1009" s="6"/>
      <c r="CI1009" s="7"/>
      <c r="CJ1009" s="8">
        <f t="shared" si="131"/>
        <v>0</v>
      </c>
      <c r="CK1009" s="9"/>
      <c r="CL1009" s="10"/>
      <c r="CM1009" s="11"/>
      <c r="CN1009" s="12"/>
      <c r="CO1009" s="28"/>
      <c r="CP1009" s="12"/>
      <c r="CQ1009" s="9"/>
      <c r="CR1009" s="10"/>
      <c r="CS1009" s="68"/>
      <c r="CT1009" s="22"/>
      <c r="EC1009" s="344" t="str">
        <f t="shared" si="134"/>
        <v>ANTIOQUIA_SEGOVIA</v>
      </c>
      <c r="ED1009" s="341"/>
      <c r="EE1009" s="341" t="s">
        <v>3202</v>
      </c>
      <c r="EF1009" s="349" t="s">
        <v>3203</v>
      </c>
      <c r="EG1009" s="341" t="s">
        <v>4232</v>
      </c>
      <c r="EH1009" s="341" t="s">
        <v>5276</v>
      </c>
      <c r="EI1009" s="341" t="str">
        <f t="shared" si="127"/>
        <v>Valle del Cauca_Bugalagrande</v>
      </c>
    </row>
    <row r="1010" spans="1:139" s="164" customFormat="1" ht="38.25">
      <c r="A1010" s="235">
        <v>40400</v>
      </c>
      <c r="B1010" s="224" t="s">
        <v>1972</v>
      </c>
      <c r="C1010" s="224" t="s">
        <v>1428</v>
      </c>
      <c r="D1010" s="236" t="s">
        <v>2606</v>
      </c>
      <c r="E1010" s="324" t="s">
        <v>3334</v>
      </c>
      <c r="F1010" s="324"/>
      <c r="G1010" s="210"/>
      <c r="H1010" s="71"/>
      <c r="I1010" s="71"/>
      <c r="J1010" s="71">
        <v>250</v>
      </c>
      <c r="K1010" s="71">
        <v>50</v>
      </c>
      <c r="L1010" s="1"/>
      <c r="M1010" s="73">
        <f t="shared" si="128"/>
        <v>0</v>
      </c>
      <c r="N1010" s="73">
        <f t="shared" si="129"/>
        <v>0</v>
      </c>
      <c r="O1010" s="73">
        <f t="shared" ref="O1010:O1038" si="135">CP1010+CR1010</f>
        <v>0</v>
      </c>
      <c r="P1010" s="73">
        <f t="shared" si="130"/>
        <v>0</v>
      </c>
      <c r="Q1010" s="73"/>
      <c r="R1010" s="73">
        <v>0</v>
      </c>
      <c r="S1010" s="75">
        <f t="shared" si="132"/>
        <v>0</v>
      </c>
      <c r="T1010" s="77">
        <v>0</v>
      </c>
      <c r="U1010" s="66">
        <v>40403</v>
      </c>
      <c r="V1010" s="79"/>
      <c r="W1010" s="66" t="s">
        <v>1585</v>
      </c>
      <c r="X1010" s="24" t="s">
        <v>1586</v>
      </c>
      <c r="Y1010" s="62"/>
      <c r="Z1010" s="177" t="s">
        <v>894</v>
      </c>
      <c r="AA1010" s="80" t="s">
        <v>1501</v>
      </c>
      <c r="AB1010" s="3"/>
      <c r="AC1010" s="4"/>
      <c r="AD1010" s="5"/>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6"/>
      <c r="CE1010" s="7"/>
      <c r="CF1010" s="6"/>
      <c r="CG1010" s="7"/>
      <c r="CH1010" s="6"/>
      <c r="CI1010" s="7"/>
      <c r="CJ1010" s="8">
        <f t="shared" si="131"/>
        <v>0</v>
      </c>
      <c r="CK1010" s="9"/>
      <c r="CL1010" s="10"/>
      <c r="CM1010" s="11"/>
      <c r="CN1010" s="12"/>
      <c r="CO1010" s="28"/>
      <c r="CP1010" s="12"/>
      <c r="CQ1010" s="9"/>
      <c r="CR1010" s="10"/>
      <c r="CS1010" s="68"/>
      <c r="CT1010" s="22"/>
      <c r="EC1010" s="344" t="str">
        <f t="shared" si="134"/>
        <v>ANTIOQUIA_TAMESIS</v>
      </c>
      <c r="ED1010" s="341"/>
      <c r="EE1010" s="341" t="s">
        <v>3202</v>
      </c>
      <c r="EF1010" s="349" t="s">
        <v>3203</v>
      </c>
      <c r="EG1010" s="341" t="s">
        <v>4233</v>
      </c>
      <c r="EH1010" s="341" t="s">
        <v>5277</v>
      </c>
      <c r="EI1010" s="341" t="str">
        <f t="shared" si="127"/>
        <v>Valle del Cauca_Caicedonia</v>
      </c>
    </row>
    <row r="1011" spans="1:139" s="164" customFormat="1" ht="56.25">
      <c r="A1011" s="228">
        <v>40400</v>
      </c>
      <c r="B1011" s="102" t="s">
        <v>1440</v>
      </c>
      <c r="C1011" s="102" t="s">
        <v>1605</v>
      </c>
      <c r="D1011" s="206" t="s">
        <v>1201</v>
      </c>
      <c r="E1011" s="320" t="s">
        <v>3162</v>
      </c>
      <c r="F1011" s="320"/>
      <c r="G1011" s="210"/>
      <c r="H1011" s="71"/>
      <c r="I1011" s="71"/>
      <c r="J1011" s="71"/>
      <c r="K1011" s="71"/>
      <c r="L1011" s="1">
        <v>40414</v>
      </c>
      <c r="M1011" s="73">
        <f t="shared" si="128"/>
        <v>233067720</v>
      </c>
      <c r="N1011" s="73">
        <f t="shared" si="129"/>
        <v>255000000</v>
      </c>
      <c r="O1011" s="73">
        <f t="shared" si="135"/>
        <v>0</v>
      </c>
      <c r="P1011" s="73">
        <f t="shared" si="130"/>
        <v>90480000</v>
      </c>
      <c r="Q1011" s="73"/>
      <c r="R1011" s="73">
        <v>0</v>
      </c>
      <c r="S1011" s="75">
        <f t="shared" si="132"/>
        <v>578547720</v>
      </c>
      <c r="T1011" s="77">
        <v>0</v>
      </c>
      <c r="U1011" s="66">
        <v>40400</v>
      </c>
      <c r="V1011" s="89" t="s">
        <v>823</v>
      </c>
      <c r="W1011" s="66" t="s">
        <v>1606</v>
      </c>
      <c r="X1011" s="24" t="s">
        <v>1607</v>
      </c>
      <c r="Y1011" s="83" t="s">
        <v>366</v>
      </c>
      <c r="Z1011" s="177" t="s">
        <v>819</v>
      </c>
      <c r="AA1011" s="80" t="s">
        <v>820</v>
      </c>
      <c r="AB1011" s="3"/>
      <c r="AC1011" s="4"/>
      <c r="AD1011" s="5"/>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v>3000</v>
      </c>
      <c r="BA1011" s="4">
        <f>3000*25500</f>
        <v>76500000</v>
      </c>
      <c r="BB1011" s="4"/>
      <c r="BC1011" s="4"/>
      <c r="BD1011" s="4"/>
      <c r="BE1011" s="4"/>
      <c r="BF1011" s="4"/>
      <c r="BG1011" s="4"/>
      <c r="BH1011" s="4"/>
      <c r="BI1011" s="4"/>
      <c r="BJ1011" s="4"/>
      <c r="BK1011" s="4"/>
      <c r="BL1011" s="4"/>
      <c r="BM1011" s="4"/>
      <c r="BN1011" s="4">
        <v>15</v>
      </c>
      <c r="BO1011" s="4">
        <f>15*504600</f>
        <v>7569000</v>
      </c>
      <c r="BP1011" s="4"/>
      <c r="BQ1011" s="4"/>
      <c r="BR1011" s="4"/>
      <c r="BS1011" s="4"/>
      <c r="BT1011" s="4"/>
      <c r="BU1011" s="4"/>
      <c r="BV1011" s="4"/>
      <c r="BW1011" s="4"/>
      <c r="BX1011" s="4">
        <v>1000</v>
      </c>
      <c r="BY1011" s="4">
        <f>1000*21000</f>
        <v>21000000</v>
      </c>
      <c r="BZ1011" s="4"/>
      <c r="CA1011" s="4"/>
      <c r="CB1011" s="4">
        <v>3000</v>
      </c>
      <c r="CC1011" s="4">
        <f>3000*18000</f>
        <v>54000000</v>
      </c>
      <c r="CD1011" s="6">
        <f>2000</f>
        <v>2000</v>
      </c>
      <c r="CE1011" s="7">
        <f>2000*36999.36</f>
        <v>73998720</v>
      </c>
      <c r="CF1011" s="6"/>
      <c r="CG1011" s="7"/>
      <c r="CH1011" s="6"/>
      <c r="CI1011" s="7"/>
      <c r="CJ1011" s="8">
        <f t="shared" si="131"/>
        <v>233067720</v>
      </c>
      <c r="CK1011" s="9">
        <v>100000</v>
      </c>
      <c r="CL1011" s="10">
        <f>100000*904.8</f>
        <v>90480000</v>
      </c>
      <c r="CM1011" s="11">
        <f>2000+1000</f>
        <v>3000</v>
      </c>
      <c r="CN1011" s="12">
        <f>2000*85000+1000*85000</f>
        <v>255000000</v>
      </c>
      <c r="CO1011" s="28"/>
      <c r="CP1011" s="12"/>
      <c r="CQ1011" s="9"/>
      <c r="CR1011" s="10"/>
      <c r="CS1011" s="68"/>
      <c r="CT1011" s="22"/>
      <c r="EC1011" s="344" t="str">
        <f t="shared" si="134"/>
        <v>MAGDALENA_DEPARTAMENTO</v>
      </c>
      <c r="ED1011" s="341"/>
      <c r="EE1011" s="341" t="s">
        <v>3202</v>
      </c>
      <c r="EF1011" s="349" t="s">
        <v>3203</v>
      </c>
      <c r="EG1011" s="341" t="s">
        <v>4234</v>
      </c>
      <c r="EH1011" s="341" t="s">
        <v>5278</v>
      </c>
      <c r="EI1011" s="341" t="str">
        <f t="shared" si="127"/>
        <v>Valle del Cauca_Calima</v>
      </c>
    </row>
    <row r="1012" spans="1:139" s="164" customFormat="1" ht="38.25">
      <c r="A1012" s="228">
        <v>40400</v>
      </c>
      <c r="B1012" s="102" t="s">
        <v>1440</v>
      </c>
      <c r="C1012" s="102" t="s">
        <v>1418</v>
      </c>
      <c r="D1012" s="206" t="s">
        <v>1201</v>
      </c>
      <c r="E1012" s="320" t="s">
        <v>3875</v>
      </c>
      <c r="F1012" s="320"/>
      <c r="G1012" s="210"/>
      <c r="H1012" s="71"/>
      <c r="I1012" s="71"/>
      <c r="J1012" s="71"/>
      <c r="K1012" s="71"/>
      <c r="L1012" s="1">
        <v>40421</v>
      </c>
      <c r="M1012" s="73">
        <f t="shared" si="128"/>
        <v>0</v>
      </c>
      <c r="N1012" s="73">
        <f t="shared" si="129"/>
        <v>0</v>
      </c>
      <c r="O1012" s="73">
        <f t="shared" si="135"/>
        <v>0</v>
      </c>
      <c r="P1012" s="73">
        <f t="shared" si="130"/>
        <v>12750000</v>
      </c>
      <c r="Q1012" s="73"/>
      <c r="R1012" s="73">
        <v>0</v>
      </c>
      <c r="S1012" s="75">
        <f t="shared" si="132"/>
        <v>12750000</v>
      </c>
      <c r="T1012" s="77">
        <v>0</v>
      </c>
      <c r="U1012" s="66">
        <v>40404</v>
      </c>
      <c r="V1012" s="79">
        <v>41161</v>
      </c>
      <c r="W1012" s="66" t="s">
        <v>1606</v>
      </c>
      <c r="X1012" s="24" t="s">
        <v>1607</v>
      </c>
      <c r="Y1012" s="62">
        <v>288</v>
      </c>
      <c r="Z1012" s="177" t="s">
        <v>812</v>
      </c>
      <c r="AA1012" s="80"/>
      <c r="AB1012" s="3"/>
      <c r="AC1012" s="4"/>
      <c r="AD1012" s="5"/>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6"/>
      <c r="CE1012" s="7"/>
      <c r="CF1012" s="6"/>
      <c r="CG1012" s="7"/>
      <c r="CH1012" s="6"/>
      <c r="CI1012" s="7"/>
      <c r="CJ1012" s="8">
        <f t="shared" si="131"/>
        <v>0</v>
      </c>
      <c r="CK1012" s="9">
        <v>15000</v>
      </c>
      <c r="CL1012" s="10">
        <f>15000*850</f>
        <v>12750000</v>
      </c>
      <c r="CM1012" s="11"/>
      <c r="CN1012" s="12"/>
      <c r="CO1012" s="28"/>
      <c r="CP1012" s="12"/>
      <c r="CQ1012" s="9"/>
      <c r="CR1012" s="10"/>
      <c r="CS1012" s="68"/>
      <c r="CT1012" s="22">
        <v>1224</v>
      </c>
      <c r="EC1012" s="344" t="str">
        <f t="shared" si="134"/>
        <v>MAGDALENA_SANTA MARTA</v>
      </c>
      <c r="ED1012" s="341"/>
      <c r="EE1012" s="341" t="s">
        <v>3202</v>
      </c>
      <c r="EF1012" s="349" t="s">
        <v>3203</v>
      </c>
      <c r="EG1012" s="341" t="s">
        <v>4235</v>
      </c>
      <c r="EH1012" s="341" t="s">
        <v>4497</v>
      </c>
      <c r="EI1012" s="341" t="str">
        <f t="shared" si="127"/>
        <v>Valle del Cauca_Candelaria</v>
      </c>
    </row>
    <row r="1013" spans="1:139" s="164" customFormat="1" ht="38.25">
      <c r="A1013" s="228">
        <v>40400</v>
      </c>
      <c r="B1013" s="102" t="s">
        <v>1196</v>
      </c>
      <c r="C1013" s="102" t="s">
        <v>1497</v>
      </c>
      <c r="D1013" s="206" t="s">
        <v>2606</v>
      </c>
      <c r="E1013" s="320" t="s">
        <v>4292</v>
      </c>
      <c r="F1013" s="320"/>
      <c r="G1013" s="210"/>
      <c r="H1013" s="71"/>
      <c r="I1013" s="71"/>
      <c r="J1013" s="71">
        <v>10</v>
      </c>
      <c r="K1013" s="71">
        <v>2</v>
      </c>
      <c r="L1013" s="1"/>
      <c r="M1013" s="73">
        <f t="shared" si="128"/>
        <v>0</v>
      </c>
      <c r="N1013" s="73">
        <f t="shared" si="129"/>
        <v>0</v>
      </c>
      <c r="O1013" s="73">
        <f t="shared" si="135"/>
        <v>0</v>
      </c>
      <c r="P1013" s="73">
        <f t="shared" si="130"/>
        <v>0</v>
      </c>
      <c r="Q1013" s="73"/>
      <c r="R1013" s="73">
        <v>0</v>
      </c>
      <c r="S1013" s="75">
        <f t="shared" si="132"/>
        <v>0</v>
      </c>
      <c r="T1013" s="77">
        <v>0</v>
      </c>
      <c r="U1013" s="66">
        <v>40403</v>
      </c>
      <c r="V1013" s="79"/>
      <c r="W1013" s="66" t="s">
        <v>1585</v>
      </c>
      <c r="X1013" s="24" t="s">
        <v>1586</v>
      </c>
      <c r="Y1013" s="62"/>
      <c r="Z1013" s="177" t="s">
        <v>894</v>
      </c>
      <c r="AA1013" s="80" t="s">
        <v>1498</v>
      </c>
      <c r="AB1013" s="3"/>
      <c r="AC1013" s="4"/>
      <c r="AD1013" s="5"/>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6"/>
      <c r="CE1013" s="7"/>
      <c r="CF1013" s="6"/>
      <c r="CG1013" s="7"/>
      <c r="CH1013" s="6"/>
      <c r="CI1013" s="7"/>
      <c r="CJ1013" s="8">
        <f t="shared" si="131"/>
        <v>0</v>
      </c>
      <c r="CK1013" s="9"/>
      <c r="CL1013" s="10"/>
      <c r="CM1013" s="11"/>
      <c r="CN1013" s="12"/>
      <c r="CO1013" s="28"/>
      <c r="CP1013" s="12"/>
      <c r="CQ1013" s="9"/>
      <c r="CR1013" s="10"/>
      <c r="CS1013" s="68"/>
      <c r="CT1013" s="22"/>
      <c r="EC1013" s="344" t="str">
        <f t="shared" si="134"/>
        <v>PUTUMAYO_MOCOA</v>
      </c>
      <c r="ED1013" s="341"/>
      <c r="EE1013" s="341" t="s">
        <v>3202</v>
      </c>
      <c r="EF1013" s="349" t="s">
        <v>3203</v>
      </c>
      <c r="EG1013" s="341" t="s">
        <v>4236</v>
      </c>
      <c r="EH1013" s="341" t="s">
        <v>5279</v>
      </c>
      <c r="EI1013" s="341" t="str">
        <f t="shared" si="127"/>
        <v>Valle del Cauca_Cartago</v>
      </c>
    </row>
    <row r="1014" spans="1:139" s="164" customFormat="1" ht="38.25">
      <c r="A1014" s="228">
        <v>40400</v>
      </c>
      <c r="B1014" s="222" t="s">
        <v>1943</v>
      </c>
      <c r="C1014" s="222" t="s">
        <v>1605</v>
      </c>
      <c r="D1014" s="233" t="s">
        <v>1201</v>
      </c>
      <c r="E1014" s="325" t="s">
        <v>3191</v>
      </c>
      <c r="F1014" s="325"/>
      <c r="G1014" s="204"/>
      <c r="H1014" s="151"/>
      <c r="I1014" s="151"/>
      <c r="J1014" s="151"/>
      <c r="K1014" s="151"/>
      <c r="L1014" s="1">
        <v>40452</v>
      </c>
      <c r="M1014" s="73">
        <f t="shared" si="128"/>
        <v>0</v>
      </c>
      <c r="N1014" s="73">
        <f t="shared" si="129"/>
        <v>0</v>
      </c>
      <c r="O1014" s="73">
        <f t="shared" si="135"/>
        <v>0</v>
      </c>
      <c r="P1014" s="73">
        <f t="shared" si="130"/>
        <v>126000000</v>
      </c>
      <c r="Q1014" s="73"/>
      <c r="R1014" s="73">
        <v>0</v>
      </c>
      <c r="S1014" s="75">
        <f t="shared" si="132"/>
        <v>126000000</v>
      </c>
      <c r="T1014" s="77">
        <v>0</v>
      </c>
      <c r="U1014" s="66">
        <v>40427</v>
      </c>
      <c r="V1014" s="79">
        <v>46018</v>
      </c>
      <c r="W1014" s="66" t="s">
        <v>1606</v>
      </c>
      <c r="X1014" s="24" t="s">
        <v>1607</v>
      </c>
      <c r="Y1014" s="83" t="s">
        <v>1858</v>
      </c>
      <c r="Z1014" s="169" t="s">
        <v>2186</v>
      </c>
      <c r="AA1014" s="166" t="s">
        <v>325</v>
      </c>
      <c r="AB1014" s="152"/>
      <c r="AC1014" s="153"/>
      <c r="AD1014" s="154"/>
      <c r="AE1014" s="153"/>
      <c r="AF1014" s="153"/>
      <c r="AG1014" s="153"/>
      <c r="AH1014" s="153"/>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c r="BF1014" s="153"/>
      <c r="BG1014" s="153"/>
      <c r="BH1014" s="153"/>
      <c r="BI1014" s="153"/>
      <c r="BJ1014" s="153"/>
      <c r="BK1014" s="153"/>
      <c r="BL1014" s="153"/>
      <c r="BM1014" s="153"/>
      <c r="BN1014" s="153"/>
      <c r="BO1014" s="153"/>
      <c r="BP1014" s="153"/>
      <c r="BQ1014" s="153"/>
      <c r="BR1014" s="153"/>
      <c r="BS1014" s="153"/>
      <c r="BT1014" s="153"/>
      <c r="BU1014" s="153"/>
      <c r="BV1014" s="153"/>
      <c r="BW1014" s="153"/>
      <c r="BX1014" s="153"/>
      <c r="BY1014" s="153"/>
      <c r="BZ1014" s="153"/>
      <c r="CA1014" s="153"/>
      <c r="CB1014" s="153"/>
      <c r="CC1014" s="153"/>
      <c r="CD1014" s="155"/>
      <c r="CE1014" s="156"/>
      <c r="CF1014" s="155"/>
      <c r="CG1014" s="156"/>
      <c r="CH1014" s="155"/>
      <c r="CI1014" s="156"/>
      <c r="CJ1014" s="157">
        <f t="shared" si="131"/>
        <v>0</v>
      </c>
      <c r="CK1014" s="158">
        <f>70000+70000</f>
        <v>140000</v>
      </c>
      <c r="CL1014" s="159">
        <f>70000*900+70000*900</f>
        <v>126000000</v>
      </c>
      <c r="CM1014" s="160"/>
      <c r="CN1014" s="161"/>
      <c r="CO1014" s="162"/>
      <c r="CP1014" s="161"/>
      <c r="CQ1014" s="158"/>
      <c r="CR1014" s="159"/>
      <c r="CS1014" s="68"/>
      <c r="CT1014" s="163"/>
      <c r="EC1014" s="344" t="str">
        <f t="shared" si="134"/>
        <v>SUCRE_DEPARTAMENTO</v>
      </c>
      <c r="ED1014" s="341"/>
      <c r="EE1014" s="341" t="s">
        <v>3202</v>
      </c>
      <c r="EF1014" s="349" t="s">
        <v>3203</v>
      </c>
      <c r="EG1014" s="341" t="s">
        <v>4237</v>
      </c>
      <c r="EH1014" s="341" t="s">
        <v>5280</v>
      </c>
      <c r="EI1014" s="341" t="str">
        <f t="shared" si="127"/>
        <v>Valle del Cauca_Dagua</v>
      </c>
    </row>
    <row r="1015" spans="1:139" s="164" customFormat="1" ht="38.25">
      <c r="A1015" s="235">
        <v>40401</v>
      </c>
      <c r="B1015" s="224" t="s">
        <v>1972</v>
      </c>
      <c r="C1015" s="224" t="s">
        <v>552</v>
      </c>
      <c r="D1015" s="236" t="s">
        <v>1878</v>
      </c>
      <c r="E1015" s="324" t="s">
        <v>3249</v>
      </c>
      <c r="F1015" s="324"/>
      <c r="G1015" s="210">
        <v>1</v>
      </c>
      <c r="H1015" s="71"/>
      <c r="I1015" s="71"/>
      <c r="J1015" s="71">
        <v>5</v>
      </c>
      <c r="K1015" s="71">
        <v>1</v>
      </c>
      <c r="L1015" s="1"/>
      <c r="M1015" s="73">
        <f t="shared" si="128"/>
        <v>0</v>
      </c>
      <c r="N1015" s="73">
        <f t="shared" si="129"/>
        <v>0</v>
      </c>
      <c r="O1015" s="73">
        <f t="shared" si="135"/>
        <v>0</v>
      </c>
      <c r="P1015" s="73">
        <f t="shared" si="130"/>
        <v>0</v>
      </c>
      <c r="Q1015" s="73"/>
      <c r="R1015" s="73">
        <v>0</v>
      </c>
      <c r="S1015" s="75">
        <f t="shared" si="132"/>
        <v>0</v>
      </c>
      <c r="T1015" s="77">
        <v>0</v>
      </c>
      <c r="U1015" s="66">
        <v>40403</v>
      </c>
      <c r="V1015" s="79"/>
      <c r="W1015" s="66" t="s">
        <v>1585</v>
      </c>
      <c r="X1015" s="24" t="s">
        <v>1586</v>
      </c>
      <c r="Y1015" s="62"/>
      <c r="Z1015" s="177" t="s">
        <v>894</v>
      </c>
      <c r="AA1015" s="80" t="s">
        <v>902</v>
      </c>
      <c r="AB1015" s="3"/>
      <c r="AC1015" s="4"/>
      <c r="AD1015" s="5"/>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6"/>
      <c r="CE1015" s="7"/>
      <c r="CF1015" s="6"/>
      <c r="CG1015" s="7"/>
      <c r="CH1015" s="6"/>
      <c r="CI1015" s="7"/>
      <c r="CJ1015" s="8">
        <f t="shared" si="131"/>
        <v>0</v>
      </c>
      <c r="CK1015" s="9"/>
      <c r="CL1015" s="10"/>
      <c r="CM1015" s="11"/>
      <c r="CN1015" s="12"/>
      <c r="CO1015" s="28"/>
      <c r="CP1015" s="12"/>
      <c r="CQ1015" s="9"/>
      <c r="CR1015" s="10"/>
      <c r="CS1015" s="68"/>
      <c r="CT1015" s="22"/>
      <c r="EC1015" s="344" t="str">
        <f t="shared" si="134"/>
        <v>ANTIOQUIA_BRICEÑO</v>
      </c>
      <c r="ED1015" s="341"/>
      <c r="EE1015" s="341" t="s">
        <v>3202</v>
      </c>
      <c r="EF1015" s="349" t="s">
        <v>3203</v>
      </c>
      <c r="EG1015" s="341" t="s">
        <v>4238</v>
      </c>
      <c r="EH1015" s="341" t="s">
        <v>5281</v>
      </c>
      <c r="EI1015" s="341" t="str">
        <f t="shared" si="127"/>
        <v>Valle del Cauca_El aguila</v>
      </c>
    </row>
    <row r="1016" spans="1:139" s="164" customFormat="1" ht="38.25">
      <c r="A1016" s="235">
        <v>40401</v>
      </c>
      <c r="B1016" s="224" t="s">
        <v>1972</v>
      </c>
      <c r="C1016" s="224" t="s">
        <v>1499</v>
      </c>
      <c r="D1016" s="236" t="s">
        <v>1201</v>
      </c>
      <c r="E1016" s="324" t="s">
        <v>3341</v>
      </c>
      <c r="F1016" s="324"/>
      <c r="G1016" s="210"/>
      <c r="H1016" s="71"/>
      <c r="I1016" s="71"/>
      <c r="J1016" s="71">
        <v>159</v>
      </c>
      <c r="K1016" s="71">
        <v>32</v>
      </c>
      <c r="L1016" s="1"/>
      <c r="M1016" s="73">
        <f t="shared" si="128"/>
        <v>0</v>
      </c>
      <c r="N1016" s="73">
        <f t="shared" si="129"/>
        <v>0</v>
      </c>
      <c r="O1016" s="73">
        <f t="shared" si="135"/>
        <v>0</v>
      </c>
      <c r="P1016" s="73">
        <f t="shared" si="130"/>
        <v>0</v>
      </c>
      <c r="Q1016" s="73"/>
      <c r="R1016" s="73">
        <v>0</v>
      </c>
      <c r="S1016" s="75">
        <f t="shared" si="132"/>
        <v>0</v>
      </c>
      <c r="T1016" s="77">
        <v>0</v>
      </c>
      <c r="U1016" s="66">
        <v>40403</v>
      </c>
      <c r="V1016" s="79"/>
      <c r="W1016" s="66" t="s">
        <v>1585</v>
      </c>
      <c r="X1016" s="24" t="s">
        <v>1586</v>
      </c>
      <c r="Y1016" s="62"/>
      <c r="Z1016" s="177" t="s">
        <v>894</v>
      </c>
      <c r="AA1016" s="80" t="s">
        <v>1500</v>
      </c>
      <c r="AB1016" s="3"/>
      <c r="AC1016" s="4"/>
      <c r="AD1016" s="5"/>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6"/>
      <c r="CE1016" s="7"/>
      <c r="CF1016" s="6"/>
      <c r="CG1016" s="7"/>
      <c r="CH1016" s="6"/>
      <c r="CI1016" s="7"/>
      <c r="CJ1016" s="8">
        <f t="shared" si="131"/>
        <v>0</v>
      </c>
      <c r="CK1016" s="9"/>
      <c r="CL1016" s="10"/>
      <c r="CM1016" s="11"/>
      <c r="CN1016" s="12"/>
      <c r="CO1016" s="28"/>
      <c r="CP1016" s="12"/>
      <c r="CQ1016" s="9"/>
      <c r="CR1016" s="10"/>
      <c r="CS1016" s="68"/>
      <c r="CT1016" s="22"/>
      <c r="EC1016" s="344" t="str">
        <f t="shared" si="134"/>
        <v>ANTIOQUIA_URRAO</v>
      </c>
      <c r="ED1016" s="341"/>
      <c r="EE1016" s="341" t="s">
        <v>3202</v>
      </c>
      <c r="EF1016" s="349" t="s">
        <v>3203</v>
      </c>
      <c r="EG1016" s="341" t="s">
        <v>4239</v>
      </c>
      <c r="EH1016" s="341" t="s">
        <v>5282</v>
      </c>
      <c r="EI1016" s="341" t="str">
        <f t="shared" si="127"/>
        <v>Valle del Cauca_El Cairo</v>
      </c>
    </row>
    <row r="1017" spans="1:139" s="164" customFormat="1" ht="38.25">
      <c r="A1017" s="228">
        <v>40401</v>
      </c>
      <c r="B1017" s="102" t="s">
        <v>1611</v>
      </c>
      <c r="C1017" s="102" t="s">
        <v>1611</v>
      </c>
      <c r="D1017" s="206" t="s">
        <v>1201</v>
      </c>
      <c r="E1017" s="320" t="e">
        <v>#N/A</v>
      </c>
      <c r="F1017" s="320"/>
      <c r="G1017" s="210"/>
      <c r="H1017" s="71"/>
      <c r="I1017" s="71"/>
      <c r="J1017" s="71"/>
      <c r="K1017" s="71"/>
      <c r="L1017" s="1">
        <v>40487</v>
      </c>
      <c r="M1017" s="73">
        <f t="shared" si="128"/>
        <v>0</v>
      </c>
      <c r="N1017" s="73">
        <f t="shared" si="129"/>
        <v>0</v>
      </c>
      <c r="O1017" s="73">
        <f t="shared" si="135"/>
        <v>0</v>
      </c>
      <c r="P1017" s="73">
        <f t="shared" si="130"/>
        <v>7201280</v>
      </c>
      <c r="Q1017" s="73"/>
      <c r="R1017" s="73">
        <v>0</v>
      </c>
      <c r="S1017" s="75">
        <f t="shared" si="132"/>
        <v>7201280</v>
      </c>
      <c r="T1017" s="77">
        <v>0</v>
      </c>
      <c r="U1017" s="66">
        <v>40401</v>
      </c>
      <c r="V1017" s="79">
        <v>40211</v>
      </c>
      <c r="W1017" s="66" t="s">
        <v>1606</v>
      </c>
      <c r="X1017" s="24" t="s">
        <v>1607</v>
      </c>
      <c r="Y1017" s="62">
        <v>22723</v>
      </c>
      <c r="Z1017" s="177" t="s">
        <v>812</v>
      </c>
      <c r="AA1017" s="80" t="s">
        <v>811</v>
      </c>
      <c r="AB1017" s="3"/>
      <c r="AC1017" s="4"/>
      <c r="AD1017" s="5"/>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6"/>
      <c r="CE1017" s="7"/>
      <c r="CF1017" s="6"/>
      <c r="CG1017" s="7"/>
      <c r="CH1017" s="6"/>
      <c r="CI1017" s="7"/>
      <c r="CJ1017" s="8">
        <f t="shared" si="131"/>
        <v>0</v>
      </c>
      <c r="CK1017" s="9">
        <v>8000</v>
      </c>
      <c r="CL1017" s="10">
        <f>8000*900.16</f>
        <v>7201280</v>
      </c>
      <c r="CM1017" s="11"/>
      <c r="CN1017" s="12"/>
      <c r="CO1017" s="28"/>
      <c r="CP1017" s="12"/>
      <c r="CQ1017" s="9"/>
      <c r="CR1017" s="10"/>
      <c r="CS1017" s="68"/>
      <c r="CT1017" s="22"/>
      <c r="EC1017" s="344" t="str">
        <f t="shared" si="134"/>
        <v>NACION_NACION</v>
      </c>
      <c r="ED1017" s="341"/>
      <c r="EE1017" s="341" t="s">
        <v>3202</v>
      </c>
      <c r="EF1017" s="349" t="s">
        <v>3203</v>
      </c>
      <c r="EG1017" s="341" t="s">
        <v>4240</v>
      </c>
      <c r="EH1017" s="341" t="s">
        <v>5283</v>
      </c>
      <c r="EI1017" s="341" t="str">
        <f t="shared" si="127"/>
        <v>Valle del Cauca_El Cerrito</v>
      </c>
    </row>
    <row r="1018" spans="1:139" s="164" customFormat="1" ht="38.25">
      <c r="A1018" s="228">
        <v>40401</v>
      </c>
      <c r="B1018" s="102" t="s">
        <v>1609</v>
      </c>
      <c r="C1018" s="222" t="s">
        <v>2596</v>
      </c>
      <c r="D1018" s="206" t="s">
        <v>1878</v>
      </c>
      <c r="E1018" s="320" t="s">
        <v>4056</v>
      </c>
      <c r="F1018" s="320"/>
      <c r="G1018" s="204"/>
      <c r="H1018" s="151"/>
      <c r="I1018" s="151"/>
      <c r="J1018" s="151">
        <v>5</v>
      </c>
      <c r="K1018" s="151">
        <v>1</v>
      </c>
      <c r="L1018" s="1"/>
      <c r="M1018" s="73">
        <f t="shared" si="128"/>
        <v>0</v>
      </c>
      <c r="N1018" s="73">
        <f t="shared" si="129"/>
        <v>0</v>
      </c>
      <c r="O1018" s="73">
        <f t="shared" si="135"/>
        <v>0</v>
      </c>
      <c r="P1018" s="73">
        <f t="shared" si="130"/>
        <v>0</v>
      </c>
      <c r="Q1018" s="73"/>
      <c r="R1018" s="73">
        <v>0</v>
      </c>
      <c r="S1018" s="75">
        <f t="shared" si="132"/>
        <v>0</v>
      </c>
      <c r="T1018" s="77">
        <v>0</v>
      </c>
      <c r="U1018" s="66">
        <v>40413</v>
      </c>
      <c r="V1018" s="79"/>
      <c r="W1018" s="66" t="s">
        <v>1585</v>
      </c>
      <c r="X1018" s="24" t="s">
        <v>1586</v>
      </c>
      <c r="Y1018" s="62"/>
      <c r="Z1018" s="169" t="s">
        <v>894</v>
      </c>
      <c r="AA1018" s="82" t="s">
        <v>316</v>
      </c>
      <c r="AB1018" s="168"/>
      <c r="AC1018" s="153"/>
      <c r="AD1018" s="154"/>
      <c r="AE1018" s="153"/>
      <c r="AF1018" s="153"/>
      <c r="AG1018" s="153"/>
      <c r="AH1018" s="153"/>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c r="BF1018" s="153"/>
      <c r="BG1018" s="153"/>
      <c r="BH1018" s="153"/>
      <c r="BI1018" s="153"/>
      <c r="BJ1018" s="153"/>
      <c r="BK1018" s="153"/>
      <c r="BL1018" s="153"/>
      <c r="BM1018" s="153"/>
      <c r="BN1018" s="153"/>
      <c r="BO1018" s="153"/>
      <c r="BP1018" s="153"/>
      <c r="BQ1018" s="153"/>
      <c r="BR1018" s="153"/>
      <c r="BS1018" s="153"/>
      <c r="BT1018" s="153"/>
      <c r="BU1018" s="153"/>
      <c r="BV1018" s="153"/>
      <c r="BW1018" s="153"/>
      <c r="BX1018" s="153"/>
      <c r="BY1018" s="153"/>
      <c r="BZ1018" s="153"/>
      <c r="CA1018" s="153"/>
      <c r="CB1018" s="153"/>
      <c r="CC1018" s="153"/>
      <c r="CD1018" s="155"/>
      <c r="CE1018" s="156"/>
      <c r="CF1018" s="155"/>
      <c r="CG1018" s="156"/>
      <c r="CH1018" s="155"/>
      <c r="CI1018" s="156"/>
      <c r="CJ1018" s="157">
        <f t="shared" si="131"/>
        <v>0</v>
      </c>
      <c r="CK1018" s="158"/>
      <c r="CL1018" s="159"/>
      <c r="CM1018" s="160"/>
      <c r="CN1018" s="161"/>
      <c r="CO1018" s="162"/>
      <c r="CP1018" s="161"/>
      <c r="CQ1018" s="158"/>
      <c r="CR1018" s="159"/>
      <c r="CS1018" s="68"/>
      <c r="CT1018" s="163">
        <v>1241</v>
      </c>
      <c r="EC1018" s="344" t="str">
        <f t="shared" si="134"/>
        <v>RISARALDA_LA CELIA</v>
      </c>
      <c r="ED1018" s="341"/>
      <c r="EE1018" s="341" t="s">
        <v>3202</v>
      </c>
      <c r="EF1018" s="349" t="s">
        <v>3203</v>
      </c>
      <c r="EG1018" s="341" t="s">
        <v>4241</v>
      </c>
      <c r="EH1018" s="341" t="s">
        <v>5284</v>
      </c>
      <c r="EI1018" s="341" t="str">
        <f t="shared" si="127"/>
        <v>Valle del Cauca_El Dovio</v>
      </c>
    </row>
    <row r="1019" spans="1:139" s="164" customFormat="1" ht="60">
      <c r="A1019" s="228">
        <v>40401</v>
      </c>
      <c r="B1019" s="222" t="s">
        <v>1998</v>
      </c>
      <c r="C1019" s="222" t="s">
        <v>1605</v>
      </c>
      <c r="D1019" s="233" t="s">
        <v>1201</v>
      </c>
      <c r="E1019" s="325" t="s">
        <v>3184</v>
      </c>
      <c r="F1019" s="325"/>
      <c r="G1019" s="263"/>
      <c r="H1019" s="151"/>
      <c r="I1019" s="151"/>
      <c r="J1019" s="151"/>
      <c r="K1019" s="151"/>
      <c r="L1019" s="1">
        <v>40424</v>
      </c>
      <c r="M1019" s="73">
        <f t="shared" si="128"/>
        <v>117658887</v>
      </c>
      <c r="N1019" s="73">
        <f t="shared" si="129"/>
        <v>135150000</v>
      </c>
      <c r="O1019" s="73">
        <f t="shared" si="135"/>
        <v>0</v>
      </c>
      <c r="P1019" s="73">
        <f t="shared" si="130"/>
        <v>45008000</v>
      </c>
      <c r="Q1019" s="73"/>
      <c r="R1019" s="73">
        <v>0</v>
      </c>
      <c r="S1019" s="75">
        <f t="shared" si="132"/>
        <v>297816887</v>
      </c>
      <c r="T1019" s="77">
        <v>0</v>
      </c>
      <c r="U1019" s="66">
        <v>40401</v>
      </c>
      <c r="V1019" s="79">
        <v>38584</v>
      </c>
      <c r="W1019" s="66" t="s">
        <v>1606</v>
      </c>
      <c r="X1019" s="24" t="s">
        <v>1607</v>
      </c>
      <c r="Y1019" s="83" t="s">
        <v>1277</v>
      </c>
      <c r="Z1019" s="169" t="s">
        <v>324</v>
      </c>
      <c r="AA1019" s="317" t="s">
        <v>323</v>
      </c>
      <c r="AB1019" s="168"/>
      <c r="AC1019" s="153"/>
      <c r="AD1019" s="154"/>
      <c r="AE1019" s="153"/>
      <c r="AF1019" s="153"/>
      <c r="AG1019" s="153"/>
      <c r="AH1019" s="153"/>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c r="BF1019" s="153"/>
      <c r="BG1019" s="153"/>
      <c r="BH1019" s="153"/>
      <c r="BI1019" s="153"/>
      <c r="BJ1019" s="153"/>
      <c r="BK1019" s="153"/>
      <c r="BL1019" s="153"/>
      <c r="BM1019" s="153"/>
      <c r="BN1019" s="153"/>
      <c r="BO1019" s="153"/>
      <c r="BP1019" s="153"/>
      <c r="BQ1019" s="153"/>
      <c r="BR1019" s="153"/>
      <c r="BS1019" s="153"/>
      <c r="BT1019" s="153"/>
      <c r="BU1019" s="153"/>
      <c r="BV1019" s="153"/>
      <c r="BW1019" s="153"/>
      <c r="BX1019" s="153"/>
      <c r="BY1019" s="153"/>
      <c r="BZ1019" s="153"/>
      <c r="CA1019" s="153"/>
      <c r="CB1019" s="153"/>
      <c r="CC1019" s="153"/>
      <c r="CD1019" s="155">
        <v>1590</v>
      </c>
      <c r="CE1019" s="156">
        <f>1590*37999.86</f>
        <v>60419777.399999999</v>
      </c>
      <c r="CF1019" s="155">
        <v>1590</v>
      </c>
      <c r="CG1019" s="156">
        <f>1590*35999.44</f>
        <v>57239109.600000001</v>
      </c>
      <c r="CH1019" s="155"/>
      <c r="CI1019" s="156"/>
      <c r="CJ1019" s="157">
        <f t="shared" si="131"/>
        <v>117658887</v>
      </c>
      <c r="CK1019" s="158">
        <v>50000</v>
      </c>
      <c r="CL1019" s="159">
        <f>50000*900.16</f>
        <v>45008000</v>
      </c>
      <c r="CM1019" s="160">
        <v>1590</v>
      </c>
      <c r="CN1019" s="161">
        <f>1590*85000</f>
        <v>135150000</v>
      </c>
      <c r="CO1019" s="162"/>
      <c r="CP1019" s="161"/>
      <c r="CQ1019" s="158"/>
      <c r="CR1019" s="159"/>
      <c r="CS1019" s="68"/>
      <c r="CT1019" s="163"/>
      <c r="EC1019" s="344" t="str">
        <f t="shared" si="134"/>
        <v>SANTANDER_DEPARTAMENTO</v>
      </c>
      <c r="ED1019" s="341"/>
      <c r="EE1019" s="341" t="s">
        <v>3202</v>
      </c>
      <c r="EF1019" s="349" t="s">
        <v>3203</v>
      </c>
      <c r="EG1019" s="341" t="s">
        <v>4242</v>
      </c>
      <c r="EH1019" s="341" t="s">
        <v>5285</v>
      </c>
      <c r="EI1019" s="341" t="str">
        <f t="shared" si="127"/>
        <v>Valle del Cauca_Florida</v>
      </c>
    </row>
    <row r="1020" spans="1:139" s="164" customFormat="1" ht="38.25">
      <c r="A1020" s="228">
        <v>40402</v>
      </c>
      <c r="B1020" s="102" t="s">
        <v>1972</v>
      </c>
      <c r="C1020" s="102" t="s">
        <v>2358</v>
      </c>
      <c r="D1020" s="206" t="s">
        <v>1316</v>
      </c>
      <c r="E1020" s="320" t="s">
        <v>3227</v>
      </c>
      <c r="F1020" s="320"/>
      <c r="G1020" s="210"/>
      <c r="H1020" s="71"/>
      <c r="I1020" s="71"/>
      <c r="J1020" s="71">
        <v>12</v>
      </c>
      <c r="K1020" s="71">
        <v>1</v>
      </c>
      <c r="L1020" s="1"/>
      <c r="M1020" s="73">
        <f t="shared" si="128"/>
        <v>0</v>
      </c>
      <c r="N1020" s="73">
        <f t="shared" si="129"/>
        <v>0</v>
      </c>
      <c r="O1020" s="73">
        <f t="shared" si="135"/>
        <v>0</v>
      </c>
      <c r="P1020" s="73">
        <f t="shared" si="130"/>
        <v>0</v>
      </c>
      <c r="Q1020" s="73"/>
      <c r="R1020" s="73">
        <v>0</v>
      </c>
      <c r="S1020" s="75">
        <f t="shared" si="132"/>
        <v>0</v>
      </c>
      <c r="T1020" s="77">
        <v>0</v>
      </c>
      <c r="U1020" s="66">
        <v>40403</v>
      </c>
      <c r="V1020" s="79"/>
      <c r="W1020" s="66" t="s">
        <v>1585</v>
      </c>
      <c r="X1020" s="24" t="s">
        <v>1586</v>
      </c>
      <c r="Y1020" s="62"/>
      <c r="Z1020" s="177" t="s">
        <v>894</v>
      </c>
      <c r="AA1020" s="82" t="s">
        <v>1504</v>
      </c>
      <c r="AB1020" s="105"/>
      <c r="AC1020" s="4"/>
      <c r="AD1020" s="5"/>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6"/>
      <c r="CE1020" s="7"/>
      <c r="CF1020" s="6"/>
      <c r="CG1020" s="7"/>
      <c r="CH1020" s="6"/>
      <c r="CI1020" s="7"/>
      <c r="CJ1020" s="8">
        <f t="shared" si="131"/>
        <v>0</v>
      </c>
      <c r="CK1020" s="9"/>
      <c r="CL1020" s="10"/>
      <c r="CM1020" s="11"/>
      <c r="CN1020" s="12"/>
      <c r="CO1020" s="28"/>
      <c r="CP1020" s="12"/>
      <c r="CQ1020" s="9"/>
      <c r="CR1020" s="10"/>
      <c r="CS1020" s="68"/>
      <c r="CT1020" s="22"/>
      <c r="EC1020" s="344" t="str">
        <f t="shared" si="134"/>
        <v>ANTIOQUIA_MEDELLIN</v>
      </c>
      <c r="ED1020" s="341"/>
      <c r="EE1020" s="341" t="s">
        <v>3202</v>
      </c>
      <c r="EF1020" s="349" t="s">
        <v>3203</v>
      </c>
      <c r="EG1020" s="341" t="s">
        <v>4243</v>
      </c>
      <c r="EH1020" s="341" t="s">
        <v>5286</v>
      </c>
      <c r="EI1020" s="341" t="str">
        <f t="shared" ref="EI1020:EI1082" si="136">EF1020&amp;"_"&amp;EH1020</f>
        <v>Valle del Cauca_Ginebra</v>
      </c>
    </row>
    <row r="1021" spans="1:139" s="164" customFormat="1" ht="38.25">
      <c r="A1021" s="228">
        <v>40402</v>
      </c>
      <c r="B1021" s="102" t="s">
        <v>1551</v>
      </c>
      <c r="C1021" s="102" t="s">
        <v>1590</v>
      </c>
      <c r="D1021" s="206" t="s">
        <v>1201</v>
      </c>
      <c r="E1021" s="320" t="s">
        <v>3352</v>
      </c>
      <c r="F1021" s="320"/>
      <c r="G1021" s="210">
        <v>1</v>
      </c>
      <c r="H1021" s="71"/>
      <c r="I1021" s="71"/>
      <c r="J1021" s="71"/>
      <c r="K1021" s="71"/>
      <c r="L1021" s="1"/>
      <c r="M1021" s="73">
        <f t="shared" si="128"/>
        <v>0</v>
      </c>
      <c r="N1021" s="73">
        <f t="shared" si="129"/>
        <v>0</v>
      </c>
      <c r="O1021" s="73">
        <f t="shared" si="135"/>
        <v>0</v>
      </c>
      <c r="P1021" s="73">
        <f t="shared" si="130"/>
        <v>0</v>
      </c>
      <c r="Q1021" s="73"/>
      <c r="R1021" s="73">
        <v>0</v>
      </c>
      <c r="S1021" s="75">
        <f t="shared" si="132"/>
        <v>0</v>
      </c>
      <c r="T1021" s="77">
        <v>0</v>
      </c>
      <c r="U1021" s="66">
        <v>40403</v>
      </c>
      <c r="V1021" s="79"/>
      <c r="W1021" s="66" t="s">
        <v>1585</v>
      </c>
      <c r="X1021" s="24" t="s">
        <v>1586</v>
      </c>
      <c r="Y1021" s="62"/>
      <c r="Z1021" s="177" t="s">
        <v>894</v>
      </c>
      <c r="AA1021" s="82" t="s">
        <v>1509</v>
      </c>
      <c r="AB1021" s="105"/>
      <c r="AC1021" s="4"/>
      <c r="AD1021" s="5"/>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6"/>
      <c r="CE1021" s="7"/>
      <c r="CF1021" s="6"/>
      <c r="CG1021" s="7"/>
      <c r="CH1021" s="6"/>
      <c r="CI1021" s="7"/>
      <c r="CJ1021" s="8">
        <f t="shared" si="131"/>
        <v>0</v>
      </c>
      <c r="CK1021" s="9"/>
      <c r="CL1021" s="10"/>
      <c r="CM1021" s="11"/>
      <c r="CN1021" s="12"/>
      <c r="CO1021" s="28"/>
      <c r="CP1021" s="12"/>
      <c r="CQ1021" s="9"/>
      <c r="CR1021" s="10"/>
      <c r="CS1021" s="68"/>
      <c r="CT1021" s="22">
        <v>1217</v>
      </c>
      <c r="EC1021" s="344" t="str">
        <f t="shared" si="134"/>
        <v>ATLANTICO_BARRANQUILLA</v>
      </c>
      <c r="ED1021" s="341"/>
      <c r="EE1021" s="341" t="s">
        <v>3202</v>
      </c>
      <c r="EF1021" s="349" t="s">
        <v>3203</v>
      </c>
      <c r="EG1021" s="341" t="s">
        <v>4244</v>
      </c>
      <c r="EH1021" s="341" t="s">
        <v>5287</v>
      </c>
      <c r="EI1021" s="341" t="str">
        <f t="shared" si="136"/>
        <v>Valle del Cauca_Guacari</v>
      </c>
    </row>
    <row r="1022" spans="1:139" s="164" customFormat="1" ht="48">
      <c r="A1022" s="228">
        <v>40402</v>
      </c>
      <c r="B1022" s="102" t="s">
        <v>1615</v>
      </c>
      <c r="C1022" s="102" t="s">
        <v>1642</v>
      </c>
      <c r="D1022" s="206" t="s">
        <v>1201</v>
      </c>
      <c r="E1022" s="320" t="s">
        <v>3376</v>
      </c>
      <c r="F1022" s="320"/>
      <c r="G1022" s="210">
        <v>1</v>
      </c>
      <c r="H1022" s="71"/>
      <c r="I1022" s="71"/>
      <c r="J1022" s="71">
        <v>1100</v>
      </c>
      <c r="K1022" s="71">
        <v>220</v>
      </c>
      <c r="L1022" s="1"/>
      <c r="M1022" s="73">
        <f t="shared" si="128"/>
        <v>0</v>
      </c>
      <c r="N1022" s="73">
        <f t="shared" si="129"/>
        <v>0</v>
      </c>
      <c r="O1022" s="73">
        <f t="shared" si="135"/>
        <v>0</v>
      </c>
      <c r="P1022" s="73">
        <f t="shared" si="130"/>
        <v>0</v>
      </c>
      <c r="Q1022" s="73"/>
      <c r="R1022" s="73">
        <v>0</v>
      </c>
      <c r="S1022" s="75">
        <f t="shared" si="132"/>
        <v>0</v>
      </c>
      <c r="T1022" s="77">
        <v>0</v>
      </c>
      <c r="U1022" s="66">
        <v>40403</v>
      </c>
      <c r="V1022" s="79"/>
      <c r="W1022" s="66" t="s">
        <v>1585</v>
      </c>
      <c r="X1022" s="24" t="s">
        <v>1586</v>
      </c>
      <c r="Y1022" s="62"/>
      <c r="Z1022" s="177" t="s">
        <v>894</v>
      </c>
      <c r="AA1022" s="82" t="s">
        <v>1502</v>
      </c>
      <c r="AB1022" s="105"/>
      <c r="AC1022" s="4"/>
      <c r="AD1022" s="5"/>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6"/>
      <c r="CE1022" s="7"/>
      <c r="CF1022" s="6"/>
      <c r="CG1022" s="7"/>
      <c r="CH1022" s="6"/>
      <c r="CI1022" s="7"/>
      <c r="CJ1022" s="8">
        <f t="shared" si="131"/>
        <v>0</v>
      </c>
      <c r="CK1022" s="9"/>
      <c r="CL1022" s="10"/>
      <c r="CM1022" s="11"/>
      <c r="CN1022" s="12"/>
      <c r="CO1022" s="28"/>
      <c r="CP1022" s="12"/>
      <c r="CQ1022" s="9"/>
      <c r="CR1022" s="10"/>
      <c r="CS1022" s="68"/>
      <c r="CT1022" s="22">
        <v>1214</v>
      </c>
      <c r="EC1022" s="344" t="str">
        <f t="shared" si="134"/>
        <v>BOLIVAR_CARTAGENA</v>
      </c>
      <c r="ED1022" s="341"/>
      <c r="EE1022" s="341" t="s">
        <v>3202</v>
      </c>
      <c r="EF1022" s="349" t="s">
        <v>3203</v>
      </c>
      <c r="EG1022" s="341" t="s">
        <v>4245</v>
      </c>
      <c r="EH1022" s="341" t="s">
        <v>5288</v>
      </c>
      <c r="EI1022" s="341" t="str">
        <f t="shared" si="136"/>
        <v>Valle del Cauca_Jamundi</v>
      </c>
    </row>
    <row r="1023" spans="1:139" s="164" customFormat="1" ht="48">
      <c r="A1023" s="228">
        <v>40402</v>
      </c>
      <c r="B1023" s="102" t="s">
        <v>1615</v>
      </c>
      <c r="C1023" s="102" t="s">
        <v>1556</v>
      </c>
      <c r="D1023" s="206" t="s">
        <v>1201</v>
      </c>
      <c r="E1023" s="320" t="s">
        <v>3417</v>
      </c>
      <c r="F1023" s="320"/>
      <c r="G1023" s="210"/>
      <c r="H1023" s="71"/>
      <c r="I1023" s="71"/>
      <c r="J1023" s="71">
        <f>1134*5</f>
        <v>5670</v>
      </c>
      <c r="K1023" s="71">
        <f>1141-7</f>
        <v>1134</v>
      </c>
      <c r="L1023" s="1"/>
      <c r="M1023" s="73">
        <f t="shared" si="128"/>
        <v>0</v>
      </c>
      <c r="N1023" s="73">
        <f t="shared" si="129"/>
        <v>0</v>
      </c>
      <c r="O1023" s="73">
        <f t="shared" si="135"/>
        <v>0</v>
      </c>
      <c r="P1023" s="73">
        <f t="shared" si="130"/>
        <v>0</v>
      </c>
      <c r="Q1023" s="73"/>
      <c r="R1023" s="73">
        <v>0</v>
      </c>
      <c r="S1023" s="75">
        <f t="shared" si="132"/>
        <v>0</v>
      </c>
      <c r="T1023" s="77">
        <v>0</v>
      </c>
      <c r="U1023" s="66">
        <v>40403</v>
      </c>
      <c r="V1023" s="79"/>
      <c r="W1023" s="66" t="s">
        <v>1585</v>
      </c>
      <c r="X1023" s="24" t="s">
        <v>1586</v>
      </c>
      <c r="Y1023" s="62"/>
      <c r="Z1023" s="177" t="s">
        <v>894</v>
      </c>
      <c r="AA1023" s="80" t="s">
        <v>1513</v>
      </c>
      <c r="AB1023" s="3"/>
      <c r="AC1023" s="4"/>
      <c r="AD1023" s="5"/>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6"/>
      <c r="CE1023" s="7"/>
      <c r="CF1023" s="6"/>
      <c r="CG1023" s="7"/>
      <c r="CH1023" s="6"/>
      <c r="CI1023" s="7"/>
      <c r="CJ1023" s="8">
        <f t="shared" si="131"/>
        <v>0</v>
      </c>
      <c r="CK1023" s="9"/>
      <c r="CL1023" s="10"/>
      <c r="CM1023" s="11"/>
      <c r="CN1023" s="12"/>
      <c r="CO1023" s="28"/>
      <c r="CP1023" s="12"/>
      <c r="CQ1023" s="9"/>
      <c r="CR1023" s="10"/>
      <c r="CS1023" s="68"/>
      <c r="CT1023" s="22"/>
      <c r="EC1023" s="344" t="str">
        <f t="shared" si="134"/>
        <v>BOLIVAR_TURBACO</v>
      </c>
      <c r="ED1023" s="341"/>
      <c r="EE1023" s="341" t="s">
        <v>3202</v>
      </c>
      <c r="EF1023" s="349" t="s">
        <v>3203</v>
      </c>
      <c r="EG1023" s="341" t="s">
        <v>4246</v>
      </c>
      <c r="EH1023" s="341" t="s">
        <v>5289</v>
      </c>
      <c r="EI1023" s="341" t="str">
        <f t="shared" si="136"/>
        <v>Valle del Cauca_La Cumbre</v>
      </c>
    </row>
    <row r="1024" spans="1:139" s="164" customFormat="1" ht="38.25">
      <c r="A1024" s="228">
        <v>40402</v>
      </c>
      <c r="B1024" s="102" t="s">
        <v>1996</v>
      </c>
      <c r="C1024" s="102" t="s">
        <v>765</v>
      </c>
      <c r="D1024" s="206" t="s">
        <v>1201</v>
      </c>
      <c r="E1024" s="320" t="s">
        <v>3799</v>
      </c>
      <c r="F1024" s="320"/>
      <c r="G1024" s="210">
        <v>4</v>
      </c>
      <c r="H1024" s="71"/>
      <c r="I1024" s="71"/>
      <c r="J1024" s="71"/>
      <c r="K1024" s="71"/>
      <c r="L1024" s="1"/>
      <c r="M1024" s="73">
        <f t="shared" si="128"/>
        <v>0</v>
      </c>
      <c r="N1024" s="73">
        <f t="shared" si="129"/>
        <v>0</v>
      </c>
      <c r="O1024" s="73">
        <f t="shared" si="135"/>
        <v>0</v>
      </c>
      <c r="P1024" s="73">
        <f t="shared" si="130"/>
        <v>0</v>
      </c>
      <c r="Q1024" s="73"/>
      <c r="R1024" s="73">
        <v>0</v>
      </c>
      <c r="S1024" s="75">
        <f t="shared" si="132"/>
        <v>0</v>
      </c>
      <c r="T1024" s="77">
        <v>0</v>
      </c>
      <c r="U1024" s="66">
        <v>40403</v>
      </c>
      <c r="V1024" s="79"/>
      <c r="W1024" s="66" t="s">
        <v>1585</v>
      </c>
      <c r="X1024" s="24" t="s">
        <v>1586</v>
      </c>
      <c r="Y1024" s="62"/>
      <c r="Z1024" s="177" t="s">
        <v>894</v>
      </c>
      <c r="AA1024" s="80" t="s">
        <v>1505</v>
      </c>
      <c r="AB1024" s="3"/>
      <c r="AC1024" s="4"/>
      <c r="AD1024" s="5"/>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6"/>
      <c r="CE1024" s="7"/>
      <c r="CF1024" s="6"/>
      <c r="CG1024" s="7"/>
      <c r="CH1024" s="6"/>
      <c r="CI1024" s="7"/>
      <c r="CJ1024" s="8">
        <f t="shared" si="131"/>
        <v>0</v>
      </c>
      <c r="CK1024" s="9"/>
      <c r="CL1024" s="10"/>
      <c r="CM1024" s="11"/>
      <c r="CN1024" s="12"/>
      <c r="CO1024" s="28"/>
      <c r="CP1024" s="12"/>
      <c r="CQ1024" s="9"/>
      <c r="CR1024" s="10"/>
      <c r="CS1024" s="68"/>
      <c r="CT1024" s="22"/>
      <c r="EC1024" s="344" t="str">
        <f t="shared" si="134"/>
        <v>CHOCO_BAJO BAUDO</v>
      </c>
      <c r="ED1024" s="341"/>
      <c r="EE1024" s="341" t="s">
        <v>3202</v>
      </c>
      <c r="EF1024" s="349" t="s">
        <v>3203</v>
      </c>
      <c r="EG1024" s="341" t="s">
        <v>4247</v>
      </c>
      <c r="EH1024" s="341" t="s">
        <v>4435</v>
      </c>
      <c r="EI1024" s="341" t="str">
        <f t="shared" si="136"/>
        <v>Valle del Cauca_La Union</v>
      </c>
    </row>
    <row r="1025" spans="1:139" s="164" customFormat="1" ht="48">
      <c r="A1025" s="228">
        <v>40402</v>
      </c>
      <c r="B1025" s="102" t="s">
        <v>4321</v>
      </c>
      <c r="C1025" s="102" t="s">
        <v>328</v>
      </c>
      <c r="D1025" s="206" t="s">
        <v>1201</v>
      </c>
      <c r="E1025" s="320" t="s">
        <v>3863</v>
      </c>
      <c r="F1025" s="320"/>
      <c r="G1025" s="210"/>
      <c r="H1025" s="71"/>
      <c r="I1025" s="71"/>
      <c r="J1025" s="71">
        <v>849</v>
      </c>
      <c r="K1025" s="71">
        <v>178</v>
      </c>
      <c r="L1025" s="1">
        <v>40466</v>
      </c>
      <c r="M1025" s="73">
        <f t="shared" si="128"/>
        <v>10501779.279999999</v>
      </c>
      <c r="N1025" s="73">
        <f t="shared" si="129"/>
        <v>15130000</v>
      </c>
      <c r="O1025" s="73">
        <f t="shared" si="135"/>
        <v>0</v>
      </c>
      <c r="P1025" s="73">
        <f t="shared" si="130"/>
        <v>0</v>
      </c>
      <c r="Q1025" s="73"/>
      <c r="R1025" s="73">
        <v>0</v>
      </c>
      <c r="S1025" s="75">
        <f t="shared" si="132"/>
        <v>25631779.280000001</v>
      </c>
      <c r="T1025" s="77">
        <v>0</v>
      </c>
      <c r="U1025" s="66">
        <v>40403</v>
      </c>
      <c r="V1025" s="79">
        <v>51059</v>
      </c>
      <c r="W1025" s="66" t="s">
        <v>1606</v>
      </c>
      <c r="X1025" s="24" t="s">
        <v>1607</v>
      </c>
      <c r="Y1025" s="83" t="s">
        <v>2276</v>
      </c>
      <c r="Z1025" s="177" t="s">
        <v>2087</v>
      </c>
      <c r="AA1025" s="80" t="s">
        <v>2168</v>
      </c>
      <c r="AB1025" s="3"/>
      <c r="AC1025" s="4"/>
      <c r="AD1025" s="5"/>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v>178</v>
      </c>
      <c r="CC1025" s="4">
        <f>178*19999.56</f>
        <v>3559921.68</v>
      </c>
      <c r="CD1025" s="6">
        <v>178</v>
      </c>
      <c r="CE1025" s="7">
        <f>178*38999.2</f>
        <v>6941857.5999999996</v>
      </c>
      <c r="CF1025" s="6"/>
      <c r="CG1025" s="7"/>
      <c r="CH1025" s="6"/>
      <c r="CI1025" s="7"/>
      <c r="CJ1025" s="8">
        <f t="shared" si="131"/>
        <v>10501779.279999999</v>
      </c>
      <c r="CK1025" s="9"/>
      <c r="CL1025" s="10"/>
      <c r="CM1025" s="11">
        <v>178</v>
      </c>
      <c r="CN1025" s="12">
        <f>178*85000</f>
        <v>15130000</v>
      </c>
      <c r="CO1025" s="28"/>
      <c r="CP1025" s="12"/>
      <c r="CQ1025" s="9"/>
      <c r="CR1025" s="10"/>
      <c r="CS1025" s="68"/>
      <c r="CT1025" s="22"/>
      <c r="EC1025" s="344" t="str">
        <f t="shared" si="134"/>
        <v>LA GUAJIRA_DIBULLA</v>
      </c>
      <c r="ED1025" s="341"/>
      <c r="EE1025" s="341" t="s">
        <v>3202</v>
      </c>
      <c r="EF1025" s="349" t="s">
        <v>3203</v>
      </c>
      <c r="EG1025" s="341" t="s">
        <v>4248</v>
      </c>
      <c r="EH1025" s="341" t="s">
        <v>4608</v>
      </c>
      <c r="EI1025" s="341" t="str">
        <f t="shared" si="136"/>
        <v>Valle del Cauca_La Victoria</v>
      </c>
    </row>
    <row r="1026" spans="1:139" s="164" customFormat="1" ht="45">
      <c r="A1026" s="228">
        <v>40402</v>
      </c>
      <c r="B1026" s="102" t="s">
        <v>4321</v>
      </c>
      <c r="C1026" s="102" t="s">
        <v>961</v>
      </c>
      <c r="D1026" s="206" t="s">
        <v>1201</v>
      </c>
      <c r="E1026" s="320" t="s">
        <v>3872</v>
      </c>
      <c r="F1026" s="320"/>
      <c r="G1026" s="210"/>
      <c r="H1026" s="71"/>
      <c r="I1026" s="71"/>
      <c r="J1026" s="71">
        <f>5797*5</f>
        <v>28985</v>
      </c>
      <c r="K1026" s="71">
        <v>5797</v>
      </c>
      <c r="L1026" s="1">
        <v>40508</v>
      </c>
      <c r="M1026" s="73">
        <f t="shared" si="128"/>
        <v>61320000</v>
      </c>
      <c r="N1026" s="73">
        <f t="shared" si="129"/>
        <v>51000000</v>
      </c>
      <c r="O1026" s="73">
        <f t="shared" si="135"/>
        <v>0</v>
      </c>
      <c r="P1026" s="73">
        <f t="shared" si="130"/>
        <v>0</v>
      </c>
      <c r="Q1026" s="73"/>
      <c r="R1026" s="73">
        <v>0</v>
      </c>
      <c r="S1026" s="75">
        <f t="shared" si="132"/>
        <v>112320000</v>
      </c>
      <c r="T1026" s="77">
        <v>0</v>
      </c>
      <c r="U1026" s="66" t="s">
        <v>881</v>
      </c>
      <c r="V1026" s="79">
        <v>55133</v>
      </c>
      <c r="W1026" s="66" t="s">
        <v>1606</v>
      </c>
      <c r="X1026" s="24" t="s">
        <v>1607</v>
      </c>
      <c r="Y1026" s="62">
        <v>24642</v>
      </c>
      <c r="Z1026" s="177" t="s">
        <v>2580</v>
      </c>
      <c r="AA1026" s="80" t="s">
        <v>1503</v>
      </c>
      <c r="AB1026" s="3"/>
      <c r="AC1026" s="4"/>
      <c r="AD1026" s="5"/>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v>600</v>
      </c>
      <c r="BA1026" s="4">
        <f>600*25500</f>
        <v>15300000</v>
      </c>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6">
        <v>600</v>
      </c>
      <c r="CE1026" s="7">
        <f>600*37000</f>
        <v>22200000</v>
      </c>
      <c r="CF1026" s="6">
        <v>600</v>
      </c>
      <c r="CG1026" s="7">
        <f>600*39700</f>
        <v>23820000</v>
      </c>
      <c r="CH1026" s="6"/>
      <c r="CI1026" s="7"/>
      <c r="CJ1026" s="8">
        <f t="shared" si="131"/>
        <v>61320000</v>
      </c>
      <c r="CK1026" s="9"/>
      <c r="CL1026" s="10"/>
      <c r="CM1026" s="11">
        <v>600</v>
      </c>
      <c r="CN1026" s="12">
        <f>600*85000</f>
        <v>51000000</v>
      </c>
      <c r="CO1026" s="28"/>
      <c r="CP1026" s="12"/>
      <c r="CQ1026" s="9"/>
      <c r="CR1026" s="10"/>
      <c r="CS1026" s="68"/>
      <c r="CT1026" s="22"/>
      <c r="EC1026" s="344" t="str">
        <f t="shared" si="134"/>
        <v>LA GUAJIRA_URIBIA</v>
      </c>
      <c r="ED1026" s="341"/>
      <c r="EE1026" s="341" t="s">
        <v>3202</v>
      </c>
      <c r="EF1026" s="349" t="s">
        <v>3203</v>
      </c>
      <c r="EG1026" s="341" t="s">
        <v>4249</v>
      </c>
      <c r="EH1026" s="341" t="s">
        <v>5290</v>
      </c>
      <c r="EI1026" s="341" t="str">
        <f t="shared" si="136"/>
        <v>Valle del Cauca_Obando</v>
      </c>
    </row>
    <row r="1027" spans="1:139" s="164" customFormat="1" ht="38.25">
      <c r="A1027" s="235">
        <v>40403</v>
      </c>
      <c r="B1027" s="224" t="s">
        <v>1972</v>
      </c>
      <c r="C1027" s="224" t="s">
        <v>514</v>
      </c>
      <c r="D1027" s="236" t="s">
        <v>1878</v>
      </c>
      <c r="E1027" s="324" t="s">
        <v>3292</v>
      </c>
      <c r="F1027" s="324"/>
      <c r="G1027" s="212">
        <v>2</v>
      </c>
      <c r="H1027" s="71"/>
      <c r="I1027" s="71"/>
      <c r="J1027" s="71"/>
      <c r="K1027" s="71"/>
      <c r="L1027" s="1"/>
      <c r="M1027" s="73">
        <f t="shared" ref="M1027:M1090" si="137">CJ1027</f>
        <v>0</v>
      </c>
      <c r="N1027" s="73">
        <f t="shared" ref="N1027:N1090" si="138">CN1027</f>
        <v>0</v>
      </c>
      <c r="O1027" s="73">
        <f t="shared" si="135"/>
        <v>0</v>
      </c>
      <c r="P1027" s="73">
        <f t="shared" ref="P1027:P1090" si="139">CL1027</f>
        <v>0</v>
      </c>
      <c r="Q1027" s="73"/>
      <c r="R1027" s="73">
        <v>0</v>
      </c>
      <c r="S1027" s="75">
        <f t="shared" si="132"/>
        <v>0</v>
      </c>
      <c r="T1027" s="77">
        <v>0</v>
      </c>
      <c r="U1027" s="66">
        <v>40407</v>
      </c>
      <c r="V1027" s="79"/>
      <c r="W1027" s="66" t="s">
        <v>1585</v>
      </c>
      <c r="X1027" s="24" t="s">
        <v>1586</v>
      </c>
      <c r="Y1027" s="62"/>
      <c r="Z1027" s="177" t="s">
        <v>894</v>
      </c>
      <c r="AA1027" s="80" t="s">
        <v>805</v>
      </c>
      <c r="AB1027" s="3"/>
      <c r="AC1027" s="4"/>
      <c r="AD1027" s="5"/>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6"/>
      <c r="CE1027" s="7"/>
      <c r="CF1027" s="6"/>
      <c r="CG1027" s="7"/>
      <c r="CH1027" s="6"/>
      <c r="CI1027" s="7"/>
      <c r="CJ1027" s="8">
        <f t="shared" ref="CJ1027:CJ1090" si="140">AC1027+AE1027+AG1027+AI1027+AK1027+AM1027+AO1027+AQ1027+AS1027+AU1027+AW1027+AY1027+BA1027+BC1027+BE1027+BG1027+BI1027+BK1027+BM1027+BO1027+BQ1027+BS1027+BU1027+BW1027+BY1027+CA1027+CC1027+CE1027+CG1027+CI1027</f>
        <v>0</v>
      </c>
      <c r="CK1027" s="9"/>
      <c r="CL1027" s="10"/>
      <c r="CM1027" s="11"/>
      <c r="CN1027" s="12"/>
      <c r="CO1027" s="28"/>
      <c r="CP1027" s="12"/>
      <c r="CQ1027" s="9"/>
      <c r="CR1027" s="10"/>
      <c r="CS1027" s="68"/>
      <c r="CT1027" s="22"/>
      <c r="EC1027" s="344" t="str">
        <f t="shared" si="134"/>
        <v>ANTIOQUIA_LA UNION</v>
      </c>
      <c r="ED1027" s="341"/>
      <c r="EE1027" s="341" t="s">
        <v>3202</v>
      </c>
      <c r="EF1027" s="349" t="s">
        <v>3203</v>
      </c>
      <c r="EG1027" s="341" t="s">
        <v>4250</v>
      </c>
      <c r="EH1027" s="341" t="s">
        <v>5291</v>
      </c>
      <c r="EI1027" s="341" t="str">
        <f t="shared" si="136"/>
        <v>Valle del Cauca_Palmira</v>
      </c>
    </row>
    <row r="1028" spans="1:139" s="164" customFormat="1" ht="38.25">
      <c r="A1028" s="228">
        <v>40403</v>
      </c>
      <c r="B1028" s="102" t="s">
        <v>1996</v>
      </c>
      <c r="C1028" s="102" t="s">
        <v>1945</v>
      </c>
      <c r="D1028" s="206" t="s">
        <v>1201</v>
      </c>
      <c r="E1028" s="320" t="s">
        <v>3793</v>
      </c>
      <c r="F1028" s="320"/>
      <c r="G1028" s="210">
        <v>1</v>
      </c>
      <c r="H1028" s="71"/>
      <c r="I1028" s="71"/>
      <c r="J1028" s="71"/>
      <c r="K1028" s="71"/>
      <c r="L1028" s="1"/>
      <c r="M1028" s="73">
        <f t="shared" si="137"/>
        <v>0</v>
      </c>
      <c r="N1028" s="73">
        <f t="shared" si="138"/>
        <v>0</v>
      </c>
      <c r="O1028" s="73">
        <f t="shared" si="135"/>
        <v>0</v>
      </c>
      <c r="P1028" s="73">
        <f t="shared" si="139"/>
        <v>0</v>
      </c>
      <c r="Q1028" s="73"/>
      <c r="R1028" s="73">
        <v>0</v>
      </c>
      <c r="S1028" s="75">
        <f t="shared" si="132"/>
        <v>0</v>
      </c>
      <c r="T1028" s="77">
        <v>0</v>
      </c>
      <c r="U1028" s="66">
        <v>40407</v>
      </c>
      <c r="V1028" s="79"/>
      <c r="W1028" s="66" t="s">
        <v>1585</v>
      </c>
      <c r="X1028" s="24" t="s">
        <v>1586</v>
      </c>
      <c r="Y1028" s="62"/>
      <c r="Z1028" s="177" t="s">
        <v>894</v>
      </c>
      <c r="AA1028" s="80" t="s">
        <v>806</v>
      </c>
      <c r="AB1028" s="3"/>
      <c r="AC1028" s="4"/>
      <c r="AD1028" s="5"/>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6"/>
      <c r="CE1028" s="7"/>
      <c r="CF1028" s="6"/>
      <c r="CG1028" s="7"/>
      <c r="CH1028" s="6"/>
      <c r="CI1028" s="7"/>
      <c r="CJ1028" s="8">
        <f t="shared" si="140"/>
        <v>0</v>
      </c>
      <c r="CK1028" s="9"/>
      <c r="CL1028" s="10"/>
      <c r="CM1028" s="11"/>
      <c r="CN1028" s="12"/>
      <c r="CO1028" s="28"/>
      <c r="CP1028" s="12"/>
      <c r="CQ1028" s="9"/>
      <c r="CR1028" s="10"/>
      <c r="CS1028" s="68"/>
      <c r="CT1028" s="22"/>
      <c r="EC1028" s="344" t="str">
        <f t="shared" si="134"/>
        <v>CHOCO_QUIBDO</v>
      </c>
      <c r="ED1028" s="341"/>
      <c r="EE1028" s="341" t="s">
        <v>3202</v>
      </c>
      <c r="EF1028" s="349" t="s">
        <v>3203</v>
      </c>
      <c r="EG1028" s="341" t="s">
        <v>4251</v>
      </c>
      <c r="EH1028" s="341" t="s">
        <v>5292</v>
      </c>
      <c r="EI1028" s="341" t="str">
        <f t="shared" si="136"/>
        <v>Valle del Cauca_Pradera</v>
      </c>
    </row>
    <row r="1029" spans="1:139" s="164" customFormat="1" ht="132">
      <c r="A1029" s="228">
        <v>40403</v>
      </c>
      <c r="B1029" s="102" t="s">
        <v>1295</v>
      </c>
      <c r="C1029" s="102" t="s">
        <v>318</v>
      </c>
      <c r="D1029" s="206" t="s">
        <v>1201</v>
      </c>
      <c r="E1029" s="320" t="s">
        <v>3661</v>
      </c>
      <c r="F1029" s="320"/>
      <c r="G1029" s="204"/>
      <c r="H1029" s="151"/>
      <c r="I1029" s="151"/>
      <c r="J1029" s="416">
        <f>3831*3.7</f>
        <v>14174.7</v>
      </c>
      <c r="K1029" s="151">
        <v>3831</v>
      </c>
      <c r="L1029" s="1">
        <v>40443</v>
      </c>
      <c r="M1029" s="73">
        <f t="shared" si="137"/>
        <v>25259996.800000001</v>
      </c>
      <c r="N1029" s="73">
        <f t="shared" si="138"/>
        <v>702270000</v>
      </c>
      <c r="O1029" s="73">
        <f t="shared" si="135"/>
        <v>0</v>
      </c>
      <c r="P1029" s="73">
        <f t="shared" si="139"/>
        <v>0</v>
      </c>
      <c r="Q1029" s="73"/>
      <c r="R1029" s="73">
        <v>109978800</v>
      </c>
      <c r="S1029" s="75">
        <f t="shared" si="132"/>
        <v>837508796.79999995</v>
      </c>
      <c r="T1029" s="77">
        <v>0</v>
      </c>
      <c r="U1029" s="66">
        <v>40413</v>
      </c>
      <c r="V1029" s="79">
        <v>45965</v>
      </c>
      <c r="W1029" s="66" t="s">
        <v>1606</v>
      </c>
      <c r="X1029" s="24" t="s">
        <v>1607</v>
      </c>
      <c r="Y1029" s="83" t="s">
        <v>2127</v>
      </c>
      <c r="Z1029" s="177" t="s">
        <v>2580</v>
      </c>
      <c r="AA1029" s="80" t="s">
        <v>33</v>
      </c>
      <c r="AB1029" s="152"/>
      <c r="AC1029" s="153"/>
      <c r="AD1029" s="154"/>
      <c r="AE1029" s="153"/>
      <c r="AF1029" s="153"/>
      <c r="AG1029" s="153"/>
      <c r="AH1029" s="153"/>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c r="BG1029" s="153"/>
      <c r="BH1029" s="153"/>
      <c r="BI1029" s="153"/>
      <c r="BJ1029" s="153"/>
      <c r="BK1029" s="153"/>
      <c r="BL1029" s="153"/>
      <c r="BM1029" s="153"/>
      <c r="BN1029" s="153">
        <f>2+10</f>
        <v>12</v>
      </c>
      <c r="BO1029" s="153">
        <f>2*520000+10*496999.68</f>
        <v>6009996.7999999998</v>
      </c>
      <c r="BP1029" s="153"/>
      <c r="BQ1029" s="153"/>
      <c r="BR1029" s="153"/>
      <c r="BS1029" s="153"/>
      <c r="BT1029" s="153"/>
      <c r="BU1029" s="153"/>
      <c r="BV1029" s="153"/>
      <c r="BW1029" s="153"/>
      <c r="BX1029" s="153"/>
      <c r="BY1029" s="153"/>
      <c r="BZ1029" s="153"/>
      <c r="CA1029" s="153"/>
      <c r="CB1029" s="153"/>
      <c r="CC1029" s="153"/>
      <c r="CD1029" s="155">
        <v>500</v>
      </c>
      <c r="CE1029" s="156">
        <f>500*38500</f>
        <v>19250000</v>
      </c>
      <c r="CF1029" s="155"/>
      <c r="CG1029" s="156"/>
      <c r="CH1029" s="155"/>
      <c r="CI1029" s="156"/>
      <c r="CJ1029" s="157">
        <f t="shared" si="140"/>
        <v>25259996.800000001</v>
      </c>
      <c r="CK1029" s="158"/>
      <c r="CL1029" s="159"/>
      <c r="CM1029" s="160">
        <f>500+3831+100+3831</f>
        <v>8262</v>
      </c>
      <c r="CN1029" s="161">
        <f>500*85000+3831*85000+100*85000+3831*85000</f>
        <v>702270000</v>
      </c>
      <c r="CO1029" s="162"/>
      <c r="CP1029" s="161"/>
      <c r="CQ1029" s="158"/>
      <c r="CR1029" s="159"/>
      <c r="CS1029" s="84" t="s">
        <v>2891</v>
      </c>
      <c r="CT1029" s="163"/>
      <c r="EC1029" s="344" t="str">
        <f t="shared" si="134"/>
        <v>CORDOBA_COTORRA</v>
      </c>
      <c r="ED1029" s="341"/>
      <c r="EE1029" s="341" t="s">
        <v>3202</v>
      </c>
      <c r="EF1029" s="349" t="s">
        <v>3203</v>
      </c>
      <c r="EG1029" s="341" t="s">
        <v>4252</v>
      </c>
      <c r="EH1029" s="341" t="s">
        <v>5024</v>
      </c>
      <c r="EI1029" s="341" t="str">
        <f t="shared" si="136"/>
        <v>Valle del Cauca_Restrepo</v>
      </c>
    </row>
    <row r="1030" spans="1:139" s="164" customFormat="1" ht="63.75">
      <c r="A1030" s="228">
        <v>40403</v>
      </c>
      <c r="B1030" s="102" t="s">
        <v>1295</v>
      </c>
      <c r="C1030" s="102" t="s">
        <v>966</v>
      </c>
      <c r="D1030" s="206" t="s">
        <v>1201</v>
      </c>
      <c r="E1030" s="320" t="s">
        <v>3676</v>
      </c>
      <c r="F1030" s="320"/>
      <c r="G1030" s="210"/>
      <c r="H1030" s="71"/>
      <c r="I1030" s="71"/>
      <c r="J1030" s="71">
        <f>11655-500-450</f>
        <v>10705</v>
      </c>
      <c r="K1030" s="71">
        <f>2491-100-90</f>
        <v>2301</v>
      </c>
      <c r="L1030" s="1">
        <v>40443</v>
      </c>
      <c r="M1030" s="73">
        <f t="shared" si="137"/>
        <v>32360000</v>
      </c>
      <c r="N1030" s="73">
        <f t="shared" si="138"/>
        <v>266135000</v>
      </c>
      <c r="O1030" s="73">
        <f t="shared" si="135"/>
        <v>0</v>
      </c>
      <c r="P1030" s="73">
        <f t="shared" si="139"/>
        <v>0</v>
      </c>
      <c r="Q1030" s="73"/>
      <c r="R1030" s="73">
        <v>0</v>
      </c>
      <c r="S1030" s="75">
        <f t="shared" si="132"/>
        <v>298495000</v>
      </c>
      <c r="T1030" s="77">
        <v>0</v>
      </c>
      <c r="U1030" s="66">
        <v>40407</v>
      </c>
      <c r="V1030" s="79"/>
      <c r="W1030" s="66" t="s">
        <v>1606</v>
      </c>
      <c r="X1030" s="24" t="s">
        <v>1607</v>
      </c>
      <c r="Y1030" s="62">
        <v>19887</v>
      </c>
      <c r="Z1030" s="177" t="s">
        <v>2580</v>
      </c>
      <c r="AA1030" s="80" t="s">
        <v>807</v>
      </c>
      <c r="AB1030" s="3"/>
      <c r="AC1030" s="4"/>
      <c r="AD1030" s="5"/>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v>3</v>
      </c>
      <c r="BO1030" s="4">
        <f>3*520000</f>
        <v>1560000</v>
      </c>
      <c r="BP1030" s="4"/>
      <c r="BQ1030" s="4"/>
      <c r="BR1030" s="4"/>
      <c r="BS1030" s="4"/>
      <c r="BT1030" s="4"/>
      <c r="BU1030" s="4"/>
      <c r="BV1030" s="4"/>
      <c r="BW1030" s="4"/>
      <c r="BX1030" s="4"/>
      <c r="BY1030" s="4"/>
      <c r="BZ1030" s="4"/>
      <c r="CA1030" s="4"/>
      <c r="CB1030" s="4"/>
      <c r="CC1030" s="4"/>
      <c r="CD1030" s="6">
        <v>800</v>
      </c>
      <c r="CE1030" s="7">
        <f>800*38500</f>
        <v>30800000</v>
      </c>
      <c r="CF1030" s="6"/>
      <c r="CG1030" s="7"/>
      <c r="CH1030" s="6"/>
      <c r="CI1030" s="7"/>
      <c r="CJ1030" s="8">
        <f t="shared" si="140"/>
        <v>32360000</v>
      </c>
      <c r="CK1030" s="9"/>
      <c r="CL1030" s="10"/>
      <c r="CM1030" s="11">
        <f>800+2331</f>
        <v>3131</v>
      </c>
      <c r="CN1030" s="12">
        <f>800*85000+2331*85000</f>
        <v>266135000</v>
      </c>
      <c r="CO1030" s="28"/>
      <c r="CP1030" s="12"/>
      <c r="CQ1030" s="9"/>
      <c r="CR1030" s="10"/>
      <c r="CS1030" s="68"/>
      <c r="CT1030" s="22"/>
      <c r="EC1030" s="344" t="str">
        <f t="shared" si="134"/>
        <v>CORDOBA_SAN BERNARDO DEL VIENTO</v>
      </c>
      <c r="ED1030" s="341"/>
      <c r="EE1030" s="341" t="s">
        <v>3202</v>
      </c>
      <c r="EF1030" s="349" t="s">
        <v>3203</v>
      </c>
      <c r="EG1030" s="341" t="s">
        <v>4253</v>
      </c>
      <c r="EH1030" s="341" t="s">
        <v>5293</v>
      </c>
      <c r="EI1030" s="341" t="str">
        <f t="shared" si="136"/>
        <v>Valle del Cauca_Riofrio</v>
      </c>
    </row>
    <row r="1031" spans="1:139" s="164" customFormat="1" ht="60">
      <c r="A1031" s="228">
        <v>40404</v>
      </c>
      <c r="B1031" s="102" t="s">
        <v>396</v>
      </c>
      <c r="C1031" s="102" t="s">
        <v>1899</v>
      </c>
      <c r="D1031" s="206" t="s">
        <v>1201</v>
      </c>
      <c r="E1031" s="320" t="s">
        <v>3905</v>
      </c>
      <c r="F1031" s="320"/>
      <c r="G1031" s="210"/>
      <c r="H1031" s="71"/>
      <c r="I1031" s="71"/>
      <c r="J1031" s="133">
        <f>1348-1143</f>
        <v>205</v>
      </c>
      <c r="K1031" s="71">
        <v>137</v>
      </c>
      <c r="L1031" s="1"/>
      <c r="M1031" s="73">
        <f t="shared" si="137"/>
        <v>0</v>
      </c>
      <c r="N1031" s="73">
        <f t="shared" si="138"/>
        <v>0</v>
      </c>
      <c r="O1031" s="73">
        <f t="shared" si="135"/>
        <v>0</v>
      </c>
      <c r="P1031" s="73">
        <f t="shared" si="139"/>
        <v>0</v>
      </c>
      <c r="Q1031" s="73"/>
      <c r="R1031" s="73">
        <v>0</v>
      </c>
      <c r="S1031" s="75">
        <f t="shared" si="132"/>
        <v>0</v>
      </c>
      <c r="T1031" s="77">
        <v>0</v>
      </c>
      <c r="U1031" s="66">
        <v>40407</v>
      </c>
      <c r="V1031" s="79"/>
      <c r="W1031" s="66" t="s">
        <v>1585</v>
      </c>
      <c r="X1031" s="24" t="s">
        <v>1586</v>
      </c>
      <c r="Y1031" s="62"/>
      <c r="Z1031" s="177" t="s">
        <v>894</v>
      </c>
      <c r="AA1031" s="80" t="s">
        <v>808</v>
      </c>
      <c r="AB1031" s="3"/>
      <c r="AC1031" s="4"/>
      <c r="AD1031" s="5"/>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6"/>
      <c r="CE1031" s="7"/>
      <c r="CF1031" s="6"/>
      <c r="CG1031" s="7"/>
      <c r="CH1031" s="6"/>
      <c r="CI1031" s="7"/>
      <c r="CJ1031" s="8">
        <f t="shared" si="140"/>
        <v>0</v>
      </c>
      <c r="CK1031" s="9"/>
      <c r="CL1031" s="10"/>
      <c r="CM1031" s="11"/>
      <c r="CN1031" s="12"/>
      <c r="CO1031" s="28"/>
      <c r="CP1031" s="12"/>
      <c r="CQ1031" s="9"/>
      <c r="CR1031" s="10"/>
      <c r="CS1031" s="68"/>
      <c r="CT1031" s="22"/>
      <c r="EC1031" s="344" t="str">
        <f t="shared" si="134"/>
        <v>META_VILLAVICENCIO</v>
      </c>
      <c r="ED1031" s="341"/>
      <c r="EE1031" s="341" t="s">
        <v>3202</v>
      </c>
      <c r="EF1031" s="349" t="s">
        <v>3203</v>
      </c>
      <c r="EG1031" s="341" t="s">
        <v>4254</v>
      </c>
      <c r="EH1031" s="341" t="s">
        <v>5294</v>
      </c>
      <c r="EI1031" s="341" t="str">
        <f t="shared" si="136"/>
        <v>Valle del Cauca_Roldanillo</v>
      </c>
    </row>
    <row r="1032" spans="1:139" s="164" customFormat="1" ht="38.25">
      <c r="A1032" s="228">
        <v>40405</v>
      </c>
      <c r="B1032" s="102" t="s">
        <v>1604</v>
      </c>
      <c r="C1032" s="102" t="s">
        <v>826</v>
      </c>
      <c r="D1032" s="206" t="s">
        <v>1201</v>
      </c>
      <c r="E1032" s="320" t="s">
        <v>3741</v>
      </c>
      <c r="F1032" s="320"/>
      <c r="G1032" s="210">
        <v>1</v>
      </c>
      <c r="H1032" s="71"/>
      <c r="I1032" s="71"/>
      <c r="J1032" s="71"/>
      <c r="K1032" s="71"/>
      <c r="L1032" s="1"/>
      <c r="M1032" s="73">
        <f t="shared" si="137"/>
        <v>0</v>
      </c>
      <c r="N1032" s="73">
        <f t="shared" si="138"/>
        <v>0</v>
      </c>
      <c r="O1032" s="73">
        <f t="shared" si="135"/>
        <v>0</v>
      </c>
      <c r="P1032" s="73">
        <f t="shared" si="139"/>
        <v>0</v>
      </c>
      <c r="Q1032" s="73"/>
      <c r="R1032" s="73">
        <v>0</v>
      </c>
      <c r="S1032" s="75">
        <f t="shared" si="132"/>
        <v>0</v>
      </c>
      <c r="T1032" s="77">
        <v>0</v>
      </c>
      <c r="U1032" s="66">
        <v>40408</v>
      </c>
      <c r="V1032" s="79"/>
      <c r="W1032" s="66" t="s">
        <v>1585</v>
      </c>
      <c r="X1032" s="24" t="s">
        <v>1586</v>
      </c>
      <c r="Y1032" s="62"/>
      <c r="Z1032" s="177" t="s">
        <v>894</v>
      </c>
      <c r="AA1032" s="80" t="s">
        <v>827</v>
      </c>
      <c r="AB1032" s="3"/>
      <c r="AC1032" s="4"/>
      <c r="AD1032" s="5"/>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6"/>
      <c r="CE1032" s="7"/>
      <c r="CF1032" s="6"/>
      <c r="CG1032" s="7"/>
      <c r="CH1032" s="6"/>
      <c r="CI1032" s="7"/>
      <c r="CJ1032" s="8">
        <f t="shared" si="140"/>
        <v>0</v>
      </c>
      <c r="CK1032" s="9"/>
      <c r="CL1032" s="10"/>
      <c r="CM1032" s="11"/>
      <c r="CN1032" s="12"/>
      <c r="CO1032" s="28"/>
      <c r="CP1032" s="12"/>
      <c r="CQ1032" s="9"/>
      <c r="CR1032" s="10"/>
      <c r="CS1032" s="68"/>
      <c r="CT1032" s="22"/>
      <c r="EC1032" s="344" t="str">
        <f t="shared" si="134"/>
        <v>CUNDINAMARCA_VENECIA</v>
      </c>
      <c r="ED1032" s="341"/>
      <c r="EE1032" s="341" t="s">
        <v>3202</v>
      </c>
      <c r="EF1032" s="349" t="s">
        <v>3203</v>
      </c>
      <c r="EG1032" s="341" t="s">
        <v>4255</v>
      </c>
      <c r="EH1032" s="341" t="s">
        <v>4464</v>
      </c>
      <c r="EI1032" s="341" t="str">
        <f t="shared" si="136"/>
        <v>Valle del Cauca_San Pedro</v>
      </c>
    </row>
    <row r="1033" spans="1:139" s="164" customFormat="1" ht="38.25">
      <c r="A1033" s="228">
        <v>40405</v>
      </c>
      <c r="B1033" s="102" t="s">
        <v>1609</v>
      </c>
      <c r="C1033" s="222" t="s">
        <v>742</v>
      </c>
      <c r="D1033" s="206" t="s">
        <v>1878</v>
      </c>
      <c r="E1033" s="320" t="s">
        <v>4052</v>
      </c>
      <c r="F1033" s="320"/>
      <c r="G1033" s="204"/>
      <c r="H1033" s="151"/>
      <c r="I1033" s="151"/>
      <c r="J1033" s="151"/>
      <c r="K1033" s="151"/>
      <c r="L1033" s="1"/>
      <c r="M1033" s="73">
        <f t="shared" si="137"/>
        <v>0</v>
      </c>
      <c r="N1033" s="73">
        <f t="shared" si="138"/>
        <v>0</v>
      </c>
      <c r="O1033" s="73">
        <f t="shared" si="135"/>
        <v>0</v>
      </c>
      <c r="P1033" s="73">
        <f t="shared" si="139"/>
        <v>0</v>
      </c>
      <c r="Q1033" s="73"/>
      <c r="R1033" s="73">
        <v>0</v>
      </c>
      <c r="S1033" s="75">
        <f t="shared" ref="S1033:S1096" si="141">M1033+N1033+O1033+P1033+Q1033+R1033</f>
        <v>0</v>
      </c>
      <c r="T1033" s="77">
        <v>0</v>
      </c>
      <c r="U1033" s="66">
        <v>40413</v>
      </c>
      <c r="V1033" s="79"/>
      <c r="W1033" s="66" t="s">
        <v>1585</v>
      </c>
      <c r="X1033" s="24" t="s">
        <v>1586</v>
      </c>
      <c r="Y1033" s="62"/>
      <c r="Z1033" s="169" t="s">
        <v>894</v>
      </c>
      <c r="AA1033" s="80" t="s">
        <v>317</v>
      </c>
      <c r="AB1033" s="152"/>
      <c r="AC1033" s="153"/>
      <c r="AD1033" s="154"/>
      <c r="AE1033" s="153"/>
      <c r="AF1033" s="153"/>
      <c r="AG1033" s="153"/>
      <c r="AH1033" s="153"/>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c r="BF1033" s="153"/>
      <c r="BG1033" s="153"/>
      <c r="BH1033" s="153"/>
      <c r="BI1033" s="153"/>
      <c r="BJ1033" s="153"/>
      <c r="BK1033" s="153"/>
      <c r="BL1033" s="153"/>
      <c r="BM1033" s="153"/>
      <c r="BN1033" s="153"/>
      <c r="BO1033" s="153"/>
      <c r="BP1033" s="153"/>
      <c r="BQ1033" s="153"/>
      <c r="BR1033" s="153"/>
      <c r="BS1033" s="153"/>
      <c r="BT1033" s="153"/>
      <c r="BU1033" s="153"/>
      <c r="BV1033" s="153"/>
      <c r="BW1033" s="153"/>
      <c r="BX1033" s="153"/>
      <c r="BY1033" s="153"/>
      <c r="BZ1033" s="153"/>
      <c r="CA1033" s="153"/>
      <c r="CB1033" s="153"/>
      <c r="CC1033" s="153"/>
      <c r="CD1033" s="155"/>
      <c r="CE1033" s="156"/>
      <c r="CF1033" s="155"/>
      <c r="CG1033" s="156"/>
      <c r="CH1033" s="155"/>
      <c r="CI1033" s="156"/>
      <c r="CJ1033" s="157">
        <f t="shared" si="140"/>
        <v>0</v>
      </c>
      <c r="CK1033" s="158"/>
      <c r="CL1033" s="159"/>
      <c r="CM1033" s="160"/>
      <c r="CN1033" s="161"/>
      <c r="CO1033" s="162"/>
      <c r="CP1033" s="161"/>
      <c r="CQ1033" s="158"/>
      <c r="CR1033" s="159"/>
      <c r="CS1033" s="68"/>
      <c r="CT1033" s="163"/>
      <c r="EC1033" s="344" t="str">
        <f t="shared" si="134"/>
        <v>RISARALDA_BALBOA</v>
      </c>
      <c r="ED1033" s="341"/>
      <c r="EE1033" s="341" t="s">
        <v>3202</v>
      </c>
      <c r="EF1033" s="349" t="s">
        <v>3203</v>
      </c>
      <c r="EG1033" s="341" t="s">
        <v>4256</v>
      </c>
      <c r="EH1033" s="341" t="s">
        <v>5295</v>
      </c>
      <c r="EI1033" s="341" t="str">
        <f t="shared" si="136"/>
        <v>Valle del Cauca_Sevilla</v>
      </c>
    </row>
    <row r="1034" spans="1:139" s="164" customFormat="1" ht="38.25">
      <c r="A1034" s="228">
        <v>40405</v>
      </c>
      <c r="B1034" s="102" t="s">
        <v>1088</v>
      </c>
      <c r="C1034" s="102" t="s">
        <v>3204</v>
      </c>
      <c r="D1034" s="206" t="s">
        <v>1316</v>
      </c>
      <c r="E1034" s="320" t="s">
        <v>4224</v>
      </c>
      <c r="F1034" s="320"/>
      <c r="G1034" s="210"/>
      <c r="H1034" s="71"/>
      <c r="I1034" s="71"/>
      <c r="J1034" s="71">
        <v>21</v>
      </c>
      <c r="K1034" s="71">
        <v>4</v>
      </c>
      <c r="L1034" s="1"/>
      <c r="M1034" s="73">
        <f t="shared" si="137"/>
        <v>0</v>
      </c>
      <c r="N1034" s="73">
        <f t="shared" si="138"/>
        <v>0</v>
      </c>
      <c r="O1034" s="73">
        <f t="shared" si="135"/>
        <v>0</v>
      </c>
      <c r="P1034" s="73">
        <f t="shared" si="139"/>
        <v>0</v>
      </c>
      <c r="Q1034" s="73"/>
      <c r="R1034" s="73">
        <v>0</v>
      </c>
      <c r="S1034" s="75">
        <f t="shared" si="141"/>
        <v>0</v>
      </c>
      <c r="T1034" s="77">
        <v>0</v>
      </c>
      <c r="U1034" s="66">
        <v>40407</v>
      </c>
      <c r="V1034" s="79"/>
      <c r="W1034" s="66" t="s">
        <v>1585</v>
      </c>
      <c r="X1034" s="24" t="s">
        <v>1586</v>
      </c>
      <c r="Y1034" s="62"/>
      <c r="Z1034" s="177" t="s">
        <v>894</v>
      </c>
      <c r="AA1034" s="80" t="s">
        <v>809</v>
      </c>
      <c r="AB1034" s="3"/>
      <c r="AC1034" s="4"/>
      <c r="AD1034" s="5"/>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6"/>
      <c r="CE1034" s="7"/>
      <c r="CF1034" s="6"/>
      <c r="CG1034" s="7"/>
      <c r="CH1034" s="6"/>
      <c r="CI1034" s="7"/>
      <c r="CJ1034" s="8">
        <f t="shared" si="140"/>
        <v>0</v>
      </c>
      <c r="CK1034" s="9"/>
      <c r="CL1034" s="10"/>
      <c r="CM1034" s="11"/>
      <c r="CN1034" s="12"/>
      <c r="CO1034" s="28"/>
      <c r="CP1034" s="12"/>
      <c r="CQ1034" s="9"/>
      <c r="CR1034" s="10"/>
      <c r="CS1034" s="68"/>
      <c r="CT1034" s="22"/>
      <c r="EC1034" s="344" t="str">
        <f t="shared" si="134"/>
        <v>VALLE DEL CAUCA_CALI</v>
      </c>
      <c r="ED1034" s="341"/>
      <c r="EE1034" s="341" t="s">
        <v>3202</v>
      </c>
      <c r="EF1034" s="349" t="s">
        <v>3203</v>
      </c>
      <c r="EG1034" s="341" t="s">
        <v>4257</v>
      </c>
      <c r="EH1034" s="341" t="s">
        <v>5296</v>
      </c>
      <c r="EI1034" s="341" t="str">
        <f t="shared" si="136"/>
        <v>Valle del Cauca_Toro</v>
      </c>
    </row>
    <row r="1035" spans="1:139" s="164" customFormat="1" ht="132">
      <c r="A1035" s="228">
        <v>40406</v>
      </c>
      <c r="B1035" s="102" t="s">
        <v>1295</v>
      </c>
      <c r="C1035" s="102" t="s">
        <v>1095</v>
      </c>
      <c r="D1035" s="206" t="s">
        <v>1201</v>
      </c>
      <c r="E1035" s="320" t="s">
        <v>3678</v>
      </c>
      <c r="F1035" s="320"/>
      <c r="G1035" s="210"/>
      <c r="H1035" s="71"/>
      <c r="I1035" s="71"/>
      <c r="J1035" s="71">
        <f>39245-140</f>
        <v>39105</v>
      </c>
      <c r="K1035" s="71">
        <f>7849-28</f>
        <v>7821</v>
      </c>
      <c r="L1035" s="1">
        <v>40437</v>
      </c>
      <c r="M1035" s="73">
        <f t="shared" si="137"/>
        <v>4203936</v>
      </c>
      <c r="N1035" s="73">
        <f t="shared" si="138"/>
        <v>307615000</v>
      </c>
      <c r="O1035" s="73">
        <f t="shared" si="135"/>
        <v>0</v>
      </c>
      <c r="P1035" s="73">
        <f t="shared" si="139"/>
        <v>0</v>
      </c>
      <c r="Q1035" s="73"/>
      <c r="R1035" s="73">
        <v>0</v>
      </c>
      <c r="S1035" s="75">
        <f t="shared" si="141"/>
        <v>311818936</v>
      </c>
      <c r="T1035" s="77">
        <v>0</v>
      </c>
      <c r="U1035" s="66">
        <v>40408</v>
      </c>
      <c r="V1035" s="79">
        <v>38767</v>
      </c>
      <c r="W1035" s="66" t="s">
        <v>1606</v>
      </c>
      <c r="X1035" s="24" t="s">
        <v>1607</v>
      </c>
      <c r="Y1035" s="83" t="s">
        <v>2568</v>
      </c>
      <c r="Z1035" s="177" t="s">
        <v>2580</v>
      </c>
      <c r="AA1035" s="174" t="s">
        <v>374</v>
      </c>
      <c r="AB1035" s="3"/>
      <c r="AC1035" s="4"/>
      <c r="AD1035" s="5"/>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v>1</v>
      </c>
      <c r="BQ1035" s="4">
        <f>1*504000</f>
        <v>504000</v>
      </c>
      <c r="BR1035" s="4"/>
      <c r="BS1035" s="4"/>
      <c r="BT1035" s="4"/>
      <c r="BU1035" s="4"/>
      <c r="BV1035" s="4"/>
      <c r="BW1035" s="4"/>
      <c r="BX1035" s="4"/>
      <c r="BY1035" s="4"/>
      <c r="BZ1035" s="4"/>
      <c r="CA1035" s="4"/>
      <c r="CB1035" s="4"/>
      <c r="CC1035" s="4"/>
      <c r="CD1035" s="6">
        <v>100</v>
      </c>
      <c r="CE1035" s="7">
        <f>100*36999.36</f>
        <v>3699936</v>
      </c>
      <c r="CF1035" s="6"/>
      <c r="CG1035" s="7"/>
      <c r="CH1035" s="6"/>
      <c r="CI1035" s="7"/>
      <c r="CJ1035" s="8">
        <f t="shared" si="140"/>
        <v>4203936</v>
      </c>
      <c r="CK1035" s="9"/>
      <c r="CL1035" s="10"/>
      <c r="CM1035" s="11">
        <f>100+1330+2189</f>
        <v>3619</v>
      </c>
      <c r="CN1035" s="12">
        <f>100*85000+1330*85000+2189*85000</f>
        <v>307615000</v>
      </c>
      <c r="CO1035" s="28"/>
      <c r="CP1035" s="12"/>
      <c r="CQ1035" s="9"/>
      <c r="CR1035" s="10"/>
      <c r="CS1035" s="68"/>
      <c r="CT1035" s="22"/>
      <c r="EC1035" s="344" t="str">
        <f t="shared" si="134"/>
        <v>CORDOBA_SAN PELAYO</v>
      </c>
      <c r="ED1035" s="341"/>
      <c r="EE1035" s="341" t="s">
        <v>3202</v>
      </c>
      <c r="EF1035" s="349" t="s">
        <v>3203</v>
      </c>
      <c r="EG1035" s="341" t="s">
        <v>4258</v>
      </c>
      <c r="EH1035" s="341" t="s">
        <v>5297</v>
      </c>
      <c r="EI1035" s="341" t="str">
        <f t="shared" si="136"/>
        <v>Valle del Cauca_Trujillo</v>
      </c>
    </row>
    <row r="1036" spans="1:139" s="164" customFormat="1" ht="51">
      <c r="A1036" s="228">
        <v>40406</v>
      </c>
      <c r="B1036" s="205" t="s">
        <v>1609</v>
      </c>
      <c r="C1036" s="205" t="s">
        <v>1708</v>
      </c>
      <c r="D1036" s="207" t="s">
        <v>2606</v>
      </c>
      <c r="E1036" s="323"/>
      <c r="F1036" s="323"/>
      <c r="G1036" s="204"/>
      <c r="H1036" s="151"/>
      <c r="I1036" s="151"/>
      <c r="J1036" s="151">
        <v>140</v>
      </c>
      <c r="K1036" s="151">
        <v>35</v>
      </c>
      <c r="L1036" s="1"/>
      <c r="M1036" s="73">
        <f t="shared" si="137"/>
        <v>0</v>
      </c>
      <c r="N1036" s="73">
        <f t="shared" si="138"/>
        <v>0</v>
      </c>
      <c r="O1036" s="73">
        <f t="shared" si="135"/>
        <v>0</v>
      </c>
      <c r="P1036" s="73">
        <f t="shared" si="139"/>
        <v>0</v>
      </c>
      <c r="Q1036" s="73"/>
      <c r="R1036" s="73">
        <v>0</v>
      </c>
      <c r="S1036" s="75">
        <f t="shared" si="141"/>
        <v>0</v>
      </c>
      <c r="T1036" s="77">
        <v>0</v>
      </c>
      <c r="U1036" s="66">
        <v>40624</v>
      </c>
      <c r="V1036" s="79"/>
      <c r="W1036" s="66" t="s">
        <v>1585</v>
      </c>
      <c r="X1036" s="24" t="s">
        <v>1586</v>
      </c>
      <c r="Y1036" s="62"/>
      <c r="Z1036" s="169" t="s">
        <v>894</v>
      </c>
      <c r="AA1036" s="166" t="s">
        <v>155</v>
      </c>
      <c r="AB1036" s="152"/>
      <c r="AC1036" s="153"/>
      <c r="AD1036" s="154"/>
      <c r="AE1036" s="153"/>
      <c r="AF1036" s="153"/>
      <c r="AG1036" s="153"/>
      <c r="AH1036" s="153"/>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c r="BF1036" s="153"/>
      <c r="BG1036" s="153"/>
      <c r="BH1036" s="153"/>
      <c r="BI1036" s="153"/>
      <c r="BJ1036" s="153"/>
      <c r="BK1036" s="153"/>
      <c r="BL1036" s="153"/>
      <c r="BM1036" s="153"/>
      <c r="BN1036" s="153"/>
      <c r="BO1036" s="153"/>
      <c r="BP1036" s="153"/>
      <c r="BQ1036" s="153"/>
      <c r="BR1036" s="153"/>
      <c r="BS1036" s="153"/>
      <c r="BT1036" s="153"/>
      <c r="BU1036" s="153"/>
      <c r="BV1036" s="153"/>
      <c r="BW1036" s="153"/>
      <c r="BX1036" s="153"/>
      <c r="BY1036" s="153"/>
      <c r="BZ1036" s="153"/>
      <c r="CA1036" s="153"/>
      <c r="CB1036" s="153"/>
      <c r="CC1036" s="153"/>
      <c r="CD1036" s="155"/>
      <c r="CE1036" s="156"/>
      <c r="CF1036" s="155"/>
      <c r="CG1036" s="156"/>
      <c r="CH1036" s="155"/>
      <c r="CI1036" s="156"/>
      <c r="CJ1036" s="157">
        <f t="shared" si="140"/>
        <v>0</v>
      </c>
      <c r="CK1036" s="158"/>
      <c r="CL1036" s="159"/>
      <c r="CM1036" s="160"/>
      <c r="CN1036" s="161"/>
      <c r="CO1036" s="162"/>
      <c r="CP1036" s="161"/>
      <c r="CQ1036" s="158"/>
      <c r="CR1036" s="159"/>
      <c r="CS1036" s="68"/>
      <c r="CT1036" s="163"/>
      <c r="EC1036" s="344" t="str">
        <f t="shared" si="134"/>
        <v>RISARALDA_SANTA ROSA DE CABAL</v>
      </c>
      <c r="ED1036" s="341"/>
      <c r="EE1036" s="341" t="s">
        <v>3202</v>
      </c>
      <c r="EF1036" s="349" t="s">
        <v>3203</v>
      </c>
      <c r="EG1036" s="341" t="s">
        <v>4259</v>
      </c>
      <c r="EH1036" s="341" t="s">
        <v>5298</v>
      </c>
      <c r="EI1036" s="341" t="str">
        <f t="shared" si="136"/>
        <v>Valle del Cauca_Tulua</v>
      </c>
    </row>
    <row r="1037" spans="1:139" s="164" customFormat="1" ht="51">
      <c r="A1037" s="228">
        <v>40406</v>
      </c>
      <c r="B1037" s="102" t="s">
        <v>1572</v>
      </c>
      <c r="C1037" s="102" t="s">
        <v>1572</v>
      </c>
      <c r="D1037" s="206" t="s">
        <v>2346</v>
      </c>
      <c r="E1037" s="320" t="s">
        <v>4305</v>
      </c>
      <c r="F1037" s="320"/>
      <c r="G1037" s="210">
        <v>1</v>
      </c>
      <c r="H1037" s="71">
        <v>120</v>
      </c>
      <c r="I1037" s="71"/>
      <c r="J1037" s="71"/>
      <c r="K1037" s="71"/>
      <c r="L1037" s="1"/>
      <c r="M1037" s="73">
        <f t="shared" si="137"/>
        <v>0</v>
      </c>
      <c r="N1037" s="73">
        <f t="shared" si="138"/>
        <v>0</v>
      </c>
      <c r="O1037" s="73">
        <f t="shared" si="135"/>
        <v>0</v>
      </c>
      <c r="P1037" s="73">
        <f t="shared" si="139"/>
        <v>0</v>
      </c>
      <c r="Q1037" s="73"/>
      <c r="R1037" s="73">
        <v>0</v>
      </c>
      <c r="S1037" s="75">
        <f t="shared" si="141"/>
        <v>0</v>
      </c>
      <c r="T1037" s="77">
        <v>0</v>
      </c>
      <c r="U1037" s="66">
        <v>40407</v>
      </c>
      <c r="V1037" s="79"/>
      <c r="W1037" s="66" t="s">
        <v>1585</v>
      </c>
      <c r="X1037" s="24" t="s">
        <v>1586</v>
      </c>
      <c r="Y1037" s="62"/>
      <c r="Z1037" s="177" t="s">
        <v>894</v>
      </c>
      <c r="AA1037" s="80" t="s">
        <v>810</v>
      </c>
      <c r="AB1037" s="3"/>
      <c r="AC1037" s="4"/>
      <c r="AD1037" s="5"/>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6"/>
      <c r="CE1037" s="7"/>
      <c r="CF1037" s="6"/>
      <c r="CG1037" s="7"/>
      <c r="CH1037" s="6"/>
      <c r="CI1037" s="7"/>
      <c r="CJ1037" s="8">
        <f t="shared" si="140"/>
        <v>0</v>
      </c>
      <c r="CK1037" s="9"/>
      <c r="CL1037" s="10"/>
      <c r="CM1037" s="11"/>
      <c r="CN1037" s="12"/>
      <c r="CO1037" s="28"/>
      <c r="CP1037" s="12"/>
      <c r="CQ1037" s="9"/>
      <c r="CR1037" s="10"/>
      <c r="CS1037" s="68"/>
      <c r="CT1037" s="22"/>
      <c r="EC1037" s="344" t="str">
        <f t="shared" si="134"/>
        <v>SAN ANDRES_SAN ANDRES</v>
      </c>
      <c r="ED1037" s="341"/>
      <c r="EE1037" s="341" t="s">
        <v>3202</v>
      </c>
      <c r="EF1037" s="349" t="s">
        <v>3203</v>
      </c>
      <c r="EG1037" s="341" t="s">
        <v>4260</v>
      </c>
      <c r="EH1037" s="341" t="s">
        <v>5299</v>
      </c>
      <c r="EI1037" s="341" t="str">
        <f t="shared" si="136"/>
        <v>Valle del Cauca_Ulloa</v>
      </c>
    </row>
    <row r="1038" spans="1:139" s="164" customFormat="1" ht="38.25">
      <c r="A1038" s="228">
        <v>40407</v>
      </c>
      <c r="B1038" s="205" t="s">
        <v>1611</v>
      </c>
      <c r="C1038" s="205" t="s">
        <v>1611</v>
      </c>
      <c r="D1038" s="207" t="s">
        <v>1201</v>
      </c>
      <c r="E1038" s="323" t="e">
        <v>#N/A</v>
      </c>
      <c r="F1038" s="323"/>
      <c r="G1038" s="204"/>
      <c r="H1038" s="151"/>
      <c r="I1038" s="151"/>
      <c r="J1038" s="151"/>
      <c r="K1038" s="151"/>
      <c r="L1038" s="1">
        <v>40476</v>
      </c>
      <c r="M1038" s="73">
        <f t="shared" si="137"/>
        <v>0</v>
      </c>
      <c r="N1038" s="73">
        <f t="shared" si="138"/>
        <v>0</v>
      </c>
      <c r="O1038" s="73">
        <f t="shared" si="135"/>
        <v>0</v>
      </c>
      <c r="P1038" s="73">
        <f t="shared" si="139"/>
        <v>27000000</v>
      </c>
      <c r="Q1038" s="73"/>
      <c r="R1038" s="73">
        <v>0</v>
      </c>
      <c r="S1038" s="75">
        <f t="shared" si="141"/>
        <v>27000000</v>
      </c>
      <c r="T1038" s="77">
        <v>0</v>
      </c>
      <c r="U1038" s="66">
        <v>40407</v>
      </c>
      <c r="V1038" s="79">
        <v>41217</v>
      </c>
      <c r="W1038" s="66" t="s">
        <v>1606</v>
      </c>
      <c r="X1038" s="24" t="s">
        <v>1607</v>
      </c>
      <c r="Y1038" s="62">
        <v>21328</v>
      </c>
      <c r="Z1038" s="169"/>
      <c r="AA1038" s="166" t="s">
        <v>1859</v>
      </c>
      <c r="AB1038" s="152"/>
      <c r="AC1038" s="153"/>
      <c r="AD1038" s="154"/>
      <c r="AE1038" s="153"/>
      <c r="AF1038" s="153"/>
      <c r="AG1038" s="153"/>
      <c r="AH1038" s="153"/>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c r="BF1038" s="153"/>
      <c r="BG1038" s="153"/>
      <c r="BH1038" s="153"/>
      <c r="BI1038" s="153"/>
      <c r="BJ1038" s="153"/>
      <c r="BK1038" s="153"/>
      <c r="BL1038" s="153"/>
      <c r="BM1038" s="153"/>
      <c r="BN1038" s="153"/>
      <c r="BO1038" s="153"/>
      <c r="BP1038" s="153"/>
      <c r="BQ1038" s="153"/>
      <c r="BR1038" s="153"/>
      <c r="BS1038" s="153"/>
      <c r="BT1038" s="153"/>
      <c r="BU1038" s="153"/>
      <c r="BV1038" s="153"/>
      <c r="BW1038" s="153"/>
      <c r="BX1038" s="153"/>
      <c r="BY1038" s="153"/>
      <c r="BZ1038" s="153"/>
      <c r="CA1038" s="153"/>
      <c r="CB1038" s="153"/>
      <c r="CC1038" s="153"/>
      <c r="CD1038" s="155"/>
      <c r="CE1038" s="156"/>
      <c r="CF1038" s="155"/>
      <c r="CG1038" s="156"/>
      <c r="CH1038" s="155"/>
      <c r="CI1038" s="156"/>
      <c r="CJ1038" s="157">
        <f t="shared" si="140"/>
        <v>0</v>
      </c>
      <c r="CK1038" s="158">
        <v>30000</v>
      </c>
      <c r="CL1038" s="159">
        <f>30000*900</f>
        <v>27000000</v>
      </c>
      <c r="CM1038" s="160"/>
      <c r="CN1038" s="161"/>
      <c r="CO1038" s="162"/>
      <c r="CP1038" s="161"/>
      <c r="CQ1038" s="158"/>
      <c r="CR1038" s="159"/>
      <c r="CS1038" s="68"/>
      <c r="CT1038" s="163"/>
      <c r="EC1038" s="344" t="str">
        <f t="shared" si="134"/>
        <v>NACION_NACION</v>
      </c>
      <c r="ED1038" s="341"/>
      <c r="EE1038" s="341" t="s">
        <v>3202</v>
      </c>
      <c r="EF1038" s="349" t="s">
        <v>3203</v>
      </c>
      <c r="EG1038" s="341" t="s">
        <v>4261</v>
      </c>
      <c r="EH1038" s="341" t="s">
        <v>5300</v>
      </c>
      <c r="EI1038" s="341" t="str">
        <f t="shared" si="136"/>
        <v>Valle del Cauca_Versalles</v>
      </c>
    </row>
    <row r="1039" spans="1:139" s="164" customFormat="1" ht="132">
      <c r="A1039" s="228">
        <v>40407</v>
      </c>
      <c r="B1039" s="205" t="s">
        <v>965</v>
      </c>
      <c r="C1039" s="205" t="s">
        <v>978</v>
      </c>
      <c r="D1039" s="207" t="s">
        <v>1201</v>
      </c>
      <c r="E1039" s="323" t="s">
        <v>4008</v>
      </c>
      <c r="F1039" s="323"/>
      <c r="G1039" s="204"/>
      <c r="H1039" s="151"/>
      <c r="I1039" s="151"/>
      <c r="J1039" s="151">
        <f>1336-130-100</f>
        <v>1106</v>
      </c>
      <c r="K1039" s="151">
        <f>334-26-20</f>
        <v>288</v>
      </c>
      <c r="L1039" s="1">
        <v>40515</v>
      </c>
      <c r="M1039" s="73">
        <f t="shared" si="137"/>
        <v>0</v>
      </c>
      <c r="N1039" s="73">
        <f t="shared" si="138"/>
        <v>0</v>
      </c>
      <c r="O1039" s="73">
        <f>800*21315+550*19952+4000*994.12+20*200000.24+100*140000.4+4800*104.4</f>
        <v>50503244.799999997</v>
      </c>
      <c r="P1039" s="73">
        <f t="shared" si="139"/>
        <v>0</v>
      </c>
      <c r="Q1039" s="73"/>
      <c r="R1039" s="73">
        <v>0</v>
      </c>
      <c r="S1039" s="75">
        <f t="shared" si="141"/>
        <v>50503244.799999997</v>
      </c>
      <c r="T1039" s="77">
        <v>0</v>
      </c>
      <c r="U1039" s="66">
        <v>40441</v>
      </c>
      <c r="V1039" s="89" t="s">
        <v>2088</v>
      </c>
      <c r="W1039" s="66" t="s">
        <v>1606</v>
      </c>
      <c r="X1039" s="24" t="s">
        <v>1607</v>
      </c>
      <c r="Y1039" s="62">
        <v>25687</v>
      </c>
      <c r="Z1039" s="169" t="s">
        <v>2086</v>
      </c>
      <c r="AA1039" s="166" t="s">
        <v>877</v>
      </c>
      <c r="AB1039" s="152"/>
      <c r="AC1039" s="153"/>
      <c r="AD1039" s="154"/>
      <c r="AE1039" s="153"/>
      <c r="AF1039" s="153"/>
      <c r="AG1039" s="153"/>
      <c r="AH1039" s="153"/>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c r="BF1039" s="153"/>
      <c r="BG1039" s="153"/>
      <c r="BH1039" s="153"/>
      <c r="BI1039" s="153"/>
      <c r="BJ1039" s="153"/>
      <c r="BK1039" s="153"/>
      <c r="BL1039" s="153"/>
      <c r="BM1039" s="153"/>
      <c r="BN1039" s="153"/>
      <c r="BO1039" s="153"/>
      <c r="BP1039" s="153"/>
      <c r="BQ1039" s="153"/>
      <c r="BR1039" s="153"/>
      <c r="BS1039" s="153"/>
      <c r="BT1039" s="153"/>
      <c r="BU1039" s="153"/>
      <c r="BV1039" s="153"/>
      <c r="BW1039" s="153"/>
      <c r="BX1039" s="153"/>
      <c r="BY1039" s="153"/>
      <c r="BZ1039" s="153"/>
      <c r="CA1039" s="153"/>
      <c r="CB1039" s="153"/>
      <c r="CC1039" s="153"/>
      <c r="CD1039" s="155"/>
      <c r="CE1039" s="156"/>
      <c r="CF1039" s="155"/>
      <c r="CG1039" s="156"/>
      <c r="CH1039" s="155"/>
      <c r="CI1039" s="156"/>
      <c r="CJ1039" s="157">
        <f t="shared" si="140"/>
        <v>0</v>
      </c>
      <c r="CK1039" s="158"/>
      <c r="CL1039" s="159"/>
      <c r="CM1039" s="160"/>
      <c r="CN1039" s="161"/>
      <c r="CO1039" s="162"/>
      <c r="CP1039" s="161"/>
      <c r="CQ1039" s="158"/>
      <c r="CR1039" s="159"/>
      <c r="CS1039" s="68"/>
      <c r="CT1039" s="163">
        <v>1284</v>
      </c>
      <c r="EC1039" s="344" t="str">
        <f t="shared" si="134"/>
        <v>NORTE DE SANTANDER_CUCUTILLA</v>
      </c>
      <c r="ED1039" s="341"/>
      <c r="EE1039" s="341" t="s">
        <v>3202</v>
      </c>
      <c r="EF1039" s="349" t="s">
        <v>3203</v>
      </c>
      <c r="EG1039" s="341" t="s">
        <v>4262</v>
      </c>
      <c r="EH1039" s="341" t="s">
        <v>5301</v>
      </c>
      <c r="EI1039" s="341" t="str">
        <f t="shared" si="136"/>
        <v>Valle del Cauca_Vijes</v>
      </c>
    </row>
    <row r="1040" spans="1:139" s="164" customFormat="1" ht="63.75">
      <c r="A1040" s="228">
        <v>40407</v>
      </c>
      <c r="B1040" s="102" t="s">
        <v>965</v>
      </c>
      <c r="C1040" s="102" t="s">
        <v>828</v>
      </c>
      <c r="D1040" s="206" t="s">
        <v>2606</v>
      </c>
      <c r="E1040" s="320" t="s">
        <v>4025</v>
      </c>
      <c r="F1040" s="320"/>
      <c r="G1040" s="210"/>
      <c r="H1040" s="71"/>
      <c r="I1040" s="71"/>
      <c r="J1040" s="71"/>
      <c r="K1040" s="71"/>
      <c r="L1040" s="1"/>
      <c r="M1040" s="73">
        <f t="shared" si="137"/>
        <v>0</v>
      </c>
      <c r="N1040" s="73">
        <f t="shared" si="138"/>
        <v>0</v>
      </c>
      <c r="O1040" s="73">
        <f t="shared" ref="O1040:O1080" si="142">CP1040+CR1040</f>
        <v>0</v>
      </c>
      <c r="P1040" s="73">
        <f t="shared" si="139"/>
        <v>0</v>
      </c>
      <c r="Q1040" s="73"/>
      <c r="R1040" s="73">
        <v>0</v>
      </c>
      <c r="S1040" s="75">
        <f t="shared" si="141"/>
        <v>0</v>
      </c>
      <c r="T1040" s="77">
        <v>0</v>
      </c>
      <c r="U1040" s="66">
        <v>40408</v>
      </c>
      <c r="V1040" s="79"/>
      <c r="W1040" s="66" t="s">
        <v>1585</v>
      </c>
      <c r="X1040" s="24" t="s">
        <v>1586</v>
      </c>
      <c r="Y1040" s="62"/>
      <c r="Z1040" s="177" t="s">
        <v>894</v>
      </c>
      <c r="AA1040" s="80" t="s">
        <v>829</v>
      </c>
      <c r="AB1040" s="3"/>
      <c r="AC1040" s="4"/>
      <c r="AD1040" s="5"/>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6"/>
      <c r="CE1040" s="7"/>
      <c r="CF1040" s="6"/>
      <c r="CG1040" s="7"/>
      <c r="CH1040" s="6"/>
      <c r="CI1040" s="7"/>
      <c r="CJ1040" s="8">
        <f t="shared" si="140"/>
        <v>0</v>
      </c>
      <c r="CK1040" s="9"/>
      <c r="CL1040" s="10"/>
      <c r="CM1040" s="11"/>
      <c r="CN1040" s="12"/>
      <c r="CO1040" s="28"/>
      <c r="CP1040" s="12"/>
      <c r="CQ1040" s="9"/>
      <c r="CR1040" s="10"/>
      <c r="CS1040" s="68"/>
      <c r="CT1040" s="22"/>
      <c r="EC1040" s="344" t="str">
        <f t="shared" si="134"/>
        <v>NORTE DE SANTANDER_PUERTO SANTANDER</v>
      </c>
      <c r="ED1040" s="341"/>
      <c r="EE1040" s="341" t="s">
        <v>3202</v>
      </c>
      <c r="EF1040" s="349" t="s">
        <v>3203</v>
      </c>
      <c r="EG1040" s="341" t="s">
        <v>4263</v>
      </c>
      <c r="EH1040" s="341" t="s">
        <v>5302</v>
      </c>
      <c r="EI1040" s="341" t="str">
        <f t="shared" si="136"/>
        <v>Valle del Cauca_Yotoco</v>
      </c>
    </row>
    <row r="1041" spans="1:139" s="164" customFormat="1" ht="38.25">
      <c r="A1041" s="228">
        <v>40407</v>
      </c>
      <c r="B1041" s="102" t="s">
        <v>2400</v>
      </c>
      <c r="C1041" s="102" t="s">
        <v>1545</v>
      </c>
      <c r="D1041" s="206" t="s">
        <v>1878</v>
      </c>
      <c r="E1041" s="320" t="s">
        <v>4177</v>
      </c>
      <c r="F1041" s="320"/>
      <c r="G1041" s="210">
        <v>1</v>
      </c>
      <c r="H1041" s="71">
        <v>1</v>
      </c>
      <c r="I1041" s="71"/>
      <c r="J1041" s="71"/>
      <c r="K1041" s="71"/>
      <c r="L1041" s="1"/>
      <c r="M1041" s="73">
        <f t="shared" si="137"/>
        <v>0</v>
      </c>
      <c r="N1041" s="73">
        <f t="shared" si="138"/>
        <v>0</v>
      </c>
      <c r="O1041" s="73">
        <f t="shared" si="142"/>
        <v>0</v>
      </c>
      <c r="P1041" s="73">
        <f t="shared" si="139"/>
        <v>0</v>
      </c>
      <c r="Q1041" s="73"/>
      <c r="R1041" s="73">
        <v>0</v>
      </c>
      <c r="S1041" s="75">
        <f t="shared" si="141"/>
        <v>0</v>
      </c>
      <c r="T1041" s="77">
        <v>0</v>
      </c>
      <c r="U1041" s="66">
        <v>40408</v>
      </c>
      <c r="V1041" s="79"/>
      <c r="W1041" s="66" t="s">
        <v>1585</v>
      </c>
      <c r="X1041" s="24" t="s">
        <v>1586</v>
      </c>
      <c r="Y1041" s="62"/>
      <c r="Z1041" s="177" t="s">
        <v>894</v>
      </c>
      <c r="AA1041" s="80" t="s">
        <v>825</v>
      </c>
      <c r="AB1041" s="3"/>
      <c r="AC1041" s="4"/>
      <c r="AD1041" s="5"/>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6"/>
      <c r="CE1041" s="7"/>
      <c r="CF1041" s="6"/>
      <c r="CG1041" s="7"/>
      <c r="CH1041" s="6"/>
      <c r="CI1041" s="7"/>
      <c r="CJ1041" s="8">
        <f t="shared" si="140"/>
        <v>0</v>
      </c>
      <c r="CK1041" s="9"/>
      <c r="CL1041" s="10"/>
      <c r="CM1041" s="11"/>
      <c r="CN1041" s="12"/>
      <c r="CO1041" s="28"/>
      <c r="CP1041" s="12"/>
      <c r="CQ1041" s="9"/>
      <c r="CR1041" s="10"/>
      <c r="CS1041" s="68"/>
      <c r="CT1041" s="22"/>
      <c r="EC1041" s="344" t="str">
        <f t="shared" si="134"/>
        <v>TOLIMA_IBAGUE</v>
      </c>
      <c r="ED1041" s="341"/>
      <c r="EE1041" s="341" t="s">
        <v>3202</v>
      </c>
      <c r="EF1041" s="349" t="s">
        <v>3203</v>
      </c>
      <c r="EG1041" s="341" t="s">
        <v>4264</v>
      </c>
      <c r="EH1041" s="341" t="s">
        <v>5303</v>
      </c>
      <c r="EI1041" s="341" t="str">
        <f t="shared" si="136"/>
        <v>Valle del Cauca_Yumbo</v>
      </c>
    </row>
    <row r="1042" spans="1:139" s="164" customFormat="1" ht="38.25">
      <c r="A1042" s="228">
        <v>40408</v>
      </c>
      <c r="B1042" s="102" t="s">
        <v>1551</v>
      </c>
      <c r="C1042" s="102" t="s">
        <v>1549</v>
      </c>
      <c r="D1042" s="206" t="s">
        <v>1201</v>
      </c>
      <c r="E1042" s="320" t="s">
        <v>3360</v>
      </c>
      <c r="F1042" s="320"/>
      <c r="G1042" s="210"/>
      <c r="H1042" s="71"/>
      <c r="I1042" s="71"/>
      <c r="J1042" s="417">
        <f>150*3.7</f>
        <v>555</v>
      </c>
      <c r="K1042" s="71">
        <v>150</v>
      </c>
      <c r="L1042" s="1"/>
      <c r="M1042" s="73">
        <f t="shared" si="137"/>
        <v>0</v>
      </c>
      <c r="N1042" s="73">
        <f t="shared" si="138"/>
        <v>0</v>
      </c>
      <c r="O1042" s="73">
        <f t="shared" si="142"/>
        <v>0</v>
      </c>
      <c r="P1042" s="73">
        <f t="shared" si="139"/>
        <v>0</v>
      </c>
      <c r="Q1042" s="73"/>
      <c r="R1042" s="73">
        <v>0</v>
      </c>
      <c r="S1042" s="75">
        <f t="shared" si="141"/>
        <v>0</v>
      </c>
      <c r="T1042" s="77">
        <v>0</v>
      </c>
      <c r="U1042" s="66">
        <v>40413</v>
      </c>
      <c r="V1042" s="79"/>
      <c r="W1042" s="66" t="s">
        <v>1606</v>
      </c>
      <c r="X1042" s="24" t="s">
        <v>1607</v>
      </c>
      <c r="Y1042" s="62"/>
      <c r="Z1042" s="176" t="s">
        <v>3056</v>
      </c>
      <c r="AA1042" s="80" t="s">
        <v>833</v>
      </c>
      <c r="AB1042" s="3"/>
      <c r="AC1042" s="4"/>
      <c r="AD1042" s="5"/>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6"/>
      <c r="CE1042" s="7"/>
      <c r="CF1042" s="6"/>
      <c r="CG1042" s="7"/>
      <c r="CH1042" s="6"/>
      <c r="CI1042" s="7"/>
      <c r="CJ1042" s="8">
        <f t="shared" si="140"/>
        <v>0</v>
      </c>
      <c r="CK1042" s="9"/>
      <c r="CL1042" s="10"/>
      <c r="CM1042" s="11"/>
      <c r="CN1042" s="12"/>
      <c r="CO1042" s="28"/>
      <c r="CP1042" s="12"/>
      <c r="CQ1042" s="9"/>
      <c r="CR1042" s="10"/>
      <c r="CS1042" s="68"/>
      <c r="CT1042" s="22"/>
      <c r="EC1042" s="344" t="str">
        <f t="shared" si="134"/>
        <v>ATLANTICO_MANATI</v>
      </c>
      <c r="ED1042" s="341"/>
      <c r="EE1042" s="341" t="s">
        <v>3202</v>
      </c>
      <c r="EF1042" s="349" t="s">
        <v>3203</v>
      </c>
      <c r="EG1042" s="341" t="s">
        <v>4265</v>
      </c>
      <c r="EH1042" s="341" t="s">
        <v>5304</v>
      </c>
      <c r="EI1042" s="341" t="str">
        <f t="shared" si="136"/>
        <v>Valle del Cauca_Zarzal</v>
      </c>
    </row>
    <row r="1043" spans="1:139" s="164" customFormat="1" ht="38.25">
      <c r="A1043" s="228">
        <v>40408</v>
      </c>
      <c r="B1043" s="102" t="s">
        <v>1551</v>
      </c>
      <c r="C1043" s="102" t="s">
        <v>319</v>
      </c>
      <c r="D1043" s="206" t="s">
        <v>2606</v>
      </c>
      <c r="E1043" s="320" t="s">
        <v>3365</v>
      </c>
      <c r="F1043" s="320"/>
      <c r="G1043" s="210"/>
      <c r="H1043" s="71"/>
      <c r="I1043" s="71"/>
      <c r="J1043" s="71">
        <v>250</v>
      </c>
      <c r="K1043" s="71">
        <v>50</v>
      </c>
      <c r="L1043" s="1"/>
      <c r="M1043" s="73">
        <f t="shared" si="137"/>
        <v>0</v>
      </c>
      <c r="N1043" s="73">
        <f t="shared" si="138"/>
        <v>0</v>
      </c>
      <c r="O1043" s="73">
        <f t="shared" si="142"/>
        <v>0</v>
      </c>
      <c r="P1043" s="73">
        <f t="shared" si="139"/>
        <v>0</v>
      </c>
      <c r="Q1043" s="73"/>
      <c r="R1043" s="73">
        <v>0</v>
      </c>
      <c r="S1043" s="75">
        <f t="shared" si="141"/>
        <v>0</v>
      </c>
      <c r="T1043" s="77">
        <v>0</v>
      </c>
      <c r="U1043" s="66">
        <v>40408</v>
      </c>
      <c r="V1043" s="79"/>
      <c r="W1043" s="66" t="s">
        <v>1585</v>
      </c>
      <c r="X1043" s="24" t="s">
        <v>1586</v>
      </c>
      <c r="Y1043" s="62"/>
      <c r="Z1043" s="177" t="s">
        <v>894</v>
      </c>
      <c r="AA1043" s="80" t="s">
        <v>832</v>
      </c>
      <c r="AB1043" s="3"/>
      <c r="AC1043" s="4"/>
      <c r="AD1043" s="5"/>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6"/>
      <c r="CE1043" s="7"/>
      <c r="CF1043" s="6"/>
      <c r="CG1043" s="7"/>
      <c r="CH1043" s="6"/>
      <c r="CI1043" s="7"/>
      <c r="CJ1043" s="8">
        <f t="shared" si="140"/>
        <v>0</v>
      </c>
      <c r="CK1043" s="9"/>
      <c r="CL1043" s="10"/>
      <c r="CM1043" s="11"/>
      <c r="CN1043" s="12"/>
      <c r="CO1043" s="28"/>
      <c r="CP1043" s="12"/>
      <c r="CQ1043" s="9"/>
      <c r="CR1043" s="10"/>
      <c r="CS1043" s="68"/>
      <c r="CT1043" s="22"/>
      <c r="EC1043" s="344" t="str">
        <f t="shared" si="134"/>
        <v>ATLANTICO_PUERTO COLOMBIA</v>
      </c>
      <c r="ED1043" s="341"/>
      <c r="EE1043" s="341" t="s">
        <v>3206</v>
      </c>
      <c r="EF1043" s="349" t="s">
        <v>3207</v>
      </c>
      <c r="EG1043" s="341" t="s">
        <v>4266</v>
      </c>
      <c r="EH1043" s="341" t="s">
        <v>3207</v>
      </c>
      <c r="EI1043" s="341" t="str">
        <f t="shared" si="136"/>
        <v>Arauca_Arauca</v>
      </c>
    </row>
    <row r="1044" spans="1:139" s="164" customFormat="1" ht="36">
      <c r="A1044" s="228">
        <v>40408</v>
      </c>
      <c r="B1044" s="102" t="s">
        <v>1551</v>
      </c>
      <c r="C1044" s="102" t="s">
        <v>197</v>
      </c>
      <c r="D1044" s="206" t="s">
        <v>1201</v>
      </c>
      <c r="E1044" s="320" t="s">
        <v>3366</v>
      </c>
      <c r="F1044" s="320"/>
      <c r="G1044" s="210"/>
      <c r="H1044" s="71"/>
      <c r="I1044" s="71"/>
      <c r="J1044" s="71">
        <f>83*3.7</f>
        <v>307.10000000000002</v>
      </c>
      <c r="K1044" s="71">
        <v>83</v>
      </c>
      <c r="L1044" s="1"/>
      <c r="M1044" s="73">
        <f t="shared" si="137"/>
        <v>0</v>
      </c>
      <c r="N1044" s="73">
        <f t="shared" si="138"/>
        <v>0</v>
      </c>
      <c r="O1044" s="73">
        <f t="shared" si="142"/>
        <v>0</v>
      </c>
      <c r="P1044" s="73">
        <f t="shared" si="139"/>
        <v>0</v>
      </c>
      <c r="Q1044" s="73"/>
      <c r="R1044" s="73">
        <v>0</v>
      </c>
      <c r="S1044" s="75">
        <f t="shared" si="141"/>
        <v>0</v>
      </c>
      <c r="T1044" s="77">
        <v>0</v>
      </c>
      <c r="U1044" s="66">
        <v>40413</v>
      </c>
      <c r="V1044" s="79"/>
      <c r="W1044" s="66" t="s">
        <v>1585</v>
      </c>
      <c r="X1044" s="24" t="s">
        <v>1586</v>
      </c>
      <c r="Y1044" s="62"/>
      <c r="Z1044" s="177" t="s">
        <v>894</v>
      </c>
      <c r="AA1044" s="80" t="s">
        <v>198</v>
      </c>
      <c r="AB1044" s="3"/>
      <c r="AC1044" s="4"/>
      <c r="AD1044" s="5"/>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6"/>
      <c r="CE1044" s="7"/>
      <c r="CF1044" s="6"/>
      <c r="CG1044" s="7"/>
      <c r="CH1044" s="6"/>
      <c r="CI1044" s="7"/>
      <c r="CJ1044" s="8">
        <f t="shared" si="140"/>
        <v>0</v>
      </c>
      <c r="CK1044" s="9"/>
      <c r="CL1044" s="10"/>
      <c r="CM1044" s="11"/>
      <c r="CN1044" s="12"/>
      <c r="CO1044" s="28"/>
      <c r="CP1044" s="12"/>
      <c r="CQ1044" s="9"/>
      <c r="CR1044" s="10"/>
      <c r="CS1044" s="68"/>
      <c r="CT1044" s="22"/>
      <c r="EC1044" s="344" t="str">
        <f t="shared" si="134"/>
        <v>ATLANTICO_REPELON</v>
      </c>
      <c r="ED1044" s="341"/>
      <c r="EE1044" s="341" t="s">
        <v>3206</v>
      </c>
      <c r="EF1044" s="349" t="s">
        <v>3207</v>
      </c>
      <c r="EG1044" s="341" t="s">
        <v>4267</v>
      </c>
      <c r="EH1044" s="341" t="s">
        <v>5305</v>
      </c>
      <c r="EI1044" s="341" t="str">
        <f t="shared" si="136"/>
        <v>Arauca_Arauquita</v>
      </c>
    </row>
    <row r="1045" spans="1:139" s="164" customFormat="1" ht="38.25">
      <c r="A1045" s="228">
        <v>40408</v>
      </c>
      <c r="B1045" s="102" t="s">
        <v>1617</v>
      </c>
      <c r="C1045" s="102" t="s">
        <v>401</v>
      </c>
      <c r="D1045" s="206" t="s">
        <v>1201</v>
      </c>
      <c r="E1045" s="320" t="s">
        <v>4276</v>
      </c>
      <c r="F1045" s="320"/>
      <c r="G1045" s="210"/>
      <c r="H1045" s="71"/>
      <c r="I1045" s="71"/>
      <c r="J1045" s="71">
        <f>506-25-25-210</f>
        <v>246</v>
      </c>
      <c r="K1045" s="71">
        <f>113-5-5-48</f>
        <v>55</v>
      </c>
      <c r="L1045" s="1"/>
      <c r="M1045" s="73">
        <f t="shared" si="137"/>
        <v>0</v>
      </c>
      <c r="N1045" s="73">
        <f t="shared" si="138"/>
        <v>0</v>
      </c>
      <c r="O1045" s="73">
        <f t="shared" si="142"/>
        <v>0</v>
      </c>
      <c r="P1045" s="73">
        <f t="shared" si="139"/>
        <v>0</v>
      </c>
      <c r="Q1045" s="73"/>
      <c r="R1045" s="73">
        <v>0</v>
      </c>
      <c r="S1045" s="75">
        <f t="shared" si="141"/>
        <v>0</v>
      </c>
      <c r="T1045" s="77">
        <v>0</v>
      </c>
      <c r="U1045" s="66">
        <v>40371</v>
      </c>
      <c r="V1045" s="79"/>
      <c r="W1045" s="66" t="s">
        <v>1585</v>
      </c>
      <c r="X1045" s="24" t="s">
        <v>1586</v>
      </c>
      <c r="Y1045" s="62"/>
      <c r="Z1045" s="177" t="s">
        <v>894</v>
      </c>
      <c r="AA1045" s="80" t="s">
        <v>195</v>
      </c>
      <c r="AB1045" s="3"/>
      <c r="AC1045" s="4"/>
      <c r="AD1045" s="5"/>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6"/>
      <c r="CE1045" s="7"/>
      <c r="CF1045" s="6"/>
      <c r="CG1045" s="7"/>
      <c r="CH1045" s="6"/>
      <c r="CI1045" s="7"/>
      <c r="CJ1045" s="8">
        <f t="shared" si="140"/>
        <v>0</v>
      </c>
      <c r="CK1045" s="9"/>
      <c r="CL1045" s="10"/>
      <c r="CM1045" s="11"/>
      <c r="CN1045" s="12"/>
      <c r="CO1045" s="28"/>
      <c r="CP1045" s="12"/>
      <c r="CQ1045" s="9"/>
      <c r="CR1045" s="10"/>
      <c r="CS1045" s="68"/>
      <c r="CT1045" s="22"/>
      <c r="EC1045" s="344" t="str">
        <f t="shared" si="134"/>
        <v>CASANARE_HATO COROZAL</v>
      </c>
      <c r="ED1045" s="341"/>
      <c r="EE1045" s="341" t="s">
        <v>3206</v>
      </c>
      <c r="EF1045" s="349" t="s">
        <v>3207</v>
      </c>
      <c r="EG1045" s="341" t="s">
        <v>4268</v>
      </c>
      <c r="EH1045" s="341" t="s">
        <v>5306</v>
      </c>
      <c r="EI1045" s="341" t="str">
        <f t="shared" si="136"/>
        <v>Arauca_Cravo Norte</v>
      </c>
    </row>
    <row r="1046" spans="1:139" s="164" customFormat="1" ht="36">
      <c r="A1046" s="228">
        <v>40408</v>
      </c>
      <c r="B1046" s="102" t="s">
        <v>1617</v>
      </c>
      <c r="C1046" s="102" t="s">
        <v>837</v>
      </c>
      <c r="D1046" s="206" t="s">
        <v>1201</v>
      </c>
      <c r="E1046" s="320" t="s">
        <v>4280</v>
      </c>
      <c r="F1046" s="320"/>
      <c r="G1046" s="210"/>
      <c r="H1046" s="71"/>
      <c r="I1046" s="71"/>
      <c r="J1046" s="71">
        <v>30</v>
      </c>
      <c r="K1046" s="71">
        <v>9</v>
      </c>
      <c r="L1046" s="1"/>
      <c r="M1046" s="73">
        <f t="shared" si="137"/>
        <v>0</v>
      </c>
      <c r="N1046" s="73">
        <f t="shared" si="138"/>
        <v>0</v>
      </c>
      <c r="O1046" s="73">
        <f t="shared" si="142"/>
        <v>0</v>
      </c>
      <c r="P1046" s="73">
        <f t="shared" si="139"/>
        <v>0</v>
      </c>
      <c r="Q1046" s="73"/>
      <c r="R1046" s="73">
        <v>0</v>
      </c>
      <c r="S1046" s="75">
        <f t="shared" si="141"/>
        <v>0</v>
      </c>
      <c r="T1046" s="77">
        <v>0</v>
      </c>
      <c r="U1046" s="66">
        <v>40413</v>
      </c>
      <c r="V1046" s="79"/>
      <c r="W1046" s="66" t="s">
        <v>1585</v>
      </c>
      <c r="X1046" s="24" t="s">
        <v>1586</v>
      </c>
      <c r="Y1046" s="62"/>
      <c r="Z1046" s="177" t="s">
        <v>894</v>
      </c>
      <c r="AA1046" s="80" t="s">
        <v>194</v>
      </c>
      <c r="AB1046" s="3"/>
      <c r="AC1046" s="4"/>
      <c r="AD1046" s="5"/>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6"/>
      <c r="CE1046" s="7"/>
      <c r="CF1046" s="6"/>
      <c r="CG1046" s="7"/>
      <c r="CH1046" s="6"/>
      <c r="CI1046" s="7"/>
      <c r="CJ1046" s="8">
        <f t="shared" si="140"/>
        <v>0</v>
      </c>
      <c r="CK1046" s="9"/>
      <c r="CL1046" s="10"/>
      <c r="CM1046" s="11"/>
      <c r="CN1046" s="12"/>
      <c r="CO1046" s="28"/>
      <c r="CP1046" s="12"/>
      <c r="CQ1046" s="9"/>
      <c r="CR1046" s="10"/>
      <c r="CS1046" s="68"/>
      <c r="CT1046" s="22"/>
      <c r="EC1046" s="344" t="str">
        <f t="shared" si="134"/>
        <v>CASANARE_NUNCHIA</v>
      </c>
      <c r="ED1046" s="341"/>
      <c r="EE1046" s="341" t="s">
        <v>3206</v>
      </c>
      <c r="EF1046" s="349" t="s">
        <v>3207</v>
      </c>
      <c r="EG1046" s="341" t="s">
        <v>4269</v>
      </c>
      <c r="EH1046" s="341" t="s">
        <v>5307</v>
      </c>
      <c r="EI1046" s="341" t="str">
        <f t="shared" si="136"/>
        <v>Arauca_Fortul</v>
      </c>
    </row>
    <row r="1047" spans="1:139" s="164" customFormat="1" ht="108">
      <c r="A1047" s="228">
        <v>40408</v>
      </c>
      <c r="B1047" s="102" t="s">
        <v>1617</v>
      </c>
      <c r="C1047" s="102" t="s">
        <v>1983</v>
      </c>
      <c r="D1047" s="206" t="s">
        <v>1201</v>
      </c>
      <c r="E1047" s="320" t="s">
        <v>4283</v>
      </c>
      <c r="F1047" s="320"/>
      <c r="G1047" s="210"/>
      <c r="H1047" s="71"/>
      <c r="I1047" s="71"/>
      <c r="J1047" s="71">
        <f>1523-300-410</f>
        <v>813</v>
      </c>
      <c r="K1047" s="71">
        <v>215</v>
      </c>
      <c r="L1047" s="1">
        <v>40452</v>
      </c>
      <c r="M1047" s="73">
        <f t="shared" si="137"/>
        <v>42129680</v>
      </c>
      <c r="N1047" s="73">
        <f t="shared" si="138"/>
        <v>18275000</v>
      </c>
      <c r="O1047" s="73">
        <f t="shared" si="142"/>
        <v>0</v>
      </c>
      <c r="P1047" s="73">
        <f t="shared" si="139"/>
        <v>0</v>
      </c>
      <c r="Q1047" s="73"/>
      <c r="R1047" s="73">
        <v>30089400</v>
      </c>
      <c r="S1047" s="75">
        <f t="shared" si="141"/>
        <v>90494080</v>
      </c>
      <c r="T1047" s="77">
        <v>0</v>
      </c>
      <c r="U1047" s="66">
        <v>40413</v>
      </c>
      <c r="V1047" s="79">
        <v>42750</v>
      </c>
      <c r="W1047" s="66" t="s">
        <v>1606</v>
      </c>
      <c r="X1047" s="24" t="s">
        <v>1607</v>
      </c>
      <c r="Y1047" s="83" t="s">
        <v>2668</v>
      </c>
      <c r="Z1047" s="177" t="s">
        <v>1435</v>
      </c>
      <c r="AA1047" s="80" t="s">
        <v>2669</v>
      </c>
      <c r="AB1047" s="3"/>
      <c r="AC1047" s="4"/>
      <c r="AD1047" s="5"/>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v>430</v>
      </c>
      <c r="BA1047" s="4">
        <f>430*25500</f>
        <v>10965000</v>
      </c>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v>430</v>
      </c>
      <c r="BY1047" s="4">
        <f>430*18000</f>
        <v>7740000</v>
      </c>
      <c r="BZ1047" s="4"/>
      <c r="CA1047" s="4"/>
      <c r="CB1047" s="4">
        <v>430</v>
      </c>
      <c r="CC1047" s="4">
        <f>430*18000</f>
        <v>7740000</v>
      </c>
      <c r="CD1047" s="6">
        <v>215</v>
      </c>
      <c r="CE1047" s="7">
        <f>215*36952</f>
        <v>7944680</v>
      </c>
      <c r="CF1047" s="6">
        <v>215</v>
      </c>
      <c r="CG1047" s="7">
        <f>215*36000</f>
        <v>7740000</v>
      </c>
      <c r="CH1047" s="6"/>
      <c r="CI1047" s="7"/>
      <c r="CJ1047" s="8">
        <f t="shared" si="140"/>
        <v>42129680</v>
      </c>
      <c r="CK1047" s="9"/>
      <c r="CL1047" s="10"/>
      <c r="CM1047" s="11">
        <v>215</v>
      </c>
      <c r="CN1047" s="12">
        <f>215*85000</f>
        <v>18275000</v>
      </c>
      <c r="CO1047" s="28"/>
      <c r="CP1047" s="12"/>
      <c r="CQ1047" s="9"/>
      <c r="CR1047" s="10"/>
      <c r="CS1047" s="68"/>
      <c r="CT1047" s="22"/>
      <c r="EC1047" s="344" t="str">
        <f t="shared" si="134"/>
        <v>CASANARE_PORE</v>
      </c>
      <c r="ED1047" s="341"/>
      <c r="EE1047" s="341" t="s">
        <v>3206</v>
      </c>
      <c r="EF1047" s="349" t="s">
        <v>3207</v>
      </c>
      <c r="EG1047" s="341" t="s">
        <v>4270</v>
      </c>
      <c r="EH1047" s="341" t="s">
        <v>5308</v>
      </c>
      <c r="EI1047" s="341" t="str">
        <f t="shared" si="136"/>
        <v>Arauca_Puerto Rondon</v>
      </c>
    </row>
    <row r="1048" spans="1:139" s="164" customFormat="1" ht="38.25">
      <c r="A1048" s="228">
        <v>40408</v>
      </c>
      <c r="B1048" s="102" t="s">
        <v>1996</v>
      </c>
      <c r="C1048" s="102" t="s">
        <v>1901</v>
      </c>
      <c r="D1048" s="206" t="s">
        <v>1923</v>
      </c>
      <c r="E1048" s="320" t="s">
        <v>3810</v>
      </c>
      <c r="F1048" s="320"/>
      <c r="G1048" s="210">
        <v>1</v>
      </c>
      <c r="H1048" s="71">
        <v>3</v>
      </c>
      <c r="I1048" s="71"/>
      <c r="J1048" s="71"/>
      <c r="K1048" s="71"/>
      <c r="L1048" s="1"/>
      <c r="M1048" s="73">
        <f t="shared" si="137"/>
        <v>0</v>
      </c>
      <c r="N1048" s="73">
        <f t="shared" si="138"/>
        <v>0</v>
      </c>
      <c r="O1048" s="73">
        <f t="shared" si="142"/>
        <v>0</v>
      </c>
      <c r="P1048" s="73">
        <f t="shared" si="139"/>
        <v>0</v>
      </c>
      <c r="Q1048" s="73"/>
      <c r="R1048" s="73">
        <v>0</v>
      </c>
      <c r="S1048" s="75">
        <f t="shared" si="141"/>
        <v>0</v>
      </c>
      <c r="T1048" s="77">
        <v>0</v>
      </c>
      <c r="U1048" s="66">
        <v>40413</v>
      </c>
      <c r="V1048" s="79"/>
      <c r="W1048" s="66" t="s">
        <v>1585</v>
      </c>
      <c r="X1048" s="24" t="s">
        <v>1586</v>
      </c>
      <c r="Y1048" s="62"/>
      <c r="Z1048" s="177" t="s">
        <v>894</v>
      </c>
      <c r="AA1048" s="80" t="s">
        <v>191</v>
      </c>
      <c r="AB1048" s="3"/>
      <c r="AC1048" s="4"/>
      <c r="AD1048" s="5"/>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6"/>
      <c r="CE1048" s="7"/>
      <c r="CF1048" s="6"/>
      <c r="CG1048" s="7"/>
      <c r="CH1048" s="6"/>
      <c r="CI1048" s="7"/>
      <c r="CJ1048" s="8">
        <f t="shared" si="140"/>
        <v>0</v>
      </c>
      <c r="CK1048" s="9"/>
      <c r="CL1048" s="10"/>
      <c r="CM1048" s="11"/>
      <c r="CN1048" s="12"/>
      <c r="CO1048" s="28"/>
      <c r="CP1048" s="12"/>
      <c r="CQ1048" s="9"/>
      <c r="CR1048" s="10"/>
      <c r="CS1048" s="68"/>
      <c r="CT1048" s="22"/>
      <c r="EC1048" s="344" t="str">
        <f t="shared" si="134"/>
        <v>CHOCO_MEDIO ATRATO</v>
      </c>
      <c r="ED1048" s="341"/>
      <c r="EE1048" s="341" t="s">
        <v>3206</v>
      </c>
      <c r="EF1048" s="349" t="s">
        <v>3207</v>
      </c>
      <c r="EG1048" s="341" t="s">
        <v>4271</v>
      </c>
      <c r="EH1048" s="341" t="s">
        <v>5309</v>
      </c>
      <c r="EI1048" s="341" t="str">
        <f t="shared" si="136"/>
        <v>Arauca_Saravena</v>
      </c>
    </row>
    <row r="1049" spans="1:139" s="164" customFormat="1" ht="48">
      <c r="A1049" s="228">
        <v>40408</v>
      </c>
      <c r="B1049" s="102" t="s">
        <v>1440</v>
      </c>
      <c r="C1049" s="102" t="s">
        <v>1418</v>
      </c>
      <c r="D1049" s="206" t="s">
        <v>1201</v>
      </c>
      <c r="E1049" s="320" t="s">
        <v>3875</v>
      </c>
      <c r="F1049" s="320"/>
      <c r="G1049" s="210"/>
      <c r="H1049" s="71">
        <v>3</v>
      </c>
      <c r="I1049" s="71"/>
      <c r="J1049" s="71">
        <f>70*5</f>
        <v>350</v>
      </c>
      <c r="K1049" s="71">
        <v>70</v>
      </c>
      <c r="L1049" s="1"/>
      <c r="M1049" s="73">
        <f t="shared" si="137"/>
        <v>0</v>
      </c>
      <c r="N1049" s="73">
        <f t="shared" si="138"/>
        <v>0</v>
      </c>
      <c r="O1049" s="73">
        <f t="shared" si="142"/>
        <v>0</v>
      </c>
      <c r="P1049" s="73">
        <f t="shared" si="139"/>
        <v>0</v>
      </c>
      <c r="Q1049" s="73"/>
      <c r="R1049" s="73">
        <v>0</v>
      </c>
      <c r="S1049" s="75">
        <f t="shared" si="141"/>
        <v>0</v>
      </c>
      <c r="T1049" s="77">
        <v>0</v>
      </c>
      <c r="U1049" s="66">
        <v>40413</v>
      </c>
      <c r="V1049" s="79"/>
      <c r="W1049" s="66" t="s">
        <v>1585</v>
      </c>
      <c r="X1049" s="24" t="s">
        <v>1586</v>
      </c>
      <c r="Y1049" s="62"/>
      <c r="Z1049" s="177" t="s">
        <v>894</v>
      </c>
      <c r="AA1049" s="80" t="s">
        <v>836</v>
      </c>
      <c r="AB1049" s="3"/>
      <c r="AC1049" s="4"/>
      <c r="AD1049" s="5"/>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6"/>
      <c r="CE1049" s="7"/>
      <c r="CF1049" s="6"/>
      <c r="CG1049" s="7"/>
      <c r="CH1049" s="6"/>
      <c r="CI1049" s="7"/>
      <c r="CJ1049" s="8">
        <f t="shared" si="140"/>
        <v>0</v>
      </c>
      <c r="CK1049" s="9"/>
      <c r="CL1049" s="10"/>
      <c r="CM1049" s="11"/>
      <c r="CN1049" s="12"/>
      <c r="CO1049" s="28"/>
      <c r="CP1049" s="12"/>
      <c r="CQ1049" s="9"/>
      <c r="CR1049" s="10"/>
      <c r="CS1049" s="68"/>
      <c r="CT1049" s="22"/>
      <c r="EC1049" s="344" t="str">
        <f t="shared" si="134"/>
        <v>MAGDALENA_SANTA MARTA</v>
      </c>
      <c r="ED1049" s="341"/>
      <c r="EE1049" s="341" t="s">
        <v>3206</v>
      </c>
      <c r="EF1049" s="349" t="s">
        <v>3207</v>
      </c>
      <c r="EG1049" s="341" t="s">
        <v>4272</v>
      </c>
      <c r="EH1049" s="341" t="s">
        <v>5310</v>
      </c>
      <c r="EI1049" s="341" t="str">
        <f t="shared" si="136"/>
        <v>Arauca_Tame</v>
      </c>
    </row>
    <row r="1050" spans="1:139" s="164" customFormat="1" ht="25.5">
      <c r="A1050" s="228">
        <v>40408</v>
      </c>
      <c r="B1050" s="102" t="s">
        <v>2400</v>
      </c>
      <c r="C1050" s="102" t="s">
        <v>834</v>
      </c>
      <c r="D1050" s="206" t="s">
        <v>1878</v>
      </c>
      <c r="E1050" s="320" t="s">
        <v>4184</v>
      </c>
      <c r="F1050" s="320"/>
      <c r="G1050" s="210">
        <v>1</v>
      </c>
      <c r="H1050" s="71"/>
      <c r="I1050" s="71"/>
      <c r="J1050" s="71"/>
      <c r="K1050" s="71"/>
      <c r="L1050" s="1"/>
      <c r="M1050" s="73">
        <f t="shared" si="137"/>
        <v>0</v>
      </c>
      <c r="N1050" s="73">
        <f t="shared" si="138"/>
        <v>0</v>
      </c>
      <c r="O1050" s="73">
        <f t="shared" si="142"/>
        <v>0</v>
      </c>
      <c r="P1050" s="73">
        <f t="shared" si="139"/>
        <v>0</v>
      </c>
      <c r="Q1050" s="73"/>
      <c r="R1050" s="73">
        <v>0</v>
      </c>
      <c r="S1050" s="75">
        <f t="shared" si="141"/>
        <v>0</v>
      </c>
      <c r="T1050" s="77">
        <v>0</v>
      </c>
      <c r="U1050" s="66">
        <v>40413</v>
      </c>
      <c r="V1050" s="79"/>
      <c r="W1050" s="66" t="s">
        <v>1585</v>
      </c>
      <c r="X1050" s="24" t="s">
        <v>1586</v>
      </c>
      <c r="Y1050" s="62"/>
      <c r="Z1050" s="196" t="s">
        <v>894</v>
      </c>
      <c r="AA1050" s="80" t="s">
        <v>835</v>
      </c>
      <c r="AB1050" s="3"/>
      <c r="AC1050" s="4"/>
      <c r="AD1050" s="5"/>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6"/>
      <c r="CE1050" s="7"/>
      <c r="CF1050" s="6"/>
      <c r="CG1050" s="7"/>
      <c r="CH1050" s="6"/>
      <c r="CI1050" s="7"/>
      <c r="CJ1050" s="8">
        <f t="shared" si="140"/>
        <v>0</v>
      </c>
      <c r="CK1050" s="9"/>
      <c r="CL1050" s="10"/>
      <c r="CM1050" s="11"/>
      <c r="CN1050" s="12"/>
      <c r="CO1050" s="28"/>
      <c r="CP1050" s="12"/>
      <c r="CQ1050" s="9"/>
      <c r="CR1050" s="10"/>
      <c r="CS1050" s="68"/>
      <c r="CT1050" s="22"/>
      <c r="EC1050" s="344" t="str">
        <f t="shared" ref="EC1050:EC1112" si="143">B1050&amp;"_"&amp;C1050</f>
        <v>TOLIMA_CAJAMARCA</v>
      </c>
      <c r="ED1050" s="341"/>
      <c r="EE1050" s="341" t="s">
        <v>3208</v>
      </c>
      <c r="EF1050" s="349" t="s">
        <v>5311</v>
      </c>
      <c r="EG1050" s="341" t="s">
        <v>4273</v>
      </c>
      <c r="EH1050" s="341" t="s">
        <v>5312</v>
      </c>
      <c r="EI1050" s="341" t="str">
        <f t="shared" si="136"/>
        <v>Casanare_Yopal</v>
      </c>
    </row>
    <row r="1051" spans="1:139" s="164" customFormat="1" ht="108">
      <c r="A1051" s="228">
        <v>40409</v>
      </c>
      <c r="B1051" s="102" t="s">
        <v>1295</v>
      </c>
      <c r="C1051" s="102" t="s">
        <v>193</v>
      </c>
      <c r="D1051" s="206" t="s">
        <v>1201</v>
      </c>
      <c r="E1051" s="320" t="s">
        <v>3665</v>
      </c>
      <c r="F1051" s="320"/>
      <c r="G1051" s="210"/>
      <c r="H1051" s="71"/>
      <c r="I1051" s="71"/>
      <c r="J1051" s="71">
        <v>4603</v>
      </c>
      <c r="K1051" s="71">
        <v>1023</v>
      </c>
      <c r="L1051" s="1">
        <v>40448</v>
      </c>
      <c r="M1051" s="73">
        <f t="shared" si="137"/>
        <v>17031840</v>
      </c>
      <c r="N1051" s="73">
        <f t="shared" si="138"/>
        <v>209610000</v>
      </c>
      <c r="O1051" s="73">
        <f t="shared" si="142"/>
        <v>0</v>
      </c>
      <c r="P1051" s="73">
        <f t="shared" si="139"/>
        <v>0</v>
      </c>
      <c r="Q1051" s="73"/>
      <c r="R1051" s="73">
        <v>0</v>
      </c>
      <c r="S1051" s="75">
        <f t="shared" si="141"/>
        <v>226641840</v>
      </c>
      <c r="T1051" s="77">
        <v>0</v>
      </c>
      <c r="U1051" s="66">
        <v>40413</v>
      </c>
      <c r="V1051" s="79">
        <v>38767</v>
      </c>
      <c r="W1051" s="66" t="s">
        <v>1606</v>
      </c>
      <c r="X1051" s="24" t="s">
        <v>1607</v>
      </c>
      <c r="Y1051" s="83" t="s">
        <v>2570</v>
      </c>
      <c r="Z1051" s="177" t="s">
        <v>2580</v>
      </c>
      <c r="AA1051" s="174" t="s">
        <v>377</v>
      </c>
      <c r="AB1051" s="3"/>
      <c r="AC1051" s="4"/>
      <c r="AD1051" s="5"/>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v>3</v>
      </c>
      <c r="BO1051" s="4">
        <f>3*504000</f>
        <v>1512000</v>
      </c>
      <c r="BP1051" s="4"/>
      <c r="BQ1051" s="4"/>
      <c r="BR1051" s="4"/>
      <c r="BS1051" s="4"/>
      <c r="BT1051" s="4"/>
      <c r="BU1051" s="4"/>
      <c r="BV1051" s="4"/>
      <c r="BW1051" s="4"/>
      <c r="BX1051" s="4"/>
      <c r="BY1051" s="4"/>
      <c r="BZ1051" s="4"/>
      <c r="CA1051" s="4"/>
      <c r="CB1051" s="4"/>
      <c r="CC1051" s="4"/>
      <c r="CD1051" s="6">
        <v>420</v>
      </c>
      <c r="CE1051" s="7">
        <f>420*36952</f>
        <v>15519840</v>
      </c>
      <c r="CF1051" s="6"/>
      <c r="CG1051" s="7"/>
      <c r="CH1051" s="6"/>
      <c r="CI1051" s="7"/>
      <c r="CJ1051" s="8">
        <f t="shared" si="140"/>
        <v>17031840</v>
      </c>
      <c r="CK1051" s="9"/>
      <c r="CL1051" s="10"/>
      <c r="CM1051" s="11">
        <f>420+1023+1023+416</f>
        <v>2882</v>
      </c>
      <c r="CN1051" s="12">
        <f>420*85000+1023*85000+1023*85000</f>
        <v>209610000</v>
      </c>
      <c r="CO1051" s="28"/>
      <c r="CP1051" s="12"/>
      <c r="CQ1051" s="9"/>
      <c r="CR1051" s="10"/>
      <c r="CS1051" s="68"/>
      <c r="CT1051" s="22"/>
      <c r="EC1051" s="344" t="str">
        <f t="shared" si="143"/>
        <v>CORDOBA_MOMIL</v>
      </c>
      <c r="ED1051" s="341"/>
      <c r="EE1051" s="341" t="s">
        <v>3208</v>
      </c>
      <c r="EF1051" s="349" t="s">
        <v>5311</v>
      </c>
      <c r="EG1051" s="341" t="s">
        <v>4274</v>
      </c>
      <c r="EH1051" s="341" t="s">
        <v>5313</v>
      </c>
      <c r="EI1051" s="341" t="str">
        <f t="shared" si="136"/>
        <v>Casanare_Aguazul</v>
      </c>
    </row>
    <row r="1052" spans="1:139" s="164" customFormat="1" ht="96">
      <c r="A1052" s="228">
        <v>40409</v>
      </c>
      <c r="B1052" s="102" t="s">
        <v>1295</v>
      </c>
      <c r="C1052" s="102" t="s">
        <v>2775</v>
      </c>
      <c r="D1052" s="206" t="s">
        <v>1201</v>
      </c>
      <c r="E1052" s="320" t="s">
        <v>3668</v>
      </c>
      <c r="F1052" s="320"/>
      <c r="G1052" s="210"/>
      <c r="H1052" s="71"/>
      <c r="I1052" s="71"/>
      <c r="J1052" s="71">
        <v>675</v>
      </c>
      <c r="K1052" s="71">
        <v>145</v>
      </c>
      <c r="L1052" s="1">
        <v>40448</v>
      </c>
      <c r="M1052" s="73">
        <f t="shared" si="137"/>
        <v>3090640</v>
      </c>
      <c r="N1052" s="73">
        <f t="shared" si="138"/>
        <v>24650000</v>
      </c>
      <c r="O1052" s="73">
        <f t="shared" si="142"/>
        <v>0</v>
      </c>
      <c r="P1052" s="73">
        <f t="shared" si="139"/>
        <v>0</v>
      </c>
      <c r="Q1052" s="73"/>
      <c r="R1052" s="73">
        <v>0</v>
      </c>
      <c r="S1052" s="75">
        <f t="shared" si="141"/>
        <v>27740640</v>
      </c>
      <c r="T1052" s="77">
        <v>0</v>
      </c>
      <c r="U1052" s="66">
        <v>40413</v>
      </c>
      <c r="V1052" s="79">
        <v>38767</v>
      </c>
      <c r="W1052" s="66" t="s">
        <v>1606</v>
      </c>
      <c r="X1052" s="24" t="s">
        <v>1607</v>
      </c>
      <c r="Y1052" s="83" t="s">
        <v>2570</v>
      </c>
      <c r="Z1052" s="177" t="s">
        <v>2580</v>
      </c>
      <c r="AA1052" s="261" t="s">
        <v>376</v>
      </c>
      <c r="AB1052" s="3"/>
      <c r="AC1052" s="4"/>
      <c r="AD1052" s="5"/>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v>1</v>
      </c>
      <c r="BO1052" s="4">
        <f>1*504000</f>
        <v>504000</v>
      </c>
      <c r="BP1052" s="4"/>
      <c r="BQ1052" s="4"/>
      <c r="BR1052" s="4"/>
      <c r="BS1052" s="4"/>
      <c r="BT1052" s="4"/>
      <c r="BU1052" s="4"/>
      <c r="BV1052" s="4"/>
      <c r="BW1052" s="4"/>
      <c r="BX1052" s="4"/>
      <c r="BY1052" s="4"/>
      <c r="BZ1052" s="4"/>
      <c r="CA1052" s="4"/>
      <c r="CB1052" s="4"/>
      <c r="CC1052" s="4"/>
      <c r="CD1052" s="6">
        <v>70</v>
      </c>
      <c r="CE1052" s="7">
        <f>70*36952</f>
        <v>2586640</v>
      </c>
      <c r="CF1052" s="6"/>
      <c r="CG1052" s="7"/>
      <c r="CH1052" s="6"/>
      <c r="CI1052" s="7"/>
      <c r="CJ1052" s="8">
        <f t="shared" si="140"/>
        <v>3090640</v>
      </c>
      <c r="CK1052" s="9"/>
      <c r="CL1052" s="10"/>
      <c r="CM1052" s="11">
        <f>70+110+110</f>
        <v>290</v>
      </c>
      <c r="CN1052" s="12">
        <f>70*85000+110*85000+110*85000</f>
        <v>24650000</v>
      </c>
      <c r="CO1052" s="28"/>
      <c r="CP1052" s="12"/>
      <c r="CQ1052" s="9"/>
      <c r="CR1052" s="10"/>
      <c r="CS1052" s="68"/>
      <c r="CT1052" s="22"/>
      <c r="EC1052" s="344" t="str">
        <f t="shared" si="143"/>
        <v>CORDOBA_PLANETA RICA</v>
      </c>
      <c r="ED1052" s="341"/>
      <c r="EE1052" s="341" t="s">
        <v>3208</v>
      </c>
      <c r="EF1052" s="349" t="s">
        <v>5311</v>
      </c>
      <c r="EG1052" s="341" t="s">
        <v>4275</v>
      </c>
      <c r="EH1052" s="341" t="s">
        <v>5314</v>
      </c>
      <c r="EI1052" s="341" t="str">
        <f t="shared" si="136"/>
        <v>Casanare_Chameza</v>
      </c>
    </row>
    <row r="1053" spans="1:139" s="164" customFormat="1" ht="36">
      <c r="A1053" s="234">
        <v>40409</v>
      </c>
      <c r="B1053" s="102" t="s">
        <v>396</v>
      </c>
      <c r="C1053" s="102" t="s">
        <v>1899</v>
      </c>
      <c r="D1053" s="206" t="s">
        <v>1316</v>
      </c>
      <c r="E1053" s="320" t="s">
        <v>3905</v>
      </c>
      <c r="F1053" s="320"/>
      <c r="G1053" s="210"/>
      <c r="H1053" s="71"/>
      <c r="I1053" s="71"/>
      <c r="J1053" s="71"/>
      <c r="K1053" s="71"/>
      <c r="L1053" s="135"/>
      <c r="M1053" s="136">
        <f t="shared" si="137"/>
        <v>0</v>
      </c>
      <c r="N1053" s="136">
        <f t="shared" si="138"/>
        <v>0</v>
      </c>
      <c r="O1053" s="136">
        <f t="shared" si="142"/>
        <v>0</v>
      </c>
      <c r="P1053" s="136">
        <f t="shared" si="139"/>
        <v>0</v>
      </c>
      <c r="Q1053" s="136"/>
      <c r="R1053" s="136">
        <v>0</v>
      </c>
      <c r="S1053" s="137">
        <f t="shared" si="141"/>
        <v>0</v>
      </c>
      <c r="T1053" s="138">
        <v>0</v>
      </c>
      <c r="U1053" s="66">
        <v>40413</v>
      </c>
      <c r="V1053" s="79"/>
      <c r="W1053" s="66" t="s">
        <v>1585</v>
      </c>
      <c r="X1053" s="24" t="s">
        <v>1586</v>
      </c>
      <c r="Y1053" s="62"/>
      <c r="Z1053" s="177" t="s">
        <v>894</v>
      </c>
      <c r="AA1053" s="80" t="s">
        <v>190</v>
      </c>
      <c r="AB1053" s="139"/>
      <c r="AC1053" s="140"/>
      <c r="AD1053" s="141"/>
      <c r="AE1053" s="140"/>
      <c r="AF1053" s="140"/>
      <c r="AG1053" s="140"/>
      <c r="AH1053" s="140"/>
      <c r="AI1053" s="140"/>
      <c r="AJ1053" s="140"/>
      <c r="AK1053" s="140"/>
      <c r="AL1053" s="140"/>
      <c r="AM1053" s="140"/>
      <c r="AN1053" s="140"/>
      <c r="AO1053" s="140"/>
      <c r="AP1053" s="140"/>
      <c r="AQ1053" s="140"/>
      <c r="AR1053" s="140"/>
      <c r="AS1053" s="140"/>
      <c r="AT1053" s="140"/>
      <c r="AU1053" s="140"/>
      <c r="AV1053" s="140"/>
      <c r="AW1053" s="140"/>
      <c r="AX1053" s="140"/>
      <c r="AY1053" s="140"/>
      <c r="AZ1053" s="140"/>
      <c r="BA1053" s="140"/>
      <c r="BB1053" s="140"/>
      <c r="BC1053" s="140"/>
      <c r="BD1053" s="140"/>
      <c r="BE1053" s="140"/>
      <c r="BF1053" s="140"/>
      <c r="BG1053" s="140"/>
      <c r="BH1053" s="140"/>
      <c r="BI1053" s="140"/>
      <c r="BJ1053" s="140"/>
      <c r="BK1053" s="140"/>
      <c r="BL1053" s="140"/>
      <c r="BM1053" s="140"/>
      <c r="BN1053" s="140"/>
      <c r="BO1053" s="140"/>
      <c r="BP1053" s="140"/>
      <c r="BQ1053" s="140"/>
      <c r="BR1053" s="140"/>
      <c r="BS1053" s="140"/>
      <c r="BT1053" s="140"/>
      <c r="BU1053" s="140"/>
      <c r="BV1053" s="140"/>
      <c r="BW1053" s="140"/>
      <c r="BX1053" s="140"/>
      <c r="BY1053" s="140"/>
      <c r="BZ1053" s="140"/>
      <c r="CA1053" s="140"/>
      <c r="CB1053" s="140"/>
      <c r="CC1053" s="140"/>
      <c r="CD1053" s="142"/>
      <c r="CE1053" s="143"/>
      <c r="CF1053" s="142"/>
      <c r="CG1053" s="143"/>
      <c r="CH1053" s="142"/>
      <c r="CI1053" s="143"/>
      <c r="CJ1053" s="144">
        <f t="shared" si="140"/>
        <v>0</v>
      </c>
      <c r="CK1053" s="145"/>
      <c r="CL1053" s="146"/>
      <c r="CM1053" s="147"/>
      <c r="CN1053" s="148"/>
      <c r="CO1053" s="149"/>
      <c r="CP1053" s="148"/>
      <c r="CQ1053" s="145"/>
      <c r="CR1053" s="146"/>
      <c r="CS1053" s="68"/>
      <c r="CT1053" s="150"/>
      <c r="EC1053" s="344" t="str">
        <f t="shared" si="143"/>
        <v>META_VILLAVICENCIO</v>
      </c>
      <c r="ED1053" s="341"/>
      <c r="EE1053" s="341" t="s">
        <v>3208</v>
      </c>
      <c r="EF1053" s="349" t="s">
        <v>5311</v>
      </c>
      <c r="EG1053" s="341" t="s">
        <v>4276</v>
      </c>
      <c r="EH1053" s="341" t="s">
        <v>5315</v>
      </c>
      <c r="EI1053" s="341" t="str">
        <f t="shared" si="136"/>
        <v>Casanare_Hato Corozal</v>
      </c>
    </row>
    <row r="1054" spans="1:139" s="164" customFormat="1" ht="25.5">
      <c r="A1054" s="228">
        <v>40409</v>
      </c>
      <c r="B1054" s="102" t="s">
        <v>2400</v>
      </c>
      <c r="C1054" s="102" t="s">
        <v>1250</v>
      </c>
      <c r="D1054" s="206" t="s">
        <v>2606</v>
      </c>
      <c r="E1054" s="320" t="s">
        <v>4189</v>
      </c>
      <c r="F1054" s="320"/>
      <c r="G1054" s="210"/>
      <c r="H1054" s="71"/>
      <c r="I1054" s="71"/>
      <c r="J1054" s="71">
        <v>198</v>
      </c>
      <c r="K1054" s="71">
        <v>44</v>
      </c>
      <c r="L1054" s="1"/>
      <c r="M1054" s="73">
        <f t="shared" si="137"/>
        <v>0</v>
      </c>
      <c r="N1054" s="73">
        <f t="shared" si="138"/>
        <v>0</v>
      </c>
      <c r="O1054" s="73">
        <f t="shared" si="142"/>
        <v>0</v>
      </c>
      <c r="P1054" s="73">
        <f t="shared" si="139"/>
        <v>0</v>
      </c>
      <c r="Q1054" s="73"/>
      <c r="R1054" s="73">
        <v>0</v>
      </c>
      <c r="S1054" s="75">
        <f t="shared" si="141"/>
        <v>0</v>
      </c>
      <c r="T1054" s="77">
        <v>0</v>
      </c>
      <c r="U1054" s="66">
        <v>40413</v>
      </c>
      <c r="V1054" s="79"/>
      <c r="W1054" s="66" t="s">
        <v>1585</v>
      </c>
      <c r="X1054" s="24" t="s">
        <v>1586</v>
      </c>
      <c r="Y1054" s="62"/>
      <c r="Z1054" s="196" t="s">
        <v>894</v>
      </c>
      <c r="AA1054" s="80" t="s">
        <v>203</v>
      </c>
      <c r="AB1054" s="3"/>
      <c r="AC1054" s="4"/>
      <c r="AD1054" s="5"/>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6"/>
      <c r="CE1054" s="7"/>
      <c r="CF1054" s="6"/>
      <c r="CG1054" s="7"/>
      <c r="CH1054" s="6"/>
      <c r="CI1054" s="7"/>
      <c r="CJ1054" s="8">
        <f t="shared" si="140"/>
        <v>0</v>
      </c>
      <c r="CK1054" s="9"/>
      <c r="CL1054" s="10"/>
      <c r="CM1054" s="11"/>
      <c r="CN1054" s="12"/>
      <c r="CO1054" s="28"/>
      <c r="CP1054" s="12"/>
      <c r="CQ1054" s="9"/>
      <c r="CR1054" s="10"/>
      <c r="CS1054" s="68"/>
      <c r="CT1054" s="22"/>
      <c r="EC1054" s="344" t="str">
        <f t="shared" si="143"/>
        <v>TOLIMA_COYAIMA</v>
      </c>
      <c r="ED1054" s="341"/>
      <c r="EE1054" s="341" t="s">
        <v>3208</v>
      </c>
      <c r="EF1054" s="349" t="s">
        <v>5311</v>
      </c>
      <c r="EG1054" s="341" t="s">
        <v>4277</v>
      </c>
      <c r="EH1054" s="341" t="s">
        <v>5316</v>
      </c>
      <c r="EI1054" s="341" t="str">
        <f t="shared" si="136"/>
        <v>Casanare_La Salina</v>
      </c>
    </row>
    <row r="1055" spans="1:139" s="164" customFormat="1" ht="72">
      <c r="A1055" s="228">
        <v>40409</v>
      </c>
      <c r="B1055" s="102" t="s">
        <v>1088</v>
      </c>
      <c r="C1055" s="102" t="s">
        <v>993</v>
      </c>
      <c r="D1055" s="206" t="s">
        <v>2606</v>
      </c>
      <c r="E1055" s="320" t="s">
        <v>4245</v>
      </c>
      <c r="F1055" s="320"/>
      <c r="G1055" s="210"/>
      <c r="H1055" s="71"/>
      <c r="I1055" s="71"/>
      <c r="J1055" s="71">
        <f>118*5</f>
        <v>590</v>
      </c>
      <c r="K1055" s="71">
        <v>118</v>
      </c>
      <c r="L1055" s="1"/>
      <c r="M1055" s="73">
        <f t="shared" si="137"/>
        <v>0</v>
      </c>
      <c r="N1055" s="73">
        <f t="shared" si="138"/>
        <v>0</v>
      </c>
      <c r="O1055" s="73">
        <f t="shared" si="142"/>
        <v>0</v>
      </c>
      <c r="P1055" s="73">
        <f t="shared" si="139"/>
        <v>0</v>
      </c>
      <c r="Q1055" s="73"/>
      <c r="R1055" s="73">
        <v>0</v>
      </c>
      <c r="S1055" s="75">
        <f t="shared" si="141"/>
        <v>0</v>
      </c>
      <c r="T1055" s="77">
        <v>0</v>
      </c>
      <c r="U1055" s="66">
        <v>40413</v>
      </c>
      <c r="V1055" s="79"/>
      <c r="W1055" s="66" t="s">
        <v>1585</v>
      </c>
      <c r="X1055" s="24" t="s">
        <v>1586</v>
      </c>
      <c r="Y1055" s="62"/>
      <c r="Z1055" s="177" t="s">
        <v>894</v>
      </c>
      <c r="AA1055" s="80" t="s">
        <v>427</v>
      </c>
      <c r="AB1055" s="3"/>
      <c r="AC1055" s="4"/>
      <c r="AD1055" s="5"/>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6"/>
      <c r="CE1055" s="7"/>
      <c r="CF1055" s="6"/>
      <c r="CG1055" s="7"/>
      <c r="CH1055" s="6"/>
      <c r="CI1055" s="7"/>
      <c r="CJ1055" s="8">
        <f t="shared" si="140"/>
        <v>0</v>
      </c>
      <c r="CK1055" s="9"/>
      <c r="CL1055" s="10"/>
      <c r="CM1055" s="11"/>
      <c r="CN1055" s="12"/>
      <c r="CO1055" s="28"/>
      <c r="CP1055" s="12"/>
      <c r="CQ1055" s="9"/>
      <c r="CR1055" s="10"/>
      <c r="CS1055" s="68"/>
      <c r="CT1055" s="22"/>
      <c r="EC1055" s="344" t="str">
        <f t="shared" si="143"/>
        <v>VALLE DEL CAUCA_JAMUNDI</v>
      </c>
      <c r="ED1055" s="341"/>
      <c r="EE1055" s="341" t="s">
        <v>3208</v>
      </c>
      <c r="EF1055" s="349" t="s">
        <v>5311</v>
      </c>
      <c r="EG1055" s="341" t="s">
        <v>4278</v>
      </c>
      <c r="EH1055" s="341" t="s">
        <v>5317</v>
      </c>
      <c r="EI1055" s="341" t="str">
        <f t="shared" si="136"/>
        <v>Casanare_Mani</v>
      </c>
    </row>
    <row r="1056" spans="1:139" s="164" customFormat="1" ht="25.5">
      <c r="A1056" s="228">
        <v>40410</v>
      </c>
      <c r="B1056" s="102" t="s">
        <v>1551</v>
      </c>
      <c r="C1056" s="102" t="s">
        <v>306</v>
      </c>
      <c r="D1056" s="206" t="s">
        <v>1878</v>
      </c>
      <c r="E1056" s="320" t="s">
        <v>3373</v>
      </c>
      <c r="F1056" s="320"/>
      <c r="G1056" s="210"/>
      <c r="H1056" s="71"/>
      <c r="I1056" s="71"/>
      <c r="J1056" s="71">
        <v>75</v>
      </c>
      <c r="K1056" s="71">
        <v>15</v>
      </c>
      <c r="L1056" s="1">
        <v>40536</v>
      </c>
      <c r="M1056" s="73">
        <f t="shared" si="137"/>
        <v>0</v>
      </c>
      <c r="N1056" s="73">
        <f t="shared" si="138"/>
        <v>4930000</v>
      </c>
      <c r="O1056" s="73">
        <f t="shared" si="142"/>
        <v>0</v>
      </c>
      <c r="P1056" s="73">
        <f t="shared" si="139"/>
        <v>0</v>
      </c>
      <c r="Q1056" s="73"/>
      <c r="R1056" s="73">
        <v>0</v>
      </c>
      <c r="S1056" s="75">
        <f t="shared" si="141"/>
        <v>4930000</v>
      </c>
      <c r="T1056" s="77">
        <v>0</v>
      </c>
      <c r="U1056" s="66">
        <v>40413</v>
      </c>
      <c r="V1056" s="79">
        <v>47076</v>
      </c>
      <c r="W1056" s="66" t="s">
        <v>1606</v>
      </c>
      <c r="X1056" s="24" t="s">
        <v>1607</v>
      </c>
      <c r="Y1056" s="62">
        <v>27459</v>
      </c>
      <c r="Z1056" s="177" t="s">
        <v>894</v>
      </c>
      <c r="AA1056" s="80" t="s">
        <v>196</v>
      </c>
      <c r="AB1056" s="3"/>
      <c r="AC1056" s="4"/>
      <c r="AD1056" s="5"/>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6"/>
      <c r="CE1056" s="7"/>
      <c r="CF1056" s="6"/>
      <c r="CG1056" s="7"/>
      <c r="CH1056" s="6"/>
      <c r="CI1056" s="7"/>
      <c r="CJ1056" s="8">
        <f t="shared" si="140"/>
        <v>0</v>
      </c>
      <c r="CK1056" s="9"/>
      <c r="CL1056" s="10"/>
      <c r="CM1056" s="11">
        <v>58</v>
      </c>
      <c r="CN1056" s="12">
        <f>58*85000</f>
        <v>4930000</v>
      </c>
      <c r="CO1056" s="28"/>
      <c r="CP1056" s="12"/>
      <c r="CQ1056" s="9"/>
      <c r="CR1056" s="10"/>
      <c r="CS1056" s="68"/>
      <c r="CT1056" s="22"/>
      <c r="EC1056" s="344" t="str">
        <f t="shared" si="143"/>
        <v>ATLANTICO_TUBARA</v>
      </c>
      <c r="ED1056" s="341"/>
      <c r="EE1056" s="341" t="s">
        <v>3208</v>
      </c>
      <c r="EF1056" s="349" t="s">
        <v>5311</v>
      </c>
      <c r="EG1056" s="341" t="s">
        <v>4279</v>
      </c>
      <c r="EH1056" s="341" t="s">
        <v>5318</v>
      </c>
      <c r="EI1056" s="341" t="str">
        <f t="shared" si="136"/>
        <v>Casanare_Monterrey</v>
      </c>
    </row>
    <row r="1057" spans="1:139" s="164" customFormat="1" ht="25.5">
      <c r="A1057" s="228">
        <v>40410</v>
      </c>
      <c r="B1057" s="222" t="s">
        <v>653</v>
      </c>
      <c r="C1057" s="222" t="s">
        <v>3127</v>
      </c>
      <c r="D1057" s="233" t="s">
        <v>2606</v>
      </c>
      <c r="E1057" s="325" t="s">
        <v>3567</v>
      </c>
      <c r="F1057" s="325"/>
      <c r="G1057" s="204"/>
      <c r="H1057" s="151"/>
      <c r="I1057" s="151"/>
      <c r="J1057" s="151">
        <v>40</v>
      </c>
      <c r="K1057" s="151">
        <v>8</v>
      </c>
      <c r="L1057" s="1"/>
      <c r="M1057" s="73">
        <f t="shared" si="137"/>
        <v>0</v>
      </c>
      <c r="N1057" s="73">
        <f t="shared" si="138"/>
        <v>0</v>
      </c>
      <c r="O1057" s="73">
        <f t="shared" si="142"/>
        <v>0</v>
      </c>
      <c r="P1057" s="73">
        <f t="shared" si="139"/>
        <v>0</v>
      </c>
      <c r="Q1057" s="73"/>
      <c r="R1057" s="73">
        <v>0</v>
      </c>
      <c r="S1057" s="75">
        <f t="shared" si="141"/>
        <v>0</v>
      </c>
      <c r="T1057" s="77">
        <v>0</v>
      </c>
      <c r="U1057" s="66">
        <v>40430</v>
      </c>
      <c r="V1057" s="79"/>
      <c r="W1057" s="66" t="s">
        <v>1606</v>
      </c>
      <c r="X1057" s="24" t="s">
        <v>1607</v>
      </c>
      <c r="Y1057" s="62"/>
      <c r="Z1057" s="176" t="s">
        <v>3056</v>
      </c>
      <c r="AA1057" s="166" t="s">
        <v>1501</v>
      </c>
      <c r="AB1057" s="152"/>
      <c r="AC1057" s="153"/>
      <c r="AD1057" s="154"/>
      <c r="AE1057" s="153"/>
      <c r="AF1057" s="153"/>
      <c r="AG1057" s="153"/>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53"/>
      <c r="BB1057" s="153"/>
      <c r="BC1057" s="153"/>
      <c r="BD1057" s="153"/>
      <c r="BE1057" s="153"/>
      <c r="BF1057" s="153"/>
      <c r="BG1057" s="153"/>
      <c r="BH1057" s="153"/>
      <c r="BI1057" s="153"/>
      <c r="BJ1057" s="153"/>
      <c r="BK1057" s="153"/>
      <c r="BL1057" s="153"/>
      <c r="BM1057" s="153"/>
      <c r="BN1057" s="153"/>
      <c r="BO1057" s="153"/>
      <c r="BP1057" s="153"/>
      <c r="BQ1057" s="153"/>
      <c r="BR1057" s="153"/>
      <c r="BS1057" s="153"/>
      <c r="BT1057" s="153"/>
      <c r="BU1057" s="153"/>
      <c r="BV1057" s="153"/>
      <c r="BW1057" s="153"/>
      <c r="BX1057" s="153"/>
      <c r="BY1057" s="153"/>
      <c r="BZ1057" s="153"/>
      <c r="CA1057" s="153"/>
      <c r="CB1057" s="153"/>
      <c r="CC1057" s="153"/>
      <c r="CD1057" s="155"/>
      <c r="CE1057" s="156"/>
      <c r="CF1057" s="155"/>
      <c r="CG1057" s="156"/>
      <c r="CH1057" s="155"/>
      <c r="CI1057" s="156"/>
      <c r="CJ1057" s="157">
        <f t="shared" si="140"/>
        <v>0</v>
      </c>
      <c r="CK1057" s="158"/>
      <c r="CL1057" s="159"/>
      <c r="CM1057" s="160"/>
      <c r="CN1057" s="161"/>
      <c r="CO1057" s="162"/>
      <c r="CP1057" s="161"/>
      <c r="CQ1057" s="158"/>
      <c r="CR1057" s="159"/>
      <c r="CS1057" s="68"/>
      <c r="CT1057" s="163"/>
      <c r="EC1057" s="344" t="str">
        <f t="shared" si="143"/>
        <v>CALDAS_VICTORIA</v>
      </c>
      <c r="ED1057" s="341"/>
      <c r="EE1057" s="341" t="s">
        <v>3208</v>
      </c>
      <c r="EF1057" s="349" t="s">
        <v>5311</v>
      </c>
      <c r="EG1057" s="341" t="s">
        <v>4280</v>
      </c>
      <c r="EH1057" s="341" t="s">
        <v>5319</v>
      </c>
      <c r="EI1057" s="341" t="str">
        <f t="shared" si="136"/>
        <v>Casanare_Nunchia</v>
      </c>
    </row>
    <row r="1058" spans="1:139" s="164" customFormat="1" ht="36">
      <c r="A1058" s="228">
        <v>40410</v>
      </c>
      <c r="B1058" s="205" t="s">
        <v>1314</v>
      </c>
      <c r="C1058" s="205" t="s">
        <v>646</v>
      </c>
      <c r="D1058" s="206" t="s">
        <v>1878</v>
      </c>
      <c r="E1058" s="320" t="s">
        <v>3593</v>
      </c>
      <c r="F1058" s="320"/>
      <c r="G1058" s="204"/>
      <c r="H1058" s="151"/>
      <c r="I1058" s="151"/>
      <c r="J1058" s="151">
        <f>507*5</f>
        <v>2535</v>
      </c>
      <c r="K1058" s="151">
        <v>507</v>
      </c>
      <c r="L1058" s="1"/>
      <c r="M1058" s="73">
        <f t="shared" si="137"/>
        <v>0</v>
      </c>
      <c r="N1058" s="73">
        <f t="shared" si="138"/>
        <v>0</v>
      </c>
      <c r="O1058" s="73">
        <f t="shared" si="142"/>
        <v>0</v>
      </c>
      <c r="P1058" s="73">
        <f t="shared" si="139"/>
        <v>0</v>
      </c>
      <c r="Q1058" s="73"/>
      <c r="R1058" s="73">
        <v>0</v>
      </c>
      <c r="S1058" s="75">
        <f t="shared" si="141"/>
        <v>0</v>
      </c>
      <c r="T1058" s="77">
        <v>0</v>
      </c>
      <c r="U1058" s="66">
        <v>40459</v>
      </c>
      <c r="V1058" s="79"/>
      <c r="W1058" s="66" t="s">
        <v>1585</v>
      </c>
      <c r="X1058" s="24" t="s">
        <v>1586</v>
      </c>
      <c r="Y1058" s="62"/>
      <c r="Z1058" s="169" t="s">
        <v>894</v>
      </c>
      <c r="AA1058" s="166" t="s">
        <v>2322</v>
      </c>
      <c r="AB1058" s="152"/>
      <c r="AC1058" s="153"/>
      <c r="AD1058" s="154"/>
      <c r="AE1058" s="153"/>
      <c r="AF1058" s="153"/>
      <c r="AG1058" s="153"/>
      <c r="AH1058" s="153"/>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c r="BF1058" s="153"/>
      <c r="BG1058" s="153"/>
      <c r="BH1058" s="153"/>
      <c r="BI1058" s="153"/>
      <c r="BJ1058" s="153"/>
      <c r="BK1058" s="153"/>
      <c r="BL1058" s="153"/>
      <c r="BM1058" s="153"/>
      <c r="BN1058" s="153"/>
      <c r="BO1058" s="153"/>
      <c r="BP1058" s="153"/>
      <c r="BQ1058" s="153"/>
      <c r="BR1058" s="153"/>
      <c r="BS1058" s="153"/>
      <c r="BT1058" s="153"/>
      <c r="BU1058" s="153"/>
      <c r="BV1058" s="153"/>
      <c r="BW1058" s="153"/>
      <c r="BX1058" s="153"/>
      <c r="BY1058" s="153"/>
      <c r="BZ1058" s="153"/>
      <c r="CA1058" s="153"/>
      <c r="CB1058" s="153"/>
      <c r="CC1058" s="153"/>
      <c r="CD1058" s="155"/>
      <c r="CE1058" s="156"/>
      <c r="CF1058" s="155"/>
      <c r="CG1058" s="156"/>
      <c r="CH1058" s="155"/>
      <c r="CI1058" s="156"/>
      <c r="CJ1058" s="157">
        <f t="shared" si="140"/>
        <v>0</v>
      </c>
      <c r="CK1058" s="158"/>
      <c r="CL1058" s="159"/>
      <c r="CM1058" s="160"/>
      <c r="CN1058" s="161"/>
      <c r="CO1058" s="162"/>
      <c r="CP1058" s="161"/>
      <c r="CQ1058" s="158"/>
      <c r="CR1058" s="159"/>
      <c r="CS1058" s="68"/>
      <c r="CT1058" s="163"/>
      <c r="EC1058" s="344" t="str">
        <f t="shared" si="143"/>
        <v>CAUCA_CALDONO</v>
      </c>
      <c r="ED1058" s="341"/>
      <c r="EE1058" s="341" t="s">
        <v>3208</v>
      </c>
      <c r="EF1058" s="349" t="s">
        <v>5311</v>
      </c>
      <c r="EG1058" s="341" t="s">
        <v>4281</v>
      </c>
      <c r="EH1058" s="341" t="s">
        <v>5320</v>
      </c>
      <c r="EI1058" s="341" t="str">
        <f t="shared" si="136"/>
        <v>Casanare_Orocue</v>
      </c>
    </row>
    <row r="1059" spans="1:139" s="164" customFormat="1" ht="38.25">
      <c r="A1059" s="228">
        <v>40410</v>
      </c>
      <c r="B1059" s="102" t="s">
        <v>1314</v>
      </c>
      <c r="C1059" s="102" t="s">
        <v>200</v>
      </c>
      <c r="D1059" s="206" t="s">
        <v>1316</v>
      </c>
      <c r="E1059" s="320" t="s">
        <v>3623</v>
      </c>
      <c r="F1059" s="320"/>
      <c r="G1059" s="210"/>
      <c r="H1059" s="71"/>
      <c r="I1059" s="71"/>
      <c r="J1059" s="71"/>
      <c r="K1059" s="71"/>
      <c r="L1059" s="1"/>
      <c r="M1059" s="73">
        <f t="shared" si="137"/>
        <v>0</v>
      </c>
      <c r="N1059" s="73">
        <f t="shared" si="138"/>
        <v>0</v>
      </c>
      <c r="O1059" s="73">
        <f t="shared" si="142"/>
        <v>0</v>
      </c>
      <c r="P1059" s="73">
        <f t="shared" si="139"/>
        <v>0</v>
      </c>
      <c r="Q1059" s="73"/>
      <c r="R1059" s="73">
        <v>0</v>
      </c>
      <c r="S1059" s="75">
        <f t="shared" si="141"/>
        <v>0</v>
      </c>
      <c r="T1059" s="77">
        <v>0</v>
      </c>
      <c r="U1059" s="66">
        <v>40413</v>
      </c>
      <c r="V1059" s="79"/>
      <c r="W1059" s="66" t="s">
        <v>1585</v>
      </c>
      <c r="X1059" s="24" t="s">
        <v>1586</v>
      </c>
      <c r="Y1059" s="62"/>
      <c r="Z1059" s="177" t="s">
        <v>894</v>
      </c>
      <c r="AA1059" s="80" t="s">
        <v>201</v>
      </c>
      <c r="AB1059" s="3"/>
      <c r="AC1059" s="4"/>
      <c r="AD1059" s="5"/>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6"/>
      <c r="CE1059" s="7"/>
      <c r="CF1059" s="6"/>
      <c r="CG1059" s="7"/>
      <c r="CH1059" s="6"/>
      <c r="CI1059" s="7"/>
      <c r="CJ1059" s="8">
        <f t="shared" si="140"/>
        <v>0</v>
      </c>
      <c r="CK1059" s="9"/>
      <c r="CL1059" s="10"/>
      <c r="CM1059" s="11"/>
      <c r="CN1059" s="12"/>
      <c r="CO1059" s="28"/>
      <c r="CP1059" s="12"/>
      <c r="CQ1059" s="9"/>
      <c r="CR1059" s="10"/>
      <c r="CS1059" s="68"/>
      <c r="CT1059" s="22"/>
      <c r="EC1059" s="344" t="str">
        <f t="shared" si="143"/>
        <v>CAUCA_TIMBIO</v>
      </c>
      <c r="ED1059" s="341"/>
      <c r="EE1059" s="341" t="s">
        <v>3208</v>
      </c>
      <c r="EF1059" s="349" t="s">
        <v>5311</v>
      </c>
      <c r="EG1059" s="341" t="s">
        <v>4282</v>
      </c>
      <c r="EH1059" s="341" t="s">
        <v>5321</v>
      </c>
      <c r="EI1059" s="341" t="str">
        <f t="shared" si="136"/>
        <v>Casanare_Paz de Ariporo</v>
      </c>
    </row>
    <row r="1060" spans="1:139" s="164" customFormat="1" ht="38.25">
      <c r="A1060" s="228">
        <v>40410</v>
      </c>
      <c r="B1060" s="102" t="s">
        <v>1604</v>
      </c>
      <c r="C1060" s="102" t="s">
        <v>1748</v>
      </c>
      <c r="D1060" s="206" t="s">
        <v>1316</v>
      </c>
      <c r="E1060" s="320" t="s">
        <v>3688</v>
      </c>
      <c r="F1060" s="320"/>
      <c r="G1060" s="210"/>
      <c r="H1060" s="71"/>
      <c r="I1060" s="71"/>
      <c r="J1060" s="71">
        <v>8</v>
      </c>
      <c r="K1060" s="71">
        <v>1</v>
      </c>
      <c r="L1060" s="1"/>
      <c r="M1060" s="73">
        <f t="shared" si="137"/>
        <v>0</v>
      </c>
      <c r="N1060" s="73">
        <f t="shared" si="138"/>
        <v>0</v>
      </c>
      <c r="O1060" s="73">
        <f t="shared" si="142"/>
        <v>0</v>
      </c>
      <c r="P1060" s="73">
        <f t="shared" si="139"/>
        <v>0</v>
      </c>
      <c r="Q1060" s="73"/>
      <c r="R1060" s="73">
        <v>0</v>
      </c>
      <c r="S1060" s="75">
        <f t="shared" si="141"/>
        <v>0</v>
      </c>
      <c r="T1060" s="77">
        <v>0</v>
      </c>
      <c r="U1060" s="66">
        <v>40413</v>
      </c>
      <c r="V1060" s="79"/>
      <c r="W1060" s="66" t="s">
        <v>1585</v>
      </c>
      <c r="X1060" s="24" t="s">
        <v>1586</v>
      </c>
      <c r="Y1060" s="62"/>
      <c r="Z1060" s="177" t="s">
        <v>894</v>
      </c>
      <c r="AA1060" s="80" t="s">
        <v>199</v>
      </c>
      <c r="AB1060" s="3"/>
      <c r="AC1060" s="4"/>
      <c r="AD1060" s="5"/>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6"/>
      <c r="CE1060" s="7"/>
      <c r="CF1060" s="6"/>
      <c r="CG1060" s="7"/>
      <c r="CH1060" s="6"/>
      <c r="CI1060" s="7"/>
      <c r="CJ1060" s="8">
        <f t="shared" si="140"/>
        <v>0</v>
      </c>
      <c r="CK1060" s="9"/>
      <c r="CL1060" s="10"/>
      <c r="CM1060" s="11"/>
      <c r="CN1060" s="12"/>
      <c r="CO1060" s="28"/>
      <c r="CP1060" s="12"/>
      <c r="CQ1060" s="9"/>
      <c r="CR1060" s="10"/>
      <c r="CS1060" s="68"/>
      <c r="CT1060" s="22"/>
      <c r="EC1060" s="344" t="str">
        <f t="shared" si="143"/>
        <v>CUNDINAMARCA_CABRERA</v>
      </c>
      <c r="ED1060" s="341"/>
      <c r="EE1060" s="341" t="s">
        <v>3208</v>
      </c>
      <c r="EF1060" s="349" t="s">
        <v>5311</v>
      </c>
      <c r="EG1060" s="341" t="s">
        <v>4283</v>
      </c>
      <c r="EH1060" s="341" t="s">
        <v>5322</v>
      </c>
      <c r="EI1060" s="341" t="str">
        <f t="shared" si="136"/>
        <v>Casanare_Pore</v>
      </c>
    </row>
    <row r="1061" spans="1:139" s="164" customFormat="1" ht="25.5">
      <c r="A1061" s="228">
        <v>40410</v>
      </c>
      <c r="B1061" s="102" t="s">
        <v>1609</v>
      </c>
      <c r="C1061" s="102" t="s">
        <v>2004</v>
      </c>
      <c r="D1061" s="206" t="s">
        <v>2606</v>
      </c>
      <c r="E1061" s="320" t="s">
        <v>4050</v>
      </c>
      <c r="F1061" s="320"/>
      <c r="G1061" s="210"/>
      <c r="H1061" s="71"/>
      <c r="I1061" s="71"/>
      <c r="J1061" s="71">
        <f>82*5</f>
        <v>410</v>
      </c>
      <c r="K1061" s="71">
        <v>82</v>
      </c>
      <c r="L1061" s="1"/>
      <c r="M1061" s="73">
        <f t="shared" si="137"/>
        <v>0</v>
      </c>
      <c r="N1061" s="73">
        <f t="shared" si="138"/>
        <v>0</v>
      </c>
      <c r="O1061" s="73">
        <f t="shared" si="142"/>
        <v>0</v>
      </c>
      <c r="P1061" s="73">
        <f t="shared" si="139"/>
        <v>0</v>
      </c>
      <c r="Q1061" s="73"/>
      <c r="R1061" s="73">
        <v>0</v>
      </c>
      <c r="S1061" s="75">
        <f t="shared" si="141"/>
        <v>0</v>
      </c>
      <c r="T1061" s="77">
        <v>0</v>
      </c>
      <c r="U1061" s="66">
        <v>40413</v>
      </c>
      <c r="V1061" s="79"/>
      <c r="W1061" s="66" t="s">
        <v>1585</v>
      </c>
      <c r="X1061" s="24" t="s">
        <v>1586</v>
      </c>
      <c r="Y1061" s="62"/>
      <c r="Z1061" s="177" t="s">
        <v>894</v>
      </c>
      <c r="AA1061" s="80" t="s">
        <v>202</v>
      </c>
      <c r="AB1061" s="3"/>
      <c r="AC1061" s="4"/>
      <c r="AD1061" s="5"/>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6"/>
      <c r="CE1061" s="7"/>
      <c r="CF1061" s="6"/>
      <c r="CG1061" s="7"/>
      <c r="CH1061" s="6"/>
      <c r="CI1061" s="7"/>
      <c r="CJ1061" s="8">
        <f t="shared" si="140"/>
        <v>0</v>
      </c>
      <c r="CK1061" s="9"/>
      <c r="CL1061" s="10"/>
      <c r="CM1061" s="11"/>
      <c r="CN1061" s="12"/>
      <c r="CO1061" s="28"/>
      <c r="CP1061" s="12"/>
      <c r="CQ1061" s="9"/>
      <c r="CR1061" s="10"/>
      <c r="CS1061" s="68"/>
      <c r="CT1061" s="22"/>
      <c r="EC1061" s="344" t="str">
        <f t="shared" si="143"/>
        <v>RISARALDA_PEREIRA</v>
      </c>
      <c r="ED1061" s="341"/>
      <c r="EE1061" s="341" t="s">
        <v>3208</v>
      </c>
      <c r="EF1061" s="349" t="s">
        <v>5311</v>
      </c>
      <c r="EG1061" s="341" t="s">
        <v>4284</v>
      </c>
      <c r="EH1061" s="341" t="s">
        <v>5323</v>
      </c>
      <c r="EI1061" s="341" t="str">
        <f t="shared" si="136"/>
        <v>Casanare_Recetor</v>
      </c>
    </row>
    <row r="1062" spans="1:139" s="164" customFormat="1" ht="132">
      <c r="A1062" s="228">
        <v>40411</v>
      </c>
      <c r="B1062" s="102" t="s">
        <v>1295</v>
      </c>
      <c r="C1062" s="102" t="s">
        <v>1942</v>
      </c>
      <c r="D1062" s="206" t="s">
        <v>1201</v>
      </c>
      <c r="E1062" s="320" t="s">
        <v>3655</v>
      </c>
      <c r="F1062" s="320"/>
      <c r="G1062" s="210"/>
      <c r="H1062" s="71"/>
      <c r="I1062" s="71"/>
      <c r="J1062" s="71">
        <v>2100</v>
      </c>
      <c r="K1062" s="71">
        <v>427</v>
      </c>
      <c r="L1062" s="1">
        <v>40436</v>
      </c>
      <c r="M1062" s="73">
        <f t="shared" si="137"/>
        <v>10892870.4</v>
      </c>
      <c r="N1062" s="73">
        <f t="shared" si="138"/>
        <v>77435000</v>
      </c>
      <c r="O1062" s="73">
        <f t="shared" si="142"/>
        <v>0</v>
      </c>
      <c r="P1062" s="73">
        <f t="shared" si="139"/>
        <v>0</v>
      </c>
      <c r="Q1062" s="73"/>
      <c r="R1062" s="73">
        <v>80000000</v>
      </c>
      <c r="S1062" s="75">
        <f t="shared" si="141"/>
        <v>168327870.40000001</v>
      </c>
      <c r="T1062" s="77">
        <v>0</v>
      </c>
      <c r="U1062" s="66">
        <v>40413</v>
      </c>
      <c r="V1062" s="79">
        <v>3876</v>
      </c>
      <c r="W1062" s="66" t="s">
        <v>1606</v>
      </c>
      <c r="X1062" s="24" t="s">
        <v>1607</v>
      </c>
      <c r="Y1062" s="83" t="s">
        <v>2785</v>
      </c>
      <c r="Z1062" s="177" t="s">
        <v>2580</v>
      </c>
      <c r="AA1062" s="174" t="s">
        <v>2786</v>
      </c>
      <c r="AB1062" s="3"/>
      <c r="AC1062" s="4"/>
      <c r="AD1062" s="5"/>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f>5+2</f>
        <v>7</v>
      </c>
      <c r="BO1062" s="4">
        <f>5*496999.68+2*504000</f>
        <v>3492998.4</v>
      </c>
      <c r="BP1062" s="4"/>
      <c r="BQ1062" s="4"/>
      <c r="BR1062" s="4"/>
      <c r="BS1062" s="4"/>
      <c r="BT1062" s="4"/>
      <c r="BU1062" s="4"/>
      <c r="BV1062" s="4"/>
      <c r="BW1062" s="4"/>
      <c r="BX1062" s="4"/>
      <c r="BY1062" s="4"/>
      <c r="BZ1062" s="4"/>
      <c r="CA1062" s="4"/>
      <c r="CB1062" s="4"/>
      <c r="CC1062" s="4"/>
      <c r="CD1062" s="6">
        <v>200</v>
      </c>
      <c r="CE1062" s="7">
        <f>200*36999.36</f>
        <v>7399872</v>
      </c>
      <c r="CF1062" s="6"/>
      <c r="CG1062" s="7"/>
      <c r="CH1062" s="6"/>
      <c r="CI1062" s="7"/>
      <c r="CJ1062" s="8">
        <f t="shared" si="140"/>
        <v>10892870.4</v>
      </c>
      <c r="CK1062" s="9"/>
      <c r="CL1062" s="10"/>
      <c r="CM1062" s="11">
        <f>200+284+427</f>
        <v>911</v>
      </c>
      <c r="CN1062" s="12">
        <f>200*85000+284*85000+427*85000</f>
        <v>77435000</v>
      </c>
      <c r="CO1062" s="28"/>
      <c r="CP1062" s="12"/>
      <c r="CQ1062" s="9"/>
      <c r="CR1062" s="10"/>
      <c r="CS1062" s="68">
        <v>2</v>
      </c>
      <c r="CT1062" s="22"/>
      <c r="EC1062" s="344" t="str">
        <f t="shared" si="143"/>
        <v>CORDOBA_BUENAVISTA</v>
      </c>
      <c r="ED1062" s="341"/>
      <c r="EE1062" s="341" t="s">
        <v>3208</v>
      </c>
      <c r="EF1062" s="349" t="s">
        <v>5311</v>
      </c>
      <c r="EG1062" s="341" t="s">
        <v>4285</v>
      </c>
      <c r="EH1062" s="341" t="s">
        <v>4454</v>
      </c>
      <c r="EI1062" s="341" t="str">
        <f t="shared" si="136"/>
        <v>Casanare_Sabanalarga</v>
      </c>
    </row>
    <row r="1063" spans="1:139" s="164" customFormat="1" ht="108">
      <c r="A1063" s="228">
        <v>40411</v>
      </c>
      <c r="B1063" s="102" t="s">
        <v>1295</v>
      </c>
      <c r="C1063" s="102" t="s">
        <v>205</v>
      </c>
      <c r="D1063" s="206" t="s">
        <v>1201</v>
      </c>
      <c r="E1063" s="320" t="s">
        <v>3672</v>
      </c>
      <c r="F1063" s="320"/>
      <c r="G1063" s="210"/>
      <c r="H1063" s="71"/>
      <c r="I1063" s="71"/>
      <c r="J1063" s="71">
        <v>1552</v>
      </c>
      <c r="K1063" s="71">
        <v>335</v>
      </c>
      <c r="L1063" s="1">
        <v>40443</v>
      </c>
      <c r="M1063" s="73">
        <f t="shared" si="137"/>
        <v>15140320</v>
      </c>
      <c r="N1063" s="73">
        <f t="shared" si="138"/>
        <v>87720000</v>
      </c>
      <c r="O1063" s="73">
        <f t="shared" si="142"/>
        <v>0</v>
      </c>
      <c r="P1063" s="73">
        <f t="shared" si="139"/>
        <v>0</v>
      </c>
      <c r="Q1063" s="73"/>
      <c r="R1063" s="73">
        <v>0</v>
      </c>
      <c r="S1063" s="75">
        <f t="shared" si="141"/>
        <v>102860320</v>
      </c>
      <c r="T1063" s="77">
        <v>0</v>
      </c>
      <c r="U1063" s="66">
        <v>40413</v>
      </c>
      <c r="V1063" s="79">
        <v>38767</v>
      </c>
      <c r="W1063" s="66" t="s">
        <v>1606</v>
      </c>
      <c r="X1063" s="24" t="s">
        <v>1607</v>
      </c>
      <c r="Y1063" s="83" t="s">
        <v>2569</v>
      </c>
      <c r="Z1063" s="177" t="s">
        <v>2580</v>
      </c>
      <c r="AA1063" s="80" t="s">
        <v>370</v>
      </c>
      <c r="AB1063" s="3"/>
      <c r="AC1063" s="4"/>
      <c r="AD1063" s="5"/>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f>1+2</f>
        <v>3</v>
      </c>
      <c r="BO1063" s="4">
        <f>1*520000+2*504000</f>
        <v>1528000</v>
      </c>
      <c r="BP1063" s="4"/>
      <c r="BQ1063" s="4"/>
      <c r="BR1063" s="4"/>
      <c r="BS1063" s="4"/>
      <c r="BT1063" s="4"/>
      <c r="BU1063" s="4"/>
      <c r="BV1063" s="4"/>
      <c r="BW1063" s="4"/>
      <c r="BX1063" s="4"/>
      <c r="BY1063" s="4"/>
      <c r="BZ1063" s="4"/>
      <c r="CA1063" s="4"/>
      <c r="CB1063" s="4"/>
      <c r="CC1063" s="4"/>
      <c r="CD1063" s="6">
        <f>200+160</f>
        <v>360</v>
      </c>
      <c r="CE1063" s="7">
        <f>200*38500+160*36952</f>
        <v>13612320</v>
      </c>
      <c r="CF1063" s="6"/>
      <c r="CG1063" s="7"/>
      <c r="CH1063" s="6"/>
      <c r="CI1063" s="7"/>
      <c r="CJ1063" s="8">
        <f t="shared" si="140"/>
        <v>15140320</v>
      </c>
      <c r="CK1063" s="9"/>
      <c r="CL1063" s="10"/>
      <c r="CM1063" s="11">
        <f>200+160+336+336</f>
        <v>1032</v>
      </c>
      <c r="CN1063" s="12">
        <f>200*85000+160*85000+336*85000+336*85000</f>
        <v>87720000</v>
      </c>
      <c r="CO1063" s="28"/>
      <c r="CP1063" s="12"/>
      <c r="CQ1063" s="9"/>
      <c r="CR1063" s="10"/>
      <c r="CS1063" s="68"/>
      <c r="CT1063" s="22"/>
      <c r="EC1063" s="344" t="str">
        <f t="shared" si="143"/>
        <v>CORDOBA_PURISIMA</v>
      </c>
      <c r="ED1063" s="341"/>
      <c r="EE1063" s="341" t="s">
        <v>3208</v>
      </c>
      <c r="EF1063" s="349" t="s">
        <v>5311</v>
      </c>
      <c r="EG1063" s="341" t="s">
        <v>4286</v>
      </c>
      <c r="EH1063" s="341" t="s">
        <v>5324</v>
      </c>
      <c r="EI1063" s="341" t="str">
        <f t="shared" si="136"/>
        <v>Casanare_Sacama</v>
      </c>
    </row>
    <row r="1064" spans="1:139" s="164" customFormat="1" ht="38.25">
      <c r="A1064" s="228">
        <v>40412</v>
      </c>
      <c r="B1064" s="102" t="s">
        <v>1615</v>
      </c>
      <c r="C1064" s="102" t="s">
        <v>1445</v>
      </c>
      <c r="D1064" s="206" t="s">
        <v>2606</v>
      </c>
      <c r="E1064" s="320" t="s">
        <v>3420</v>
      </c>
      <c r="F1064" s="320"/>
      <c r="G1064" s="210"/>
      <c r="H1064" s="71"/>
      <c r="I1064" s="71"/>
      <c r="J1064" s="71">
        <v>1000</v>
      </c>
      <c r="K1064" s="71">
        <v>200</v>
      </c>
      <c r="L1064" s="1"/>
      <c r="M1064" s="73">
        <f t="shared" si="137"/>
        <v>0</v>
      </c>
      <c r="N1064" s="73">
        <f t="shared" si="138"/>
        <v>0</v>
      </c>
      <c r="O1064" s="73">
        <f t="shared" si="142"/>
        <v>0</v>
      </c>
      <c r="P1064" s="73">
        <f t="shared" si="139"/>
        <v>0</v>
      </c>
      <c r="Q1064" s="73"/>
      <c r="R1064" s="73">
        <v>0</v>
      </c>
      <c r="S1064" s="75">
        <f t="shared" si="141"/>
        <v>0</v>
      </c>
      <c r="T1064" s="77">
        <v>0</v>
      </c>
      <c r="U1064" s="66">
        <v>40413</v>
      </c>
      <c r="V1064" s="79"/>
      <c r="W1064" s="66" t="s">
        <v>1585</v>
      </c>
      <c r="X1064" s="24" t="s">
        <v>1586</v>
      </c>
      <c r="Y1064" s="62"/>
      <c r="Z1064" s="177" t="s">
        <v>894</v>
      </c>
      <c r="AA1064" s="80" t="s">
        <v>204</v>
      </c>
      <c r="AB1064" s="3"/>
      <c r="AC1064" s="4"/>
      <c r="AD1064" s="5"/>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6"/>
      <c r="CE1064" s="7"/>
      <c r="CF1064" s="6"/>
      <c r="CG1064" s="7"/>
      <c r="CH1064" s="6"/>
      <c r="CI1064" s="7"/>
      <c r="CJ1064" s="8">
        <f t="shared" si="140"/>
        <v>0</v>
      </c>
      <c r="CK1064" s="9"/>
      <c r="CL1064" s="10"/>
      <c r="CM1064" s="11"/>
      <c r="CN1064" s="12"/>
      <c r="CO1064" s="28"/>
      <c r="CP1064" s="12"/>
      <c r="CQ1064" s="9"/>
      <c r="CR1064" s="10"/>
      <c r="CS1064" s="68"/>
      <c r="CT1064" s="22"/>
      <c r="EC1064" s="344" t="str">
        <f t="shared" si="143"/>
        <v>BOLIVAR_ZAMBRANO</v>
      </c>
      <c r="ED1064" s="341"/>
      <c r="EE1064" s="341" t="s">
        <v>3208</v>
      </c>
      <c r="EF1064" s="349" t="s">
        <v>5311</v>
      </c>
      <c r="EG1064" s="341" t="s">
        <v>4287</v>
      </c>
      <c r="EH1064" s="341" t="s">
        <v>5325</v>
      </c>
      <c r="EI1064" s="341" t="str">
        <f t="shared" si="136"/>
        <v>Casanare_San Luis de Palenque</v>
      </c>
    </row>
    <row r="1065" spans="1:139" s="164" customFormat="1" ht="25.5">
      <c r="A1065" s="228">
        <v>40412</v>
      </c>
      <c r="B1065" s="102" t="s">
        <v>1996</v>
      </c>
      <c r="C1065" s="102" t="s">
        <v>1945</v>
      </c>
      <c r="D1065" s="206" t="s">
        <v>1878</v>
      </c>
      <c r="E1065" s="320" t="s">
        <v>3793</v>
      </c>
      <c r="F1065" s="320"/>
      <c r="G1065" s="210"/>
      <c r="H1065" s="71"/>
      <c r="I1065" s="71"/>
      <c r="J1065" s="71">
        <v>3</v>
      </c>
      <c r="K1065" s="71">
        <v>1</v>
      </c>
      <c r="L1065" s="1"/>
      <c r="M1065" s="73">
        <f t="shared" si="137"/>
        <v>0</v>
      </c>
      <c r="N1065" s="73">
        <f t="shared" si="138"/>
        <v>0</v>
      </c>
      <c r="O1065" s="73">
        <f t="shared" si="142"/>
        <v>0</v>
      </c>
      <c r="P1065" s="73">
        <f t="shared" si="139"/>
        <v>0</v>
      </c>
      <c r="Q1065" s="73"/>
      <c r="R1065" s="73">
        <v>0</v>
      </c>
      <c r="S1065" s="75">
        <f t="shared" si="141"/>
        <v>0</v>
      </c>
      <c r="T1065" s="77">
        <v>0</v>
      </c>
      <c r="U1065" s="66">
        <v>40413</v>
      </c>
      <c r="V1065" s="79"/>
      <c r="W1065" s="66" t="s">
        <v>1585</v>
      </c>
      <c r="X1065" s="24" t="s">
        <v>1586</v>
      </c>
      <c r="Y1065" s="62"/>
      <c r="Z1065" s="177" t="s">
        <v>894</v>
      </c>
      <c r="AA1065" s="80" t="s">
        <v>206</v>
      </c>
      <c r="AB1065" s="3"/>
      <c r="AC1065" s="4"/>
      <c r="AD1065" s="5"/>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6"/>
      <c r="CE1065" s="7"/>
      <c r="CF1065" s="6"/>
      <c r="CG1065" s="7"/>
      <c r="CH1065" s="6"/>
      <c r="CI1065" s="7"/>
      <c r="CJ1065" s="8">
        <f t="shared" si="140"/>
        <v>0</v>
      </c>
      <c r="CK1065" s="9"/>
      <c r="CL1065" s="10"/>
      <c r="CM1065" s="11"/>
      <c r="CN1065" s="12"/>
      <c r="CO1065" s="28"/>
      <c r="CP1065" s="12"/>
      <c r="CQ1065" s="9"/>
      <c r="CR1065" s="10"/>
      <c r="CS1065" s="68"/>
      <c r="CT1065" s="22"/>
      <c r="EC1065" s="344" t="str">
        <f t="shared" si="143"/>
        <v>CHOCO_QUIBDO</v>
      </c>
      <c r="ED1065" s="341"/>
      <c r="EE1065" s="341" t="s">
        <v>3208</v>
      </c>
      <c r="EF1065" s="349" t="s">
        <v>5311</v>
      </c>
      <c r="EG1065" s="341" t="s">
        <v>4288</v>
      </c>
      <c r="EH1065" s="341" t="s">
        <v>5326</v>
      </c>
      <c r="EI1065" s="341" t="str">
        <f t="shared" si="136"/>
        <v>Casanare_Tamara</v>
      </c>
    </row>
    <row r="1066" spans="1:139" s="164" customFormat="1" ht="25.5">
      <c r="A1066" s="235">
        <v>40413</v>
      </c>
      <c r="B1066" s="267" t="s">
        <v>1972</v>
      </c>
      <c r="C1066" s="267" t="s">
        <v>2716</v>
      </c>
      <c r="D1066" s="236" t="s">
        <v>1878</v>
      </c>
      <c r="E1066" s="324" t="s">
        <v>3338</v>
      </c>
      <c r="F1066" s="324"/>
      <c r="G1066" s="204"/>
      <c r="H1066" s="151"/>
      <c r="I1066" s="151">
        <v>2</v>
      </c>
      <c r="J1066" s="151"/>
      <c r="K1066" s="151"/>
      <c r="L1066" s="1"/>
      <c r="M1066" s="73">
        <f t="shared" si="137"/>
        <v>0</v>
      </c>
      <c r="N1066" s="73">
        <f t="shared" si="138"/>
        <v>0</v>
      </c>
      <c r="O1066" s="73">
        <f t="shared" si="142"/>
        <v>0</v>
      </c>
      <c r="P1066" s="73">
        <f t="shared" si="139"/>
        <v>0</v>
      </c>
      <c r="Q1066" s="73"/>
      <c r="R1066" s="73">
        <v>0</v>
      </c>
      <c r="S1066" s="75">
        <f t="shared" si="141"/>
        <v>0</v>
      </c>
      <c r="T1066" s="77">
        <v>0</v>
      </c>
      <c r="U1066" s="66">
        <v>40413</v>
      </c>
      <c r="V1066" s="79"/>
      <c r="W1066" s="66" t="s">
        <v>1585</v>
      </c>
      <c r="X1066" s="24" t="s">
        <v>1586</v>
      </c>
      <c r="Y1066" s="62"/>
      <c r="Z1066" s="169" t="s">
        <v>894</v>
      </c>
      <c r="AA1066" s="166" t="s">
        <v>207</v>
      </c>
      <c r="AB1066" s="152"/>
      <c r="AC1066" s="153"/>
      <c r="AD1066" s="154"/>
      <c r="AE1066" s="153"/>
      <c r="AF1066" s="153"/>
      <c r="AG1066" s="153"/>
      <c r="AH1066" s="153"/>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c r="BF1066" s="153"/>
      <c r="BG1066" s="153"/>
      <c r="BH1066" s="153"/>
      <c r="BI1066" s="153"/>
      <c r="BJ1066" s="153"/>
      <c r="BK1066" s="153"/>
      <c r="BL1066" s="153"/>
      <c r="BM1066" s="153"/>
      <c r="BN1066" s="153"/>
      <c r="BO1066" s="153"/>
      <c r="BP1066" s="153"/>
      <c r="BQ1066" s="153"/>
      <c r="BR1066" s="153"/>
      <c r="BS1066" s="153"/>
      <c r="BT1066" s="153"/>
      <c r="BU1066" s="153"/>
      <c r="BV1066" s="153"/>
      <c r="BW1066" s="153"/>
      <c r="BX1066" s="153"/>
      <c r="BY1066" s="153"/>
      <c r="BZ1066" s="153"/>
      <c r="CA1066" s="153"/>
      <c r="CB1066" s="153"/>
      <c r="CC1066" s="153"/>
      <c r="CD1066" s="155"/>
      <c r="CE1066" s="156"/>
      <c r="CF1066" s="155"/>
      <c r="CG1066" s="156"/>
      <c r="CH1066" s="155"/>
      <c r="CI1066" s="156"/>
      <c r="CJ1066" s="157">
        <f t="shared" si="140"/>
        <v>0</v>
      </c>
      <c r="CK1066" s="158"/>
      <c r="CL1066" s="159"/>
      <c r="CM1066" s="160"/>
      <c r="CN1066" s="161"/>
      <c r="CO1066" s="162"/>
      <c r="CP1066" s="161"/>
      <c r="CQ1066" s="158"/>
      <c r="CR1066" s="159"/>
      <c r="CS1066" s="68"/>
      <c r="CT1066" s="163"/>
      <c r="EC1066" s="344" t="str">
        <f t="shared" si="143"/>
        <v>ANTIOQUIA_TOLEDO</v>
      </c>
      <c r="ED1066" s="341"/>
      <c r="EE1066" s="341" t="s">
        <v>3208</v>
      </c>
      <c r="EF1066" s="349" t="s">
        <v>5311</v>
      </c>
      <c r="EG1066" s="341" t="s">
        <v>4290</v>
      </c>
      <c r="EH1066" s="341" t="s">
        <v>5327</v>
      </c>
      <c r="EI1066" s="341" t="str">
        <f t="shared" si="136"/>
        <v>Casanare_Trinidad</v>
      </c>
    </row>
    <row r="1067" spans="1:139" s="164" customFormat="1" ht="168">
      <c r="A1067" s="228">
        <v>40413</v>
      </c>
      <c r="B1067" s="222" t="s">
        <v>1615</v>
      </c>
      <c r="C1067" s="222" t="s">
        <v>3117</v>
      </c>
      <c r="D1067" s="233" t="s">
        <v>1201</v>
      </c>
      <c r="E1067" s="325" t="s">
        <v>3397</v>
      </c>
      <c r="F1067" s="325"/>
      <c r="G1067" s="204"/>
      <c r="H1067" s="151"/>
      <c r="I1067" s="151"/>
      <c r="J1067" s="416">
        <f>10297*3.7</f>
        <v>38098.9</v>
      </c>
      <c r="K1067" s="151">
        <v>10297</v>
      </c>
      <c r="L1067" s="1">
        <v>40427</v>
      </c>
      <c r="M1067" s="73">
        <f t="shared" si="137"/>
        <v>206134000</v>
      </c>
      <c r="N1067" s="73">
        <f t="shared" si="138"/>
        <v>1213120000</v>
      </c>
      <c r="O1067" s="73">
        <f t="shared" si="142"/>
        <v>0</v>
      </c>
      <c r="P1067" s="73">
        <f t="shared" si="139"/>
        <v>0</v>
      </c>
      <c r="Q1067" s="73">
        <f>49000000*1.16</f>
        <v>56839999.999999993</v>
      </c>
      <c r="R1067" s="73">
        <v>0</v>
      </c>
      <c r="S1067" s="75">
        <f t="shared" si="141"/>
        <v>1476094000</v>
      </c>
      <c r="T1067" s="77">
        <v>0</v>
      </c>
      <c r="U1067" s="66">
        <v>40423</v>
      </c>
      <c r="V1067" s="79">
        <v>45466</v>
      </c>
      <c r="W1067" s="66" t="s">
        <v>1606</v>
      </c>
      <c r="X1067" s="24" t="s">
        <v>1607</v>
      </c>
      <c r="Y1067" s="83" t="s">
        <v>535</v>
      </c>
      <c r="Z1067" s="169" t="s">
        <v>1435</v>
      </c>
      <c r="AA1067" s="166" t="s">
        <v>4</v>
      </c>
      <c r="AB1067" s="152"/>
      <c r="AC1067" s="153"/>
      <c r="AD1067" s="154"/>
      <c r="AE1067" s="153"/>
      <c r="AF1067" s="153"/>
      <c r="AG1067" s="153"/>
      <c r="AH1067" s="153"/>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c r="BF1067" s="153"/>
      <c r="BG1067" s="153"/>
      <c r="BH1067" s="153"/>
      <c r="BI1067" s="153"/>
      <c r="BJ1067" s="153"/>
      <c r="BK1067" s="153"/>
      <c r="BL1067" s="153"/>
      <c r="BM1067" s="153"/>
      <c r="BN1067" s="153">
        <v>20</v>
      </c>
      <c r="BO1067" s="153">
        <f>20*510400</f>
        <v>10208000</v>
      </c>
      <c r="BP1067" s="153"/>
      <c r="BQ1067" s="153"/>
      <c r="BR1067" s="153"/>
      <c r="BS1067" s="153"/>
      <c r="BT1067" s="153"/>
      <c r="BU1067" s="153"/>
      <c r="BV1067" s="153"/>
      <c r="BW1067" s="153"/>
      <c r="BX1067" s="153"/>
      <c r="BY1067" s="153"/>
      <c r="BZ1067" s="153"/>
      <c r="CA1067" s="153"/>
      <c r="CB1067" s="153">
        <f>1000+5779</f>
        <v>6779</v>
      </c>
      <c r="CC1067" s="153">
        <f>1000*18000+5779*18000</f>
        <v>122022000</v>
      </c>
      <c r="CD1067" s="155">
        <v>2000</v>
      </c>
      <c r="CE1067" s="156">
        <f>2000*36952</f>
        <v>73904000</v>
      </c>
      <c r="CF1067" s="155"/>
      <c r="CG1067" s="156"/>
      <c r="CH1067" s="155"/>
      <c r="CI1067" s="156"/>
      <c r="CJ1067" s="157">
        <f t="shared" si="140"/>
        <v>206134000</v>
      </c>
      <c r="CK1067" s="158"/>
      <c r="CL1067" s="159"/>
      <c r="CM1067" s="164">
        <f>3000+2000+500+1796+1796+5180</f>
        <v>14272</v>
      </c>
      <c r="CN1067" s="163">
        <f>3000*85000+2000*85000+500*85000+1796*85000+1796*85000+5180*85000</f>
        <v>1213120000</v>
      </c>
      <c r="CO1067" s="162"/>
      <c r="CP1067" s="161"/>
      <c r="CQ1067" s="158"/>
      <c r="CR1067" s="159"/>
      <c r="CS1067" s="68"/>
      <c r="CT1067" s="163"/>
      <c r="EC1067" s="344" t="str">
        <f t="shared" si="143"/>
        <v>BOLIVAR_MOMPOS</v>
      </c>
      <c r="ED1067" s="341"/>
      <c r="EE1067" s="341" t="s">
        <v>3208</v>
      </c>
      <c r="EF1067" s="349" t="s">
        <v>5311</v>
      </c>
      <c r="EG1067" s="341" t="s">
        <v>4291</v>
      </c>
      <c r="EH1067" s="341" t="s">
        <v>4561</v>
      </c>
      <c r="EI1067" s="341" t="str">
        <f t="shared" si="136"/>
        <v>Casanare_Villanueva</v>
      </c>
    </row>
    <row r="1068" spans="1:139" s="164" customFormat="1" ht="38.25">
      <c r="A1068" s="228">
        <v>40414</v>
      </c>
      <c r="B1068" s="102" t="s">
        <v>4321</v>
      </c>
      <c r="C1068" s="222" t="s">
        <v>328</v>
      </c>
      <c r="D1068" s="233" t="s">
        <v>2606</v>
      </c>
      <c r="E1068" s="325" t="s">
        <v>3863</v>
      </c>
      <c r="F1068" s="325"/>
      <c r="G1068" s="204"/>
      <c r="H1068" s="151"/>
      <c r="I1068" s="151"/>
      <c r="J1068" s="151">
        <v>35</v>
      </c>
      <c r="K1068" s="151">
        <v>7</v>
      </c>
      <c r="L1068" s="1"/>
      <c r="M1068" s="73">
        <f t="shared" si="137"/>
        <v>0</v>
      </c>
      <c r="N1068" s="73">
        <f t="shared" si="138"/>
        <v>0</v>
      </c>
      <c r="O1068" s="73">
        <f t="shared" si="142"/>
        <v>0</v>
      </c>
      <c r="P1068" s="73">
        <f t="shared" si="139"/>
        <v>0</v>
      </c>
      <c r="Q1068" s="73"/>
      <c r="R1068" s="73">
        <v>0</v>
      </c>
      <c r="S1068" s="75">
        <f t="shared" si="141"/>
        <v>0</v>
      </c>
      <c r="T1068" s="77">
        <v>0</v>
      </c>
      <c r="U1068" s="66">
        <v>40416</v>
      </c>
      <c r="V1068" s="79"/>
      <c r="W1068" s="66" t="s">
        <v>1585</v>
      </c>
      <c r="X1068" s="24" t="s">
        <v>1586</v>
      </c>
      <c r="Y1068" s="62"/>
      <c r="Z1068" s="169" t="s">
        <v>894</v>
      </c>
      <c r="AA1068" s="166" t="s">
        <v>843</v>
      </c>
      <c r="AB1068" s="152"/>
      <c r="AC1068" s="153"/>
      <c r="AD1068" s="154"/>
      <c r="AE1068" s="153"/>
      <c r="AF1068" s="153"/>
      <c r="AG1068" s="153"/>
      <c r="AH1068" s="153"/>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c r="BF1068" s="153"/>
      <c r="BG1068" s="153"/>
      <c r="BH1068" s="153"/>
      <c r="BI1068" s="153"/>
      <c r="BJ1068" s="153"/>
      <c r="BK1068" s="153"/>
      <c r="BL1068" s="153"/>
      <c r="BM1068" s="153"/>
      <c r="BN1068" s="153"/>
      <c r="BO1068" s="153"/>
      <c r="BP1068" s="153"/>
      <c r="BQ1068" s="153"/>
      <c r="BR1068" s="153"/>
      <c r="BS1068" s="153"/>
      <c r="BT1068" s="153"/>
      <c r="BU1068" s="153"/>
      <c r="BV1068" s="153"/>
      <c r="BW1068" s="153"/>
      <c r="BX1068" s="153"/>
      <c r="BY1068" s="153"/>
      <c r="BZ1068" s="153"/>
      <c r="CA1068" s="153"/>
      <c r="CB1068" s="153"/>
      <c r="CC1068" s="153"/>
      <c r="CD1068" s="155"/>
      <c r="CE1068" s="156"/>
      <c r="CF1068" s="155"/>
      <c r="CG1068" s="156"/>
      <c r="CH1068" s="155"/>
      <c r="CI1068" s="156"/>
      <c r="CJ1068" s="157">
        <f t="shared" si="140"/>
        <v>0</v>
      </c>
      <c r="CK1068" s="158"/>
      <c r="CL1068" s="159"/>
      <c r="CM1068" s="160"/>
      <c r="CN1068" s="161"/>
      <c r="CO1068" s="162"/>
      <c r="CP1068" s="161"/>
      <c r="CQ1068" s="158"/>
      <c r="CR1068" s="159"/>
      <c r="CS1068" s="68"/>
      <c r="CT1068" s="163"/>
      <c r="EC1068" s="344" t="str">
        <f t="shared" si="143"/>
        <v>LA GUAJIRA_DIBULLA</v>
      </c>
      <c r="ED1068" s="341"/>
      <c r="EE1068" s="341" t="s">
        <v>3214</v>
      </c>
      <c r="EF1068" s="349" t="s">
        <v>3215</v>
      </c>
      <c r="EG1068" s="341" t="s">
        <v>4292</v>
      </c>
      <c r="EH1068" s="341" t="s">
        <v>5328</v>
      </c>
      <c r="EI1068" s="341" t="str">
        <f t="shared" si="136"/>
        <v>Putumayo_Mocoa</v>
      </c>
    </row>
    <row r="1069" spans="1:139" s="164" customFormat="1" ht="33.75">
      <c r="A1069" s="228">
        <v>40415</v>
      </c>
      <c r="B1069" s="222" t="s">
        <v>2367</v>
      </c>
      <c r="C1069" s="222" t="s">
        <v>2367</v>
      </c>
      <c r="D1069" s="233" t="s">
        <v>1201</v>
      </c>
      <c r="E1069" s="325" t="s">
        <v>4266</v>
      </c>
      <c r="F1069" s="325"/>
      <c r="G1069" s="204"/>
      <c r="H1069" s="151"/>
      <c r="I1069" s="151"/>
      <c r="J1069" s="151"/>
      <c r="K1069" s="151"/>
      <c r="L1069" s="1"/>
      <c r="M1069" s="73">
        <f t="shared" si="137"/>
        <v>0</v>
      </c>
      <c r="N1069" s="73">
        <f t="shared" si="138"/>
        <v>0</v>
      </c>
      <c r="O1069" s="73">
        <f t="shared" si="142"/>
        <v>0</v>
      </c>
      <c r="P1069" s="73">
        <f t="shared" si="139"/>
        <v>13500000</v>
      </c>
      <c r="Q1069" s="73"/>
      <c r="R1069" s="73">
        <v>0</v>
      </c>
      <c r="S1069" s="75">
        <f t="shared" si="141"/>
        <v>13500000</v>
      </c>
      <c r="T1069" s="77">
        <v>0</v>
      </c>
      <c r="U1069" s="66">
        <v>40415</v>
      </c>
      <c r="V1069" s="79">
        <v>42804</v>
      </c>
      <c r="W1069" s="66" t="s">
        <v>1606</v>
      </c>
      <c r="X1069" s="24" t="s">
        <v>1607</v>
      </c>
      <c r="Y1069" s="62">
        <v>21328</v>
      </c>
      <c r="Z1069" s="176" t="s">
        <v>363</v>
      </c>
      <c r="AA1069" s="166" t="s">
        <v>362</v>
      </c>
      <c r="AB1069" s="152"/>
      <c r="AC1069" s="153"/>
      <c r="AD1069" s="154"/>
      <c r="AE1069" s="153"/>
      <c r="AF1069" s="153"/>
      <c r="AG1069" s="153"/>
      <c r="AH1069" s="153"/>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c r="BF1069" s="153"/>
      <c r="BG1069" s="153"/>
      <c r="BH1069" s="153"/>
      <c r="BI1069" s="153"/>
      <c r="BJ1069" s="153"/>
      <c r="BK1069" s="153"/>
      <c r="BL1069" s="153"/>
      <c r="BM1069" s="153"/>
      <c r="BN1069" s="153"/>
      <c r="BO1069" s="153"/>
      <c r="BP1069" s="153"/>
      <c r="BQ1069" s="153"/>
      <c r="BR1069" s="153"/>
      <c r="BS1069" s="153"/>
      <c r="BT1069" s="153"/>
      <c r="BU1069" s="153"/>
      <c r="BV1069" s="153"/>
      <c r="BW1069" s="153"/>
      <c r="BX1069" s="153"/>
      <c r="BY1069" s="153"/>
      <c r="BZ1069" s="153"/>
      <c r="CA1069" s="153"/>
      <c r="CB1069" s="153"/>
      <c r="CC1069" s="153"/>
      <c r="CD1069" s="155"/>
      <c r="CE1069" s="156"/>
      <c r="CF1069" s="155"/>
      <c r="CG1069" s="156"/>
      <c r="CH1069" s="155"/>
      <c r="CI1069" s="156"/>
      <c r="CJ1069" s="157">
        <f t="shared" si="140"/>
        <v>0</v>
      </c>
      <c r="CK1069" s="158">
        <v>15000</v>
      </c>
      <c r="CL1069" s="159">
        <f>15000*900</f>
        <v>13500000</v>
      </c>
      <c r="CM1069" s="160"/>
      <c r="CN1069" s="161"/>
      <c r="CO1069" s="162"/>
      <c r="CP1069" s="161"/>
      <c r="CQ1069" s="158"/>
      <c r="CR1069" s="159"/>
      <c r="CS1069" s="68"/>
      <c r="CT1069" s="163"/>
      <c r="EC1069" s="344" t="str">
        <f t="shared" si="143"/>
        <v>ARAUCA_ARAUCA</v>
      </c>
      <c r="ED1069" s="341"/>
      <c r="EE1069" s="341" t="s">
        <v>3214</v>
      </c>
      <c r="EF1069" s="349" t="s">
        <v>3215</v>
      </c>
      <c r="EG1069" s="341" t="s">
        <v>4293</v>
      </c>
      <c r="EH1069" s="341" t="s">
        <v>5034</v>
      </c>
      <c r="EI1069" s="341" t="str">
        <f t="shared" si="136"/>
        <v>Putumayo_Colon</v>
      </c>
    </row>
    <row r="1070" spans="1:139" s="164" customFormat="1" ht="45">
      <c r="A1070" s="228">
        <v>40415</v>
      </c>
      <c r="B1070" s="222" t="s">
        <v>1615</v>
      </c>
      <c r="C1070" s="222" t="s">
        <v>1563</v>
      </c>
      <c r="D1070" s="233" t="s">
        <v>1201</v>
      </c>
      <c r="E1070" s="325" t="s">
        <v>3385</v>
      </c>
      <c r="F1070" s="325"/>
      <c r="G1070" s="204"/>
      <c r="H1070" s="151"/>
      <c r="I1070" s="151"/>
      <c r="J1070" s="416">
        <f>2262*3.7</f>
        <v>8369.4</v>
      </c>
      <c r="K1070" s="151">
        <v>2262</v>
      </c>
      <c r="L1070" s="1">
        <v>40452</v>
      </c>
      <c r="M1070" s="73">
        <f t="shared" si="137"/>
        <v>270432000</v>
      </c>
      <c r="N1070" s="73">
        <f t="shared" si="138"/>
        <v>146540000</v>
      </c>
      <c r="O1070" s="73">
        <f t="shared" si="142"/>
        <v>0</v>
      </c>
      <c r="P1070" s="73">
        <f t="shared" si="139"/>
        <v>0</v>
      </c>
      <c r="Q1070" s="73"/>
      <c r="R1070" s="73">
        <v>0</v>
      </c>
      <c r="S1070" s="75">
        <f t="shared" si="141"/>
        <v>416972000</v>
      </c>
      <c r="T1070" s="77">
        <v>0</v>
      </c>
      <c r="U1070" s="66">
        <v>40415</v>
      </c>
      <c r="V1070" s="79">
        <v>47005</v>
      </c>
      <c r="W1070" s="66" t="s">
        <v>1606</v>
      </c>
      <c r="X1070" s="24" t="s">
        <v>1607</v>
      </c>
      <c r="Y1070" s="83" t="s">
        <v>2489</v>
      </c>
      <c r="Z1070" s="169" t="s">
        <v>2580</v>
      </c>
      <c r="AA1070" s="166" t="s">
        <v>902</v>
      </c>
      <c r="AB1070" s="152"/>
      <c r="AC1070" s="153"/>
      <c r="AD1070" s="154"/>
      <c r="AE1070" s="153"/>
      <c r="AF1070" s="153"/>
      <c r="AG1070" s="153"/>
      <c r="AH1070" s="153"/>
      <c r="AI1070" s="153"/>
      <c r="AJ1070" s="153"/>
      <c r="AK1070" s="153"/>
      <c r="AL1070" s="153"/>
      <c r="AM1070" s="153"/>
      <c r="AN1070" s="153">
        <v>2000</v>
      </c>
      <c r="AO1070" s="153">
        <f>2000*56000</f>
        <v>112000000</v>
      </c>
      <c r="AP1070" s="153"/>
      <c r="AQ1070" s="153"/>
      <c r="AR1070" s="153"/>
      <c r="AS1070" s="153"/>
      <c r="AT1070" s="153"/>
      <c r="AU1070" s="153"/>
      <c r="AV1070" s="153"/>
      <c r="AW1070" s="153"/>
      <c r="AX1070" s="153"/>
      <c r="AY1070" s="153"/>
      <c r="AZ1070" s="153"/>
      <c r="BA1070" s="153"/>
      <c r="BB1070" s="153"/>
      <c r="BC1070" s="153"/>
      <c r="BD1070" s="153"/>
      <c r="BE1070" s="153"/>
      <c r="BF1070" s="153"/>
      <c r="BG1070" s="153"/>
      <c r="BH1070" s="153"/>
      <c r="BI1070" s="153"/>
      <c r="BJ1070" s="153"/>
      <c r="BK1070" s="153"/>
      <c r="BL1070" s="153"/>
      <c r="BM1070" s="153"/>
      <c r="BN1070" s="153">
        <v>20</v>
      </c>
      <c r="BO1070" s="153">
        <f>20*520000</f>
        <v>10400000</v>
      </c>
      <c r="BP1070" s="153"/>
      <c r="BQ1070" s="153"/>
      <c r="BR1070" s="153"/>
      <c r="BS1070" s="153"/>
      <c r="BT1070" s="153"/>
      <c r="BU1070" s="153"/>
      <c r="BV1070" s="153"/>
      <c r="BW1070" s="153"/>
      <c r="BX1070" s="153">
        <v>2000</v>
      </c>
      <c r="BY1070" s="153">
        <f>2000*21500</f>
        <v>43000000</v>
      </c>
      <c r="BZ1070" s="153"/>
      <c r="CA1070" s="153"/>
      <c r="CB1070" s="153">
        <v>1724</v>
      </c>
      <c r="CC1070" s="153">
        <f>1724*18000</f>
        <v>31032000</v>
      </c>
      <c r="CD1070" s="155">
        <v>2000</v>
      </c>
      <c r="CE1070" s="156">
        <f>2000*37000</f>
        <v>74000000</v>
      </c>
      <c r="CF1070" s="155"/>
      <c r="CG1070" s="156"/>
      <c r="CH1070" s="155"/>
      <c r="CI1070" s="156"/>
      <c r="CJ1070" s="157">
        <f t="shared" si="140"/>
        <v>270432000</v>
      </c>
      <c r="CK1070" s="158"/>
      <c r="CL1070" s="159"/>
      <c r="CM1070" s="160">
        <f>1200+524</f>
        <v>1724</v>
      </c>
      <c r="CN1070" s="161">
        <f>1200*85000+524*85000</f>
        <v>146540000</v>
      </c>
      <c r="CO1070" s="162"/>
      <c r="CP1070" s="161"/>
      <c r="CQ1070" s="158"/>
      <c r="CR1070" s="159"/>
      <c r="CS1070" s="68"/>
      <c r="CT1070" s="163"/>
      <c r="EC1070" s="344" t="str">
        <f t="shared" si="143"/>
        <v>BOLIVAR_CICUCO</v>
      </c>
      <c r="ED1070" s="341"/>
      <c r="EE1070" s="341" t="s">
        <v>3214</v>
      </c>
      <c r="EF1070" s="349" t="s">
        <v>3215</v>
      </c>
      <c r="EG1070" s="341" t="s">
        <v>4294</v>
      </c>
      <c r="EH1070" s="341" t="s">
        <v>5329</v>
      </c>
      <c r="EI1070" s="341" t="str">
        <f t="shared" si="136"/>
        <v>Putumayo_Orito</v>
      </c>
    </row>
    <row r="1071" spans="1:139" s="164" customFormat="1" ht="48">
      <c r="A1071" s="228">
        <v>40415</v>
      </c>
      <c r="B1071" s="222" t="s">
        <v>1615</v>
      </c>
      <c r="C1071" s="222" t="s">
        <v>322</v>
      </c>
      <c r="D1071" s="233" t="s">
        <v>1201</v>
      </c>
      <c r="E1071" s="325" t="s">
        <v>3415</v>
      </c>
      <c r="F1071" s="325"/>
      <c r="G1071" s="204"/>
      <c r="H1071" s="151"/>
      <c r="I1071" s="151"/>
      <c r="J1071" s="416">
        <f>2981*3.7</f>
        <v>11029.7</v>
      </c>
      <c r="K1071" s="151">
        <v>2981</v>
      </c>
      <c r="L1071" s="1">
        <v>40452</v>
      </c>
      <c r="M1071" s="73">
        <f t="shared" si="137"/>
        <v>189268000</v>
      </c>
      <c r="N1071" s="73">
        <f t="shared" si="138"/>
        <v>386410000</v>
      </c>
      <c r="O1071" s="73">
        <f t="shared" si="142"/>
        <v>0</v>
      </c>
      <c r="P1071" s="73">
        <f t="shared" si="139"/>
        <v>0</v>
      </c>
      <c r="Q1071" s="73"/>
      <c r="R1071" s="73">
        <v>30000000</v>
      </c>
      <c r="S1071" s="75">
        <f t="shared" si="141"/>
        <v>605678000</v>
      </c>
      <c r="T1071" s="77">
        <v>0</v>
      </c>
      <c r="U1071" s="66">
        <v>40415</v>
      </c>
      <c r="V1071" s="79">
        <v>51824</v>
      </c>
      <c r="W1071" s="66" t="s">
        <v>1606</v>
      </c>
      <c r="X1071" s="24" t="s">
        <v>1607</v>
      </c>
      <c r="Y1071" s="83" t="s">
        <v>2490</v>
      </c>
      <c r="Z1071" s="169" t="s">
        <v>2580</v>
      </c>
      <c r="AA1071" s="166" t="s">
        <v>2187</v>
      </c>
      <c r="AB1071" s="152"/>
      <c r="AC1071" s="153"/>
      <c r="AD1071" s="154"/>
      <c r="AE1071" s="153"/>
      <c r="AF1071" s="153"/>
      <c r="AG1071" s="153"/>
      <c r="AH1071" s="153"/>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c r="BF1071" s="153"/>
      <c r="BG1071" s="153"/>
      <c r="BH1071" s="153"/>
      <c r="BI1071" s="153"/>
      <c r="BJ1071" s="153"/>
      <c r="BK1071" s="153"/>
      <c r="BL1071" s="153"/>
      <c r="BM1071" s="153"/>
      <c r="BN1071" s="153"/>
      <c r="BO1071" s="153"/>
      <c r="BP1071" s="153"/>
      <c r="BQ1071" s="153"/>
      <c r="BR1071" s="153"/>
      <c r="BS1071" s="153"/>
      <c r="BT1071" s="153"/>
      <c r="BU1071" s="153"/>
      <c r="BV1071" s="153"/>
      <c r="BW1071" s="153"/>
      <c r="BX1071" s="153">
        <v>2686</v>
      </c>
      <c r="BY1071" s="153">
        <f>2686*21000</f>
        <v>56406000</v>
      </c>
      <c r="BZ1071" s="153"/>
      <c r="CA1071" s="153"/>
      <c r="CB1071" s="153">
        <f>1200+660</f>
        <v>1860</v>
      </c>
      <c r="CC1071" s="153">
        <f>1200*18000+660*18000</f>
        <v>33480000</v>
      </c>
      <c r="CD1071" s="155">
        <v>2686</v>
      </c>
      <c r="CE1071" s="156">
        <f>2686*37000</f>
        <v>99382000</v>
      </c>
      <c r="CF1071" s="155"/>
      <c r="CG1071" s="156"/>
      <c r="CH1071" s="155"/>
      <c r="CI1071" s="156"/>
      <c r="CJ1071" s="157">
        <f t="shared" si="140"/>
        <v>189268000</v>
      </c>
      <c r="CK1071" s="158"/>
      <c r="CL1071" s="159"/>
      <c r="CM1071" s="160">
        <f>1200+660+2686</f>
        <v>4546</v>
      </c>
      <c r="CN1071" s="161">
        <f>1200*85000+660*85000+2686*85000</f>
        <v>386410000</v>
      </c>
      <c r="CO1071" s="162"/>
      <c r="CP1071" s="161"/>
      <c r="CQ1071" s="158"/>
      <c r="CR1071" s="159"/>
      <c r="CS1071" s="68"/>
      <c r="CT1071" s="163"/>
      <c r="EC1071" s="344" t="str">
        <f t="shared" si="143"/>
        <v>BOLIVAR_TALAIGUA NUEVO</v>
      </c>
      <c r="ED1071" s="341"/>
      <c r="EE1071" s="341" t="s">
        <v>3214</v>
      </c>
      <c r="EF1071" s="349" t="s">
        <v>3215</v>
      </c>
      <c r="EG1071" s="341" t="s">
        <v>4295</v>
      </c>
      <c r="EH1071" s="341" t="s">
        <v>5330</v>
      </c>
      <c r="EI1071" s="341" t="str">
        <f t="shared" si="136"/>
        <v>Putumayo_Puerto Asis</v>
      </c>
    </row>
    <row r="1072" spans="1:139" s="164" customFormat="1" ht="38.25">
      <c r="A1072" s="228">
        <v>40415</v>
      </c>
      <c r="B1072" s="222" t="s">
        <v>1821</v>
      </c>
      <c r="C1072" s="222" t="s">
        <v>1530</v>
      </c>
      <c r="D1072" s="206" t="s">
        <v>1878</v>
      </c>
      <c r="E1072" s="320" t="s">
        <v>3629</v>
      </c>
      <c r="F1072" s="320"/>
      <c r="G1072" s="204"/>
      <c r="H1072" s="151"/>
      <c r="I1072" s="151"/>
      <c r="J1072" s="151">
        <v>45</v>
      </c>
      <c r="K1072" s="151">
        <v>9</v>
      </c>
      <c r="L1072" s="1"/>
      <c r="M1072" s="73">
        <f t="shared" si="137"/>
        <v>0</v>
      </c>
      <c r="N1072" s="73">
        <f t="shared" si="138"/>
        <v>0</v>
      </c>
      <c r="O1072" s="73">
        <f t="shared" si="142"/>
        <v>0</v>
      </c>
      <c r="P1072" s="73">
        <f t="shared" si="139"/>
        <v>0</v>
      </c>
      <c r="Q1072" s="73"/>
      <c r="R1072" s="73">
        <v>0</v>
      </c>
      <c r="S1072" s="75">
        <f t="shared" si="141"/>
        <v>0</v>
      </c>
      <c r="T1072" s="77">
        <v>0</v>
      </c>
      <c r="U1072" s="66">
        <v>40418</v>
      </c>
      <c r="V1072" s="79"/>
      <c r="W1072" s="66" t="s">
        <v>1585</v>
      </c>
      <c r="X1072" s="24" t="s">
        <v>1586</v>
      </c>
      <c r="Y1072" s="62"/>
      <c r="Z1072" s="169" t="s">
        <v>894</v>
      </c>
      <c r="AA1072" s="166" t="s">
        <v>342</v>
      </c>
      <c r="AB1072" s="152"/>
      <c r="AC1072" s="153"/>
      <c r="AD1072" s="154"/>
      <c r="AE1072" s="153"/>
      <c r="AF1072" s="153"/>
      <c r="AG1072" s="153"/>
      <c r="AH1072" s="153"/>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c r="BF1072" s="153"/>
      <c r="BG1072" s="153"/>
      <c r="BH1072" s="153"/>
      <c r="BI1072" s="153"/>
      <c r="BJ1072" s="153"/>
      <c r="BK1072" s="153"/>
      <c r="BL1072" s="153"/>
      <c r="BM1072" s="153"/>
      <c r="BN1072" s="153"/>
      <c r="BO1072" s="153"/>
      <c r="BP1072" s="153"/>
      <c r="BQ1072" s="153"/>
      <c r="BR1072" s="153"/>
      <c r="BS1072" s="153"/>
      <c r="BT1072" s="153"/>
      <c r="BU1072" s="153"/>
      <c r="BV1072" s="153"/>
      <c r="BW1072" s="153"/>
      <c r="BX1072" s="153"/>
      <c r="BY1072" s="153"/>
      <c r="BZ1072" s="153"/>
      <c r="CA1072" s="153"/>
      <c r="CB1072" s="153"/>
      <c r="CC1072" s="153"/>
      <c r="CD1072" s="155"/>
      <c r="CE1072" s="156"/>
      <c r="CF1072" s="155"/>
      <c r="CG1072" s="156"/>
      <c r="CH1072" s="155"/>
      <c r="CI1072" s="156"/>
      <c r="CJ1072" s="157">
        <f t="shared" si="140"/>
        <v>0</v>
      </c>
      <c r="CK1072" s="158"/>
      <c r="CL1072" s="159"/>
      <c r="CM1072" s="160"/>
      <c r="CN1072" s="161"/>
      <c r="CO1072" s="162"/>
      <c r="CP1072" s="161"/>
      <c r="CQ1072" s="158"/>
      <c r="CR1072" s="159"/>
      <c r="CS1072" s="68"/>
      <c r="CT1072" s="163"/>
      <c r="EC1072" s="344" t="str">
        <f t="shared" si="143"/>
        <v>CESAR_AGUACHICA</v>
      </c>
      <c r="ED1072" s="341"/>
      <c r="EE1072" s="341" t="s">
        <v>3214</v>
      </c>
      <c r="EF1072" s="349" t="s">
        <v>3215</v>
      </c>
      <c r="EG1072" s="341" t="s">
        <v>4296</v>
      </c>
      <c r="EH1072" s="341" t="s">
        <v>5331</v>
      </c>
      <c r="EI1072" s="341" t="str">
        <f t="shared" si="136"/>
        <v>Putumayo_Puerto Caicedo</v>
      </c>
    </row>
    <row r="1073" spans="1:139" s="164" customFormat="1" ht="84">
      <c r="A1073" s="228">
        <v>40415</v>
      </c>
      <c r="B1073" s="222" t="s">
        <v>1824</v>
      </c>
      <c r="C1073" s="222" t="s">
        <v>841</v>
      </c>
      <c r="D1073" s="207" t="s">
        <v>329</v>
      </c>
      <c r="E1073" s="323" t="s">
        <v>3934</v>
      </c>
      <c r="F1073" s="323"/>
      <c r="G1073" s="204"/>
      <c r="H1073" s="151"/>
      <c r="I1073" s="151"/>
      <c r="J1073" s="151"/>
      <c r="K1073" s="151"/>
      <c r="L1073" s="1"/>
      <c r="M1073" s="73">
        <f t="shared" si="137"/>
        <v>0</v>
      </c>
      <c r="N1073" s="73">
        <f t="shared" si="138"/>
        <v>0</v>
      </c>
      <c r="O1073" s="73">
        <f t="shared" si="142"/>
        <v>0</v>
      </c>
      <c r="P1073" s="73">
        <f t="shared" si="139"/>
        <v>0</v>
      </c>
      <c r="Q1073" s="73"/>
      <c r="R1073" s="73">
        <v>0</v>
      </c>
      <c r="S1073" s="75">
        <f t="shared" si="141"/>
        <v>0</v>
      </c>
      <c r="T1073" s="77">
        <v>0</v>
      </c>
      <c r="U1073" s="66">
        <v>40415</v>
      </c>
      <c r="V1073" s="79"/>
      <c r="W1073" s="66" t="s">
        <v>1585</v>
      </c>
      <c r="X1073" s="24" t="s">
        <v>1586</v>
      </c>
      <c r="Y1073" s="62"/>
      <c r="Z1073" s="169" t="s">
        <v>894</v>
      </c>
      <c r="AA1073" s="166" t="s">
        <v>1054</v>
      </c>
      <c r="AB1073" s="152"/>
      <c r="AC1073" s="153"/>
      <c r="AD1073" s="154"/>
      <c r="AE1073" s="153"/>
      <c r="AF1073" s="153"/>
      <c r="AG1073" s="153"/>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c r="BF1073" s="153"/>
      <c r="BG1073" s="153"/>
      <c r="BH1073" s="153"/>
      <c r="BI1073" s="153"/>
      <c r="BJ1073" s="153"/>
      <c r="BK1073" s="153"/>
      <c r="BL1073" s="153"/>
      <c r="BM1073" s="153"/>
      <c r="BN1073" s="153"/>
      <c r="BO1073" s="153"/>
      <c r="BP1073" s="153"/>
      <c r="BQ1073" s="153"/>
      <c r="BR1073" s="153"/>
      <c r="BS1073" s="153"/>
      <c r="BT1073" s="153"/>
      <c r="BU1073" s="153"/>
      <c r="BV1073" s="153"/>
      <c r="BW1073" s="153"/>
      <c r="BX1073" s="153"/>
      <c r="BY1073" s="153"/>
      <c r="BZ1073" s="153"/>
      <c r="CA1073" s="153"/>
      <c r="CB1073" s="153"/>
      <c r="CC1073" s="153"/>
      <c r="CD1073" s="155"/>
      <c r="CE1073" s="156"/>
      <c r="CF1073" s="155"/>
      <c r="CG1073" s="156"/>
      <c r="CH1073" s="155"/>
      <c r="CI1073" s="156"/>
      <c r="CJ1073" s="157">
        <f t="shared" si="140"/>
        <v>0</v>
      </c>
      <c r="CK1073" s="158"/>
      <c r="CL1073" s="159"/>
      <c r="CM1073" s="160"/>
      <c r="CN1073" s="161"/>
      <c r="CO1073" s="162"/>
      <c r="CP1073" s="161"/>
      <c r="CQ1073" s="158"/>
      <c r="CR1073" s="159"/>
      <c r="CS1073" s="68"/>
      <c r="CT1073" s="163"/>
      <c r="EC1073" s="344" t="str">
        <f t="shared" si="143"/>
        <v>NARIÑO_PASTO</v>
      </c>
      <c r="ED1073" s="341"/>
      <c r="EE1073" s="341" t="s">
        <v>3214</v>
      </c>
      <c r="EF1073" s="349" t="s">
        <v>3215</v>
      </c>
      <c r="EG1073" s="341" t="s">
        <v>4297</v>
      </c>
      <c r="EH1073" s="341" t="s">
        <v>5332</v>
      </c>
      <c r="EI1073" s="341" t="str">
        <f t="shared" si="136"/>
        <v>Putumayo_Puerto Guzman</v>
      </c>
    </row>
    <row r="1074" spans="1:139" s="164" customFormat="1" ht="38.25">
      <c r="A1074" s="228">
        <v>40415</v>
      </c>
      <c r="B1074" s="222" t="s">
        <v>1998</v>
      </c>
      <c r="C1074" s="222" t="s">
        <v>1011</v>
      </c>
      <c r="D1074" s="206" t="s">
        <v>1878</v>
      </c>
      <c r="E1074" s="320" t="s">
        <v>4064</v>
      </c>
      <c r="F1074" s="320"/>
      <c r="G1074" s="263"/>
      <c r="H1074" s="151">
        <v>2</v>
      </c>
      <c r="I1074" s="151"/>
      <c r="J1074" s="151">
        <v>75</v>
      </c>
      <c r="K1074" s="151">
        <v>15</v>
      </c>
      <c r="L1074" s="1"/>
      <c r="M1074" s="73">
        <f t="shared" si="137"/>
        <v>0</v>
      </c>
      <c r="N1074" s="73">
        <f t="shared" si="138"/>
        <v>0</v>
      </c>
      <c r="O1074" s="73">
        <f t="shared" si="142"/>
        <v>0</v>
      </c>
      <c r="P1074" s="73">
        <f t="shared" si="139"/>
        <v>0</v>
      </c>
      <c r="Q1074" s="73"/>
      <c r="R1074" s="73">
        <v>0</v>
      </c>
      <c r="S1074" s="75">
        <f t="shared" si="141"/>
        <v>0</v>
      </c>
      <c r="T1074" s="77">
        <v>0</v>
      </c>
      <c r="U1074" s="66">
        <v>40418</v>
      </c>
      <c r="V1074" s="79"/>
      <c r="W1074" s="66" t="s">
        <v>1606</v>
      </c>
      <c r="X1074" s="24" t="s">
        <v>1607</v>
      </c>
      <c r="Y1074" s="62"/>
      <c r="Z1074" s="271" t="s">
        <v>2279</v>
      </c>
      <c r="AA1074" s="166" t="s">
        <v>339</v>
      </c>
      <c r="AB1074" s="152"/>
      <c r="AC1074" s="153"/>
      <c r="AD1074" s="154"/>
      <c r="AE1074" s="153"/>
      <c r="AF1074" s="153"/>
      <c r="AG1074" s="153"/>
      <c r="AH1074" s="153"/>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c r="BF1074" s="153"/>
      <c r="BG1074" s="153"/>
      <c r="BH1074" s="153"/>
      <c r="BI1074" s="153"/>
      <c r="BJ1074" s="153"/>
      <c r="BK1074" s="153"/>
      <c r="BL1074" s="153"/>
      <c r="BM1074" s="153"/>
      <c r="BN1074" s="153"/>
      <c r="BO1074" s="153"/>
      <c r="BP1074" s="153"/>
      <c r="BQ1074" s="153"/>
      <c r="BR1074" s="153"/>
      <c r="BS1074" s="153"/>
      <c r="BT1074" s="153"/>
      <c r="BU1074" s="153"/>
      <c r="BV1074" s="153"/>
      <c r="BW1074" s="153"/>
      <c r="BX1074" s="153"/>
      <c r="BY1074" s="153"/>
      <c r="BZ1074" s="153"/>
      <c r="CA1074" s="153"/>
      <c r="CB1074" s="153"/>
      <c r="CC1074" s="153"/>
      <c r="CD1074" s="155"/>
      <c r="CE1074" s="156"/>
      <c r="CF1074" s="155"/>
      <c r="CG1074" s="156"/>
      <c r="CH1074" s="155"/>
      <c r="CI1074" s="156"/>
      <c r="CJ1074" s="157">
        <f t="shared" si="140"/>
        <v>0</v>
      </c>
      <c r="CK1074" s="158"/>
      <c r="CL1074" s="159"/>
      <c r="CM1074" s="160"/>
      <c r="CN1074" s="161"/>
      <c r="CO1074" s="162"/>
      <c r="CP1074" s="161"/>
      <c r="CQ1074" s="158"/>
      <c r="CR1074" s="159"/>
      <c r="CS1074" s="68"/>
      <c r="CT1074" s="163"/>
      <c r="EC1074" s="344" t="str">
        <f t="shared" si="143"/>
        <v>SANTANDER_BUCARAMANGA</v>
      </c>
      <c r="ED1074" s="341"/>
      <c r="EE1074" s="341" t="s">
        <v>3214</v>
      </c>
      <c r="EF1074" s="349" t="s">
        <v>3215</v>
      </c>
      <c r="EG1074" s="341" t="s">
        <v>4298</v>
      </c>
      <c r="EH1074" s="341" t="s">
        <v>5333</v>
      </c>
      <c r="EI1074" s="341" t="str">
        <f t="shared" si="136"/>
        <v>Putumayo_Leguizamo</v>
      </c>
    </row>
    <row r="1075" spans="1:139" s="164" customFormat="1" ht="36">
      <c r="A1075" s="228">
        <v>40415</v>
      </c>
      <c r="B1075" s="222" t="s">
        <v>1998</v>
      </c>
      <c r="C1075" s="222" t="s">
        <v>1749</v>
      </c>
      <c r="D1075" s="206" t="s">
        <v>1878</v>
      </c>
      <c r="E1075" s="320" t="s">
        <v>4114</v>
      </c>
      <c r="F1075" s="320"/>
      <c r="G1075" s="263"/>
      <c r="H1075" s="151"/>
      <c r="I1075" s="151"/>
      <c r="J1075" s="151">
        <f>80*5</f>
        <v>400</v>
      </c>
      <c r="K1075" s="151">
        <v>80</v>
      </c>
      <c r="L1075" s="1"/>
      <c r="M1075" s="73">
        <f t="shared" si="137"/>
        <v>0</v>
      </c>
      <c r="N1075" s="73">
        <f t="shared" si="138"/>
        <v>0</v>
      </c>
      <c r="O1075" s="73">
        <f t="shared" si="142"/>
        <v>0</v>
      </c>
      <c r="P1075" s="73">
        <f t="shared" si="139"/>
        <v>0</v>
      </c>
      <c r="Q1075" s="73"/>
      <c r="R1075" s="73">
        <v>0</v>
      </c>
      <c r="S1075" s="75">
        <f t="shared" si="141"/>
        <v>0</v>
      </c>
      <c r="T1075" s="77">
        <v>0</v>
      </c>
      <c r="U1075" s="66">
        <v>40416</v>
      </c>
      <c r="V1075" s="79"/>
      <c r="W1075" s="66" t="s">
        <v>1606</v>
      </c>
      <c r="X1075" s="24" t="s">
        <v>1607</v>
      </c>
      <c r="Y1075" s="62"/>
      <c r="Z1075" s="176" t="s">
        <v>2279</v>
      </c>
      <c r="AA1075" s="166" t="s">
        <v>330</v>
      </c>
      <c r="AB1075" s="152"/>
      <c r="AC1075" s="153"/>
      <c r="AD1075" s="154"/>
      <c r="AE1075" s="153"/>
      <c r="AF1075" s="153"/>
      <c r="AG1075" s="153"/>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c r="BF1075" s="153"/>
      <c r="BG1075" s="153"/>
      <c r="BH1075" s="153"/>
      <c r="BI1075" s="153"/>
      <c r="BJ1075" s="153"/>
      <c r="BK1075" s="153"/>
      <c r="BL1075" s="153"/>
      <c r="BM1075" s="153"/>
      <c r="BN1075" s="153"/>
      <c r="BO1075" s="153"/>
      <c r="BP1075" s="153"/>
      <c r="BQ1075" s="153"/>
      <c r="BR1075" s="153"/>
      <c r="BS1075" s="153"/>
      <c r="BT1075" s="153"/>
      <c r="BU1075" s="153"/>
      <c r="BV1075" s="153"/>
      <c r="BW1075" s="153"/>
      <c r="BX1075" s="153"/>
      <c r="BY1075" s="153"/>
      <c r="BZ1075" s="153"/>
      <c r="CA1075" s="153"/>
      <c r="CB1075" s="153"/>
      <c r="CC1075" s="153"/>
      <c r="CD1075" s="155"/>
      <c r="CE1075" s="156"/>
      <c r="CF1075" s="155"/>
      <c r="CG1075" s="156"/>
      <c r="CH1075" s="155"/>
      <c r="CI1075" s="156"/>
      <c r="CJ1075" s="157">
        <f t="shared" si="140"/>
        <v>0</v>
      </c>
      <c r="CK1075" s="158"/>
      <c r="CL1075" s="159"/>
      <c r="CM1075" s="160"/>
      <c r="CN1075" s="161"/>
      <c r="CO1075" s="162"/>
      <c r="CP1075" s="161"/>
      <c r="CQ1075" s="158"/>
      <c r="CR1075" s="159"/>
      <c r="CS1075" s="68"/>
      <c r="CT1075" s="163"/>
      <c r="EC1075" s="344" t="str">
        <f t="shared" si="143"/>
        <v>SANTANDER_MALAGA</v>
      </c>
      <c r="ED1075" s="341"/>
      <c r="EE1075" s="341" t="s">
        <v>3214</v>
      </c>
      <c r="EF1075" s="349" t="s">
        <v>3215</v>
      </c>
      <c r="EG1075" s="341" t="s">
        <v>4299</v>
      </c>
      <c r="EH1075" s="341" t="s">
        <v>5334</v>
      </c>
      <c r="EI1075" s="341" t="str">
        <f t="shared" si="136"/>
        <v>Putumayo_Sibundoy</v>
      </c>
    </row>
    <row r="1076" spans="1:139" s="164" customFormat="1" ht="48">
      <c r="A1076" s="228">
        <v>40416</v>
      </c>
      <c r="B1076" s="205" t="s">
        <v>1821</v>
      </c>
      <c r="C1076" s="205" t="s">
        <v>425</v>
      </c>
      <c r="D1076" s="207" t="s">
        <v>1201</v>
      </c>
      <c r="E1076" s="323" t="s">
        <v>3633</v>
      </c>
      <c r="F1076" s="323"/>
      <c r="G1076" s="204"/>
      <c r="H1076" s="151"/>
      <c r="I1076" s="151"/>
      <c r="J1076" s="151"/>
      <c r="K1076" s="151"/>
      <c r="L1076" s="1"/>
      <c r="M1076" s="73">
        <f t="shared" si="137"/>
        <v>0</v>
      </c>
      <c r="N1076" s="73">
        <f t="shared" si="138"/>
        <v>0</v>
      </c>
      <c r="O1076" s="73">
        <f t="shared" si="142"/>
        <v>0</v>
      </c>
      <c r="P1076" s="73">
        <f t="shared" si="139"/>
        <v>0</v>
      </c>
      <c r="Q1076" s="73"/>
      <c r="R1076" s="73">
        <v>0</v>
      </c>
      <c r="S1076" s="75">
        <f t="shared" si="141"/>
        <v>0</v>
      </c>
      <c r="T1076" s="77">
        <v>0</v>
      </c>
      <c r="U1076" s="66">
        <v>40471</v>
      </c>
      <c r="V1076" s="79"/>
      <c r="W1076" s="66" t="s">
        <v>1585</v>
      </c>
      <c r="X1076" s="24" t="s">
        <v>1586</v>
      </c>
      <c r="Y1076" s="62"/>
      <c r="Z1076" s="169" t="s">
        <v>894</v>
      </c>
      <c r="AA1076" s="166" t="s">
        <v>1665</v>
      </c>
      <c r="AB1076" s="152"/>
      <c r="AC1076" s="153"/>
      <c r="AD1076" s="154"/>
      <c r="AE1076" s="153"/>
      <c r="AF1076" s="153"/>
      <c r="AG1076" s="153"/>
      <c r="AH1076" s="153"/>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c r="BI1076" s="153"/>
      <c r="BJ1076" s="153"/>
      <c r="BK1076" s="153"/>
      <c r="BL1076" s="153"/>
      <c r="BM1076" s="153"/>
      <c r="BN1076" s="153"/>
      <c r="BO1076" s="153"/>
      <c r="BP1076" s="153"/>
      <c r="BQ1076" s="153"/>
      <c r="BR1076" s="153"/>
      <c r="BS1076" s="153"/>
      <c r="BT1076" s="153"/>
      <c r="BU1076" s="153"/>
      <c r="BV1076" s="153"/>
      <c r="BW1076" s="153"/>
      <c r="BX1076" s="153"/>
      <c r="BY1076" s="153"/>
      <c r="BZ1076" s="153"/>
      <c r="CA1076" s="153"/>
      <c r="CB1076" s="153"/>
      <c r="CC1076" s="153"/>
      <c r="CD1076" s="155"/>
      <c r="CE1076" s="156"/>
      <c r="CF1076" s="155"/>
      <c r="CG1076" s="156"/>
      <c r="CH1076" s="155"/>
      <c r="CI1076" s="156"/>
      <c r="CJ1076" s="157">
        <f t="shared" si="140"/>
        <v>0</v>
      </c>
      <c r="CK1076" s="158"/>
      <c r="CL1076" s="159"/>
      <c r="CM1076" s="160"/>
      <c r="CN1076" s="161"/>
      <c r="CO1076" s="162"/>
      <c r="CP1076" s="161"/>
      <c r="CQ1076" s="158"/>
      <c r="CR1076" s="159"/>
      <c r="CS1076" s="68"/>
      <c r="CT1076" s="163"/>
      <c r="EC1076" s="344" t="str">
        <f t="shared" si="143"/>
        <v>CESAR_BOSCONIA</v>
      </c>
      <c r="ED1076" s="341"/>
      <c r="EE1076" s="341" t="s">
        <v>3214</v>
      </c>
      <c r="EF1076" s="349" t="s">
        <v>3215</v>
      </c>
      <c r="EG1076" s="341" t="s">
        <v>4300</v>
      </c>
      <c r="EH1076" s="341" t="s">
        <v>4459</v>
      </c>
      <c r="EI1076" s="341" t="str">
        <f t="shared" si="136"/>
        <v>Putumayo_San Francisco</v>
      </c>
    </row>
    <row r="1077" spans="1:139" s="164" customFormat="1" ht="72">
      <c r="A1077" s="228">
        <v>40416</v>
      </c>
      <c r="B1077" s="102" t="s">
        <v>1440</v>
      </c>
      <c r="C1077" s="102" t="s">
        <v>1418</v>
      </c>
      <c r="D1077" s="206" t="s">
        <v>1201</v>
      </c>
      <c r="E1077" s="320" t="s">
        <v>3875</v>
      </c>
      <c r="F1077" s="320"/>
      <c r="G1077" s="204"/>
      <c r="H1077" s="151"/>
      <c r="I1077" s="151"/>
      <c r="J1077" s="151">
        <v>12500</v>
      </c>
      <c r="K1077" s="151">
        <v>2500</v>
      </c>
      <c r="L1077" s="1">
        <v>40443</v>
      </c>
      <c r="M1077" s="73">
        <f t="shared" si="137"/>
        <v>94500000</v>
      </c>
      <c r="N1077" s="73">
        <f t="shared" si="138"/>
        <v>0</v>
      </c>
      <c r="O1077" s="73">
        <f t="shared" si="142"/>
        <v>0</v>
      </c>
      <c r="P1077" s="73">
        <f t="shared" si="139"/>
        <v>29580000</v>
      </c>
      <c r="Q1077" s="73"/>
      <c r="R1077" s="73">
        <v>0</v>
      </c>
      <c r="S1077" s="75">
        <f t="shared" si="141"/>
        <v>124080000</v>
      </c>
      <c r="T1077" s="77">
        <v>0</v>
      </c>
      <c r="U1077" s="66">
        <v>40417</v>
      </c>
      <c r="V1077" s="79">
        <v>38277</v>
      </c>
      <c r="W1077" s="66" t="s">
        <v>1606</v>
      </c>
      <c r="X1077" s="24" t="s">
        <v>1607</v>
      </c>
      <c r="Y1077" s="83" t="s">
        <v>2084</v>
      </c>
      <c r="Z1077" s="169" t="s">
        <v>324</v>
      </c>
      <c r="AA1077" s="166" t="s">
        <v>340</v>
      </c>
      <c r="AB1077" s="152"/>
      <c r="AC1077" s="153"/>
      <c r="AD1077" s="154"/>
      <c r="AE1077" s="153"/>
      <c r="AF1077" s="153"/>
      <c r="AG1077" s="153"/>
      <c r="AH1077" s="153"/>
      <c r="AI1077" s="153"/>
      <c r="AJ1077" s="153"/>
      <c r="AK1077" s="153"/>
      <c r="AL1077" s="153"/>
      <c r="AM1077" s="153"/>
      <c r="AN1077" s="153"/>
      <c r="AO1077" s="153"/>
      <c r="AP1077" s="153">
        <v>1000</v>
      </c>
      <c r="AQ1077" s="153">
        <f>1000*56000</f>
        <v>56000000</v>
      </c>
      <c r="AR1077" s="153"/>
      <c r="AS1077" s="153"/>
      <c r="AT1077" s="153"/>
      <c r="AU1077" s="153"/>
      <c r="AV1077" s="153"/>
      <c r="AW1077" s="153"/>
      <c r="AX1077" s="153"/>
      <c r="AY1077" s="153"/>
      <c r="AZ1077" s="153"/>
      <c r="BA1077" s="153"/>
      <c r="BB1077" s="153"/>
      <c r="BC1077" s="153"/>
      <c r="BD1077" s="153"/>
      <c r="BE1077" s="153"/>
      <c r="BF1077" s="153"/>
      <c r="BG1077" s="153"/>
      <c r="BH1077" s="153"/>
      <c r="BI1077" s="153"/>
      <c r="BJ1077" s="153"/>
      <c r="BK1077" s="153"/>
      <c r="BL1077" s="153"/>
      <c r="BM1077" s="153"/>
      <c r="BN1077" s="153"/>
      <c r="BO1077" s="153"/>
      <c r="BP1077" s="153"/>
      <c r="BQ1077" s="153"/>
      <c r="BR1077" s="153"/>
      <c r="BS1077" s="153"/>
      <c r="BT1077" s="153"/>
      <c r="BU1077" s="153"/>
      <c r="BV1077" s="153"/>
      <c r="BW1077" s="153"/>
      <c r="BX1077" s="153"/>
      <c r="BY1077" s="153"/>
      <c r="BZ1077" s="153"/>
      <c r="CA1077" s="153"/>
      <c r="CB1077" s="153"/>
      <c r="CC1077" s="153"/>
      <c r="CD1077" s="155">
        <v>1000</v>
      </c>
      <c r="CE1077" s="156">
        <f>1000*38500</f>
        <v>38500000</v>
      </c>
      <c r="CF1077" s="155"/>
      <c r="CG1077" s="156"/>
      <c r="CH1077" s="155"/>
      <c r="CI1077" s="156"/>
      <c r="CJ1077" s="157">
        <f t="shared" si="140"/>
        <v>94500000</v>
      </c>
      <c r="CK1077" s="158">
        <v>30000</v>
      </c>
      <c r="CL1077" s="159">
        <f>30000*986</f>
        <v>29580000</v>
      </c>
      <c r="CM1077" s="160"/>
      <c r="CN1077" s="161"/>
      <c r="CO1077" s="162"/>
      <c r="CP1077" s="161"/>
      <c r="CQ1077" s="158"/>
      <c r="CR1077" s="159"/>
      <c r="CS1077" s="68"/>
      <c r="CT1077" s="163"/>
      <c r="EC1077" s="344" t="str">
        <f t="shared" si="143"/>
        <v>MAGDALENA_SANTA MARTA</v>
      </c>
      <c r="ED1077" s="341"/>
      <c r="EE1077" s="341" t="s">
        <v>3214</v>
      </c>
      <c r="EF1077" s="349" t="s">
        <v>3215</v>
      </c>
      <c r="EG1077" s="341" t="s">
        <v>4301</v>
      </c>
      <c r="EH1077" s="341" t="s">
        <v>5191</v>
      </c>
      <c r="EI1077" s="341" t="str">
        <f t="shared" si="136"/>
        <v>Putumayo_San Miguel</v>
      </c>
    </row>
    <row r="1078" spans="1:139" s="164" customFormat="1" ht="36">
      <c r="A1078" s="228">
        <v>40417</v>
      </c>
      <c r="B1078" s="222" t="s">
        <v>2400</v>
      </c>
      <c r="C1078" s="222" t="s">
        <v>1545</v>
      </c>
      <c r="D1078" s="233" t="s">
        <v>2606</v>
      </c>
      <c r="E1078" s="325" t="s">
        <v>4177</v>
      </c>
      <c r="F1078" s="325"/>
      <c r="G1078" s="204"/>
      <c r="H1078" s="151"/>
      <c r="I1078" s="151"/>
      <c r="J1078" s="151">
        <f>350*5</f>
        <v>1750</v>
      </c>
      <c r="K1078" s="151">
        <v>350</v>
      </c>
      <c r="L1078" s="1"/>
      <c r="M1078" s="73">
        <f t="shared" si="137"/>
        <v>0</v>
      </c>
      <c r="N1078" s="73">
        <f t="shared" si="138"/>
        <v>0</v>
      </c>
      <c r="O1078" s="73">
        <f t="shared" si="142"/>
        <v>0</v>
      </c>
      <c r="P1078" s="73">
        <f t="shared" si="139"/>
        <v>0</v>
      </c>
      <c r="Q1078" s="73"/>
      <c r="R1078" s="73">
        <v>0</v>
      </c>
      <c r="S1078" s="75">
        <f t="shared" si="141"/>
        <v>0</v>
      </c>
      <c r="T1078" s="77">
        <v>0</v>
      </c>
      <c r="U1078" s="66">
        <v>40418</v>
      </c>
      <c r="V1078" s="79"/>
      <c r="W1078" s="66" t="s">
        <v>1585</v>
      </c>
      <c r="X1078" s="24" t="s">
        <v>1586</v>
      </c>
      <c r="Y1078" s="62"/>
      <c r="Z1078" s="169" t="s">
        <v>894</v>
      </c>
      <c r="AA1078" s="166" t="s">
        <v>341</v>
      </c>
      <c r="AB1078" s="152"/>
      <c r="AC1078" s="153"/>
      <c r="AD1078" s="154"/>
      <c r="AE1078" s="153"/>
      <c r="AF1078" s="153"/>
      <c r="AG1078" s="153"/>
      <c r="AH1078" s="153"/>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c r="BF1078" s="153"/>
      <c r="BG1078" s="153"/>
      <c r="BH1078" s="153"/>
      <c r="BI1078" s="153"/>
      <c r="BJ1078" s="153"/>
      <c r="BK1078" s="153"/>
      <c r="BL1078" s="153"/>
      <c r="BM1078" s="153"/>
      <c r="BN1078" s="153"/>
      <c r="BO1078" s="153"/>
      <c r="BP1078" s="153"/>
      <c r="BQ1078" s="153"/>
      <c r="BR1078" s="153"/>
      <c r="BS1078" s="153"/>
      <c r="BT1078" s="153"/>
      <c r="BU1078" s="153"/>
      <c r="BV1078" s="153"/>
      <c r="BW1078" s="153"/>
      <c r="BX1078" s="153"/>
      <c r="BY1078" s="153"/>
      <c r="BZ1078" s="153"/>
      <c r="CA1078" s="153"/>
      <c r="CB1078" s="153"/>
      <c r="CC1078" s="153"/>
      <c r="CD1078" s="155"/>
      <c r="CE1078" s="156"/>
      <c r="CF1078" s="155"/>
      <c r="CG1078" s="156"/>
      <c r="CH1078" s="155"/>
      <c r="CI1078" s="156"/>
      <c r="CJ1078" s="157">
        <f t="shared" si="140"/>
        <v>0</v>
      </c>
      <c r="CK1078" s="158"/>
      <c r="CL1078" s="159"/>
      <c r="CM1078" s="160"/>
      <c r="CN1078" s="161"/>
      <c r="CO1078" s="162"/>
      <c r="CP1078" s="161"/>
      <c r="CQ1078" s="158"/>
      <c r="CR1078" s="159"/>
      <c r="CS1078" s="68"/>
      <c r="CT1078" s="163"/>
      <c r="EC1078" s="344" t="str">
        <f t="shared" si="143"/>
        <v>TOLIMA_IBAGUE</v>
      </c>
      <c r="ED1078" s="341"/>
      <c r="EE1078" s="341" t="s">
        <v>3214</v>
      </c>
      <c r="EF1078" s="349" t="s">
        <v>3215</v>
      </c>
      <c r="EG1078" s="341" t="s">
        <v>4302</v>
      </c>
      <c r="EH1078" s="341" t="s">
        <v>5107</v>
      </c>
      <c r="EI1078" s="341" t="str">
        <f t="shared" si="136"/>
        <v>Putumayo_Santiago</v>
      </c>
    </row>
    <row r="1079" spans="1:139" s="164" customFormat="1" ht="132">
      <c r="A1079" s="228">
        <v>40418</v>
      </c>
      <c r="B1079" s="222" t="s">
        <v>1314</v>
      </c>
      <c r="C1079" s="222" t="s">
        <v>2734</v>
      </c>
      <c r="D1079" s="233" t="s">
        <v>1308</v>
      </c>
      <c r="E1079" s="325" t="s">
        <v>3603</v>
      </c>
      <c r="F1079" s="325"/>
      <c r="G1079" s="204"/>
      <c r="H1079" s="151"/>
      <c r="I1079" s="151"/>
      <c r="J1079" s="151">
        <f>12*5</f>
        <v>60</v>
      </c>
      <c r="K1079" s="151">
        <v>12</v>
      </c>
      <c r="L1079" s="1">
        <v>40480</v>
      </c>
      <c r="M1079" s="73">
        <f t="shared" si="137"/>
        <v>0</v>
      </c>
      <c r="N1079" s="73">
        <f t="shared" si="138"/>
        <v>0</v>
      </c>
      <c r="O1079" s="73">
        <f t="shared" si="142"/>
        <v>0</v>
      </c>
      <c r="P1079" s="73">
        <f t="shared" si="139"/>
        <v>0</v>
      </c>
      <c r="Q1079" s="73"/>
      <c r="R1079" s="73">
        <v>25000000</v>
      </c>
      <c r="S1079" s="75">
        <f t="shared" si="141"/>
        <v>25000000</v>
      </c>
      <c r="T1079" s="77">
        <v>0</v>
      </c>
      <c r="U1079" s="66">
        <v>40418</v>
      </c>
      <c r="V1079" s="89" t="s">
        <v>2457</v>
      </c>
      <c r="W1079" s="66" t="s">
        <v>1606</v>
      </c>
      <c r="X1079" s="24" t="s">
        <v>1607</v>
      </c>
      <c r="Y1079" s="62">
        <v>40507</v>
      </c>
      <c r="Z1079" s="169" t="s">
        <v>2580</v>
      </c>
      <c r="AA1079" s="166" t="s">
        <v>2459</v>
      </c>
      <c r="AB1079" s="152"/>
      <c r="AC1079" s="153"/>
      <c r="AD1079" s="154"/>
      <c r="AE1079" s="153"/>
      <c r="AF1079" s="153"/>
      <c r="AG1079" s="153"/>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c r="BF1079" s="153"/>
      <c r="BG1079" s="153"/>
      <c r="BH1079" s="153"/>
      <c r="BI1079" s="153"/>
      <c r="BJ1079" s="153"/>
      <c r="BK1079" s="153"/>
      <c r="BL1079" s="153"/>
      <c r="BM1079" s="153"/>
      <c r="BN1079" s="153"/>
      <c r="BO1079" s="153"/>
      <c r="BP1079" s="153"/>
      <c r="BQ1079" s="153"/>
      <c r="BR1079" s="153"/>
      <c r="BS1079" s="153"/>
      <c r="BT1079" s="153"/>
      <c r="BU1079" s="153"/>
      <c r="BV1079" s="153"/>
      <c r="BW1079" s="153"/>
      <c r="BX1079" s="153"/>
      <c r="BY1079" s="153"/>
      <c r="BZ1079" s="153"/>
      <c r="CA1079" s="153"/>
      <c r="CB1079" s="153"/>
      <c r="CC1079" s="153"/>
      <c r="CD1079" s="155"/>
      <c r="CE1079" s="156"/>
      <c r="CF1079" s="155"/>
      <c r="CG1079" s="156"/>
      <c r="CH1079" s="155"/>
      <c r="CI1079" s="156"/>
      <c r="CJ1079" s="157">
        <f t="shared" si="140"/>
        <v>0</v>
      </c>
      <c r="CK1079" s="158"/>
      <c r="CL1079" s="159"/>
      <c r="CM1079" s="160"/>
      <c r="CN1079" s="161"/>
      <c r="CO1079" s="162"/>
      <c r="CP1079" s="161"/>
      <c r="CQ1079" s="158"/>
      <c r="CR1079" s="159"/>
      <c r="CS1079" s="68" t="s">
        <v>2458</v>
      </c>
      <c r="CT1079" s="163"/>
      <c r="EC1079" s="344" t="str">
        <f t="shared" si="143"/>
        <v>CAUCA_LA VEGA</v>
      </c>
      <c r="ED1079" s="341"/>
      <c r="EE1079" s="341" t="s">
        <v>3214</v>
      </c>
      <c r="EF1079" s="349" t="s">
        <v>3215</v>
      </c>
      <c r="EG1079" s="341" t="s">
        <v>4303</v>
      </c>
      <c r="EH1079" s="341" t="s">
        <v>5335</v>
      </c>
      <c r="EI1079" s="341" t="str">
        <f t="shared" si="136"/>
        <v>Putumayo_Valle del Guamuez</v>
      </c>
    </row>
    <row r="1080" spans="1:139" s="164" customFormat="1" ht="132">
      <c r="A1080" s="228">
        <v>40418</v>
      </c>
      <c r="B1080" s="205" t="s">
        <v>1314</v>
      </c>
      <c r="C1080" s="205" t="s">
        <v>2734</v>
      </c>
      <c r="D1080" s="206" t="s">
        <v>1878</v>
      </c>
      <c r="E1080" s="320" t="s">
        <v>3603</v>
      </c>
      <c r="F1080" s="320"/>
      <c r="G1080" s="204"/>
      <c r="H1080" s="151"/>
      <c r="I1080" s="151"/>
      <c r="J1080" s="151"/>
      <c r="K1080" s="151"/>
      <c r="L1080" s="1">
        <v>40480</v>
      </c>
      <c r="M1080" s="73">
        <f t="shared" si="137"/>
        <v>0</v>
      </c>
      <c r="N1080" s="73">
        <f t="shared" si="138"/>
        <v>0</v>
      </c>
      <c r="O1080" s="73">
        <f t="shared" si="142"/>
        <v>0</v>
      </c>
      <c r="P1080" s="73">
        <f t="shared" si="139"/>
        <v>0</v>
      </c>
      <c r="Q1080" s="73"/>
      <c r="R1080" s="73">
        <v>10000000</v>
      </c>
      <c r="S1080" s="75">
        <f t="shared" si="141"/>
        <v>10000000</v>
      </c>
      <c r="T1080" s="77">
        <v>0</v>
      </c>
      <c r="U1080" s="66">
        <v>40418</v>
      </c>
      <c r="V1080" s="89" t="s">
        <v>2457</v>
      </c>
      <c r="W1080" s="66" t="s">
        <v>1606</v>
      </c>
      <c r="X1080" s="24" t="s">
        <v>1607</v>
      </c>
      <c r="Y1080" s="62">
        <v>40507</v>
      </c>
      <c r="Z1080" s="169" t="s">
        <v>2580</v>
      </c>
      <c r="AA1080" s="166" t="s">
        <v>2460</v>
      </c>
      <c r="AB1080" s="152"/>
      <c r="AC1080" s="153"/>
      <c r="AD1080" s="154"/>
      <c r="AE1080" s="153"/>
      <c r="AF1080" s="153"/>
      <c r="AG1080" s="153"/>
      <c r="AH1080" s="153"/>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c r="BF1080" s="153"/>
      <c r="BG1080" s="153"/>
      <c r="BH1080" s="153"/>
      <c r="BI1080" s="153"/>
      <c r="BJ1080" s="153"/>
      <c r="BK1080" s="153"/>
      <c r="BL1080" s="153"/>
      <c r="BM1080" s="153"/>
      <c r="BN1080" s="153"/>
      <c r="BO1080" s="153"/>
      <c r="BP1080" s="153"/>
      <c r="BQ1080" s="153"/>
      <c r="BR1080" s="153"/>
      <c r="BS1080" s="153"/>
      <c r="BT1080" s="153"/>
      <c r="BU1080" s="153"/>
      <c r="BV1080" s="153"/>
      <c r="BW1080" s="153"/>
      <c r="BX1080" s="153"/>
      <c r="BY1080" s="153"/>
      <c r="BZ1080" s="153"/>
      <c r="CA1080" s="153"/>
      <c r="CB1080" s="153"/>
      <c r="CC1080" s="153"/>
      <c r="CD1080" s="155"/>
      <c r="CE1080" s="156"/>
      <c r="CF1080" s="155"/>
      <c r="CG1080" s="156"/>
      <c r="CH1080" s="155"/>
      <c r="CI1080" s="156"/>
      <c r="CJ1080" s="157">
        <f t="shared" si="140"/>
        <v>0</v>
      </c>
      <c r="CK1080" s="158"/>
      <c r="CL1080" s="159"/>
      <c r="CM1080" s="160"/>
      <c r="CN1080" s="161"/>
      <c r="CO1080" s="162"/>
      <c r="CP1080" s="161"/>
      <c r="CQ1080" s="158"/>
      <c r="CR1080" s="159"/>
      <c r="CS1080" s="68" t="s">
        <v>2458</v>
      </c>
      <c r="CT1080" s="163"/>
      <c r="EC1080" s="344" t="str">
        <f t="shared" si="143"/>
        <v>CAUCA_LA VEGA</v>
      </c>
      <c r="ED1080" s="341"/>
      <c r="EE1080" s="341" t="s">
        <v>3214</v>
      </c>
      <c r="EF1080" s="349" t="s">
        <v>3215</v>
      </c>
      <c r="EG1080" s="341" t="s">
        <v>4304</v>
      </c>
      <c r="EH1080" s="341" t="s">
        <v>5336</v>
      </c>
      <c r="EI1080" s="341" t="str">
        <f t="shared" si="136"/>
        <v>Putumayo_Villagarzon</v>
      </c>
    </row>
    <row r="1081" spans="1:139" s="164" customFormat="1" ht="72">
      <c r="A1081" s="228">
        <v>40418</v>
      </c>
      <c r="B1081" s="205" t="s">
        <v>965</v>
      </c>
      <c r="C1081" s="222" t="s">
        <v>1787</v>
      </c>
      <c r="D1081" s="233" t="s">
        <v>1201</v>
      </c>
      <c r="E1081" s="325" t="s">
        <v>4015</v>
      </c>
      <c r="F1081" s="325"/>
      <c r="G1081" s="204"/>
      <c r="H1081" s="151"/>
      <c r="I1081" s="151"/>
      <c r="J1081" s="151">
        <f>581-40</f>
        <v>541</v>
      </c>
      <c r="K1081" s="151">
        <f>144-8</f>
        <v>136</v>
      </c>
      <c r="L1081" s="1">
        <v>40511</v>
      </c>
      <c r="M1081" s="73">
        <f t="shared" si="137"/>
        <v>0</v>
      </c>
      <c r="N1081" s="73">
        <f t="shared" si="138"/>
        <v>0</v>
      </c>
      <c r="O1081" s="73">
        <f>600*21315+2000*104.4+200*21460+120*19952+100*12992</f>
        <v>20983240</v>
      </c>
      <c r="P1081" s="73">
        <f t="shared" si="139"/>
        <v>0</v>
      </c>
      <c r="Q1081" s="73"/>
      <c r="R1081" s="73">
        <v>0</v>
      </c>
      <c r="S1081" s="75">
        <f t="shared" si="141"/>
        <v>20983240</v>
      </c>
      <c r="T1081" s="77">
        <v>0</v>
      </c>
      <c r="U1081" s="66">
        <v>40435</v>
      </c>
      <c r="V1081" s="79">
        <v>57402</v>
      </c>
      <c r="W1081" s="66" t="s">
        <v>1606</v>
      </c>
      <c r="X1081" s="24" t="s">
        <v>1607</v>
      </c>
      <c r="Y1081" s="62">
        <v>24569</v>
      </c>
      <c r="Z1081" s="169" t="s">
        <v>1100</v>
      </c>
      <c r="AA1081" s="166" t="s">
        <v>656</v>
      </c>
      <c r="AB1081" s="152"/>
      <c r="AC1081" s="153"/>
      <c r="AD1081" s="154"/>
      <c r="AE1081" s="153"/>
      <c r="AF1081" s="153"/>
      <c r="AG1081" s="153"/>
      <c r="AH1081" s="153"/>
      <c r="AI1081" s="153"/>
      <c r="AJ1081" s="153"/>
      <c r="AK1081" s="153"/>
      <c r="AL1081" s="153"/>
      <c r="AM1081" s="153"/>
      <c r="AN1081" s="153"/>
      <c r="AO1081" s="153"/>
      <c r="AP1081" s="153"/>
      <c r="AQ1081" s="153"/>
      <c r="AR1081" s="153"/>
      <c r="AS1081" s="153"/>
      <c r="AT1081" s="153"/>
      <c r="AU1081" s="153"/>
      <c r="AV1081" s="153"/>
      <c r="AW1081" s="153"/>
      <c r="AX1081" s="153"/>
      <c r="AY1081" s="153"/>
      <c r="AZ1081" s="153"/>
      <c r="BA1081" s="153"/>
      <c r="BB1081" s="153"/>
      <c r="BC1081" s="153"/>
      <c r="BD1081" s="153"/>
      <c r="BE1081" s="153"/>
      <c r="BF1081" s="153"/>
      <c r="BG1081" s="153"/>
      <c r="BH1081" s="153"/>
      <c r="BI1081" s="153"/>
      <c r="BJ1081" s="153"/>
      <c r="BK1081" s="153"/>
      <c r="BL1081" s="153"/>
      <c r="BM1081" s="153"/>
      <c r="BN1081" s="153"/>
      <c r="BO1081" s="153"/>
      <c r="BP1081" s="153"/>
      <c r="BQ1081" s="153"/>
      <c r="BR1081" s="153"/>
      <c r="BS1081" s="153"/>
      <c r="BT1081" s="153"/>
      <c r="BU1081" s="153"/>
      <c r="BV1081" s="153"/>
      <c r="BW1081" s="153"/>
      <c r="BX1081" s="153"/>
      <c r="BY1081" s="153"/>
      <c r="BZ1081" s="153"/>
      <c r="CA1081" s="153"/>
      <c r="CB1081" s="153"/>
      <c r="CC1081" s="153"/>
      <c r="CD1081" s="155"/>
      <c r="CE1081" s="156"/>
      <c r="CF1081" s="155"/>
      <c r="CG1081" s="156"/>
      <c r="CH1081" s="155"/>
      <c r="CI1081" s="156"/>
      <c r="CJ1081" s="157">
        <f t="shared" si="140"/>
        <v>0</v>
      </c>
      <c r="CK1081" s="158"/>
      <c r="CL1081" s="159"/>
      <c r="CM1081" s="160"/>
      <c r="CN1081" s="161"/>
      <c r="CO1081" s="162"/>
      <c r="CP1081" s="161"/>
      <c r="CQ1081" s="158"/>
      <c r="CR1081" s="159"/>
      <c r="CS1081" s="68"/>
      <c r="CT1081" s="163"/>
      <c r="EC1081" s="344" t="str">
        <f t="shared" si="143"/>
        <v>NORTE DE SANTANDER_HERRAN</v>
      </c>
      <c r="ED1081" s="341"/>
      <c r="EE1081" s="341" t="s">
        <v>3218</v>
      </c>
      <c r="EF1081" s="349" t="s">
        <v>5186</v>
      </c>
      <c r="EG1081" s="341" t="s">
        <v>4305</v>
      </c>
      <c r="EH1081" s="341" t="s">
        <v>5186</v>
      </c>
      <c r="EI1081" s="341" t="str">
        <f t="shared" si="136"/>
        <v>San Andres_San Andres</v>
      </c>
    </row>
    <row r="1082" spans="1:139" s="164" customFormat="1" ht="38.25">
      <c r="A1082" s="228">
        <v>40420</v>
      </c>
      <c r="B1082" s="205" t="s">
        <v>1192</v>
      </c>
      <c r="C1082" s="205" t="s">
        <v>2683</v>
      </c>
      <c r="D1082" s="207" t="s">
        <v>1878</v>
      </c>
      <c r="E1082" s="323" t="s">
        <v>3509</v>
      </c>
      <c r="F1082" s="323"/>
      <c r="G1082" s="204"/>
      <c r="H1082" s="151"/>
      <c r="I1082" s="151"/>
      <c r="J1082" s="151">
        <v>500</v>
      </c>
      <c r="K1082" s="151">
        <v>100</v>
      </c>
      <c r="L1082" s="1"/>
      <c r="M1082" s="73">
        <f t="shared" si="137"/>
        <v>0</v>
      </c>
      <c r="N1082" s="73">
        <f t="shared" si="138"/>
        <v>0</v>
      </c>
      <c r="O1082" s="73">
        <f t="shared" ref="O1082:O1113" si="144">CP1082+CR1082</f>
        <v>0</v>
      </c>
      <c r="P1082" s="73">
        <f t="shared" si="139"/>
        <v>0</v>
      </c>
      <c r="Q1082" s="73"/>
      <c r="R1082" s="73">
        <v>0</v>
      </c>
      <c r="S1082" s="75">
        <f t="shared" si="141"/>
        <v>0</v>
      </c>
      <c r="T1082" s="77">
        <v>0</v>
      </c>
      <c r="U1082" s="66">
        <v>40589</v>
      </c>
      <c r="V1082" s="79"/>
      <c r="W1082" s="66" t="s">
        <v>1585</v>
      </c>
      <c r="X1082" s="24" t="s">
        <v>1586</v>
      </c>
      <c r="Y1082" s="62"/>
      <c r="Z1082" s="169" t="s">
        <v>894</v>
      </c>
      <c r="AA1082" s="166" t="s">
        <v>95</v>
      </c>
      <c r="AB1082" s="152"/>
      <c r="AC1082" s="153"/>
      <c r="AD1082" s="154"/>
      <c r="AE1082" s="153"/>
      <c r="AF1082" s="153"/>
      <c r="AG1082" s="153"/>
      <c r="AH1082" s="153"/>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c r="BF1082" s="153"/>
      <c r="BG1082" s="153"/>
      <c r="BH1082" s="153"/>
      <c r="BI1082" s="153"/>
      <c r="BJ1082" s="153"/>
      <c r="BK1082" s="153"/>
      <c r="BL1082" s="153"/>
      <c r="BM1082" s="153"/>
      <c r="BN1082" s="153"/>
      <c r="BO1082" s="153"/>
      <c r="BP1082" s="153"/>
      <c r="BQ1082" s="153"/>
      <c r="BR1082" s="153"/>
      <c r="BS1082" s="153"/>
      <c r="BT1082" s="153"/>
      <c r="BU1082" s="153"/>
      <c r="BV1082" s="153"/>
      <c r="BW1082" s="153"/>
      <c r="BX1082" s="153"/>
      <c r="BY1082" s="153"/>
      <c r="BZ1082" s="153"/>
      <c r="CA1082" s="153"/>
      <c r="CB1082" s="153"/>
      <c r="CC1082" s="153"/>
      <c r="CD1082" s="155"/>
      <c r="CE1082" s="156"/>
      <c r="CF1082" s="155"/>
      <c r="CG1082" s="156"/>
      <c r="CH1082" s="155"/>
      <c r="CI1082" s="156"/>
      <c r="CJ1082" s="157">
        <f t="shared" si="140"/>
        <v>0</v>
      </c>
      <c r="CK1082" s="158"/>
      <c r="CL1082" s="159"/>
      <c r="CM1082" s="160"/>
      <c r="CN1082" s="161"/>
      <c r="CO1082" s="162"/>
      <c r="CP1082" s="161"/>
      <c r="CQ1082" s="158"/>
      <c r="CR1082" s="159"/>
      <c r="CS1082" s="68"/>
      <c r="CT1082" s="163"/>
      <c r="EC1082" s="344" t="str">
        <f t="shared" si="143"/>
        <v>BOYACA_SANTA MARIA</v>
      </c>
      <c r="ED1082" s="341"/>
      <c r="EE1082" s="341" t="s">
        <v>3218</v>
      </c>
      <c r="EF1082" s="349" t="s">
        <v>5186</v>
      </c>
      <c r="EG1082" s="341" t="s">
        <v>4306</v>
      </c>
      <c r="EH1082" s="341" t="s">
        <v>5062</v>
      </c>
      <c r="EI1082" s="341" t="str">
        <f t="shared" si="136"/>
        <v>San Andres_Providencia</v>
      </c>
    </row>
    <row r="1083" spans="1:139" s="164" customFormat="1" ht="48">
      <c r="A1083" s="228">
        <v>40420</v>
      </c>
      <c r="B1083" s="222" t="s">
        <v>1192</v>
      </c>
      <c r="C1083" s="222" t="s">
        <v>3123</v>
      </c>
      <c r="D1083" s="233" t="s">
        <v>1201</v>
      </c>
      <c r="E1083" s="325" t="s">
        <v>3508</v>
      </c>
      <c r="F1083" s="325"/>
      <c r="G1083" s="204"/>
      <c r="H1083" s="151"/>
      <c r="I1083" s="151"/>
      <c r="J1083" s="151">
        <f>34*5</f>
        <v>170</v>
      </c>
      <c r="K1083" s="151">
        <v>34</v>
      </c>
      <c r="L1083" s="1">
        <v>40530</v>
      </c>
      <c r="M1083" s="73">
        <f t="shared" si="137"/>
        <v>3004984</v>
      </c>
      <c r="N1083" s="73">
        <f t="shared" si="138"/>
        <v>2125000</v>
      </c>
      <c r="O1083" s="73">
        <f t="shared" si="144"/>
        <v>0</v>
      </c>
      <c r="P1083" s="73">
        <f t="shared" si="139"/>
        <v>0</v>
      </c>
      <c r="Q1083" s="73"/>
      <c r="R1083" s="73">
        <v>0</v>
      </c>
      <c r="S1083" s="75">
        <f t="shared" si="141"/>
        <v>5129984</v>
      </c>
      <c r="T1083" s="77">
        <v>0</v>
      </c>
      <c r="U1083" s="66">
        <v>40423</v>
      </c>
      <c r="V1083" s="79"/>
      <c r="W1083" s="66" t="s">
        <v>1606</v>
      </c>
      <c r="X1083" s="24" t="s">
        <v>1607</v>
      </c>
      <c r="Y1083" s="83" t="s">
        <v>237</v>
      </c>
      <c r="Z1083" s="169" t="s">
        <v>894</v>
      </c>
      <c r="AA1083" s="166" t="s">
        <v>365</v>
      </c>
      <c r="AB1083" s="152"/>
      <c r="AC1083" s="153"/>
      <c r="AD1083" s="154"/>
      <c r="AE1083" s="153"/>
      <c r="AF1083" s="153"/>
      <c r="AG1083" s="153"/>
      <c r="AH1083" s="153"/>
      <c r="AI1083" s="153"/>
      <c r="AJ1083" s="153"/>
      <c r="AK1083" s="153"/>
      <c r="AL1083" s="153"/>
      <c r="AM1083" s="153"/>
      <c r="AN1083" s="153"/>
      <c r="AO1083" s="153"/>
      <c r="AP1083" s="153"/>
      <c r="AQ1083" s="153"/>
      <c r="AR1083" s="153"/>
      <c r="AS1083" s="153"/>
      <c r="AT1083" s="153"/>
      <c r="AU1083" s="153"/>
      <c r="AV1083" s="153"/>
      <c r="AW1083" s="153"/>
      <c r="AX1083" s="153"/>
      <c r="AY1083" s="153"/>
      <c r="AZ1083" s="153">
        <v>25</v>
      </c>
      <c r="BA1083" s="153">
        <f>25*25500</f>
        <v>637500</v>
      </c>
      <c r="BB1083" s="153"/>
      <c r="BC1083" s="153"/>
      <c r="BD1083" s="153"/>
      <c r="BE1083" s="153"/>
      <c r="BF1083" s="153"/>
      <c r="BG1083" s="153"/>
      <c r="BH1083" s="153"/>
      <c r="BI1083" s="153"/>
      <c r="BJ1083" s="153"/>
      <c r="BK1083" s="153"/>
      <c r="BL1083" s="153"/>
      <c r="BM1083" s="153"/>
      <c r="BN1083" s="153"/>
      <c r="BO1083" s="153"/>
      <c r="BP1083" s="153"/>
      <c r="BQ1083" s="153"/>
      <c r="BR1083" s="153"/>
      <c r="BS1083" s="153"/>
      <c r="BT1083" s="153"/>
      <c r="BU1083" s="153"/>
      <c r="BV1083" s="153"/>
      <c r="BW1083" s="153"/>
      <c r="BX1083" s="153"/>
      <c r="BY1083" s="153"/>
      <c r="BZ1083" s="153"/>
      <c r="CA1083" s="153"/>
      <c r="CB1083" s="153">
        <v>25</v>
      </c>
      <c r="CC1083" s="153">
        <f>25*18000</f>
        <v>450000</v>
      </c>
      <c r="CD1083" s="155">
        <v>25</v>
      </c>
      <c r="CE1083" s="156">
        <f>25*36999.36</f>
        <v>924984</v>
      </c>
      <c r="CF1083" s="155">
        <v>25</v>
      </c>
      <c r="CG1083" s="156">
        <f>25*39700</f>
        <v>992500</v>
      </c>
      <c r="CH1083" s="155"/>
      <c r="CI1083" s="156"/>
      <c r="CJ1083" s="157">
        <f t="shared" si="140"/>
        <v>3004984</v>
      </c>
      <c r="CK1083" s="158"/>
      <c r="CL1083" s="159"/>
      <c r="CM1083" s="160">
        <v>25</v>
      </c>
      <c r="CN1083" s="161">
        <f>25*85000</f>
        <v>2125000</v>
      </c>
      <c r="CO1083" s="162"/>
      <c r="CP1083" s="161"/>
      <c r="CQ1083" s="158"/>
      <c r="CR1083" s="159"/>
      <c r="CS1083" s="68"/>
      <c r="CT1083" s="163"/>
      <c r="EC1083" s="344" t="str">
        <f t="shared" si="143"/>
        <v>BOYACA_SANTANA</v>
      </c>
      <c r="ED1083" s="341"/>
      <c r="EE1083" s="341" t="s">
        <v>3219</v>
      </c>
      <c r="EF1083" s="349" t="s">
        <v>5337</v>
      </c>
      <c r="EG1083" s="341" t="s">
        <v>4307</v>
      </c>
      <c r="EH1083" s="341" t="s">
        <v>5338</v>
      </c>
      <c r="EI1083" s="341" t="str">
        <f t="shared" ref="EI1083:EI1116" si="145">EF1083&amp;"_"&amp;EH1083</f>
        <v>Amazonas_Leticia</v>
      </c>
    </row>
    <row r="1084" spans="1:139" s="164" customFormat="1" ht="38.25">
      <c r="A1084" s="228">
        <v>40420</v>
      </c>
      <c r="B1084" s="222" t="s">
        <v>1314</v>
      </c>
      <c r="C1084" s="102" t="s">
        <v>1315</v>
      </c>
      <c r="D1084" s="233" t="s">
        <v>2391</v>
      </c>
      <c r="E1084" s="325" t="s">
        <v>3586</v>
      </c>
      <c r="F1084" s="325"/>
      <c r="G1084" s="204"/>
      <c r="H1084" s="151">
        <v>5</v>
      </c>
      <c r="I1084" s="151"/>
      <c r="J1084" s="151">
        <v>19</v>
      </c>
      <c r="K1084" s="151">
        <v>3</v>
      </c>
      <c r="L1084" s="1"/>
      <c r="M1084" s="73">
        <f t="shared" si="137"/>
        <v>0</v>
      </c>
      <c r="N1084" s="73">
        <f t="shared" si="138"/>
        <v>0</v>
      </c>
      <c r="O1084" s="73">
        <f t="shared" si="144"/>
        <v>0</v>
      </c>
      <c r="P1084" s="73">
        <f t="shared" si="139"/>
        <v>0</v>
      </c>
      <c r="Q1084" s="73"/>
      <c r="R1084" s="73">
        <v>0</v>
      </c>
      <c r="S1084" s="75">
        <f t="shared" si="141"/>
        <v>0</v>
      </c>
      <c r="T1084" s="77">
        <v>0</v>
      </c>
      <c r="U1084" s="66">
        <v>40423</v>
      </c>
      <c r="V1084" s="79"/>
      <c r="W1084" s="66" t="s">
        <v>1585</v>
      </c>
      <c r="X1084" s="24" t="s">
        <v>1586</v>
      </c>
      <c r="Y1084" s="62"/>
      <c r="Z1084" s="169" t="s">
        <v>894</v>
      </c>
      <c r="AA1084" s="166" t="s">
        <v>364</v>
      </c>
      <c r="AB1084" s="152"/>
      <c r="AC1084" s="153"/>
      <c r="AD1084" s="154"/>
      <c r="AE1084" s="153"/>
      <c r="AF1084" s="153"/>
      <c r="AG1084" s="153"/>
      <c r="AH1084" s="153"/>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c r="BF1084" s="153"/>
      <c r="BG1084" s="153"/>
      <c r="BH1084" s="153"/>
      <c r="BI1084" s="153"/>
      <c r="BJ1084" s="153"/>
      <c r="BK1084" s="153"/>
      <c r="BL1084" s="153"/>
      <c r="BM1084" s="153"/>
      <c r="BN1084" s="153"/>
      <c r="BO1084" s="153"/>
      <c r="BP1084" s="153"/>
      <c r="BQ1084" s="153"/>
      <c r="BR1084" s="153"/>
      <c r="BS1084" s="153"/>
      <c r="BT1084" s="153"/>
      <c r="BU1084" s="153"/>
      <c r="BV1084" s="153"/>
      <c r="BW1084" s="153"/>
      <c r="BX1084" s="153"/>
      <c r="BY1084" s="153"/>
      <c r="BZ1084" s="153"/>
      <c r="CA1084" s="153"/>
      <c r="CB1084" s="153"/>
      <c r="CC1084" s="153"/>
      <c r="CD1084" s="155"/>
      <c r="CE1084" s="156"/>
      <c r="CF1084" s="155"/>
      <c r="CG1084" s="156"/>
      <c r="CH1084" s="155"/>
      <c r="CI1084" s="156"/>
      <c r="CJ1084" s="157">
        <f t="shared" si="140"/>
        <v>0</v>
      </c>
      <c r="CK1084" s="158"/>
      <c r="CL1084" s="159"/>
      <c r="CM1084" s="160"/>
      <c r="CN1084" s="161"/>
      <c r="CO1084" s="162"/>
      <c r="CP1084" s="161"/>
      <c r="CQ1084" s="158"/>
      <c r="CR1084" s="159"/>
      <c r="CS1084" s="68"/>
      <c r="CT1084" s="163"/>
      <c r="EC1084" s="344" t="str">
        <f t="shared" si="143"/>
        <v>CAUCA_POPAYAN</v>
      </c>
      <c r="ED1084" s="341"/>
      <c r="EE1084" s="341" t="s">
        <v>3219</v>
      </c>
      <c r="EF1084" s="349" t="s">
        <v>5337</v>
      </c>
      <c r="EG1084" s="341" t="s">
        <v>5339</v>
      </c>
      <c r="EH1084" s="341" t="s">
        <v>5340</v>
      </c>
      <c r="EI1084" s="341" t="str">
        <f t="shared" si="145"/>
        <v>Amazonas_El Encanto (CD)</v>
      </c>
    </row>
    <row r="1085" spans="1:139" s="164" customFormat="1" ht="38.25">
      <c r="A1085" s="228">
        <v>40422</v>
      </c>
      <c r="B1085" s="102" t="s">
        <v>1609</v>
      </c>
      <c r="C1085" s="222" t="s">
        <v>2004</v>
      </c>
      <c r="D1085" s="233" t="s">
        <v>1201</v>
      </c>
      <c r="E1085" s="325" t="s">
        <v>4050</v>
      </c>
      <c r="F1085" s="325"/>
      <c r="G1085" s="204"/>
      <c r="H1085" s="151"/>
      <c r="I1085" s="151"/>
      <c r="J1085" s="151">
        <v>75</v>
      </c>
      <c r="K1085" s="151">
        <v>15</v>
      </c>
      <c r="L1085" s="1"/>
      <c r="M1085" s="73">
        <f t="shared" si="137"/>
        <v>0</v>
      </c>
      <c r="N1085" s="73">
        <f t="shared" si="138"/>
        <v>0</v>
      </c>
      <c r="O1085" s="73">
        <f t="shared" si="144"/>
        <v>0</v>
      </c>
      <c r="P1085" s="73">
        <f t="shared" si="139"/>
        <v>0</v>
      </c>
      <c r="Q1085" s="73"/>
      <c r="R1085" s="73">
        <v>0</v>
      </c>
      <c r="S1085" s="75">
        <f t="shared" si="141"/>
        <v>0</v>
      </c>
      <c r="T1085" s="77">
        <v>0</v>
      </c>
      <c r="U1085" s="66">
        <v>40428</v>
      </c>
      <c r="V1085" s="79"/>
      <c r="W1085" s="66" t="s">
        <v>1585</v>
      </c>
      <c r="X1085" s="24" t="s">
        <v>1586</v>
      </c>
      <c r="Y1085" s="62"/>
      <c r="Z1085" s="169" t="s">
        <v>894</v>
      </c>
      <c r="AA1085" s="174" t="s">
        <v>1032</v>
      </c>
      <c r="AB1085" s="152"/>
      <c r="AC1085" s="153"/>
      <c r="AD1085" s="154"/>
      <c r="AE1085" s="153"/>
      <c r="AF1085" s="153"/>
      <c r="AG1085" s="153"/>
      <c r="AH1085" s="153"/>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c r="BF1085" s="153"/>
      <c r="BG1085" s="153"/>
      <c r="BH1085" s="153"/>
      <c r="BI1085" s="153"/>
      <c r="BJ1085" s="153"/>
      <c r="BK1085" s="153"/>
      <c r="BL1085" s="153"/>
      <c r="BM1085" s="153"/>
      <c r="BN1085" s="153"/>
      <c r="BO1085" s="153"/>
      <c r="BP1085" s="153"/>
      <c r="BQ1085" s="153"/>
      <c r="BR1085" s="153"/>
      <c r="BS1085" s="153"/>
      <c r="BT1085" s="153"/>
      <c r="BU1085" s="153"/>
      <c r="BV1085" s="153"/>
      <c r="BW1085" s="153"/>
      <c r="BX1085" s="153"/>
      <c r="BY1085" s="153"/>
      <c r="BZ1085" s="153"/>
      <c r="CA1085" s="153"/>
      <c r="CB1085" s="153"/>
      <c r="CC1085" s="153"/>
      <c r="CD1085" s="155"/>
      <c r="CE1085" s="156"/>
      <c r="CF1085" s="155"/>
      <c r="CG1085" s="156"/>
      <c r="CH1085" s="155"/>
      <c r="CI1085" s="156"/>
      <c r="CJ1085" s="157">
        <f t="shared" si="140"/>
        <v>0</v>
      </c>
      <c r="CK1085" s="158"/>
      <c r="CL1085" s="159"/>
      <c r="CM1085" s="160"/>
      <c r="CN1085" s="161"/>
      <c r="CO1085" s="162"/>
      <c r="CP1085" s="161"/>
      <c r="CQ1085" s="158"/>
      <c r="CR1085" s="159"/>
      <c r="CS1085" s="68"/>
      <c r="CT1085" s="163"/>
      <c r="EC1085" s="344" t="str">
        <f t="shared" si="143"/>
        <v>RISARALDA_PEREIRA</v>
      </c>
      <c r="ED1085" s="341"/>
      <c r="EE1085" s="341" t="s">
        <v>3219</v>
      </c>
      <c r="EF1085" s="349" t="s">
        <v>5337</v>
      </c>
      <c r="EG1085" s="341" t="s">
        <v>5341</v>
      </c>
      <c r="EH1085" s="341" t="s">
        <v>5342</v>
      </c>
      <c r="EI1085" s="341" t="str">
        <f t="shared" si="145"/>
        <v>Amazonas_La Chorrera (CD)</v>
      </c>
    </row>
    <row r="1086" spans="1:139" s="164" customFormat="1" ht="48">
      <c r="A1086" s="228">
        <v>40422</v>
      </c>
      <c r="B1086" s="222" t="s">
        <v>1943</v>
      </c>
      <c r="C1086" s="222" t="s">
        <v>1964</v>
      </c>
      <c r="D1086" s="233" t="s">
        <v>1201</v>
      </c>
      <c r="E1086" s="325" t="s">
        <v>4163</v>
      </c>
      <c r="F1086" s="325"/>
      <c r="G1086" s="204"/>
      <c r="H1086" s="151"/>
      <c r="I1086" s="151"/>
      <c r="J1086" s="151"/>
      <c r="K1086" s="151"/>
      <c r="L1086" s="1">
        <v>40476</v>
      </c>
      <c r="M1086" s="73">
        <f t="shared" si="137"/>
        <v>0</v>
      </c>
      <c r="N1086" s="73">
        <f t="shared" si="138"/>
        <v>102000000</v>
      </c>
      <c r="O1086" s="73">
        <f t="shared" si="144"/>
        <v>0</v>
      </c>
      <c r="P1086" s="73">
        <f t="shared" si="139"/>
        <v>0</v>
      </c>
      <c r="Q1086" s="73"/>
      <c r="R1086" s="73">
        <v>0</v>
      </c>
      <c r="S1086" s="75">
        <f t="shared" si="141"/>
        <v>102000000</v>
      </c>
      <c r="T1086" s="77">
        <v>0</v>
      </c>
      <c r="U1086" s="66">
        <v>40424</v>
      </c>
      <c r="V1086" s="79">
        <v>45638</v>
      </c>
      <c r="W1086" s="66" t="s">
        <v>1606</v>
      </c>
      <c r="X1086" s="24" t="s">
        <v>1607</v>
      </c>
      <c r="Y1086" s="62">
        <v>22651</v>
      </c>
      <c r="Z1086" s="169" t="s">
        <v>1435</v>
      </c>
      <c r="AA1086" s="166" t="s">
        <v>1120</v>
      </c>
      <c r="AB1086" s="152"/>
      <c r="AC1086" s="153"/>
      <c r="AD1086" s="154"/>
      <c r="AE1086" s="153"/>
      <c r="AF1086" s="153"/>
      <c r="AG1086" s="153"/>
      <c r="AH1086" s="153"/>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c r="BF1086" s="153"/>
      <c r="BG1086" s="153"/>
      <c r="BH1086" s="153"/>
      <c r="BI1086" s="153"/>
      <c r="BJ1086" s="153"/>
      <c r="BK1086" s="153"/>
      <c r="BL1086" s="153"/>
      <c r="BM1086" s="153"/>
      <c r="BN1086" s="153"/>
      <c r="BO1086" s="153"/>
      <c r="BP1086" s="153"/>
      <c r="BQ1086" s="153"/>
      <c r="BR1086" s="153"/>
      <c r="BS1086" s="153"/>
      <c r="BT1086" s="153"/>
      <c r="BU1086" s="153"/>
      <c r="BV1086" s="153"/>
      <c r="BW1086" s="153"/>
      <c r="BX1086" s="153"/>
      <c r="BY1086" s="153"/>
      <c r="BZ1086" s="153"/>
      <c r="CA1086" s="153"/>
      <c r="CB1086" s="153"/>
      <c r="CC1086" s="153"/>
      <c r="CD1086" s="155"/>
      <c r="CE1086" s="156"/>
      <c r="CF1086" s="155"/>
      <c r="CG1086" s="156"/>
      <c r="CH1086" s="155"/>
      <c r="CI1086" s="156"/>
      <c r="CJ1086" s="157">
        <f t="shared" si="140"/>
        <v>0</v>
      </c>
      <c r="CK1086" s="158"/>
      <c r="CL1086" s="159"/>
      <c r="CM1086" s="160">
        <v>1200</v>
      </c>
      <c r="CN1086" s="161">
        <f>1200*85000</f>
        <v>102000000</v>
      </c>
      <c r="CO1086" s="162"/>
      <c r="CP1086" s="161"/>
      <c r="CQ1086" s="158"/>
      <c r="CR1086" s="159"/>
      <c r="CS1086" s="68"/>
      <c r="CT1086" s="163"/>
      <c r="EC1086" s="344" t="str">
        <f t="shared" si="143"/>
        <v>SUCRE_MAJAGUAL</v>
      </c>
      <c r="ED1086" s="341"/>
      <c r="EE1086" s="341" t="s">
        <v>3219</v>
      </c>
      <c r="EF1086" s="349" t="s">
        <v>5337</v>
      </c>
      <c r="EG1086" s="341" t="s">
        <v>5343</v>
      </c>
      <c r="EH1086" s="341" t="s">
        <v>5344</v>
      </c>
      <c r="EI1086" s="341" t="str">
        <f t="shared" si="145"/>
        <v>Amazonas_La Pedrera (CD)</v>
      </c>
    </row>
    <row r="1087" spans="1:139" s="164" customFormat="1" ht="78.75">
      <c r="A1087" s="228">
        <v>40422</v>
      </c>
      <c r="B1087" s="205" t="s">
        <v>1088</v>
      </c>
      <c r="C1087" s="205" t="s">
        <v>2311</v>
      </c>
      <c r="D1087" s="207" t="s">
        <v>1201</v>
      </c>
      <c r="E1087" s="323" t="s">
        <v>4231</v>
      </c>
      <c r="F1087" s="323"/>
      <c r="G1087" s="204"/>
      <c r="H1087" s="151"/>
      <c r="I1087" s="151"/>
      <c r="J1087" s="151">
        <f>537*5</f>
        <v>2685</v>
      </c>
      <c r="K1087" s="151">
        <f>45+130+125+35+52+150</f>
        <v>537</v>
      </c>
      <c r="L1087" s="1"/>
      <c r="M1087" s="73">
        <f t="shared" si="137"/>
        <v>0</v>
      </c>
      <c r="N1087" s="73">
        <f t="shared" si="138"/>
        <v>0</v>
      </c>
      <c r="O1087" s="73">
        <f t="shared" si="144"/>
        <v>0</v>
      </c>
      <c r="P1087" s="73">
        <f t="shared" si="139"/>
        <v>0</v>
      </c>
      <c r="Q1087" s="73"/>
      <c r="R1087" s="73">
        <v>0</v>
      </c>
      <c r="S1087" s="75">
        <f t="shared" si="141"/>
        <v>0</v>
      </c>
      <c r="T1087" s="77">
        <v>0</v>
      </c>
      <c r="U1087" s="66">
        <v>40455</v>
      </c>
      <c r="V1087" s="79">
        <v>53241</v>
      </c>
      <c r="W1087" s="66" t="s">
        <v>1585</v>
      </c>
      <c r="X1087" s="24" t="s">
        <v>1586</v>
      </c>
      <c r="Y1087" s="62"/>
      <c r="Z1087" s="169" t="s">
        <v>894</v>
      </c>
      <c r="AA1087" s="179" t="s">
        <v>2312</v>
      </c>
      <c r="AB1087" s="152"/>
      <c r="AC1087" s="153"/>
      <c r="AD1087" s="154"/>
      <c r="AE1087" s="153"/>
      <c r="AF1087" s="153"/>
      <c r="AG1087" s="153"/>
      <c r="AH1087" s="153"/>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c r="BF1087" s="153"/>
      <c r="BG1087" s="153"/>
      <c r="BH1087" s="153"/>
      <c r="BI1087" s="153"/>
      <c r="BJ1087" s="153"/>
      <c r="BK1087" s="153"/>
      <c r="BL1087" s="153"/>
      <c r="BM1087" s="153"/>
      <c r="BN1087" s="153"/>
      <c r="BO1087" s="153"/>
      <c r="BP1087" s="153"/>
      <c r="BQ1087" s="153"/>
      <c r="BR1087" s="153"/>
      <c r="BS1087" s="153"/>
      <c r="BT1087" s="153"/>
      <c r="BU1087" s="153"/>
      <c r="BV1087" s="153"/>
      <c r="BW1087" s="153"/>
      <c r="BX1087" s="153"/>
      <c r="BY1087" s="153"/>
      <c r="BZ1087" s="153"/>
      <c r="CA1087" s="153"/>
      <c r="CB1087" s="153"/>
      <c r="CC1087" s="153"/>
      <c r="CD1087" s="155"/>
      <c r="CE1087" s="156"/>
      <c r="CF1087" s="155"/>
      <c r="CG1087" s="156"/>
      <c r="CH1087" s="155"/>
      <c r="CI1087" s="156"/>
      <c r="CJ1087" s="157">
        <f t="shared" si="140"/>
        <v>0</v>
      </c>
      <c r="CK1087" s="158"/>
      <c r="CL1087" s="159"/>
      <c r="CM1087" s="160"/>
      <c r="CN1087" s="161"/>
      <c r="CO1087" s="162"/>
      <c r="CP1087" s="161"/>
      <c r="CQ1087" s="158"/>
      <c r="CR1087" s="159"/>
      <c r="CS1087" s="68"/>
      <c r="CT1087" s="163"/>
      <c r="EC1087" s="344" t="str">
        <f t="shared" si="143"/>
        <v>VALLE DEL CAUCA_GUADALAJARA DE BUGA</v>
      </c>
      <c r="ED1087" s="341"/>
      <c r="EE1087" s="341" t="s">
        <v>3219</v>
      </c>
      <c r="EF1087" s="349" t="s">
        <v>5337</v>
      </c>
      <c r="EG1087" s="341" t="s">
        <v>5345</v>
      </c>
      <c r="EH1087" s="341" t="s">
        <v>5346</v>
      </c>
      <c r="EI1087" s="341" t="str">
        <f t="shared" si="145"/>
        <v>Amazonas_La Victoria (CD)</v>
      </c>
    </row>
    <row r="1088" spans="1:139" s="164" customFormat="1" ht="60">
      <c r="A1088" s="228">
        <v>40423</v>
      </c>
      <c r="B1088" s="205" t="s">
        <v>1611</v>
      </c>
      <c r="C1088" s="205" t="s">
        <v>1611</v>
      </c>
      <c r="D1088" s="207" t="s">
        <v>1201</v>
      </c>
      <c r="E1088" s="323" t="e">
        <v>#N/A</v>
      </c>
      <c r="F1088" s="323"/>
      <c r="G1088" s="204"/>
      <c r="H1088" s="151"/>
      <c r="I1088" s="151"/>
      <c r="J1088" s="151"/>
      <c r="K1088" s="151"/>
      <c r="L1088" s="1">
        <v>40448</v>
      </c>
      <c r="M1088" s="73">
        <f t="shared" si="137"/>
        <v>109428000</v>
      </c>
      <c r="N1088" s="73">
        <f t="shared" si="138"/>
        <v>127500000</v>
      </c>
      <c r="O1088" s="73">
        <f t="shared" si="144"/>
        <v>0</v>
      </c>
      <c r="P1088" s="73">
        <f t="shared" si="139"/>
        <v>0</v>
      </c>
      <c r="Q1088" s="73"/>
      <c r="R1088" s="73">
        <v>0</v>
      </c>
      <c r="S1088" s="75">
        <f t="shared" si="141"/>
        <v>236928000</v>
      </c>
      <c r="T1088" s="77">
        <v>0</v>
      </c>
      <c r="U1088" s="66">
        <v>40420</v>
      </c>
      <c r="V1088" s="79">
        <v>44355</v>
      </c>
      <c r="W1088" s="66" t="s">
        <v>1606</v>
      </c>
      <c r="X1088" s="24" t="s">
        <v>1607</v>
      </c>
      <c r="Y1088" s="83" t="s">
        <v>2185</v>
      </c>
      <c r="Z1088" s="169" t="s">
        <v>2087</v>
      </c>
      <c r="AA1088" s="166" t="s">
        <v>1276</v>
      </c>
      <c r="AB1088" s="152"/>
      <c r="AC1088" s="153"/>
      <c r="AD1088" s="154"/>
      <c r="AE1088" s="153"/>
      <c r="AF1088" s="153"/>
      <c r="AG1088" s="153"/>
      <c r="AH1088" s="153"/>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c r="BI1088" s="153"/>
      <c r="BJ1088" s="153"/>
      <c r="BK1088" s="153"/>
      <c r="BL1088" s="153"/>
      <c r="BM1088" s="153"/>
      <c r="BN1088" s="153"/>
      <c r="BO1088" s="153"/>
      <c r="BP1088" s="153"/>
      <c r="BQ1088" s="153"/>
      <c r="BR1088" s="153"/>
      <c r="BS1088" s="153"/>
      <c r="BT1088" s="153"/>
      <c r="BU1088" s="153"/>
      <c r="BV1088" s="153"/>
      <c r="BW1088" s="153"/>
      <c r="BX1088" s="153"/>
      <c r="BY1088" s="153"/>
      <c r="BZ1088" s="153"/>
      <c r="CA1088" s="153"/>
      <c r="CB1088" s="153"/>
      <c r="CC1088" s="153"/>
      <c r="CD1088" s="155">
        <f>500+500+500</f>
        <v>1500</v>
      </c>
      <c r="CE1088" s="156">
        <f>1000*36952+500*36952</f>
        <v>55428000</v>
      </c>
      <c r="CF1088" s="155">
        <f>500+500+500</f>
        <v>1500</v>
      </c>
      <c r="CG1088" s="156">
        <f>500*36000+500*36000+500*36000</f>
        <v>54000000</v>
      </c>
      <c r="CH1088" s="155"/>
      <c r="CI1088" s="156"/>
      <c r="CJ1088" s="157">
        <f t="shared" si="140"/>
        <v>109428000</v>
      </c>
      <c r="CK1088" s="158"/>
      <c r="CL1088" s="159"/>
      <c r="CM1088" s="160">
        <f>500+500+500</f>
        <v>1500</v>
      </c>
      <c r="CN1088" s="161">
        <f>500*85000+500*85000+500*85000</f>
        <v>127500000</v>
      </c>
      <c r="CO1088" s="162"/>
      <c r="CP1088" s="161"/>
      <c r="CQ1088" s="158"/>
      <c r="CR1088" s="159"/>
      <c r="CS1088" s="68"/>
      <c r="CT1088" s="163"/>
      <c r="EC1088" s="344" t="str">
        <f t="shared" si="143"/>
        <v>NACION_NACION</v>
      </c>
      <c r="ED1088" s="341"/>
      <c r="EE1088" s="341" t="s">
        <v>3219</v>
      </c>
      <c r="EF1088" s="349" t="s">
        <v>5337</v>
      </c>
      <c r="EG1088" s="341" t="s">
        <v>5347</v>
      </c>
      <c r="EH1088" s="341" t="s">
        <v>5348</v>
      </c>
      <c r="EI1088" s="341" t="str">
        <f t="shared" si="145"/>
        <v>Amazonas_Miriti - Parana (CD)</v>
      </c>
    </row>
    <row r="1089" spans="1:139" s="164" customFormat="1" ht="60">
      <c r="A1089" s="228">
        <v>40423</v>
      </c>
      <c r="B1089" s="205" t="s">
        <v>965</v>
      </c>
      <c r="C1089" s="222" t="s">
        <v>1040</v>
      </c>
      <c r="D1089" s="206" t="s">
        <v>1878</v>
      </c>
      <c r="E1089" s="320" t="s">
        <v>4010</v>
      </c>
      <c r="F1089" s="320"/>
      <c r="G1089" s="204"/>
      <c r="H1089" s="151"/>
      <c r="I1089" s="151"/>
      <c r="J1089" s="151">
        <f>5789-550-20</f>
        <v>5219</v>
      </c>
      <c r="K1089" s="151">
        <f>1412-110-4</f>
        <v>1298</v>
      </c>
      <c r="L1089" s="1"/>
      <c r="M1089" s="73">
        <f t="shared" si="137"/>
        <v>0</v>
      </c>
      <c r="N1089" s="73">
        <f t="shared" si="138"/>
        <v>0</v>
      </c>
      <c r="O1089" s="73">
        <f t="shared" si="144"/>
        <v>0</v>
      </c>
      <c r="P1089" s="73">
        <f t="shared" si="139"/>
        <v>0</v>
      </c>
      <c r="Q1089" s="73"/>
      <c r="R1089" s="73">
        <v>0</v>
      </c>
      <c r="S1089" s="75">
        <f t="shared" si="141"/>
        <v>0</v>
      </c>
      <c r="T1089" s="77">
        <v>0</v>
      </c>
      <c r="U1089" s="66">
        <v>40428</v>
      </c>
      <c r="V1089" s="79"/>
      <c r="W1089" s="66" t="s">
        <v>1585</v>
      </c>
      <c r="X1089" s="24" t="s">
        <v>1586</v>
      </c>
      <c r="Y1089" s="62"/>
      <c r="Z1089" s="169" t="s">
        <v>894</v>
      </c>
      <c r="AA1089" s="166" t="s">
        <v>1041</v>
      </c>
      <c r="AB1089" s="152"/>
      <c r="AC1089" s="153"/>
      <c r="AD1089" s="154"/>
      <c r="AE1089" s="153"/>
      <c r="AF1089" s="153"/>
      <c r="AG1089" s="153"/>
      <c r="AH1089" s="153"/>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c r="BI1089" s="153"/>
      <c r="BJ1089" s="153"/>
      <c r="BK1089" s="153"/>
      <c r="BL1089" s="153"/>
      <c r="BM1089" s="153"/>
      <c r="BN1089" s="153"/>
      <c r="BO1089" s="153"/>
      <c r="BP1089" s="153"/>
      <c r="BQ1089" s="153"/>
      <c r="BR1089" s="153"/>
      <c r="BS1089" s="153"/>
      <c r="BT1089" s="153"/>
      <c r="BU1089" s="153"/>
      <c r="BV1089" s="153"/>
      <c r="BW1089" s="153"/>
      <c r="BX1089" s="153"/>
      <c r="BY1089" s="153"/>
      <c r="BZ1089" s="153"/>
      <c r="CA1089" s="153"/>
      <c r="CB1089" s="153"/>
      <c r="CC1089" s="153"/>
      <c r="CD1089" s="155"/>
      <c r="CE1089" s="156"/>
      <c r="CF1089" s="155"/>
      <c r="CG1089" s="156"/>
      <c r="CH1089" s="155"/>
      <c r="CI1089" s="156"/>
      <c r="CJ1089" s="157">
        <f t="shared" si="140"/>
        <v>0</v>
      </c>
      <c r="CK1089" s="158"/>
      <c r="CL1089" s="159"/>
      <c r="CM1089" s="160"/>
      <c r="CN1089" s="161"/>
      <c r="CO1089" s="162"/>
      <c r="CP1089" s="161"/>
      <c r="CQ1089" s="158"/>
      <c r="CR1089" s="159"/>
      <c r="CS1089" s="68"/>
      <c r="CT1089" s="163"/>
      <c r="EC1089" s="344" t="str">
        <f t="shared" si="143"/>
        <v>NORTE DE SANTANDER_EL CARMEN</v>
      </c>
      <c r="ED1089" s="341"/>
      <c r="EE1089" s="341" t="s">
        <v>3219</v>
      </c>
      <c r="EF1089" s="349" t="s">
        <v>5337</v>
      </c>
      <c r="EG1089" s="341" t="s">
        <v>5349</v>
      </c>
      <c r="EH1089" s="341" t="s">
        <v>5350</v>
      </c>
      <c r="EI1089" s="341" t="str">
        <f t="shared" si="145"/>
        <v>Amazonas_Puerto Alegria (CD)</v>
      </c>
    </row>
    <row r="1090" spans="1:139" s="164" customFormat="1" ht="84">
      <c r="A1090" s="228">
        <v>40423</v>
      </c>
      <c r="B1090" s="205" t="s">
        <v>1088</v>
      </c>
      <c r="C1090" s="205" t="s">
        <v>2311</v>
      </c>
      <c r="D1090" s="207" t="s">
        <v>2606</v>
      </c>
      <c r="E1090" s="323" t="s">
        <v>4231</v>
      </c>
      <c r="F1090" s="323"/>
      <c r="G1090" s="204"/>
      <c r="H1090" s="151"/>
      <c r="I1090" s="151"/>
      <c r="J1090" s="151">
        <v>503</v>
      </c>
      <c r="K1090" s="151">
        <v>372</v>
      </c>
      <c r="L1090" s="1"/>
      <c r="M1090" s="73">
        <f t="shared" si="137"/>
        <v>0</v>
      </c>
      <c r="N1090" s="73">
        <f t="shared" si="138"/>
        <v>0</v>
      </c>
      <c r="O1090" s="73">
        <f t="shared" si="144"/>
        <v>0</v>
      </c>
      <c r="P1090" s="73">
        <f t="shared" si="139"/>
        <v>0</v>
      </c>
      <c r="Q1090" s="73"/>
      <c r="R1090" s="73">
        <v>0</v>
      </c>
      <c r="S1090" s="75">
        <f t="shared" si="141"/>
        <v>0</v>
      </c>
      <c r="T1090" s="77">
        <v>0</v>
      </c>
      <c r="U1090" s="66">
        <v>40483</v>
      </c>
      <c r="V1090" s="79"/>
      <c r="W1090" s="66" t="s">
        <v>1585</v>
      </c>
      <c r="X1090" s="24" t="s">
        <v>1586</v>
      </c>
      <c r="Y1090" s="62"/>
      <c r="Z1090" s="169" t="s">
        <v>894</v>
      </c>
      <c r="AA1090" s="166" t="s">
        <v>2911</v>
      </c>
      <c r="AB1090" s="152"/>
      <c r="AC1090" s="153"/>
      <c r="AD1090" s="154"/>
      <c r="AE1090" s="153"/>
      <c r="AF1090" s="153"/>
      <c r="AG1090" s="153"/>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c r="BI1090" s="153"/>
      <c r="BJ1090" s="153"/>
      <c r="BK1090" s="153"/>
      <c r="BL1090" s="153"/>
      <c r="BM1090" s="153"/>
      <c r="BN1090" s="153"/>
      <c r="BO1090" s="153"/>
      <c r="BP1090" s="153"/>
      <c r="BQ1090" s="153"/>
      <c r="BR1090" s="153"/>
      <c r="BS1090" s="153"/>
      <c r="BT1090" s="153"/>
      <c r="BU1090" s="153"/>
      <c r="BV1090" s="153"/>
      <c r="BW1090" s="153"/>
      <c r="BX1090" s="153"/>
      <c r="BY1090" s="153"/>
      <c r="BZ1090" s="153"/>
      <c r="CA1090" s="153"/>
      <c r="CB1090" s="153"/>
      <c r="CC1090" s="153"/>
      <c r="CD1090" s="155"/>
      <c r="CE1090" s="156"/>
      <c r="CF1090" s="155"/>
      <c r="CG1090" s="156"/>
      <c r="CH1090" s="155"/>
      <c r="CI1090" s="156"/>
      <c r="CJ1090" s="157">
        <f t="shared" si="140"/>
        <v>0</v>
      </c>
      <c r="CK1090" s="158"/>
      <c r="CL1090" s="159"/>
      <c r="CM1090" s="160"/>
      <c r="CN1090" s="161"/>
      <c r="CO1090" s="162"/>
      <c r="CP1090" s="161"/>
      <c r="CQ1090" s="158"/>
      <c r="CR1090" s="159"/>
      <c r="CS1090" s="68"/>
      <c r="CT1090" s="163"/>
      <c r="EC1090" s="344" t="str">
        <f t="shared" si="143"/>
        <v>VALLE DEL CAUCA_GUADALAJARA DE BUGA</v>
      </c>
      <c r="ED1090" s="341"/>
      <c r="EE1090" s="341" t="s">
        <v>3219</v>
      </c>
      <c r="EF1090" s="349" t="s">
        <v>5337</v>
      </c>
      <c r="EG1090" s="341" t="s">
        <v>5351</v>
      </c>
      <c r="EH1090" s="341" t="s">
        <v>5352</v>
      </c>
      <c r="EI1090" s="341" t="str">
        <f t="shared" si="145"/>
        <v>Amazonas_Puerto Arica (CD)</v>
      </c>
    </row>
    <row r="1091" spans="1:139" s="164" customFormat="1" ht="38.25">
      <c r="A1091" s="235">
        <v>40425</v>
      </c>
      <c r="B1091" s="267" t="s">
        <v>1972</v>
      </c>
      <c r="C1091" s="267" t="s">
        <v>1218</v>
      </c>
      <c r="D1091" s="268" t="s">
        <v>1201</v>
      </c>
      <c r="E1091" s="326" t="s">
        <v>3245</v>
      </c>
      <c r="F1091" s="326"/>
      <c r="G1091" s="204"/>
      <c r="H1091" s="151"/>
      <c r="I1091" s="151"/>
      <c r="J1091" s="151">
        <v>90</v>
      </c>
      <c r="K1091" s="151">
        <v>18</v>
      </c>
      <c r="L1091" s="1"/>
      <c r="M1091" s="73">
        <f t="shared" ref="M1091:M1154" si="146">CJ1091</f>
        <v>0</v>
      </c>
      <c r="N1091" s="73">
        <f t="shared" ref="N1091:N1100" si="147">CN1091</f>
        <v>0</v>
      </c>
      <c r="O1091" s="73">
        <f t="shared" si="144"/>
        <v>0</v>
      </c>
      <c r="P1091" s="73">
        <f t="shared" ref="P1091:P1154" si="148">CL1091</f>
        <v>0</v>
      </c>
      <c r="Q1091" s="73"/>
      <c r="R1091" s="73">
        <v>0</v>
      </c>
      <c r="S1091" s="75">
        <f t="shared" si="141"/>
        <v>0</v>
      </c>
      <c r="T1091" s="77">
        <v>0</v>
      </c>
      <c r="U1091" s="66">
        <v>40428</v>
      </c>
      <c r="V1091" s="79"/>
      <c r="W1091" s="66" t="s">
        <v>1585</v>
      </c>
      <c r="X1091" s="24" t="s">
        <v>1586</v>
      </c>
      <c r="Y1091" s="62"/>
      <c r="Z1091" s="169" t="s">
        <v>894</v>
      </c>
      <c r="AA1091" s="166" t="s">
        <v>1036</v>
      </c>
      <c r="AB1091" s="152"/>
      <c r="AC1091" s="153"/>
      <c r="AD1091" s="154"/>
      <c r="AE1091" s="153"/>
      <c r="AF1091" s="153"/>
      <c r="AG1091" s="153"/>
      <c r="AH1091" s="153"/>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c r="BF1091" s="153"/>
      <c r="BG1091" s="153"/>
      <c r="BH1091" s="153"/>
      <c r="BI1091" s="153"/>
      <c r="BJ1091" s="153"/>
      <c r="BK1091" s="153"/>
      <c r="BL1091" s="153"/>
      <c r="BM1091" s="153"/>
      <c r="BN1091" s="153"/>
      <c r="BO1091" s="153"/>
      <c r="BP1091" s="153"/>
      <c r="BQ1091" s="153"/>
      <c r="BR1091" s="153"/>
      <c r="BS1091" s="153"/>
      <c r="BT1091" s="153"/>
      <c r="BU1091" s="153"/>
      <c r="BV1091" s="153"/>
      <c r="BW1091" s="153"/>
      <c r="BX1091" s="153"/>
      <c r="BY1091" s="153"/>
      <c r="BZ1091" s="153"/>
      <c r="CA1091" s="153"/>
      <c r="CB1091" s="153"/>
      <c r="CC1091" s="153"/>
      <c r="CD1091" s="155"/>
      <c r="CE1091" s="156"/>
      <c r="CF1091" s="155"/>
      <c r="CG1091" s="156"/>
      <c r="CH1091" s="155"/>
      <c r="CI1091" s="156"/>
      <c r="CJ1091" s="157">
        <f t="shared" ref="CJ1091:CJ1154" si="149">AC1091+AE1091+AG1091+AI1091+AK1091+AM1091+AO1091+AQ1091+AS1091+AU1091+AW1091+AY1091+BA1091+BC1091+BE1091+BG1091+BI1091+BK1091+BM1091+BO1091+BQ1091+BS1091+BU1091+BW1091+BY1091+CA1091+CC1091+CE1091+CG1091+CI1091</f>
        <v>0</v>
      </c>
      <c r="CK1091" s="158"/>
      <c r="CL1091" s="159"/>
      <c r="CM1091" s="160"/>
      <c r="CN1091" s="161"/>
      <c r="CO1091" s="162"/>
      <c r="CP1091" s="161"/>
      <c r="CQ1091" s="158"/>
      <c r="CR1091" s="159"/>
      <c r="CS1091" s="68"/>
      <c r="CT1091" s="163"/>
      <c r="EC1091" s="344" t="str">
        <f t="shared" si="143"/>
        <v>ANTIOQUIA_BELLO</v>
      </c>
      <c r="ED1091" s="341"/>
      <c r="EE1091" s="341" t="s">
        <v>3219</v>
      </c>
      <c r="EF1091" s="349" t="s">
        <v>5337</v>
      </c>
      <c r="EG1091" s="341" t="s">
        <v>4308</v>
      </c>
      <c r="EH1091" s="341" t="s">
        <v>5353</v>
      </c>
      <c r="EI1091" s="341" t="str">
        <f t="shared" si="145"/>
        <v>Amazonas_Puerto Nariño</v>
      </c>
    </row>
    <row r="1092" spans="1:139" s="164" customFormat="1" ht="51">
      <c r="A1092" s="228">
        <v>40425</v>
      </c>
      <c r="B1092" s="222" t="s">
        <v>1943</v>
      </c>
      <c r="C1092" s="222" t="s">
        <v>1242</v>
      </c>
      <c r="D1092" s="233" t="s">
        <v>2606</v>
      </c>
      <c r="E1092" s="325" t="s">
        <v>4153</v>
      </c>
      <c r="F1092" s="325"/>
      <c r="G1092" s="204"/>
      <c r="H1092" s="151"/>
      <c r="I1092" s="151"/>
      <c r="J1092" s="151">
        <v>300</v>
      </c>
      <c r="K1092" s="151">
        <v>75</v>
      </c>
      <c r="L1092" s="1">
        <v>40487</v>
      </c>
      <c r="M1092" s="73">
        <f t="shared" si="146"/>
        <v>50400000</v>
      </c>
      <c r="N1092" s="73">
        <f t="shared" si="147"/>
        <v>119000000</v>
      </c>
      <c r="O1092" s="73">
        <f t="shared" si="144"/>
        <v>25305600</v>
      </c>
      <c r="P1092" s="73">
        <f t="shared" si="148"/>
        <v>0</v>
      </c>
      <c r="Q1092" s="73"/>
      <c r="R1092" s="73">
        <v>0</v>
      </c>
      <c r="S1092" s="75">
        <f t="shared" si="141"/>
        <v>194705600</v>
      </c>
      <c r="T1092" s="77">
        <v>0</v>
      </c>
      <c r="U1092" s="66">
        <v>40428</v>
      </c>
      <c r="V1092" s="79">
        <v>46609</v>
      </c>
      <c r="W1092" s="66" t="s">
        <v>1606</v>
      </c>
      <c r="X1092" s="67" t="s">
        <v>1607</v>
      </c>
      <c r="Y1092" s="62">
        <v>23551</v>
      </c>
      <c r="Z1092" s="169" t="s">
        <v>1435</v>
      </c>
      <c r="AA1092" s="166" t="s">
        <v>1038</v>
      </c>
      <c r="AB1092" s="152"/>
      <c r="AC1092" s="153"/>
      <c r="AD1092" s="154"/>
      <c r="AE1092" s="153"/>
      <c r="AF1092" s="153"/>
      <c r="AG1092" s="153"/>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c r="BF1092" s="153"/>
      <c r="BG1092" s="153"/>
      <c r="BH1092" s="153"/>
      <c r="BI1092" s="153"/>
      <c r="BJ1092" s="153"/>
      <c r="BK1092" s="153"/>
      <c r="BL1092" s="153"/>
      <c r="BM1092" s="153"/>
      <c r="BN1092" s="153"/>
      <c r="BO1092" s="153"/>
      <c r="BP1092" s="153"/>
      <c r="BQ1092" s="153"/>
      <c r="BR1092" s="153"/>
      <c r="BS1092" s="153"/>
      <c r="BT1092" s="153"/>
      <c r="BU1092" s="153"/>
      <c r="BV1092" s="153"/>
      <c r="BW1092" s="153"/>
      <c r="BX1092" s="153"/>
      <c r="BY1092" s="153"/>
      <c r="BZ1092" s="153"/>
      <c r="CA1092" s="153"/>
      <c r="CB1092" s="153">
        <v>2800</v>
      </c>
      <c r="CC1092" s="153">
        <f>2800*18000</f>
        <v>50400000</v>
      </c>
      <c r="CD1092" s="155"/>
      <c r="CE1092" s="156"/>
      <c r="CF1092" s="155"/>
      <c r="CG1092" s="156"/>
      <c r="CH1092" s="155"/>
      <c r="CI1092" s="156"/>
      <c r="CJ1092" s="157">
        <f t="shared" si="149"/>
        <v>50400000</v>
      </c>
      <c r="CK1092" s="158"/>
      <c r="CL1092" s="159"/>
      <c r="CM1092" s="160">
        <v>1400</v>
      </c>
      <c r="CN1092" s="161">
        <f>1400*85000</f>
        <v>119000000</v>
      </c>
      <c r="CO1092" s="162"/>
      <c r="CP1092" s="161"/>
      <c r="CQ1092" s="158">
        <v>1200</v>
      </c>
      <c r="CR1092" s="159">
        <f>1200*19000+7200*348</f>
        <v>25305600</v>
      </c>
      <c r="CS1092" s="68"/>
      <c r="CT1092" s="163"/>
      <c r="EC1092" s="344" t="str">
        <f t="shared" si="143"/>
        <v>SUCRE_CAIMITO</v>
      </c>
      <c r="ED1092" s="341"/>
      <c r="EE1092" s="341" t="s">
        <v>3219</v>
      </c>
      <c r="EF1092" s="349" t="s">
        <v>5337</v>
      </c>
      <c r="EG1092" s="341" t="s">
        <v>5354</v>
      </c>
      <c r="EH1092" s="341" t="s">
        <v>5355</v>
      </c>
      <c r="EI1092" s="341" t="str">
        <f t="shared" si="145"/>
        <v>Amazonas_Puerto Santander (CD)</v>
      </c>
    </row>
    <row r="1093" spans="1:139" s="164" customFormat="1" ht="60">
      <c r="A1093" s="228">
        <v>40425</v>
      </c>
      <c r="B1093" s="222" t="s">
        <v>1943</v>
      </c>
      <c r="C1093" s="222" t="s">
        <v>394</v>
      </c>
      <c r="D1093" s="233" t="s">
        <v>1201</v>
      </c>
      <c r="E1093" s="325" t="s">
        <v>4155</v>
      </c>
      <c r="F1093" s="325"/>
      <c r="G1093" s="204"/>
      <c r="H1093" s="151"/>
      <c r="I1093" s="151"/>
      <c r="J1093" s="151">
        <v>4120</v>
      </c>
      <c r="K1093" s="151">
        <v>1030</v>
      </c>
      <c r="L1093" s="1">
        <v>40452</v>
      </c>
      <c r="M1093" s="73">
        <f t="shared" si="146"/>
        <v>55800000</v>
      </c>
      <c r="N1093" s="73">
        <f t="shared" si="147"/>
        <v>102000000</v>
      </c>
      <c r="O1093" s="73">
        <f t="shared" si="144"/>
        <v>0</v>
      </c>
      <c r="P1093" s="73">
        <f t="shared" si="148"/>
        <v>0</v>
      </c>
      <c r="Q1093" s="73"/>
      <c r="R1093" s="73">
        <v>0</v>
      </c>
      <c r="S1093" s="75">
        <f t="shared" si="141"/>
        <v>157800000</v>
      </c>
      <c r="T1093" s="77">
        <v>0</v>
      </c>
      <c r="U1093" s="66">
        <v>40428</v>
      </c>
      <c r="V1093" s="79">
        <v>46609</v>
      </c>
      <c r="W1093" s="66" t="s">
        <v>1606</v>
      </c>
      <c r="X1093" s="24" t="s">
        <v>1607</v>
      </c>
      <c r="Y1093" s="62">
        <v>20539</v>
      </c>
      <c r="Z1093" s="169" t="s">
        <v>1435</v>
      </c>
      <c r="AA1093" s="166" t="s">
        <v>1035</v>
      </c>
      <c r="AB1093" s="152"/>
      <c r="AC1093" s="153"/>
      <c r="AD1093" s="154"/>
      <c r="AE1093" s="153"/>
      <c r="AF1093" s="153"/>
      <c r="AG1093" s="153"/>
      <c r="AH1093" s="153"/>
      <c r="AI1093" s="153"/>
      <c r="AJ1093" s="153"/>
      <c r="AK1093" s="153"/>
      <c r="AL1093" s="153"/>
      <c r="AM1093" s="153"/>
      <c r="AN1093" s="153">
        <v>600</v>
      </c>
      <c r="AO1093" s="153">
        <f>600*56000</f>
        <v>33600000</v>
      </c>
      <c r="AP1093" s="153"/>
      <c r="AQ1093" s="153"/>
      <c r="AR1093" s="153"/>
      <c r="AS1093" s="153"/>
      <c r="AT1093" s="153"/>
      <c r="AU1093" s="153"/>
      <c r="AV1093" s="153"/>
      <c r="AW1093" s="153"/>
      <c r="AX1093" s="153"/>
      <c r="AY1093" s="153"/>
      <c r="AZ1093" s="153"/>
      <c r="BA1093" s="153"/>
      <c r="BB1093" s="153"/>
      <c r="BC1093" s="153"/>
      <c r="BD1093" s="153"/>
      <c r="BE1093" s="153"/>
      <c r="BF1093" s="153"/>
      <c r="BG1093" s="153"/>
      <c r="BH1093" s="153"/>
      <c r="BI1093" s="153"/>
      <c r="BJ1093" s="153"/>
      <c r="BK1093" s="153"/>
      <c r="BL1093" s="153"/>
      <c r="BM1093" s="153"/>
      <c r="BN1093" s="153"/>
      <c r="BO1093" s="153"/>
      <c r="BP1093" s="153"/>
      <c r="BQ1093" s="153"/>
      <c r="BR1093" s="153"/>
      <c r="BS1093" s="153"/>
      <c r="BT1093" s="153"/>
      <c r="BU1093" s="153"/>
      <c r="BV1093" s="153"/>
      <c r="BW1093" s="153"/>
      <c r="BX1093" s="153"/>
      <c r="BY1093" s="153"/>
      <c r="BZ1093" s="153"/>
      <c r="CA1093" s="153"/>
      <c r="CB1093" s="153"/>
      <c r="CC1093" s="153"/>
      <c r="CD1093" s="155">
        <v>600</v>
      </c>
      <c r="CE1093" s="156">
        <f>600*37000</f>
        <v>22200000</v>
      </c>
      <c r="CF1093" s="155"/>
      <c r="CG1093" s="156"/>
      <c r="CH1093" s="155"/>
      <c r="CI1093" s="156"/>
      <c r="CJ1093" s="157">
        <f t="shared" si="149"/>
        <v>55800000</v>
      </c>
      <c r="CK1093" s="158"/>
      <c r="CL1093" s="159"/>
      <c r="CM1093" s="160">
        <f>600+600</f>
        <v>1200</v>
      </c>
      <c r="CN1093" s="161">
        <f>600*85000+600*85000</f>
        <v>102000000</v>
      </c>
      <c r="CO1093" s="162"/>
      <c r="CP1093" s="161"/>
      <c r="CQ1093" s="158"/>
      <c r="CR1093" s="159"/>
      <c r="CS1093" s="68"/>
      <c r="CT1093" s="163"/>
      <c r="EC1093" s="344" t="str">
        <f t="shared" si="143"/>
        <v>SUCRE_COROZAL</v>
      </c>
      <c r="ED1093" s="341"/>
      <c r="EE1093" s="341" t="s">
        <v>3219</v>
      </c>
      <c r="EF1093" s="349" t="s">
        <v>5337</v>
      </c>
      <c r="EG1093" s="341" t="s">
        <v>5356</v>
      </c>
      <c r="EH1093" s="341" t="s">
        <v>5357</v>
      </c>
      <c r="EI1093" s="341" t="str">
        <f t="shared" si="145"/>
        <v>Amazonas_Tarapaca (CD)</v>
      </c>
    </row>
    <row r="1094" spans="1:139" s="164" customFormat="1" ht="38.25">
      <c r="A1094" s="235">
        <v>40426</v>
      </c>
      <c r="B1094" s="267" t="s">
        <v>1972</v>
      </c>
      <c r="C1094" s="267" t="s">
        <v>1725</v>
      </c>
      <c r="D1094" s="268" t="s">
        <v>2606</v>
      </c>
      <c r="E1094" s="326" t="s">
        <v>3316</v>
      </c>
      <c r="F1094" s="326"/>
      <c r="G1094" s="204"/>
      <c r="H1094" s="151"/>
      <c r="I1094" s="151"/>
      <c r="J1094" s="151">
        <v>36</v>
      </c>
      <c r="K1094" s="151">
        <v>14</v>
      </c>
      <c r="L1094" s="1"/>
      <c r="M1094" s="73">
        <f t="shared" si="146"/>
        <v>0</v>
      </c>
      <c r="N1094" s="73">
        <f t="shared" si="147"/>
        <v>0</v>
      </c>
      <c r="O1094" s="73">
        <f t="shared" si="144"/>
        <v>0</v>
      </c>
      <c r="P1094" s="73">
        <f t="shared" si="148"/>
        <v>0</v>
      </c>
      <c r="Q1094" s="73"/>
      <c r="R1094" s="73">
        <v>0</v>
      </c>
      <c r="S1094" s="75">
        <f t="shared" si="141"/>
        <v>0</v>
      </c>
      <c r="T1094" s="77">
        <v>0</v>
      </c>
      <c r="U1094" s="66">
        <v>40428</v>
      </c>
      <c r="V1094" s="79"/>
      <c r="W1094" s="66" t="s">
        <v>1585</v>
      </c>
      <c r="X1094" s="24" t="s">
        <v>1586</v>
      </c>
      <c r="Y1094" s="62"/>
      <c r="Z1094" s="169" t="s">
        <v>894</v>
      </c>
      <c r="AA1094" s="166" t="s">
        <v>1042</v>
      </c>
      <c r="AB1094" s="152"/>
      <c r="AC1094" s="153"/>
      <c r="AD1094" s="154"/>
      <c r="AE1094" s="153"/>
      <c r="AF1094" s="153"/>
      <c r="AG1094" s="153"/>
      <c r="AH1094" s="153"/>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c r="BF1094" s="153"/>
      <c r="BG1094" s="153"/>
      <c r="BH1094" s="153"/>
      <c r="BI1094" s="153"/>
      <c r="BJ1094" s="153"/>
      <c r="BK1094" s="153"/>
      <c r="BL1094" s="153"/>
      <c r="BM1094" s="153"/>
      <c r="BN1094" s="153"/>
      <c r="BO1094" s="153"/>
      <c r="BP1094" s="153"/>
      <c r="BQ1094" s="153"/>
      <c r="BR1094" s="153"/>
      <c r="BS1094" s="153"/>
      <c r="BT1094" s="153"/>
      <c r="BU1094" s="153"/>
      <c r="BV1094" s="153"/>
      <c r="BW1094" s="153"/>
      <c r="BX1094" s="153"/>
      <c r="BY1094" s="153"/>
      <c r="BZ1094" s="153"/>
      <c r="CA1094" s="153"/>
      <c r="CB1094" s="153"/>
      <c r="CC1094" s="153"/>
      <c r="CD1094" s="155"/>
      <c r="CE1094" s="156"/>
      <c r="CF1094" s="155"/>
      <c r="CG1094" s="156"/>
      <c r="CH1094" s="155"/>
      <c r="CI1094" s="156"/>
      <c r="CJ1094" s="157">
        <f t="shared" si="149"/>
        <v>0</v>
      </c>
      <c r="CK1094" s="158"/>
      <c r="CL1094" s="159"/>
      <c r="CM1094" s="160"/>
      <c r="CN1094" s="161"/>
      <c r="CO1094" s="162"/>
      <c r="CP1094" s="161"/>
      <c r="CQ1094" s="158"/>
      <c r="CR1094" s="159"/>
      <c r="CS1094" s="68"/>
      <c r="CT1094" s="163"/>
      <c r="EC1094" s="344" t="str">
        <f t="shared" si="143"/>
        <v>ANTIOQUIA_SAN CARLOS</v>
      </c>
      <c r="ED1094" s="341"/>
      <c r="EE1094" s="341" t="s">
        <v>3220</v>
      </c>
      <c r="EF1094" s="349" t="s">
        <v>5358</v>
      </c>
      <c r="EG1094" s="341" t="s">
        <v>4309</v>
      </c>
      <c r="EH1094" s="341" t="s">
        <v>5359</v>
      </c>
      <c r="EI1094" s="341" t="str">
        <f t="shared" si="145"/>
        <v>Guainia_Inirida</v>
      </c>
    </row>
    <row r="1095" spans="1:139" s="164" customFormat="1" ht="38.25">
      <c r="A1095" s="228">
        <v>40426</v>
      </c>
      <c r="B1095" s="222" t="s">
        <v>396</v>
      </c>
      <c r="C1095" s="222" t="s">
        <v>1899</v>
      </c>
      <c r="D1095" s="233" t="s">
        <v>1201</v>
      </c>
      <c r="E1095" s="325" t="s">
        <v>3905</v>
      </c>
      <c r="F1095" s="325"/>
      <c r="G1095" s="204"/>
      <c r="H1095" s="151"/>
      <c r="I1095" s="151"/>
      <c r="J1095" s="151">
        <v>100</v>
      </c>
      <c r="K1095" s="151">
        <v>20</v>
      </c>
      <c r="L1095" s="1"/>
      <c r="M1095" s="73">
        <f t="shared" si="146"/>
        <v>0</v>
      </c>
      <c r="N1095" s="73">
        <f t="shared" si="147"/>
        <v>0</v>
      </c>
      <c r="O1095" s="73">
        <f t="shared" si="144"/>
        <v>0</v>
      </c>
      <c r="P1095" s="73">
        <f t="shared" si="148"/>
        <v>0</v>
      </c>
      <c r="Q1095" s="73"/>
      <c r="R1095" s="73">
        <v>0</v>
      </c>
      <c r="S1095" s="75">
        <f t="shared" si="141"/>
        <v>0</v>
      </c>
      <c r="T1095" s="77">
        <v>0</v>
      </c>
      <c r="U1095" s="66">
        <v>40428</v>
      </c>
      <c r="V1095" s="79"/>
      <c r="W1095" s="66" t="s">
        <v>1585</v>
      </c>
      <c r="X1095" s="24" t="s">
        <v>1586</v>
      </c>
      <c r="Y1095" s="62"/>
      <c r="Z1095" s="169" t="s">
        <v>894</v>
      </c>
      <c r="AA1095" s="166" t="s">
        <v>1043</v>
      </c>
      <c r="AB1095" s="152"/>
      <c r="AC1095" s="153"/>
      <c r="AD1095" s="154"/>
      <c r="AE1095" s="153"/>
      <c r="AF1095" s="153"/>
      <c r="AG1095" s="153"/>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c r="BF1095" s="153"/>
      <c r="BG1095" s="153"/>
      <c r="BH1095" s="153"/>
      <c r="BI1095" s="153"/>
      <c r="BJ1095" s="153"/>
      <c r="BK1095" s="153"/>
      <c r="BL1095" s="153"/>
      <c r="BM1095" s="153"/>
      <c r="BN1095" s="153"/>
      <c r="BO1095" s="153"/>
      <c r="BP1095" s="153"/>
      <c r="BQ1095" s="153"/>
      <c r="BR1095" s="153"/>
      <c r="BS1095" s="153"/>
      <c r="BT1095" s="153"/>
      <c r="BU1095" s="153"/>
      <c r="BV1095" s="153"/>
      <c r="BW1095" s="153"/>
      <c r="BX1095" s="153"/>
      <c r="BY1095" s="153"/>
      <c r="BZ1095" s="153"/>
      <c r="CA1095" s="153"/>
      <c r="CB1095" s="153"/>
      <c r="CC1095" s="153"/>
      <c r="CD1095" s="155"/>
      <c r="CE1095" s="156"/>
      <c r="CF1095" s="155"/>
      <c r="CG1095" s="156"/>
      <c r="CH1095" s="155"/>
      <c r="CI1095" s="156"/>
      <c r="CJ1095" s="157">
        <f t="shared" si="149"/>
        <v>0</v>
      </c>
      <c r="CK1095" s="158"/>
      <c r="CL1095" s="159"/>
      <c r="CM1095" s="160"/>
      <c r="CN1095" s="161"/>
      <c r="CO1095" s="162"/>
      <c r="CP1095" s="161"/>
      <c r="CQ1095" s="158"/>
      <c r="CR1095" s="159"/>
      <c r="CS1095" s="68"/>
      <c r="CT1095" s="163"/>
      <c r="EC1095" s="344" t="str">
        <f t="shared" si="143"/>
        <v>META_VILLAVICENCIO</v>
      </c>
      <c r="ED1095" s="341"/>
      <c r="EE1095" s="341" t="s">
        <v>3220</v>
      </c>
      <c r="EF1095" s="349" t="s">
        <v>5358</v>
      </c>
      <c r="EG1095" s="341" t="s">
        <v>5360</v>
      </c>
      <c r="EH1095" s="341" t="s">
        <v>5361</v>
      </c>
      <c r="EI1095" s="341" t="str">
        <f t="shared" si="145"/>
        <v>Guainia_Barranco Minas (CD)</v>
      </c>
    </row>
    <row r="1096" spans="1:139" s="164" customFormat="1" ht="38.25">
      <c r="A1096" s="228">
        <v>40426</v>
      </c>
      <c r="B1096" s="102" t="s">
        <v>1609</v>
      </c>
      <c r="C1096" s="222" t="s">
        <v>2581</v>
      </c>
      <c r="D1096" s="206" t="s">
        <v>1878</v>
      </c>
      <c r="E1096" s="320" t="s">
        <v>4053</v>
      </c>
      <c r="F1096" s="320"/>
      <c r="G1096" s="204"/>
      <c r="H1096" s="151"/>
      <c r="I1096" s="151"/>
      <c r="J1096" s="151"/>
      <c r="K1096" s="151"/>
      <c r="L1096" s="1"/>
      <c r="M1096" s="73">
        <f t="shared" si="146"/>
        <v>0</v>
      </c>
      <c r="N1096" s="73">
        <f t="shared" si="147"/>
        <v>0</v>
      </c>
      <c r="O1096" s="73">
        <f t="shared" si="144"/>
        <v>0</v>
      </c>
      <c r="P1096" s="73">
        <f t="shared" si="148"/>
        <v>0</v>
      </c>
      <c r="Q1096" s="73"/>
      <c r="R1096" s="73">
        <v>0</v>
      </c>
      <c r="S1096" s="75">
        <f t="shared" si="141"/>
        <v>0</v>
      </c>
      <c r="T1096" s="77">
        <v>0</v>
      </c>
      <c r="U1096" s="66">
        <v>40428</v>
      </c>
      <c r="V1096" s="79"/>
      <c r="W1096" s="66" t="s">
        <v>1585</v>
      </c>
      <c r="X1096" s="24" t="s">
        <v>1586</v>
      </c>
      <c r="Y1096" s="62"/>
      <c r="Z1096" s="169" t="s">
        <v>894</v>
      </c>
      <c r="AA1096" s="166" t="s">
        <v>1044</v>
      </c>
      <c r="AB1096" s="152"/>
      <c r="AC1096" s="153"/>
      <c r="AD1096" s="154"/>
      <c r="AE1096" s="153"/>
      <c r="AF1096" s="153"/>
      <c r="AG1096" s="153"/>
      <c r="AH1096" s="153"/>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c r="BF1096" s="153"/>
      <c r="BG1096" s="153"/>
      <c r="BH1096" s="153"/>
      <c r="BI1096" s="153"/>
      <c r="BJ1096" s="153"/>
      <c r="BK1096" s="153"/>
      <c r="BL1096" s="153"/>
      <c r="BM1096" s="153"/>
      <c r="BN1096" s="153"/>
      <c r="BO1096" s="153"/>
      <c r="BP1096" s="153"/>
      <c r="BQ1096" s="153"/>
      <c r="BR1096" s="153"/>
      <c r="BS1096" s="153"/>
      <c r="BT1096" s="153"/>
      <c r="BU1096" s="153"/>
      <c r="BV1096" s="153"/>
      <c r="BW1096" s="153"/>
      <c r="BX1096" s="153"/>
      <c r="BY1096" s="153"/>
      <c r="BZ1096" s="153"/>
      <c r="CA1096" s="153"/>
      <c r="CB1096" s="153"/>
      <c r="CC1096" s="153"/>
      <c r="CD1096" s="155"/>
      <c r="CE1096" s="156"/>
      <c r="CF1096" s="155"/>
      <c r="CG1096" s="156"/>
      <c r="CH1096" s="155"/>
      <c r="CI1096" s="156"/>
      <c r="CJ1096" s="157">
        <f t="shared" si="149"/>
        <v>0</v>
      </c>
      <c r="CK1096" s="158"/>
      <c r="CL1096" s="159"/>
      <c r="CM1096" s="160"/>
      <c r="CN1096" s="161"/>
      <c r="CO1096" s="162"/>
      <c r="CP1096" s="161"/>
      <c r="CQ1096" s="158"/>
      <c r="CR1096" s="159"/>
      <c r="CS1096" s="68"/>
      <c r="CT1096" s="163"/>
      <c r="EC1096" s="344" t="str">
        <f t="shared" si="143"/>
        <v>RISARALDA_BELEN DE UMBRIA</v>
      </c>
      <c r="ED1096" s="341"/>
      <c r="EE1096" s="341" t="s">
        <v>3220</v>
      </c>
      <c r="EF1096" s="349" t="s">
        <v>5358</v>
      </c>
      <c r="EG1096" s="341" t="s">
        <v>5362</v>
      </c>
      <c r="EH1096" s="341" t="s">
        <v>5363</v>
      </c>
      <c r="EI1096" s="341" t="str">
        <f t="shared" si="145"/>
        <v>Guainia_Mapiripana (CD)</v>
      </c>
    </row>
    <row r="1097" spans="1:139" s="164" customFormat="1" ht="153">
      <c r="A1097" s="228">
        <v>40426</v>
      </c>
      <c r="B1097" s="222" t="s">
        <v>1998</v>
      </c>
      <c r="C1097" s="205" t="s">
        <v>1034</v>
      </c>
      <c r="D1097" s="207" t="s">
        <v>1033</v>
      </c>
      <c r="E1097" s="323" t="e">
        <v>#N/A</v>
      </c>
      <c r="F1097" s="323"/>
      <c r="G1097" s="204"/>
      <c r="H1097" s="151"/>
      <c r="I1097" s="151"/>
      <c r="J1097" s="151"/>
      <c r="K1097" s="151"/>
      <c r="L1097" s="1"/>
      <c r="M1097" s="73">
        <f t="shared" si="146"/>
        <v>0</v>
      </c>
      <c r="N1097" s="73">
        <f t="shared" si="147"/>
        <v>0</v>
      </c>
      <c r="O1097" s="73">
        <f t="shared" si="144"/>
        <v>0</v>
      </c>
      <c r="P1097" s="73">
        <f t="shared" si="148"/>
        <v>0</v>
      </c>
      <c r="Q1097" s="73"/>
      <c r="R1097" s="73">
        <v>0</v>
      </c>
      <c r="S1097" s="75">
        <f t="shared" ref="S1097:S1160" si="150">M1097+N1097+O1097+P1097+Q1097+R1097</f>
        <v>0</v>
      </c>
      <c r="T1097" s="77">
        <v>0</v>
      </c>
      <c r="U1097" s="66">
        <v>40428</v>
      </c>
      <c r="V1097" s="79"/>
      <c r="W1097" s="66" t="s">
        <v>1585</v>
      </c>
      <c r="X1097" s="24" t="s">
        <v>1586</v>
      </c>
      <c r="Y1097" s="62"/>
      <c r="Z1097" s="169" t="s">
        <v>894</v>
      </c>
      <c r="AA1097" s="166" t="s">
        <v>1039</v>
      </c>
      <c r="AB1097" s="152"/>
      <c r="AC1097" s="153"/>
      <c r="AD1097" s="154"/>
      <c r="AE1097" s="153"/>
      <c r="AF1097" s="153"/>
      <c r="AG1097" s="153"/>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c r="BF1097" s="153"/>
      <c r="BG1097" s="153"/>
      <c r="BH1097" s="153"/>
      <c r="BI1097" s="153"/>
      <c r="BJ1097" s="153"/>
      <c r="BK1097" s="153"/>
      <c r="BL1097" s="153"/>
      <c r="BM1097" s="153"/>
      <c r="BN1097" s="153"/>
      <c r="BO1097" s="153"/>
      <c r="BP1097" s="153"/>
      <c r="BQ1097" s="153"/>
      <c r="BR1097" s="153"/>
      <c r="BS1097" s="153"/>
      <c r="BT1097" s="153"/>
      <c r="BU1097" s="153"/>
      <c r="BV1097" s="153"/>
      <c r="BW1097" s="153"/>
      <c r="BX1097" s="153"/>
      <c r="BY1097" s="153"/>
      <c r="BZ1097" s="153"/>
      <c r="CA1097" s="153"/>
      <c r="CB1097" s="153"/>
      <c r="CC1097" s="153"/>
      <c r="CD1097" s="155"/>
      <c r="CE1097" s="156"/>
      <c r="CF1097" s="155"/>
      <c r="CG1097" s="156"/>
      <c r="CH1097" s="155"/>
      <c r="CI1097" s="156"/>
      <c r="CJ1097" s="157">
        <f t="shared" si="149"/>
        <v>0</v>
      </c>
      <c r="CK1097" s="158"/>
      <c r="CL1097" s="159"/>
      <c r="CM1097" s="160"/>
      <c r="CN1097" s="161"/>
      <c r="CO1097" s="162"/>
      <c r="CP1097" s="161"/>
      <c r="CQ1097" s="158"/>
      <c r="CR1097" s="159"/>
      <c r="CS1097" s="68"/>
      <c r="CT1097" s="163"/>
      <c r="EC1097" s="344" t="str">
        <f t="shared" si="143"/>
        <v>SANTANDER_BUCARAMANGA, LOS SANTOS, SAN ANDRES, SAN JIOAQUIN, MOGOTES, ONZAGA, PINCHOTE</v>
      </c>
      <c r="ED1097" s="341"/>
      <c r="EE1097" s="341" t="s">
        <v>3220</v>
      </c>
      <c r="EF1097" s="349" t="s">
        <v>5358</v>
      </c>
      <c r="EG1097" s="341" t="s">
        <v>5364</v>
      </c>
      <c r="EH1097" s="341" t="s">
        <v>5365</v>
      </c>
      <c r="EI1097" s="341" t="str">
        <f t="shared" si="145"/>
        <v>Guainia_San Felipe (CD)</v>
      </c>
    </row>
    <row r="1098" spans="1:139" s="164" customFormat="1" ht="51">
      <c r="A1098" s="228">
        <v>40427</v>
      </c>
      <c r="B1098" s="222" t="s">
        <v>1972</v>
      </c>
      <c r="C1098" s="222" t="s">
        <v>890</v>
      </c>
      <c r="D1098" s="233" t="s">
        <v>1923</v>
      </c>
      <c r="E1098" s="325" t="s">
        <v>3301</v>
      </c>
      <c r="F1098" s="325"/>
      <c r="G1098" s="204"/>
      <c r="H1098" s="151"/>
      <c r="I1098" s="151"/>
      <c r="J1098" s="151">
        <v>70</v>
      </c>
      <c r="K1098" s="151">
        <v>14</v>
      </c>
      <c r="L1098" s="1"/>
      <c r="M1098" s="73">
        <f t="shared" si="146"/>
        <v>0</v>
      </c>
      <c r="N1098" s="73">
        <f t="shared" si="147"/>
        <v>0</v>
      </c>
      <c r="O1098" s="73">
        <f t="shared" si="144"/>
        <v>0</v>
      </c>
      <c r="P1098" s="73">
        <f t="shared" si="148"/>
        <v>0</v>
      </c>
      <c r="Q1098" s="73"/>
      <c r="R1098" s="73">
        <v>0</v>
      </c>
      <c r="S1098" s="75">
        <f t="shared" si="150"/>
        <v>0</v>
      </c>
      <c r="T1098" s="77">
        <v>0</v>
      </c>
      <c r="U1098" s="66">
        <v>40429</v>
      </c>
      <c r="V1098" s="79"/>
      <c r="W1098" s="66" t="s">
        <v>1585</v>
      </c>
      <c r="X1098" s="24" t="s">
        <v>1586</v>
      </c>
      <c r="Y1098" s="62"/>
      <c r="Z1098" s="169" t="s">
        <v>894</v>
      </c>
      <c r="AA1098" s="166" t="s">
        <v>1053</v>
      </c>
      <c r="AB1098" s="152"/>
      <c r="AC1098" s="153"/>
      <c r="AD1098" s="154"/>
      <c r="AE1098" s="153"/>
      <c r="AF1098" s="153"/>
      <c r="AG1098" s="153"/>
      <c r="AH1098" s="153"/>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c r="BF1098" s="153"/>
      <c r="BG1098" s="153"/>
      <c r="BH1098" s="153"/>
      <c r="BI1098" s="153"/>
      <c r="BJ1098" s="153"/>
      <c r="BK1098" s="153"/>
      <c r="BL1098" s="153"/>
      <c r="BM1098" s="153"/>
      <c r="BN1098" s="153"/>
      <c r="BO1098" s="153"/>
      <c r="BP1098" s="153"/>
      <c r="BQ1098" s="153"/>
      <c r="BR1098" s="153"/>
      <c r="BS1098" s="153"/>
      <c r="BT1098" s="153"/>
      <c r="BU1098" s="153"/>
      <c r="BV1098" s="153"/>
      <c r="BW1098" s="153"/>
      <c r="BX1098" s="153"/>
      <c r="BY1098" s="153"/>
      <c r="BZ1098" s="153"/>
      <c r="CA1098" s="153"/>
      <c r="CB1098" s="153"/>
      <c r="CC1098" s="153"/>
      <c r="CD1098" s="155"/>
      <c r="CE1098" s="156"/>
      <c r="CF1098" s="155"/>
      <c r="CG1098" s="156"/>
      <c r="CH1098" s="155"/>
      <c r="CI1098" s="156"/>
      <c r="CJ1098" s="157">
        <f t="shared" si="149"/>
        <v>0</v>
      </c>
      <c r="CK1098" s="158"/>
      <c r="CL1098" s="159"/>
      <c r="CM1098" s="160"/>
      <c r="CN1098" s="161"/>
      <c r="CO1098" s="162"/>
      <c r="CP1098" s="161"/>
      <c r="CQ1098" s="158"/>
      <c r="CR1098" s="159"/>
      <c r="CS1098" s="68"/>
      <c r="CT1098" s="163">
        <v>1265</v>
      </c>
      <c r="EC1098" s="344" t="str">
        <f t="shared" si="143"/>
        <v>ANTIOQUIA_NECHI</v>
      </c>
      <c r="ED1098" s="341"/>
      <c r="EE1098" s="341" t="s">
        <v>3220</v>
      </c>
      <c r="EF1098" s="349" t="s">
        <v>5358</v>
      </c>
      <c r="EG1098" s="341" t="s">
        <v>5366</v>
      </c>
      <c r="EH1098" s="341" t="s">
        <v>5367</v>
      </c>
      <c r="EI1098" s="341" t="str">
        <f t="shared" si="145"/>
        <v>Guainia_Puerto Colombia (CD)</v>
      </c>
    </row>
    <row r="1099" spans="1:139" s="164" customFormat="1" ht="38.25">
      <c r="A1099" s="228">
        <v>40427</v>
      </c>
      <c r="B1099" s="222" t="s">
        <v>1551</v>
      </c>
      <c r="C1099" s="222" t="s">
        <v>319</v>
      </c>
      <c r="D1099" s="233" t="s">
        <v>2606</v>
      </c>
      <c r="E1099" s="325" t="s">
        <v>3365</v>
      </c>
      <c r="F1099" s="325"/>
      <c r="G1099" s="204"/>
      <c r="H1099" s="151"/>
      <c r="I1099" s="151"/>
      <c r="J1099" s="151">
        <f>225*5</f>
        <v>1125</v>
      </c>
      <c r="K1099" s="151">
        <v>225</v>
      </c>
      <c r="L1099" s="1"/>
      <c r="M1099" s="73">
        <f t="shared" si="146"/>
        <v>0</v>
      </c>
      <c r="N1099" s="73">
        <f t="shared" si="147"/>
        <v>0</v>
      </c>
      <c r="O1099" s="73">
        <f t="shared" si="144"/>
        <v>0</v>
      </c>
      <c r="P1099" s="73">
        <f t="shared" si="148"/>
        <v>0</v>
      </c>
      <c r="Q1099" s="73"/>
      <c r="R1099" s="73">
        <v>0</v>
      </c>
      <c r="S1099" s="75">
        <f t="shared" si="150"/>
        <v>0</v>
      </c>
      <c r="T1099" s="77">
        <v>0</v>
      </c>
      <c r="U1099" s="66">
        <v>40429</v>
      </c>
      <c r="V1099" s="79"/>
      <c r="W1099" s="66" t="s">
        <v>1585</v>
      </c>
      <c r="X1099" s="24" t="s">
        <v>1586</v>
      </c>
      <c r="Y1099" s="62"/>
      <c r="Z1099" s="169" t="s">
        <v>894</v>
      </c>
      <c r="AA1099" s="166" t="s">
        <v>2066</v>
      </c>
      <c r="AB1099" s="152"/>
      <c r="AC1099" s="153"/>
      <c r="AD1099" s="154"/>
      <c r="AE1099" s="153"/>
      <c r="AF1099" s="153"/>
      <c r="AG1099" s="153"/>
      <c r="AH1099" s="153"/>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c r="BF1099" s="153"/>
      <c r="BG1099" s="153"/>
      <c r="BH1099" s="153"/>
      <c r="BI1099" s="153"/>
      <c r="BJ1099" s="153"/>
      <c r="BK1099" s="153"/>
      <c r="BL1099" s="153"/>
      <c r="BM1099" s="153"/>
      <c r="BN1099" s="153"/>
      <c r="BO1099" s="153"/>
      <c r="BP1099" s="153"/>
      <c r="BQ1099" s="153"/>
      <c r="BR1099" s="153"/>
      <c r="BS1099" s="153"/>
      <c r="BT1099" s="153"/>
      <c r="BU1099" s="153"/>
      <c r="BV1099" s="153"/>
      <c r="BW1099" s="153"/>
      <c r="BX1099" s="153"/>
      <c r="BY1099" s="153"/>
      <c r="BZ1099" s="153"/>
      <c r="CA1099" s="153"/>
      <c r="CB1099" s="153"/>
      <c r="CC1099" s="153"/>
      <c r="CD1099" s="155"/>
      <c r="CE1099" s="156"/>
      <c r="CF1099" s="155"/>
      <c r="CG1099" s="156"/>
      <c r="CH1099" s="155"/>
      <c r="CI1099" s="156"/>
      <c r="CJ1099" s="157">
        <f t="shared" si="149"/>
        <v>0</v>
      </c>
      <c r="CK1099" s="158"/>
      <c r="CL1099" s="159"/>
      <c r="CM1099" s="160"/>
      <c r="CN1099" s="161"/>
      <c r="CO1099" s="162"/>
      <c r="CP1099" s="161"/>
      <c r="CQ1099" s="158"/>
      <c r="CR1099" s="159"/>
      <c r="CS1099" s="68"/>
      <c r="CT1099" s="163"/>
      <c r="EC1099" s="344" t="str">
        <f t="shared" si="143"/>
        <v>ATLANTICO_PUERTO COLOMBIA</v>
      </c>
      <c r="ED1099" s="341"/>
      <c r="EE1099" s="341" t="s">
        <v>3220</v>
      </c>
      <c r="EF1099" s="349" t="s">
        <v>5358</v>
      </c>
      <c r="EG1099" s="341" t="s">
        <v>5368</v>
      </c>
      <c r="EH1099" s="341" t="s">
        <v>5369</v>
      </c>
      <c r="EI1099" s="341" t="str">
        <f t="shared" si="145"/>
        <v>Guainia_La Guadalupe (CD)</v>
      </c>
    </row>
    <row r="1100" spans="1:139" s="164" customFormat="1" ht="25.5">
      <c r="A1100" s="228">
        <v>40427</v>
      </c>
      <c r="B1100" s="222" t="s">
        <v>1314</v>
      </c>
      <c r="C1100" s="102" t="s">
        <v>1315</v>
      </c>
      <c r="D1100" s="233" t="s">
        <v>1201</v>
      </c>
      <c r="E1100" s="325" t="s">
        <v>3586</v>
      </c>
      <c r="F1100" s="325"/>
      <c r="G1100" s="204"/>
      <c r="H1100" s="151"/>
      <c r="I1100" s="151"/>
      <c r="J1100" s="151">
        <v>10</v>
      </c>
      <c r="K1100" s="151">
        <v>2</v>
      </c>
      <c r="L1100" s="1"/>
      <c r="M1100" s="73">
        <f t="shared" si="146"/>
        <v>0</v>
      </c>
      <c r="N1100" s="73">
        <f t="shared" si="147"/>
        <v>0</v>
      </c>
      <c r="O1100" s="73">
        <f t="shared" si="144"/>
        <v>0</v>
      </c>
      <c r="P1100" s="73">
        <f t="shared" si="148"/>
        <v>0</v>
      </c>
      <c r="Q1100" s="73"/>
      <c r="R1100" s="73">
        <v>0</v>
      </c>
      <c r="S1100" s="75">
        <f t="shared" si="150"/>
        <v>0</v>
      </c>
      <c r="T1100" s="77">
        <v>0</v>
      </c>
      <c r="U1100" s="66">
        <v>40428</v>
      </c>
      <c r="V1100" s="79"/>
      <c r="W1100" s="66" t="s">
        <v>1585</v>
      </c>
      <c r="X1100" s="24" t="s">
        <v>1586</v>
      </c>
      <c r="Y1100" s="62"/>
      <c r="Z1100" s="169" t="s">
        <v>894</v>
      </c>
      <c r="AA1100" s="166" t="s">
        <v>1045</v>
      </c>
      <c r="AB1100" s="152"/>
      <c r="AC1100" s="153"/>
      <c r="AD1100" s="154"/>
      <c r="AE1100" s="153"/>
      <c r="AF1100" s="153"/>
      <c r="AG1100" s="153"/>
      <c r="AH1100" s="153"/>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c r="BF1100" s="153"/>
      <c r="BG1100" s="153"/>
      <c r="BH1100" s="153"/>
      <c r="BI1100" s="153"/>
      <c r="BJ1100" s="153"/>
      <c r="BK1100" s="153"/>
      <c r="BL1100" s="153"/>
      <c r="BM1100" s="153"/>
      <c r="BN1100" s="153"/>
      <c r="BO1100" s="153"/>
      <c r="BP1100" s="153"/>
      <c r="BQ1100" s="153"/>
      <c r="BR1100" s="153"/>
      <c r="BS1100" s="153"/>
      <c r="BT1100" s="153"/>
      <c r="BU1100" s="153"/>
      <c r="BV1100" s="153"/>
      <c r="BW1100" s="153"/>
      <c r="BX1100" s="153"/>
      <c r="BY1100" s="153"/>
      <c r="BZ1100" s="153"/>
      <c r="CA1100" s="153"/>
      <c r="CB1100" s="153"/>
      <c r="CC1100" s="153"/>
      <c r="CD1100" s="155"/>
      <c r="CE1100" s="156"/>
      <c r="CF1100" s="155"/>
      <c r="CG1100" s="156"/>
      <c r="CH1100" s="155"/>
      <c r="CI1100" s="156"/>
      <c r="CJ1100" s="157">
        <f t="shared" si="149"/>
        <v>0</v>
      </c>
      <c r="CK1100" s="158"/>
      <c r="CL1100" s="159"/>
      <c r="CM1100" s="160"/>
      <c r="CN1100" s="161"/>
      <c r="CO1100" s="162"/>
      <c r="CP1100" s="161"/>
      <c r="CQ1100" s="158"/>
      <c r="CR1100" s="159"/>
      <c r="CS1100" s="68"/>
      <c r="CT1100" s="163"/>
      <c r="EC1100" s="344" t="str">
        <f t="shared" si="143"/>
        <v>CAUCA_POPAYAN</v>
      </c>
      <c r="ED1100" s="341"/>
      <c r="EE1100" s="341" t="s">
        <v>3220</v>
      </c>
      <c r="EF1100" s="349" t="s">
        <v>5358</v>
      </c>
      <c r="EG1100" s="341" t="s">
        <v>5370</v>
      </c>
      <c r="EH1100" s="341" t="s">
        <v>5371</v>
      </c>
      <c r="EI1100" s="341" t="str">
        <f t="shared" si="145"/>
        <v>Guainia_Cacahual (CD)</v>
      </c>
    </row>
    <row r="1101" spans="1:139" s="164" customFormat="1" ht="48">
      <c r="A1101" s="228">
        <v>40427</v>
      </c>
      <c r="B1101" s="205" t="s">
        <v>1996</v>
      </c>
      <c r="C1101" s="205" t="s">
        <v>1176</v>
      </c>
      <c r="D1101" s="207" t="s">
        <v>1201</v>
      </c>
      <c r="E1101" s="323" t="s">
        <v>3820</v>
      </c>
      <c r="F1101" s="323"/>
      <c r="G1101" s="204"/>
      <c r="H1101" s="151"/>
      <c r="I1101" s="151"/>
      <c r="J1101" s="151">
        <v>770</v>
      </c>
      <c r="K1101" s="151">
        <v>297</v>
      </c>
      <c r="L1101" s="1"/>
      <c r="M1101" s="73">
        <f t="shared" si="146"/>
        <v>0</v>
      </c>
      <c r="N1101" s="73">
        <f>CN1314</f>
        <v>0</v>
      </c>
      <c r="O1101" s="73">
        <f t="shared" si="144"/>
        <v>0</v>
      </c>
      <c r="P1101" s="73">
        <f t="shared" si="148"/>
        <v>0</v>
      </c>
      <c r="Q1101" s="73"/>
      <c r="R1101" s="73">
        <v>0</v>
      </c>
      <c r="S1101" s="75">
        <f t="shared" si="150"/>
        <v>0</v>
      </c>
      <c r="T1101" s="77">
        <v>0</v>
      </c>
      <c r="U1101" s="66">
        <v>40444</v>
      </c>
      <c r="V1101" s="79">
        <v>50748</v>
      </c>
      <c r="W1101" s="66" t="s">
        <v>1585</v>
      </c>
      <c r="X1101" s="24" t="s">
        <v>1586</v>
      </c>
      <c r="Y1101" s="62"/>
      <c r="Z1101" s="169" t="s">
        <v>894</v>
      </c>
      <c r="AA1101" s="166" t="s">
        <v>1281</v>
      </c>
      <c r="AB1101" s="152"/>
      <c r="AC1101" s="153"/>
      <c r="AD1101" s="154"/>
      <c r="AE1101" s="153"/>
      <c r="AF1101" s="153"/>
      <c r="AG1101" s="153"/>
      <c r="AH1101" s="153"/>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c r="BF1101" s="153"/>
      <c r="BG1101" s="153"/>
      <c r="BH1101" s="153"/>
      <c r="BI1101" s="153"/>
      <c r="BJ1101" s="153"/>
      <c r="BK1101" s="153"/>
      <c r="BL1101" s="153"/>
      <c r="BM1101" s="153"/>
      <c r="BN1101" s="153"/>
      <c r="BO1101" s="153"/>
      <c r="BP1101" s="153"/>
      <c r="BQ1101" s="153"/>
      <c r="BR1101" s="153"/>
      <c r="BS1101" s="153"/>
      <c r="BT1101" s="153"/>
      <c r="BU1101" s="153"/>
      <c r="BV1101" s="153"/>
      <c r="BW1101" s="153"/>
      <c r="BX1101" s="153"/>
      <c r="BY1101" s="153"/>
      <c r="BZ1101" s="153"/>
      <c r="CA1101" s="153"/>
      <c r="CB1101" s="153"/>
      <c r="CC1101" s="153"/>
      <c r="CD1101" s="155"/>
      <c r="CE1101" s="156"/>
      <c r="CF1101" s="155"/>
      <c r="CG1101" s="156"/>
      <c r="CH1101" s="155"/>
      <c r="CI1101" s="156"/>
      <c r="CJ1101" s="157">
        <f t="shared" si="149"/>
        <v>0</v>
      </c>
      <c r="CK1101" s="158"/>
      <c r="CL1101" s="159"/>
      <c r="CM1101" s="160"/>
      <c r="CN1101" s="262"/>
      <c r="CO1101" s="162"/>
      <c r="CP1101" s="161"/>
      <c r="CQ1101" s="158"/>
      <c r="CR1101" s="159"/>
      <c r="CS1101" s="68"/>
      <c r="CT1101" s="163"/>
      <c r="EC1101" s="344" t="str">
        <f t="shared" si="143"/>
        <v>CHOCO_TADO</v>
      </c>
      <c r="ED1101" s="341"/>
      <c r="EE1101" s="341" t="s">
        <v>3220</v>
      </c>
      <c r="EF1101" s="349" t="s">
        <v>5358</v>
      </c>
      <c r="EG1101" s="341" t="s">
        <v>5372</v>
      </c>
      <c r="EH1101" s="341" t="s">
        <v>5373</v>
      </c>
      <c r="EI1101" s="341" t="str">
        <f t="shared" si="145"/>
        <v>Guainia_Pana Pana (CD)</v>
      </c>
    </row>
    <row r="1102" spans="1:139" s="164" customFormat="1" ht="38.25">
      <c r="A1102" s="228">
        <v>40427</v>
      </c>
      <c r="B1102" s="102" t="s">
        <v>4321</v>
      </c>
      <c r="C1102" s="222" t="s">
        <v>699</v>
      </c>
      <c r="D1102" s="207" t="s">
        <v>1594</v>
      </c>
      <c r="E1102" s="323" t="s">
        <v>3860</v>
      </c>
      <c r="F1102" s="323"/>
      <c r="G1102" s="204">
        <v>1</v>
      </c>
      <c r="H1102" s="151"/>
      <c r="I1102" s="151"/>
      <c r="J1102" s="151"/>
      <c r="K1102" s="151"/>
      <c r="L1102" s="1"/>
      <c r="M1102" s="73">
        <f t="shared" si="146"/>
        <v>0</v>
      </c>
      <c r="N1102" s="73">
        <f t="shared" ref="N1102:N1165" si="151">CN1102</f>
        <v>0</v>
      </c>
      <c r="O1102" s="73">
        <f t="shared" si="144"/>
        <v>0</v>
      </c>
      <c r="P1102" s="73">
        <f t="shared" si="148"/>
        <v>0</v>
      </c>
      <c r="Q1102" s="73"/>
      <c r="R1102" s="73">
        <v>0</v>
      </c>
      <c r="S1102" s="75">
        <f t="shared" si="150"/>
        <v>0</v>
      </c>
      <c r="T1102" s="77">
        <v>0</v>
      </c>
      <c r="U1102" s="66">
        <v>40428</v>
      </c>
      <c r="V1102" s="79"/>
      <c r="W1102" s="66" t="s">
        <v>1585</v>
      </c>
      <c r="X1102" s="24" t="s">
        <v>1586</v>
      </c>
      <c r="Y1102" s="62"/>
      <c r="Z1102" s="169" t="s">
        <v>894</v>
      </c>
      <c r="AA1102" s="166" t="s">
        <v>1048</v>
      </c>
      <c r="AB1102" s="152"/>
      <c r="AC1102" s="153"/>
      <c r="AD1102" s="154"/>
      <c r="AE1102" s="153"/>
      <c r="AF1102" s="153"/>
      <c r="AG1102" s="153"/>
      <c r="AH1102" s="153"/>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c r="BF1102" s="153"/>
      <c r="BG1102" s="153"/>
      <c r="BH1102" s="153"/>
      <c r="BI1102" s="153"/>
      <c r="BJ1102" s="153"/>
      <c r="BK1102" s="153"/>
      <c r="BL1102" s="153"/>
      <c r="BM1102" s="153"/>
      <c r="BN1102" s="153"/>
      <c r="BO1102" s="153"/>
      <c r="BP1102" s="153"/>
      <c r="BQ1102" s="153"/>
      <c r="BR1102" s="153"/>
      <c r="BS1102" s="153"/>
      <c r="BT1102" s="153"/>
      <c r="BU1102" s="153"/>
      <c r="BV1102" s="153"/>
      <c r="BW1102" s="153"/>
      <c r="BX1102" s="153"/>
      <c r="BY1102" s="153"/>
      <c r="BZ1102" s="153"/>
      <c r="CA1102" s="153"/>
      <c r="CB1102" s="153"/>
      <c r="CC1102" s="153"/>
      <c r="CD1102" s="155"/>
      <c r="CE1102" s="156"/>
      <c r="CF1102" s="155"/>
      <c r="CG1102" s="156"/>
      <c r="CH1102" s="155"/>
      <c r="CI1102" s="156"/>
      <c r="CJ1102" s="157">
        <f t="shared" si="149"/>
        <v>0</v>
      </c>
      <c r="CK1102" s="158"/>
      <c r="CL1102" s="159"/>
      <c r="CM1102" s="160"/>
      <c r="CN1102" s="161"/>
      <c r="CO1102" s="162"/>
      <c r="CP1102" s="161"/>
      <c r="CQ1102" s="158"/>
      <c r="CR1102" s="159"/>
      <c r="CS1102" s="68"/>
      <c r="CT1102" s="163"/>
      <c r="EC1102" s="344" t="str">
        <f t="shared" si="143"/>
        <v>LA GUAJIRA_RIOHACHA</v>
      </c>
      <c r="ED1102" s="341"/>
      <c r="EE1102" s="341" t="s">
        <v>3220</v>
      </c>
      <c r="EF1102" s="349" t="s">
        <v>5358</v>
      </c>
      <c r="EG1102" s="341" t="s">
        <v>5374</v>
      </c>
      <c r="EH1102" s="341" t="s">
        <v>5375</v>
      </c>
      <c r="EI1102" s="341" t="str">
        <f t="shared" si="145"/>
        <v>Guainia_Morichal (CD)</v>
      </c>
    </row>
    <row r="1103" spans="1:139" s="164" customFormat="1" ht="114.75">
      <c r="A1103" s="228">
        <v>40427</v>
      </c>
      <c r="B1103" s="222" t="s">
        <v>1088</v>
      </c>
      <c r="C1103" s="205" t="s">
        <v>1046</v>
      </c>
      <c r="D1103" s="207" t="s">
        <v>1033</v>
      </c>
      <c r="E1103" s="323" t="e">
        <v>#N/A</v>
      </c>
      <c r="F1103" s="323"/>
      <c r="G1103" s="204"/>
      <c r="H1103" s="151"/>
      <c r="I1103" s="151"/>
      <c r="J1103" s="151"/>
      <c r="K1103" s="151"/>
      <c r="L1103" s="1"/>
      <c r="M1103" s="73">
        <f t="shared" si="146"/>
        <v>0</v>
      </c>
      <c r="N1103" s="73">
        <f t="shared" si="151"/>
        <v>0</v>
      </c>
      <c r="O1103" s="73">
        <f t="shared" si="144"/>
        <v>0</v>
      </c>
      <c r="P1103" s="73">
        <f t="shared" si="148"/>
        <v>0</v>
      </c>
      <c r="Q1103" s="73"/>
      <c r="R1103" s="73">
        <v>0</v>
      </c>
      <c r="S1103" s="75">
        <f t="shared" si="150"/>
        <v>0</v>
      </c>
      <c r="T1103" s="77">
        <v>0</v>
      </c>
      <c r="U1103" s="66">
        <v>40428</v>
      </c>
      <c r="V1103" s="79"/>
      <c r="W1103" s="66" t="s">
        <v>1585</v>
      </c>
      <c r="X1103" s="24" t="s">
        <v>1586</v>
      </c>
      <c r="Y1103" s="62"/>
      <c r="Z1103" s="169" t="s">
        <v>894</v>
      </c>
      <c r="AA1103" s="166" t="s">
        <v>1047</v>
      </c>
      <c r="AB1103" s="152"/>
      <c r="AC1103" s="153"/>
      <c r="AD1103" s="154"/>
      <c r="AE1103" s="153"/>
      <c r="AF1103" s="153"/>
      <c r="AG1103" s="153"/>
      <c r="AH1103" s="153"/>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c r="BI1103" s="153"/>
      <c r="BJ1103" s="153"/>
      <c r="BK1103" s="153"/>
      <c r="BL1103" s="153"/>
      <c r="BM1103" s="153"/>
      <c r="BN1103" s="153"/>
      <c r="BO1103" s="153"/>
      <c r="BP1103" s="153"/>
      <c r="BQ1103" s="153"/>
      <c r="BR1103" s="153"/>
      <c r="BS1103" s="153"/>
      <c r="BT1103" s="153"/>
      <c r="BU1103" s="153"/>
      <c r="BV1103" s="153"/>
      <c r="BW1103" s="153"/>
      <c r="BX1103" s="153"/>
      <c r="BY1103" s="153"/>
      <c r="BZ1103" s="153"/>
      <c r="CA1103" s="153"/>
      <c r="CB1103" s="153"/>
      <c r="CC1103" s="153"/>
      <c r="CD1103" s="155"/>
      <c r="CE1103" s="156"/>
      <c r="CF1103" s="155"/>
      <c r="CG1103" s="156"/>
      <c r="CH1103" s="155"/>
      <c r="CI1103" s="156"/>
      <c r="CJ1103" s="157">
        <f t="shared" si="149"/>
        <v>0</v>
      </c>
      <c r="CK1103" s="158"/>
      <c r="CL1103" s="159"/>
      <c r="CM1103" s="160"/>
      <c r="CN1103" s="161"/>
      <c r="CO1103" s="162"/>
      <c r="CP1103" s="161"/>
      <c r="CQ1103" s="158"/>
      <c r="CR1103" s="159"/>
      <c r="CS1103" s="68"/>
      <c r="CT1103" s="163"/>
      <c r="EC1103" s="344" t="str">
        <f t="shared" si="143"/>
        <v>VALLE DEL CAUCA_EL CAIRO, LA UNION, ROLDANILLO, ZARZAL, VERSALLES, TORO, ARGELIA</v>
      </c>
      <c r="ED1103" s="341"/>
      <c r="EE1103" s="341" t="s">
        <v>3222</v>
      </c>
      <c r="EF1103" s="349" t="s">
        <v>5376</v>
      </c>
      <c r="EG1103" s="341" t="s">
        <v>4310</v>
      </c>
      <c r="EH1103" s="341" t="s">
        <v>5377</v>
      </c>
      <c r="EI1103" s="341" t="str">
        <f t="shared" si="145"/>
        <v>Guaviare_San Jose del Guaviare</v>
      </c>
    </row>
    <row r="1104" spans="1:139" s="164" customFormat="1" ht="25.5">
      <c r="A1104" s="235">
        <v>40428</v>
      </c>
      <c r="B1104" s="267" t="s">
        <v>1972</v>
      </c>
      <c r="C1104" s="267" t="s">
        <v>2358</v>
      </c>
      <c r="D1104" s="236" t="s">
        <v>1878</v>
      </c>
      <c r="E1104" s="324" t="s">
        <v>3227</v>
      </c>
      <c r="F1104" s="324"/>
      <c r="G1104" s="204"/>
      <c r="H1104" s="151"/>
      <c r="I1104" s="151"/>
      <c r="J1104" s="151">
        <v>15</v>
      </c>
      <c r="K1104" s="151">
        <v>3</v>
      </c>
      <c r="L1104" s="1"/>
      <c r="M1104" s="73">
        <f t="shared" si="146"/>
        <v>0</v>
      </c>
      <c r="N1104" s="73">
        <f t="shared" si="151"/>
        <v>0</v>
      </c>
      <c r="O1104" s="73">
        <f t="shared" si="144"/>
        <v>0</v>
      </c>
      <c r="P1104" s="73">
        <f t="shared" si="148"/>
        <v>0</v>
      </c>
      <c r="Q1104" s="73"/>
      <c r="R1104" s="73">
        <v>0</v>
      </c>
      <c r="S1104" s="75">
        <f t="shared" si="150"/>
        <v>0</v>
      </c>
      <c r="T1104" s="77">
        <v>0</v>
      </c>
      <c r="U1104" s="66">
        <v>40429</v>
      </c>
      <c r="V1104" s="79"/>
      <c r="W1104" s="66" t="s">
        <v>1585</v>
      </c>
      <c r="X1104" s="24" t="s">
        <v>1586</v>
      </c>
      <c r="Y1104" s="62"/>
      <c r="Z1104" s="169" t="s">
        <v>894</v>
      </c>
      <c r="AA1104" s="166" t="s">
        <v>1058</v>
      </c>
      <c r="AB1104" s="152"/>
      <c r="AC1104" s="153"/>
      <c r="AD1104" s="154"/>
      <c r="AE1104" s="153"/>
      <c r="AF1104" s="153"/>
      <c r="AG1104" s="153"/>
      <c r="AH1104" s="153"/>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c r="BF1104" s="153"/>
      <c r="BG1104" s="153"/>
      <c r="BH1104" s="153"/>
      <c r="BI1104" s="153"/>
      <c r="BJ1104" s="153"/>
      <c r="BK1104" s="153"/>
      <c r="BL1104" s="153"/>
      <c r="BM1104" s="153"/>
      <c r="BN1104" s="153"/>
      <c r="BO1104" s="153"/>
      <c r="BP1104" s="153"/>
      <c r="BQ1104" s="153"/>
      <c r="BR1104" s="153"/>
      <c r="BS1104" s="153"/>
      <c r="BT1104" s="153"/>
      <c r="BU1104" s="153"/>
      <c r="BV1104" s="153"/>
      <c r="BW1104" s="153"/>
      <c r="BX1104" s="153"/>
      <c r="BY1104" s="153"/>
      <c r="BZ1104" s="153"/>
      <c r="CA1104" s="153"/>
      <c r="CB1104" s="153"/>
      <c r="CC1104" s="153"/>
      <c r="CD1104" s="155"/>
      <c r="CE1104" s="156"/>
      <c r="CF1104" s="155"/>
      <c r="CG1104" s="156"/>
      <c r="CH1104" s="155"/>
      <c r="CI1104" s="156"/>
      <c r="CJ1104" s="157">
        <f t="shared" si="149"/>
        <v>0</v>
      </c>
      <c r="CK1104" s="158"/>
      <c r="CL1104" s="159"/>
      <c r="CM1104" s="160"/>
      <c r="CN1104" s="161"/>
      <c r="CO1104" s="162"/>
      <c r="CP1104" s="161"/>
      <c r="CQ1104" s="158"/>
      <c r="CR1104" s="159"/>
      <c r="CS1104" s="68"/>
      <c r="CT1104" s="163"/>
      <c r="EC1104" s="344" t="str">
        <f t="shared" si="143"/>
        <v>ANTIOQUIA_MEDELLIN</v>
      </c>
      <c r="ED1104" s="341"/>
      <c r="EE1104" s="341" t="s">
        <v>3222</v>
      </c>
      <c r="EF1104" s="349" t="s">
        <v>5376</v>
      </c>
      <c r="EG1104" s="341" t="s">
        <v>4311</v>
      </c>
      <c r="EH1104" s="341" t="s">
        <v>4525</v>
      </c>
      <c r="EI1104" s="341" t="str">
        <f t="shared" si="145"/>
        <v>Guaviare_Calamar</v>
      </c>
    </row>
    <row r="1105" spans="1:139" s="164" customFormat="1" ht="38.25">
      <c r="A1105" s="228">
        <v>40428</v>
      </c>
      <c r="B1105" s="222" t="s">
        <v>1551</v>
      </c>
      <c r="C1105" s="222" t="s">
        <v>1590</v>
      </c>
      <c r="D1105" s="233" t="s">
        <v>2606</v>
      </c>
      <c r="E1105" s="325" t="s">
        <v>3352</v>
      </c>
      <c r="F1105" s="325"/>
      <c r="G1105" s="204"/>
      <c r="H1105" s="151"/>
      <c r="I1105" s="151"/>
      <c r="J1105" s="151">
        <v>185</v>
      </c>
      <c r="K1105" s="151">
        <v>37</v>
      </c>
      <c r="L1105" s="1"/>
      <c r="M1105" s="73">
        <f t="shared" si="146"/>
        <v>0</v>
      </c>
      <c r="N1105" s="73">
        <f t="shared" si="151"/>
        <v>0</v>
      </c>
      <c r="O1105" s="73">
        <f t="shared" si="144"/>
        <v>0</v>
      </c>
      <c r="P1105" s="73">
        <f t="shared" si="148"/>
        <v>0</v>
      </c>
      <c r="Q1105" s="73"/>
      <c r="R1105" s="73">
        <v>0</v>
      </c>
      <c r="S1105" s="75">
        <f t="shared" si="150"/>
        <v>0</v>
      </c>
      <c r="T1105" s="77">
        <v>0</v>
      </c>
      <c r="U1105" s="66">
        <v>40429</v>
      </c>
      <c r="V1105" s="79"/>
      <c r="W1105" s="66" t="s">
        <v>1585</v>
      </c>
      <c r="X1105" s="24" t="s">
        <v>1586</v>
      </c>
      <c r="Y1105" s="62"/>
      <c r="Z1105" s="169" t="s">
        <v>894</v>
      </c>
      <c r="AA1105" s="166" t="s">
        <v>1059</v>
      </c>
      <c r="AB1105" s="152"/>
      <c r="AC1105" s="153"/>
      <c r="AD1105" s="154"/>
      <c r="AE1105" s="153"/>
      <c r="AF1105" s="153"/>
      <c r="AG1105" s="153"/>
      <c r="AH1105" s="153"/>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c r="BI1105" s="153"/>
      <c r="BJ1105" s="153"/>
      <c r="BK1105" s="153"/>
      <c r="BL1105" s="153"/>
      <c r="BM1105" s="153"/>
      <c r="BN1105" s="153"/>
      <c r="BO1105" s="153"/>
      <c r="BP1105" s="153"/>
      <c r="BQ1105" s="153"/>
      <c r="BR1105" s="153"/>
      <c r="BS1105" s="153"/>
      <c r="BT1105" s="153"/>
      <c r="BU1105" s="153"/>
      <c r="BV1105" s="153"/>
      <c r="BW1105" s="153"/>
      <c r="BX1105" s="153"/>
      <c r="BY1105" s="153"/>
      <c r="BZ1105" s="153"/>
      <c r="CA1105" s="153"/>
      <c r="CB1105" s="153"/>
      <c r="CC1105" s="153"/>
      <c r="CD1105" s="155"/>
      <c r="CE1105" s="156"/>
      <c r="CF1105" s="155"/>
      <c r="CG1105" s="156"/>
      <c r="CH1105" s="155"/>
      <c r="CI1105" s="156"/>
      <c r="CJ1105" s="157">
        <f t="shared" si="149"/>
        <v>0</v>
      </c>
      <c r="CK1105" s="158"/>
      <c r="CL1105" s="159"/>
      <c r="CM1105" s="160"/>
      <c r="CN1105" s="161"/>
      <c r="CO1105" s="162"/>
      <c r="CP1105" s="161"/>
      <c r="CQ1105" s="158"/>
      <c r="CR1105" s="159"/>
      <c r="CS1105" s="68"/>
      <c r="CT1105" s="163"/>
      <c r="EC1105" s="344" t="str">
        <f t="shared" si="143"/>
        <v>ATLANTICO_BARRANQUILLA</v>
      </c>
      <c r="ED1105" s="341"/>
      <c r="EE1105" s="341" t="s">
        <v>3222</v>
      </c>
      <c r="EF1105" s="349" t="s">
        <v>5376</v>
      </c>
      <c r="EG1105" s="341" t="s">
        <v>4312</v>
      </c>
      <c r="EH1105" s="341" t="s">
        <v>5378</v>
      </c>
      <c r="EI1105" s="341" t="str">
        <f t="shared" si="145"/>
        <v>Guaviare_El Retorno</v>
      </c>
    </row>
    <row r="1106" spans="1:139" s="164" customFormat="1" ht="38.25">
      <c r="A1106" s="228">
        <v>40428</v>
      </c>
      <c r="B1106" s="222" t="s">
        <v>1551</v>
      </c>
      <c r="C1106" s="222" t="s">
        <v>1057</v>
      </c>
      <c r="D1106" s="233" t="s">
        <v>1201</v>
      </c>
      <c r="E1106" s="325" t="s">
        <v>3368</v>
      </c>
      <c r="F1106" s="325"/>
      <c r="G1106" s="204"/>
      <c r="H1106" s="151"/>
      <c r="I1106" s="151"/>
      <c r="J1106" s="151">
        <v>100</v>
      </c>
      <c r="K1106" s="151">
        <v>20</v>
      </c>
      <c r="L1106" s="1"/>
      <c r="M1106" s="73">
        <f t="shared" si="146"/>
        <v>0</v>
      </c>
      <c r="N1106" s="73">
        <f t="shared" si="151"/>
        <v>0</v>
      </c>
      <c r="O1106" s="73">
        <f t="shared" si="144"/>
        <v>0</v>
      </c>
      <c r="P1106" s="73">
        <f t="shared" si="148"/>
        <v>0</v>
      </c>
      <c r="Q1106" s="73"/>
      <c r="R1106" s="73">
        <v>0</v>
      </c>
      <c r="S1106" s="75">
        <f t="shared" si="150"/>
        <v>0</v>
      </c>
      <c r="T1106" s="77">
        <v>0</v>
      </c>
      <c r="U1106" s="66">
        <v>40429</v>
      </c>
      <c r="V1106" s="79"/>
      <c r="W1106" s="66" t="s">
        <v>1585</v>
      </c>
      <c r="X1106" s="24" t="s">
        <v>1586</v>
      </c>
      <c r="Y1106" s="62"/>
      <c r="Z1106" s="169" t="s">
        <v>894</v>
      </c>
      <c r="AA1106" s="166" t="s">
        <v>2071</v>
      </c>
      <c r="AB1106" s="152"/>
      <c r="AC1106" s="153"/>
      <c r="AD1106" s="154"/>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5"/>
      <c r="CE1106" s="156"/>
      <c r="CF1106" s="155"/>
      <c r="CG1106" s="156"/>
      <c r="CH1106" s="155"/>
      <c r="CI1106" s="156"/>
      <c r="CJ1106" s="157">
        <f t="shared" si="149"/>
        <v>0</v>
      </c>
      <c r="CK1106" s="158"/>
      <c r="CL1106" s="159"/>
      <c r="CM1106" s="160"/>
      <c r="CN1106" s="161"/>
      <c r="CO1106" s="162"/>
      <c r="CP1106" s="161"/>
      <c r="CQ1106" s="158"/>
      <c r="CR1106" s="159"/>
      <c r="CS1106" s="68"/>
      <c r="CT1106" s="163"/>
      <c r="EC1106" s="344" t="str">
        <f t="shared" si="143"/>
        <v>ATLANTICO_SABANALARGA</v>
      </c>
      <c r="ED1106" s="341"/>
      <c r="EE1106" s="341" t="s">
        <v>3222</v>
      </c>
      <c r="EF1106" s="349" t="s">
        <v>5376</v>
      </c>
      <c r="EG1106" s="341" t="s">
        <v>4313</v>
      </c>
      <c r="EH1106" s="341" t="s">
        <v>4613</v>
      </c>
      <c r="EI1106" s="341" t="str">
        <f t="shared" si="145"/>
        <v>Guaviare_Miraflores</v>
      </c>
    </row>
    <row r="1107" spans="1:139" s="164" customFormat="1" ht="51">
      <c r="A1107" s="235">
        <v>40429</v>
      </c>
      <c r="B1107" s="267" t="s">
        <v>1972</v>
      </c>
      <c r="C1107" s="269" t="s">
        <v>2622</v>
      </c>
      <c r="D1107" s="268" t="s">
        <v>2606</v>
      </c>
      <c r="E1107" s="326" t="s">
        <v>3328</v>
      </c>
      <c r="F1107" s="326"/>
      <c r="G1107" s="204"/>
      <c r="H1107" s="151"/>
      <c r="I1107" s="151"/>
      <c r="J1107" s="151">
        <v>60</v>
      </c>
      <c r="K1107" s="151">
        <v>20</v>
      </c>
      <c r="L1107" s="1"/>
      <c r="M1107" s="73">
        <f t="shared" si="146"/>
        <v>0</v>
      </c>
      <c r="N1107" s="73">
        <f t="shared" si="151"/>
        <v>0</v>
      </c>
      <c r="O1107" s="73">
        <f t="shared" si="144"/>
        <v>0</v>
      </c>
      <c r="P1107" s="73">
        <f t="shared" si="148"/>
        <v>0</v>
      </c>
      <c r="Q1107" s="73"/>
      <c r="R1107" s="73">
        <v>0</v>
      </c>
      <c r="S1107" s="75">
        <f t="shared" si="150"/>
        <v>0</v>
      </c>
      <c r="T1107" s="77">
        <v>0</v>
      </c>
      <c r="U1107" s="66">
        <v>40435</v>
      </c>
      <c r="V1107" s="79"/>
      <c r="W1107" s="66" t="s">
        <v>1585</v>
      </c>
      <c r="X1107" s="24" t="s">
        <v>1586</v>
      </c>
      <c r="Y1107" s="62"/>
      <c r="Z1107" s="169" t="s">
        <v>894</v>
      </c>
      <c r="AA1107" s="166" t="s">
        <v>902</v>
      </c>
      <c r="AB1107" s="152"/>
      <c r="AC1107" s="153"/>
      <c r="AD1107" s="154"/>
      <c r="AE1107" s="153"/>
      <c r="AF1107" s="153"/>
      <c r="AG1107" s="153"/>
      <c r="AH1107" s="153"/>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c r="BF1107" s="153"/>
      <c r="BG1107" s="153"/>
      <c r="BH1107" s="153"/>
      <c r="BI1107" s="153"/>
      <c r="BJ1107" s="153"/>
      <c r="BK1107" s="153"/>
      <c r="BL1107" s="153"/>
      <c r="BM1107" s="153"/>
      <c r="BN1107" s="153"/>
      <c r="BO1107" s="153"/>
      <c r="BP1107" s="153"/>
      <c r="BQ1107" s="153"/>
      <c r="BR1107" s="153"/>
      <c r="BS1107" s="153"/>
      <c r="BT1107" s="153"/>
      <c r="BU1107" s="153"/>
      <c r="BV1107" s="153"/>
      <c r="BW1107" s="153"/>
      <c r="BX1107" s="153"/>
      <c r="BY1107" s="153"/>
      <c r="BZ1107" s="153"/>
      <c r="CA1107" s="153"/>
      <c r="CB1107" s="153"/>
      <c r="CC1107" s="153"/>
      <c r="CD1107" s="155"/>
      <c r="CE1107" s="156"/>
      <c r="CF1107" s="155"/>
      <c r="CG1107" s="156"/>
      <c r="CH1107" s="155"/>
      <c r="CI1107" s="156"/>
      <c r="CJ1107" s="157">
        <f t="shared" si="149"/>
        <v>0</v>
      </c>
      <c r="CK1107" s="158"/>
      <c r="CL1107" s="159"/>
      <c r="CM1107" s="160"/>
      <c r="CN1107" s="161"/>
      <c r="CO1107" s="162"/>
      <c r="CP1107" s="161"/>
      <c r="CQ1107" s="158"/>
      <c r="CR1107" s="159"/>
      <c r="CS1107" s="68"/>
      <c r="CT1107" s="163"/>
      <c r="EC1107" s="344" t="str">
        <f t="shared" si="143"/>
        <v>ANTIOQUIA_SANTA ROSA DE OSOS</v>
      </c>
      <c r="ED1107" s="341"/>
      <c r="EE1107" s="341" t="s">
        <v>3223</v>
      </c>
      <c r="EF1107" s="349" t="s">
        <v>5379</v>
      </c>
      <c r="EG1107" s="341" t="s">
        <v>4314</v>
      </c>
      <c r="EH1107" s="341" t="s">
        <v>5380</v>
      </c>
      <c r="EI1107" s="341" t="str">
        <f t="shared" si="145"/>
        <v>Vaupes_Mitu</v>
      </c>
    </row>
    <row r="1108" spans="1:139" s="164" customFormat="1" ht="60">
      <c r="A1108" s="235">
        <v>40429</v>
      </c>
      <c r="B1108" s="267" t="s">
        <v>1972</v>
      </c>
      <c r="C1108" s="267" t="s">
        <v>2716</v>
      </c>
      <c r="D1108" s="236" t="s">
        <v>1878</v>
      </c>
      <c r="E1108" s="324" t="s">
        <v>3338</v>
      </c>
      <c r="F1108" s="324"/>
      <c r="G1108" s="204"/>
      <c r="H1108" s="151"/>
      <c r="I1108" s="151"/>
      <c r="J1108" s="151">
        <v>400</v>
      </c>
      <c r="K1108" s="151">
        <v>100</v>
      </c>
      <c r="L1108" s="1">
        <v>40506</v>
      </c>
      <c r="M1108" s="73">
        <f t="shared" si="146"/>
        <v>34607200</v>
      </c>
      <c r="N1108" s="73">
        <f t="shared" si="151"/>
        <v>13600000</v>
      </c>
      <c r="O1108" s="73">
        <f t="shared" si="144"/>
        <v>0</v>
      </c>
      <c r="P1108" s="73">
        <f t="shared" si="148"/>
        <v>7600000</v>
      </c>
      <c r="Q1108" s="73"/>
      <c r="R1108" s="73">
        <v>0</v>
      </c>
      <c r="S1108" s="75">
        <f t="shared" si="150"/>
        <v>55807200</v>
      </c>
      <c r="T1108" s="77">
        <v>0</v>
      </c>
      <c r="U1108" s="66">
        <v>40429</v>
      </c>
      <c r="V1108" s="79">
        <v>50860</v>
      </c>
      <c r="W1108" s="66" t="s">
        <v>1606</v>
      </c>
      <c r="X1108" s="24" t="s">
        <v>1607</v>
      </c>
      <c r="Y1108" s="62">
        <v>24960</v>
      </c>
      <c r="Z1108" s="177" t="s">
        <v>2580</v>
      </c>
      <c r="AA1108" s="166" t="s">
        <v>1279</v>
      </c>
      <c r="AB1108" s="152"/>
      <c r="AC1108" s="153"/>
      <c r="AD1108" s="154"/>
      <c r="AE1108" s="153"/>
      <c r="AF1108" s="153"/>
      <c r="AG1108" s="153"/>
      <c r="AH1108" s="153"/>
      <c r="AI1108" s="153"/>
      <c r="AJ1108" s="153">
        <v>160</v>
      </c>
      <c r="AK1108" s="153">
        <f>160*21000</f>
        <v>3360000</v>
      </c>
      <c r="AL1108" s="153">
        <v>160</v>
      </c>
      <c r="AM1108" s="153">
        <f>160*6500</f>
        <v>1040000</v>
      </c>
      <c r="AN1108" s="153">
        <v>160</v>
      </c>
      <c r="AO1108" s="153">
        <f>160*56000</f>
        <v>8960000</v>
      </c>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c r="BI1108" s="153"/>
      <c r="BJ1108" s="153"/>
      <c r="BK1108" s="153"/>
      <c r="BL1108" s="153"/>
      <c r="BM1108" s="153"/>
      <c r="BN1108" s="153">
        <v>10</v>
      </c>
      <c r="BO1108" s="153">
        <f>10*504000</f>
        <v>5040000</v>
      </c>
      <c r="BP1108" s="153"/>
      <c r="BQ1108" s="153"/>
      <c r="BR1108" s="153"/>
      <c r="BS1108" s="153"/>
      <c r="BT1108" s="153"/>
      <c r="BU1108" s="153"/>
      <c r="BV1108" s="153">
        <v>160</v>
      </c>
      <c r="BW1108" s="153">
        <f>160*25000</f>
        <v>4000000</v>
      </c>
      <c r="BX1108" s="153"/>
      <c r="BY1108" s="153"/>
      <c r="BZ1108" s="153"/>
      <c r="CA1108" s="153"/>
      <c r="CB1108" s="153"/>
      <c r="CC1108" s="153"/>
      <c r="CD1108" s="155">
        <v>160</v>
      </c>
      <c r="CE1108" s="156">
        <f>160*36595</f>
        <v>5855200</v>
      </c>
      <c r="CF1108" s="155">
        <v>160</v>
      </c>
      <c r="CG1108" s="156">
        <f>160*39700</f>
        <v>6352000</v>
      </c>
      <c r="CH1108" s="155"/>
      <c r="CI1108" s="156"/>
      <c r="CJ1108" s="157">
        <f t="shared" si="149"/>
        <v>34607200</v>
      </c>
      <c r="CK1108" s="158">
        <v>8000</v>
      </c>
      <c r="CL1108" s="159">
        <f>8000*950</f>
        <v>7600000</v>
      </c>
      <c r="CM1108" s="160">
        <v>160</v>
      </c>
      <c r="CN1108" s="161">
        <f>160*85000</f>
        <v>13600000</v>
      </c>
      <c r="CO1108" s="162"/>
      <c r="CP1108" s="161"/>
      <c r="CQ1108" s="158"/>
      <c r="CR1108" s="159"/>
      <c r="CS1108" s="68"/>
      <c r="CT1108" s="163"/>
      <c r="EC1108" s="344" t="str">
        <f t="shared" si="143"/>
        <v>ANTIOQUIA_TOLEDO</v>
      </c>
      <c r="ED1108" s="341"/>
      <c r="EE1108" s="341" t="s">
        <v>3223</v>
      </c>
      <c r="EF1108" s="349" t="s">
        <v>5379</v>
      </c>
      <c r="EG1108" s="341" t="s">
        <v>4315</v>
      </c>
      <c r="EH1108" s="341" t="s">
        <v>5381</v>
      </c>
      <c r="EI1108" s="341" t="str">
        <f t="shared" si="145"/>
        <v>Vaupes_Caruru</v>
      </c>
    </row>
    <row r="1109" spans="1:139" s="164" customFormat="1" ht="38.25">
      <c r="A1109" s="228">
        <v>40429</v>
      </c>
      <c r="B1109" s="222" t="s">
        <v>1551</v>
      </c>
      <c r="C1109" s="222" t="s">
        <v>1590</v>
      </c>
      <c r="D1109" s="233" t="s">
        <v>1201</v>
      </c>
      <c r="E1109" s="325" t="s">
        <v>3352</v>
      </c>
      <c r="F1109" s="325"/>
      <c r="G1109" s="204"/>
      <c r="H1109" s="151"/>
      <c r="I1109" s="151"/>
      <c r="J1109" s="151">
        <v>450</v>
      </c>
      <c r="K1109" s="151">
        <v>150</v>
      </c>
      <c r="L1109" s="1"/>
      <c r="M1109" s="73">
        <f t="shared" si="146"/>
        <v>0</v>
      </c>
      <c r="N1109" s="73">
        <f t="shared" si="151"/>
        <v>0</v>
      </c>
      <c r="O1109" s="73">
        <f t="shared" si="144"/>
        <v>0</v>
      </c>
      <c r="P1109" s="73">
        <f t="shared" si="148"/>
        <v>0</v>
      </c>
      <c r="Q1109" s="73"/>
      <c r="R1109" s="73">
        <v>0</v>
      </c>
      <c r="S1109" s="75">
        <f t="shared" si="150"/>
        <v>0</v>
      </c>
      <c r="T1109" s="77">
        <v>0</v>
      </c>
      <c r="U1109" s="66">
        <v>40429</v>
      </c>
      <c r="V1109" s="79"/>
      <c r="W1109" s="66" t="s">
        <v>1585</v>
      </c>
      <c r="X1109" s="24" t="s">
        <v>1586</v>
      </c>
      <c r="Y1109" s="62"/>
      <c r="Z1109" s="169" t="s">
        <v>894</v>
      </c>
      <c r="AA1109" s="166" t="s">
        <v>1056</v>
      </c>
      <c r="AB1109" s="152"/>
      <c r="AC1109" s="153"/>
      <c r="AD1109" s="154"/>
      <c r="AE1109" s="153"/>
      <c r="AF1109" s="153"/>
      <c r="AG1109" s="153"/>
      <c r="AH1109" s="153"/>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c r="BF1109" s="153"/>
      <c r="BG1109" s="153"/>
      <c r="BH1109" s="153"/>
      <c r="BI1109" s="153"/>
      <c r="BJ1109" s="153"/>
      <c r="BK1109" s="153"/>
      <c r="BL1109" s="153"/>
      <c r="BM1109" s="153"/>
      <c r="BN1109" s="153"/>
      <c r="BO1109" s="153"/>
      <c r="BP1109" s="153"/>
      <c r="BQ1109" s="153"/>
      <c r="BR1109" s="153"/>
      <c r="BS1109" s="153"/>
      <c r="BT1109" s="153"/>
      <c r="BU1109" s="153"/>
      <c r="BV1109" s="153"/>
      <c r="BW1109" s="153"/>
      <c r="BX1109" s="153"/>
      <c r="BY1109" s="153"/>
      <c r="BZ1109" s="153"/>
      <c r="CA1109" s="153"/>
      <c r="CB1109" s="153"/>
      <c r="CC1109" s="153"/>
      <c r="CD1109" s="155"/>
      <c r="CE1109" s="156"/>
      <c r="CF1109" s="155"/>
      <c r="CG1109" s="156"/>
      <c r="CH1109" s="155"/>
      <c r="CI1109" s="156"/>
      <c r="CJ1109" s="157">
        <f t="shared" si="149"/>
        <v>0</v>
      </c>
      <c r="CK1109" s="158"/>
      <c r="CL1109" s="159"/>
      <c r="CM1109" s="160"/>
      <c r="CN1109" s="161"/>
      <c r="CO1109" s="162"/>
      <c r="CP1109" s="161"/>
      <c r="CQ1109" s="158"/>
      <c r="CR1109" s="159"/>
      <c r="CS1109" s="68"/>
      <c r="CT1109" s="163"/>
      <c r="EC1109" s="344" t="str">
        <f t="shared" si="143"/>
        <v>ATLANTICO_BARRANQUILLA</v>
      </c>
      <c r="ED1109" s="341"/>
      <c r="EE1109" s="341" t="s">
        <v>3223</v>
      </c>
      <c r="EF1109" s="349" t="s">
        <v>5379</v>
      </c>
      <c r="EG1109" s="341" t="s">
        <v>5382</v>
      </c>
      <c r="EH1109" s="341" t="s">
        <v>5383</v>
      </c>
      <c r="EI1109" s="341" t="str">
        <f t="shared" si="145"/>
        <v>Vaupes_Pacoa (CD)</v>
      </c>
    </row>
    <row r="1110" spans="1:139" s="164" customFormat="1" ht="144">
      <c r="A1110" s="228">
        <v>40429</v>
      </c>
      <c r="B1110" s="102" t="s">
        <v>4321</v>
      </c>
      <c r="C1110" s="222" t="s">
        <v>699</v>
      </c>
      <c r="D1110" s="233" t="s">
        <v>1201</v>
      </c>
      <c r="E1110" s="325" t="s">
        <v>3860</v>
      </c>
      <c r="F1110" s="325"/>
      <c r="G1110" s="204"/>
      <c r="H1110" s="151"/>
      <c r="I1110" s="151"/>
      <c r="J1110" s="151">
        <f>4147*5</f>
        <v>20735</v>
      </c>
      <c r="K1110" s="151">
        <f>5344-425-21-751</f>
        <v>4147</v>
      </c>
      <c r="L1110" s="1">
        <v>40466</v>
      </c>
      <c r="M1110" s="73">
        <f t="shared" si="146"/>
        <v>77465371.879999995</v>
      </c>
      <c r="N1110" s="73">
        <f t="shared" si="151"/>
        <v>111605000</v>
      </c>
      <c r="O1110" s="73">
        <f t="shared" si="144"/>
        <v>0</v>
      </c>
      <c r="P1110" s="73">
        <f t="shared" si="148"/>
        <v>0</v>
      </c>
      <c r="Q1110" s="73">
        <v>54288000</v>
      </c>
      <c r="R1110" s="73">
        <v>0</v>
      </c>
      <c r="S1110" s="75">
        <f t="shared" si="150"/>
        <v>243358371.88</v>
      </c>
      <c r="T1110" s="77">
        <v>0</v>
      </c>
      <c r="U1110" s="66">
        <v>40429</v>
      </c>
      <c r="V1110" s="79">
        <v>51059</v>
      </c>
      <c r="W1110" s="66" t="s">
        <v>1606</v>
      </c>
      <c r="X1110" s="24" t="s">
        <v>1607</v>
      </c>
      <c r="Y1110" s="83" t="s">
        <v>1151</v>
      </c>
      <c r="Z1110" s="169" t="s">
        <v>2087</v>
      </c>
      <c r="AA1110" s="166" t="s">
        <v>1131</v>
      </c>
      <c r="AB1110" s="152"/>
      <c r="AC1110" s="153"/>
      <c r="AD1110" s="154"/>
      <c r="AE1110" s="153"/>
      <c r="AF1110" s="153"/>
      <c r="AG1110" s="153"/>
      <c r="AH1110" s="153"/>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c r="BF1110" s="153"/>
      <c r="BG1110" s="153"/>
      <c r="BH1110" s="153"/>
      <c r="BI1110" s="153"/>
      <c r="BJ1110" s="153"/>
      <c r="BK1110" s="153"/>
      <c r="BL1110" s="153"/>
      <c r="BM1110" s="153"/>
      <c r="BN1110" s="153"/>
      <c r="BO1110" s="153"/>
      <c r="BP1110" s="153"/>
      <c r="BQ1110" s="153"/>
      <c r="BR1110" s="153"/>
      <c r="BS1110" s="153"/>
      <c r="BT1110" s="153"/>
      <c r="BU1110" s="153"/>
      <c r="BV1110" s="153"/>
      <c r="BW1110" s="153"/>
      <c r="BX1110" s="153"/>
      <c r="BY1110" s="153"/>
      <c r="BZ1110" s="153"/>
      <c r="CA1110" s="153"/>
      <c r="CB1110" s="153">
        <v>1313</v>
      </c>
      <c r="CC1110" s="153">
        <f>1313*19999.56</f>
        <v>26259422.280000001</v>
      </c>
      <c r="CD1110" s="155">
        <v>1313</v>
      </c>
      <c r="CE1110" s="156">
        <f>1313*38999.2</f>
        <v>51205949.599999994</v>
      </c>
      <c r="CF1110" s="155"/>
      <c r="CG1110" s="156"/>
      <c r="CH1110" s="155"/>
      <c r="CI1110" s="156"/>
      <c r="CJ1110" s="157">
        <f t="shared" si="149"/>
        <v>77465371.879999995</v>
      </c>
      <c r="CK1110" s="158"/>
      <c r="CL1110" s="159"/>
      <c r="CM1110" s="160">
        <v>1313</v>
      </c>
      <c r="CN1110" s="161">
        <f>1313*85000</f>
        <v>111605000</v>
      </c>
      <c r="CO1110" s="162"/>
      <c r="CP1110" s="161"/>
      <c r="CQ1110" s="158"/>
      <c r="CR1110" s="159"/>
      <c r="CS1110" s="68"/>
      <c r="CT1110" s="163"/>
      <c r="EC1110" s="344" t="str">
        <f t="shared" si="143"/>
        <v>LA GUAJIRA_RIOHACHA</v>
      </c>
      <c r="ED1110" s="341"/>
      <c r="EE1110" s="341" t="s">
        <v>3223</v>
      </c>
      <c r="EF1110" s="349" t="s">
        <v>5379</v>
      </c>
      <c r="EG1110" s="341" t="s">
        <v>4316</v>
      </c>
      <c r="EH1110" s="341" t="s">
        <v>5384</v>
      </c>
      <c r="EI1110" s="341" t="str">
        <f t="shared" si="145"/>
        <v>Vaupes_Taraira</v>
      </c>
    </row>
    <row r="1111" spans="1:139" s="164" customFormat="1" ht="51">
      <c r="A1111" s="228">
        <v>40429</v>
      </c>
      <c r="B1111" s="205" t="s">
        <v>965</v>
      </c>
      <c r="C1111" s="222" t="s">
        <v>2355</v>
      </c>
      <c r="D1111" s="233" t="s">
        <v>2391</v>
      </c>
      <c r="E1111" s="325" t="s">
        <v>4029</v>
      </c>
      <c r="F1111" s="325"/>
      <c r="G1111" s="204"/>
      <c r="H1111" s="151"/>
      <c r="I1111" s="151"/>
      <c r="J1111" s="151"/>
      <c r="K1111" s="151"/>
      <c r="L1111" s="1"/>
      <c r="M1111" s="73">
        <f t="shared" si="146"/>
        <v>0</v>
      </c>
      <c r="N1111" s="73">
        <f t="shared" si="151"/>
        <v>0</v>
      </c>
      <c r="O1111" s="73">
        <f t="shared" si="144"/>
        <v>0</v>
      </c>
      <c r="P1111" s="73">
        <f t="shared" si="148"/>
        <v>0</v>
      </c>
      <c r="Q1111" s="73"/>
      <c r="R1111" s="73">
        <v>0</v>
      </c>
      <c r="S1111" s="75">
        <f t="shared" si="150"/>
        <v>0</v>
      </c>
      <c r="T1111" s="77">
        <v>0</v>
      </c>
      <c r="U1111" s="66">
        <v>40429</v>
      </c>
      <c r="V1111" s="79"/>
      <c r="W1111" s="66" t="s">
        <v>1585</v>
      </c>
      <c r="X1111" s="24" t="s">
        <v>1586</v>
      </c>
      <c r="Y1111" s="62"/>
      <c r="Z1111" s="169" t="s">
        <v>894</v>
      </c>
      <c r="AA1111" s="166" t="s">
        <v>1060</v>
      </c>
      <c r="AB1111" s="152"/>
      <c r="AC1111" s="153"/>
      <c r="AD1111" s="154"/>
      <c r="AE1111" s="153"/>
      <c r="AF1111" s="153"/>
      <c r="AG1111" s="153"/>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c r="BF1111" s="153"/>
      <c r="BG1111" s="153"/>
      <c r="BH1111" s="153"/>
      <c r="BI1111" s="153"/>
      <c r="BJ1111" s="153"/>
      <c r="BK1111" s="153"/>
      <c r="BL1111" s="153"/>
      <c r="BM1111" s="153"/>
      <c r="BN1111" s="153"/>
      <c r="BO1111" s="153"/>
      <c r="BP1111" s="153"/>
      <c r="BQ1111" s="153"/>
      <c r="BR1111" s="153"/>
      <c r="BS1111" s="153"/>
      <c r="BT1111" s="153"/>
      <c r="BU1111" s="153"/>
      <c r="BV1111" s="153"/>
      <c r="BW1111" s="153"/>
      <c r="BX1111" s="153"/>
      <c r="BY1111" s="153"/>
      <c r="BZ1111" s="153"/>
      <c r="CA1111" s="153"/>
      <c r="CB1111" s="153"/>
      <c r="CC1111" s="153"/>
      <c r="CD1111" s="155"/>
      <c r="CE1111" s="156"/>
      <c r="CF1111" s="155"/>
      <c r="CG1111" s="156"/>
      <c r="CH1111" s="155"/>
      <c r="CI1111" s="156"/>
      <c r="CJ1111" s="157">
        <f t="shared" si="149"/>
        <v>0</v>
      </c>
      <c r="CK1111" s="158"/>
      <c r="CL1111" s="159"/>
      <c r="CM1111" s="160"/>
      <c r="CN1111" s="161"/>
      <c r="CO1111" s="162"/>
      <c r="CP1111" s="161"/>
      <c r="CQ1111" s="158"/>
      <c r="CR1111" s="159"/>
      <c r="CS1111" s="68"/>
      <c r="CT1111" s="163"/>
      <c r="EC1111" s="344" t="str">
        <f t="shared" si="143"/>
        <v>NORTE DE SANTANDER_SAN CAYETANO</v>
      </c>
      <c r="ED1111" s="341"/>
      <c r="EE1111" s="341" t="s">
        <v>3223</v>
      </c>
      <c r="EF1111" s="349" t="s">
        <v>5379</v>
      </c>
      <c r="EG1111" s="341" t="s">
        <v>5385</v>
      </c>
      <c r="EH1111" s="341" t="s">
        <v>5386</v>
      </c>
      <c r="EI1111" s="341" t="str">
        <f t="shared" si="145"/>
        <v>Vaupes_Papunaua (CD)</v>
      </c>
    </row>
    <row r="1112" spans="1:139" s="164" customFormat="1" ht="84">
      <c r="A1112" s="228">
        <v>40429</v>
      </c>
      <c r="B1112" s="205" t="s">
        <v>1612</v>
      </c>
      <c r="C1112" s="205" t="s">
        <v>1942</v>
      </c>
      <c r="D1112" s="206" t="s">
        <v>1878</v>
      </c>
      <c r="E1112" s="320" t="s">
        <v>4039</v>
      </c>
      <c r="F1112" s="320"/>
      <c r="G1112" s="204"/>
      <c r="H1112" s="151"/>
      <c r="I1112" s="151"/>
      <c r="J1112" s="151">
        <f>97*5</f>
        <v>485</v>
      </c>
      <c r="K1112" s="151">
        <v>97</v>
      </c>
      <c r="L1112" s="1">
        <v>40464</v>
      </c>
      <c r="M1112" s="73">
        <f t="shared" si="146"/>
        <v>0</v>
      </c>
      <c r="N1112" s="73">
        <f t="shared" si="151"/>
        <v>0</v>
      </c>
      <c r="O1112" s="73">
        <f t="shared" si="144"/>
        <v>0</v>
      </c>
      <c r="P1112" s="73">
        <f t="shared" si="148"/>
        <v>0</v>
      </c>
      <c r="Q1112" s="73"/>
      <c r="R1112" s="73">
        <v>35131000</v>
      </c>
      <c r="S1112" s="75">
        <f t="shared" si="150"/>
        <v>35131000</v>
      </c>
      <c r="T1112" s="77">
        <v>0</v>
      </c>
      <c r="U1112" s="228">
        <v>40431</v>
      </c>
      <c r="V1112" s="79">
        <v>47547</v>
      </c>
      <c r="W1112" s="66" t="s">
        <v>1606</v>
      </c>
      <c r="X1112" s="24" t="s">
        <v>1607</v>
      </c>
      <c r="Y1112" s="62">
        <v>37218</v>
      </c>
      <c r="Z1112" s="169" t="s">
        <v>1435</v>
      </c>
      <c r="AA1112" s="170" t="s">
        <v>2709</v>
      </c>
      <c r="AB1112" s="152"/>
      <c r="AC1112" s="153"/>
      <c r="AD1112" s="154"/>
      <c r="AE1112" s="153"/>
      <c r="AF1112" s="153"/>
      <c r="AG1112" s="153"/>
      <c r="AH1112" s="153"/>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c r="BF1112" s="153"/>
      <c r="BG1112" s="153"/>
      <c r="BH1112" s="153"/>
      <c r="BI1112" s="153"/>
      <c r="BJ1112" s="153"/>
      <c r="BK1112" s="153"/>
      <c r="BL1112" s="153"/>
      <c r="BM1112" s="153"/>
      <c r="BN1112" s="153"/>
      <c r="BO1112" s="153"/>
      <c r="BP1112" s="153"/>
      <c r="BQ1112" s="153"/>
      <c r="BR1112" s="153"/>
      <c r="BS1112" s="153"/>
      <c r="BT1112" s="153"/>
      <c r="BU1112" s="153"/>
      <c r="BV1112" s="153"/>
      <c r="BW1112" s="153"/>
      <c r="BX1112" s="153"/>
      <c r="BY1112" s="153"/>
      <c r="BZ1112" s="153"/>
      <c r="CA1112" s="153"/>
      <c r="CB1112" s="153"/>
      <c r="CC1112" s="153"/>
      <c r="CD1112" s="155"/>
      <c r="CE1112" s="156"/>
      <c r="CF1112" s="155"/>
      <c r="CG1112" s="156"/>
      <c r="CH1112" s="155"/>
      <c r="CI1112" s="156"/>
      <c r="CJ1112" s="157">
        <f t="shared" si="149"/>
        <v>0</v>
      </c>
      <c r="CK1112" s="158"/>
      <c r="CL1112" s="159"/>
      <c r="CM1112" s="160"/>
      <c r="CN1112" s="161"/>
      <c r="CO1112" s="162"/>
      <c r="CP1112" s="161"/>
      <c r="CQ1112" s="158"/>
      <c r="CR1112" s="159"/>
      <c r="CS1112" s="68">
        <v>4</v>
      </c>
      <c r="CT1112" s="163">
        <v>1336</v>
      </c>
      <c r="EC1112" s="344" t="str">
        <f t="shared" si="143"/>
        <v>QUINDIO_BUENAVISTA</v>
      </c>
      <c r="ED1112" s="341"/>
      <c r="EE1112" s="341" t="s">
        <v>3223</v>
      </c>
      <c r="EF1112" s="349" t="s">
        <v>5379</v>
      </c>
      <c r="EG1112" s="341" t="s">
        <v>5387</v>
      </c>
      <c r="EH1112" s="341" t="s">
        <v>5388</v>
      </c>
      <c r="EI1112" s="341" t="str">
        <f t="shared" si="145"/>
        <v>Vaupes_Yavarate (CD)</v>
      </c>
    </row>
    <row r="1113" spans="1:139" s="164" customFormat="1" ht="25.5">
      <c r="A1113" s="228">
        <v>40429</v>
      </c>
      <c r="B1113" s="222" t="s">
        <v>2400</v>
      </c>
      <c r="C1113" s="222" t="s">
        <v>1545</v>
      </c>
      <c r="D1113" s="206" t="s">
        <v>1878</v>
      </c>
      <c r="E1113" s="320" t="s">
        <v>4177</v>
      </c>
      <c r="F1113" s="320"/>
      <c r="G1113" s="204"/>
      <c r="H1113" s="151"/>
      <c r="I1113" s="151"/>
      <c r="J1113" s="151">
        <v>15</v>
      </c>
      <c r="K1113" s="151">
        <v>3</v>
      </c>
      <c r="L1113" s="1"/>
      <c r="M1113" s="73">
        <f t="shared" si="146"/>
        <v>0</v>
      </c>
      <c r="N1113" s="73">
        <f t="shared" si="151"/>
        <v>0</v>
      </c>
      <c r="O1113" s="73">
        <f t="shared" si="144"/>
        <v>0</v>
      </c>
      <c r="P1113" s="73">
        <f t="shared" si="148"/>
        <v>0</v>
      </c>
      <c r="Q1113" s="73"/>
      <c r="R1113" s="73">
        <v>0</v>
      </c>
      <c r="S1113" s="75">
        <f t="shared" si="150"/>
        <v>0</v>
      </c>
      <c r="T1113" s="77">
        <v>0</v>
      </c>
      <c r="U1113" s="66">
        <v>40429</v>
      </c>
      <c r="V1113" s="79"/>
      <c r="W1113" s="66" t="s">
        <v>1585</v>
      </c>
      <c r="X1113" s="24" t="s">
        <v>1586</v>
      </c>
      <c r="Y1113" s="62"/>
      <c r="Z1113" s="169" t="s">
        <v>894</v>
      </c>
      <c r="AA1113" s="166" t="s">
        <v>1055</v>
      </c>
      <c r="AB1113" s="152"/>
      <c r="AC1113" s="153"/>
      <c r="AD1113" s="154"/>
      <c r="AE1113" s="153"/>
      <c r="AF1113" s="153"/>
      <c r="AG1113" s="153"/>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c r="BF1113" s="153"/>
      <c r="BG1113" s="153"/>
      <c r="BH1113" s="153"/>
      <c r="BI1113" s="153"/>
      <c r="BJ1113" s="153"/>
      <c r="BK1113" s="153"/>
      <c r="BL1113" s="153"/>
      <c r="BM1113" s="153"/>
      <c r="BN1113" s="153"/>
      <c r="BO1113" s="153"/>
      <c r="BP1113" s="153"/>
      <c r="BQ1113" s="153"/>
      <c r="BR1113" s="153"/>
      <c r="BS1113" s="153"/>
      <c r="BT1113" s="153"/>
      <c r="BU1113" s="153"/>
      <c r="BV1113" s="153"/>
      <c r="BW1113" s="153"/>
      <c r="BX1113" s="153"/>
      <c r="BY1113" s="153"/>
      <c r="BZ1113" s="153"/>
      <c r="CA1113" s="153"/>
      <c r="CB1113" s="153"/>
      <c r="CC1113" s="153"/>
      <c r="CD1113" s="155"/>
      <c r="CE1113" s="156"/>
      <c r="CF1113" s="155"/>
      <c r="CG1113" s="156"/>
      <c r="CH1113" s="155"/>
      <c r="CI1113" s="156"/>
      <c r="CJ1113" s="157">
        <f t="shared" si="149"/>
        <v>0</v>
      </c>
      <c r="CK1113" s="158"/>
      <c r="CL1113" s="159"/>
      <c r="CM1113" s="160"/>
      <c r="CN1113" s="161"/>
      <c r="CO1113" s="162"/>
      <c r="CP1113" s="161"/>
      <c r="CQ1113" s="158"/>
      <c r="CR1113" s="159"/>
      <c r="CS1113" s="68"/>
      <c r="CT1113" s="163">
        <v>1267</v>
      </c>
      <c r="EC1113" s="344" t="str">
        <f t="shared" ref="EC1113:EC1175" si="152">B1113&amp;"_"&amp;C1113</f>
        <v>TOLIMA_IBAGUE</v>
      </c>
      <c r="ED1113" s="341"/>
      <c r="EE1113" s="341" t="s">
        <v>3225</v>
      </c>
      <c r="EF1113" s="349" t="s">
        <v>5389</v>
      </c>
      <c r="EG1113" s="341" t="s">
        <v>4317</v>
      </c>
      <c r="EH1113" s="341" t="s">
        <v>5390</v>
      </c>
      <c r="EI1113" s="341" t="str">
        <f t="shared" si="145"/>
        <v>Vichada_Puerto Carreño</v>
      </c>
    </row>
    <row r="1114" spans="1:139" s="164" customFormat="1" ht="180">
      <c r="A1114" s="228">
        <v>40429</v>
      </c>
      <c r="B1114" s="222" t="s">
        <v>1088</v>
      </c>
      <c r="C1114" s="222" t="s">
        <v>2348</v>
      </c>
      <c r="D1114" s="233" t="s">
        <v>2606</v>
      </c>
      <c r="E1114" s="325" t="s">
        <v>4252</v>
      </c>
      <c r="F1114" s="325"/>
      <c r="G1114" s="204"/>
      <c r="H1114" s="151"/>
      <c r="I1114" s="151"/>
      <c r="J1114" s="151">
        <f>31*5</f>
        <v>155</v>
      </c>
      <c r="K1114" s="151">
        <f>158-127</f>
        <v>31</v>
      </c>
      <c r="L1114" s="1">
        <v>40452</v>
      </c>
      <c r="M1114" s="73">
        <f t="shared" si="146"/>
        <v>72798236</v>
      </c>
      <c r="N1114" s="73">
        <f t="shared" si="151"/>
        <v>33999384</v>
      </c>
      <c r="O1114" s="73">
        <f t="shared" ref="O1114:O1145" si="153">CP1114+CR1114</f>
        <v>58499910.000000007</v>
      </c>
      <c r="P1114" s="73">
        <f t="shared" si="148"/>
        <v>0</v>
      </c>
      <c r="Q1114" s="73"/>
      <c r="R1114" s="73">
        <v>0</v>
      </c>
      <c r="S1114" s="75">
        <f t="shared" si="150"/>
        <v>165297530</v>
      </c>
      <c r="T1114" s="77">
        <v>0</v>
      </c>
      <c r="U1114" s="228">
        <v>40429</v>
      </c>
      <c r="V1114" s="79">
        <v>47553</v>
      </c>
      <c r="W1114" s="66" t="s">
        <v>1606</v>
      </c>
      <c r="X1114" s="24" t="s">
        <v>1607</v>
      </c>
      <c r="Y1114" s="62">
        <v>20704</v>
      </c>
      <c r="Z1114" s="169" t="s">
        <v>1435</v>
      </c>
      <c r="AA1114" s="166" t="s">
        <v>1263</v>
      </c>
      <c r="AB1114" s="152"/>
      <c r="AC1114" s="153"/>
      <c r="AD1114" s="154"/>
      <c r="AE1114" s="153"/>
      <c r="AF1114" s="153"/>
      <c r="AG1114" s="153"/>
      <c r="AH1114" s="153"/>
      <c r="AI1114" s="153"/>
      <c r="AJ1114" s="153">
        <v>800</v>
      </c>
      <c r="AK1114" s="153">
        <f>800*20998.32</f>
        <v>16798656</v>
      </c>
      <c r="AL1114" s="153"/>
      <c r="AM1114" s="153"/>
      <c r="AN1114" s="153">
        <v>1000</v>
      </c>
      <c r="AO1114" s="153">
        <f>1000*55999.58</f>
        <v>55999580</v>
      </c>
      <c r="AP1114" s="153"/>
      <c r="AQ1114" s="153"/>
      <c r="AR1114" s="153"/>
      <c r="AS1114" s="153"/>
      <c r="AT1114" s="153"/>
      <c r="AU1114" s="153"/>
      <c r="AV1114" s="153"/>
      <c r="AW1114" s="153"/>
      <c r="AX1114" s="153"/>
      <c r="AY1114" s="153"/>
      <c r="AZ1114" s="153"/>
      <c r="BA1114" s="153"/>
      <c r="BB1114" s="153"/>
      <c r="BC1114" s="153"/>
      <c r="BD1114" s="153"/>
      <c r="BE1114" s="153"/>
      <c r="BF1114" s="153"/>
      <c r="BG1114" s="153"/>
      <c r="BH1114" s="153"/>
      <c r="BI1114" s="153"/>
      <c r="BJ1114" s="153"/>
      <c r="BK1114" s="153"/>
      <c r="BL1114" s="153"/>
      <c r="BM1114" s="153"/>
      <c r="BN1114" s="153"/>
      <c r="BO1114" s="153"/>
      <c r="BP1114" s="153"/>
      <c r="BQ1114" s="153"/>
      <c r="BR1114" s="153"/>
      <c r="BS1114" s="153"/>
      <c r="BT1114" s="153"/>
      <c r="BU1114" s="153"/>
      <c r="BV1114" s="153"/>
      <c r="BW1114" s="153"/>
      <c r="BX1114" s="153"/>
      <c r="BY1114" s="153"/>
      <c r="BZ1114" s="153"/>
      <c r="CA1114" s="153"/>
      <c r="CB1114" s="153"/>
      <c r="CC1114" s="153"/>
      <c r="CD1114" s="155"/>
      <c r="CE1114" s="156"/>
      <c r="CF1114" s="155"/>
      <c r="CG1114" s="156"/>
      <c r="CH1114" s="155"/>
      <c r="CI1114" s="156"/>
      <c r="CJ1114" s="157">
        <f t="shared" si="149"/>
        <v>72798236</v>
      </c>
      <c r="CK1114" s="158"/>
      <c r="CL1114" s="159"/>
      <c r="CM1114" s="160">
        <v>400</v>
      </c>
      <c r="CN1114" s="161">
        <f>400*84998.46</f>
        <v>33999384</v>
      </c>
      <c r="CO1114" s="162"/>
      <c r="CP1114" s="161"/>
      <c r="CQ1114" s="158">
        <v>3000</v>
      </c>
      <c r="CR1114" s="159">
        <f>3000*18999.99+6000*249.99</f>
        <v>58499910.000000007</v>
      </c>
      <c r="CS1114" s="68"/>
      <c r="CT1114" s="163"/>
      <c r="EC1114" s="344" t="str">
        <f t="shared" si="152"/>
        <v>VALLE DEL CAUCA_RESTREPO</v>
      </c>
      <c r="ED1114" s="341"/>
      <c r="EE1114" s="341" t="s">
        <v>3225</v>
      </c>
      <c r="EF1114" s="349" t="s">
        <v>5389</v>
      </c>
      <c r="EG1114" s="341" t="s">
        <v>4318</v>
      </c>
      <c r="EH1114" s="341" t="s">
        <v>5391</v>
      </c>
      <c r="EI1114" s="341" t="str">
        <f t="shared" si="145"/>
        <v>Vichada_La Primavera</v>
      </c>
    </row>
    <row r="1115" spans="1:139" s="164" customFormat="1" ht="120">
      <c r="A1115" s="228">
        <v>40430</v>
      </c>
      <c r="B1115" s="102" t="s">
        <v>1295</v>
      </c>
      <c r="C1115" s="222" t="s">
        <v>315</v>
      </c>
      <c r="D1115" s="233" t="s">
        <v>1201</v>
      </c>
      <c r="E1115" s="325" t="s">
        <v>3654</v>
      </c>
      <c r="F1115" s="325"/>
      <c r="G1115" s="204"/>
      <c r="H1115" s="151"/>
      <c r="I1115" s="151"/>
      <c r="J1115" s="151"/>
      <c r="K1115" s="151"/>
      <c r="L1115" s="1">
        <v>40459</v>
      </c>
      <c r="M1115" s="73">
        <f t="shared" si="146"/>
        <v>94517996.799999997</v>
      </c>
      <c r="N1115" s="73">
        <f t="shared" si="151"/>
        <v>977500000</v>
      </c>
      <c r="O1115" s="73">
        <f t="shared" si="153"/>
        <v>0</v>
      </c>
      <c r="P1115" s="73">
        <f t="shared" si="148"/>
        <v>0</v>
      </c>
      <c r="Q1115" s="73"/>
      <c r="R1115" s="73">
        <v>37000000</v>
      </c>
      <c r="S1115" s="75">
        <f t="shared" si="150"/>
        <v>1109017996.8</v>
      </c>
      <c r="T1115" s="77">
        <v>0</v>
      </c>
      <c r="U1115" s="66">
        <v>40429</v>
      </c>
      <c r="V1115" s="79">
        <v>38767</v>
      </c>
      <c r="W1115" s="66" t="s">
        <v>1606</v>
      </c>
      <c r="X1115" s="24" t="s">
        <v>1607</v>
      </c>
      <c r="Y1115" s="83" t="s">
        <v>2874</v>
      </c>
      <c r="Z1115" s="169" t="s">
        <v>1435</v>
      </c>
      <c r="AA1115" s="170" t="s">
        <v>2875</v>
      </c>
      <c r="AB1115" s="152"/>
      <c r="AC1115" s="153"/>
      <c r="AD1115" s="154"/>
      <c r="AE1115" s="153"/>
      <c r="AF1115" s="153"/>
      <c r="AG1115" s="153"/>
      <c r="AH1115" s="153"/>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c r="BF1115" s="153"/>
      <c r="BG1115" s="153"/>
      <c r="BH1115" s="153"/>
      <c r="BI1115" s="153"/>
      <c r="BJ1115" s="153"/>
      <c r="BK1115" s="153"/>
      <c r="BL1115" s="153"/>
      <c r="BM1115" s="153"/>
      <c r="BN1115" s="153">
        <f>10+10+10+15</f>
        <v>45</v>
      </c>
      <c r="BO1115" s="153">
        <f>10*504600+10*470000+10*496999.68+15*440800</f>
        <v>21327996.800000001</v>
      </c>
      <c r="BP1115" s="153"/>
      <c r="BQ1115" s="153"/>
      <c r="BR1115" s="153"/>
      <c r="BS1115" s="153"/>
      <c r="BT1115" s="153"/>
      <c r="BU1115" s="153"/>
      <c r="BV1115" s="153"/>
      <c r="BW1115" s="153"/>
      <c r="BX1115" s="153"/>
      <c r="BY1115" s="153"/>
      <c r="BZ1115" s="153"/>
      <c r="CA1115" s="153"/>
      <c r="CB1115" s="153"/>
      <c r="CC1115" s="153"/>
      <c r="CD1115" s="155">
        <v>2000</v>
      </c>
      <c r="CE1115" s="156">
        <f>2000*36595</f>
        <v>73190000</v>
      </c>
      <c r="CF1115" s="155"/>
      <c r="CG1115" s="156"/>
      <c r="CH1115" s="155"/>
      <c r="CI1115" s="156"/>
      <c r="CJ1115" s="157">
        <f t="shared" si="149"/>
        <v>94517996.799999997</v>
      </c>
      <c r="CK1115" s="158"/>
      <c r="CL1115" s="159"/>
      <c r="CM1115" s="160">
        <f>2000+2500+3500+3500</f>
        <v>11500</v>
      </c>
      <c r="CN1115" s="161">
        <f>2000*85000+2500*85000+3500*85000+3500*85000</f>
        <v>977500000</v>
      </c>
      <c r="CO1115" s="162"/>
      <c r="CP1115" s="161"/>
      <c r="CQ1115" s="158"/>
      <c r="CR1115" s="159"/>
      <c r="CS1115" s="68"/>
      <c r="CT1115" s="163"/>
      <c r="EC1115" s="344" t="str">
        <f t="shared" si="152"/>
        <v>CORDOBA_AYAPEL</v>
      </c>
      <c r="ED1115" s="341"/>
      <c r="EE1115" s="341" t="s">
        <v>3225</v>
      </c>
      <c r="EF1115" s="349" t="s">
        <v>5389</v>
      </c>
      <c r="EG1115" s="341" t="s">
        <v>4319</v>
      </c>
      <c r="EH1115" s="341" t="s">
        <v>5392</v>
      </c>
      <c r="EI1115" s="341" t="str">
        <f t="shared" si="145"/>
        <v>Vichada_Santa Rosalia</v>
      </c>
    </row>
    <row r="1116" spans="1:139" s="164" customFormat="1" ht="36.75" thickBot="1">
      <c r="A1116" s="228">
        <v>40431</v>
      </c>
      <c r="B1116" s="205" t="s">
        <v>1192</v>
      </c>
      <c r="C1116" s="205" t="s">
        <v>1939</v>
      </c>
      <c r="D1116" s="207" t="s">
        <v>1201</v>
      </c>
      <c r="E1116" s="323" t="s">
        <v>3525</v>
      </c>
      <c r="F1116" s="323"/>
      <c r="G1116" s="204"/>
      <c r="H1116" s="151"/>
      <c r="I1116" s="151"/>
      <c r="J1116" s="151">
        <f>171*5</f>
        <v>855</v>
      </c>
      <c r="K1116" s="151">
        <v>171</v>
      </c>
      <c r="L1116" s="1">
        <v>40530</v>
      </c>
      <c r="M1116" s="73">
        <f t="shared" si="146"/>
        <v>26128802.800000001</v>
      </c>
      <c r="N1116" s="73">
        <f t="shared" si="151"/>
        <v>14450000</v>
      </c>
      <c r="O1116" s="73">
        <f t="shared" si="153"/>
        <v>0</v>
      </c>
      <c r="P1116" s="73">
        <f t="shared" si="148"/>
        <v>0</v>
      </c>
      <c r="Q1116" s="73"/>
      <c r="R1116" s="73">
        <v>0</v>
      </c>
      <c r="S1116" s="75">
        <f t="shared" si="150"/>
        <v>40578802.799999997</v>
      </c>
      <c r="T1116" s="77">
        <v>0</v>
      </c>
      <c r="U1116" s="66">
        <v>40504</v>
      </c>
      <c r="V1116" s="79"/>
      <c r="W1116" s="66" t="s">
        <v>1606</v>
      </c>
      <c r="X1116" s="24" t="s">
        <v>1607</v>
      </c>
      <c r="Y1116" s="83" t="s">
        <v>237</v>
      </c>
      <c r="Z1116" s="169" t="s">
        <v>1272</v>
      </c>
      <c r="AA1116" s="166" t="s">
        <v>2120</v>
      </c>
      <c r="AB1116" s="152"/>
      <c r="AC1116" s="153"/>
      <c r="AD1116" s="154"/>
      <c r="AE1116" s="153"/>
      <c r="AF1116" s="153"/>
      <c r="AG1116" s="153"/>
      <c r="AH1116" s="153"/>
      <c r="AI1116" s="153"/>
      <c r="AJ1116" s="153"/>
      <c r="AK1116" s="153"/>
      <c r="AL1116" s="153"/>
      <c r="AM1116" s="153"/>
      <c r="AN1116" s="153">
        <v>170</v>
      </c>
      <c r="AO1116" s="153">
        <f>170*56000</f>
        <v>9520000</v>
      </c>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c r="BI1116" s="153"/>
      <c r="BJ1116" s="153"/>
      <c r="BK1116" s="153"/>
      <c r="BL1116" s="153"/>
      <c r="BM1116" s="153"/>
      <c r="BN1116" s="153"/>
      <c r="BO1116" s="153"/>
      <c r="BP1116" s="153"/>
      <c r="BQ1116" s="153"/>
      <c r="BR1116" s="153"/>
      <c r="BS1116" s="153"/>
      <c r="BT1116" s="153"/>
      <c r="BU1116" s="153"/>
      <c r="BV1116" s="153"/>
      <c r="BW1116" s="153"/>
      <c r="BX1116" s="153">
        <v>170</v>
      </c>
      <c r="BY1116" s="153">
        <f>170*20999.48</f>
        <v>3569911.6</v>
      </c>
      <c r="BZ1116" s="153"/>
      <c r="CA1116" s="153"/>
      <c r="CB1116" s="153"/>
      <c r="CC1116" s="153"/>
      <c r="CD1116" s="155">
        <v>170</v>
      </c>
      <c r="CE1116" s="156">
        <f>170*36999.36</f>
        <v>6289891.2000000002</v>
      </c>
      <c r="CF1116" s="155">
        <v>170</v>
      </c>
      <c r="CG1116" s="156">
        <f>170*39700</f>
        <v>6749000</v>
      </c>
      <c r="CH1116" s="155"/>
      <c r="CI1116" s="156"/>
      <c r="CJ1116" s="157">
        <f t="shared" si="149"/>
        <v>26128802.800000001</v>
      </c>
      <c r="CK1116" s="158"/>
      <c r="CL1116" s="159"/>
      <c r="CM1116" s="160">
        <v>170</v>
      </c>
      <c r="CN1116" s="161">
        <f>170*85000</f>
        <v>14450000</v>
      </c>
      <c r="CO1116" s="162"/>
      <c r="CP1116" s="161"/>
      <c r="CQ1116" s="158"/>
      <c r="CR1116" s="159"/>
      <c r="CS1116" s="68"/>
      <c r="CT1116" s="163"/>
      <c r="EC1116" s="344" t="str">
        <f t="shared" si="152"/>
        <v>BOYACA_SUTATENZA</v>
      </c>
      <c r="ED1116" s="341"/>
      <c r="EE1116" s="347" t="s">
        <v>3225</v>
      </c>
      <c r="EF1116" s="360" t="s">
        <v>5389</v>
      </c>
      <c r="EG1116" s="347" t="s">
        <v>4320</v>
      </c>
      <c r="EH1116" s="347" t="s">
        <v>5393</v>
      </c>
      <c r="EI1116" s="347" t="str">
        <f t="shared" si="145"/>
        <v>Vichada_Cumaribo</v>
      </c>
    </row>
    <row r="1117" spans="1:139" s="164" customFormat="1" ht="48.75" thickTop="1">
      <c r="A1117" s="228">
        <v>40431</v>
      </c>
      <c r="B1117" s="102" t="s">
        <v>4321</v>
      </c>
      <c r="C1117" s="205" t="s">
        <v>296</v>
      </c>
      <c r="D1117" s="207" t="s">
        <v>2606</v>
      </c>
      <c r="E1117" s="323" t="s">
        <v>3861</v>
      </c>
      <c r="F1117" s="323"/>
      <c r="G1117" s="204"/>
      <c r="H1117" s="151"/>
      <c r="I1117" s="151"/>
      <c r="J1117" s="151">
        <f>137*5-117</f>
        <v>568</v>
      </c>
      <c r="K1117" s="151">
        <f>137-32</f>
        <v>105</v>
      </c>
      <c r="L1117" s="1">
        <v>40508</v>
      </c>
      <c r="M1117" s="73">
        <f t="shared" si="146"/>
        <v>17494900</v>
      </c>
      <c r="N1117" s="73">
        <f t="shared" si="151"/>
        <v>11645000</v>
      </c>
      <c r="O1117" s="73">
        <f t="shared" si="153"/>
        <v>0</v>
      </c>
      <c r="P1117" s="73">
        <f t="shared" si="148"/>
        <v>0</v>
      </c>
      <c r="Q1117" s="73"/>
      <c r="R1117" s="73">
        <v>0</v>
      </c>
      <c r="S1117" s="75">
        <f t="shared" si="150"/>
        <v>29139900</v>
      </c>
      <c r="T1117" s="77">
        <v>0</v>
      </c>
      <c r="U1117" s="66">
        <v>40484</v>
      </c>
      <c r="V1117" s="79">
        <v>59457</v>
      </c>
      <c r="W1117" s="66" t="s">
        <v>1606</v>
      </c>
      <c r="X1117" s="24" t="s">
        <v>1607</v>
      </c>
      <c r="Y1117" s="104">
        <v>24642</v>
      </c>
      <c r="Z1117" s="177" t="s">
        <v>2580</v>
      </c>
      <c r="AA1117" s="166" t="s">
        <v>1654</v>
      </c>
      <c r="AB1117" s="152"/>
      <c r="AC1117" s="153"/>
      <c r="AD1117" s="154"/>
      <c r="AE1117" s="153"/>
      <c r="AF1117" s="153"/>
      <c r="AG1117" s="153"/>
      <c r="AH1117" s="153"/>
      <c r="AI1117" s="153"/>
      <c r="AJ1117" s="153"/>
      <c r="AK1117" s="153"/>
      <c r="AL1117" s="153"/>
      <c r="AM1117" s="153"/>
      <c r="AN1117" s="153"/>
      <c r="AO1117" s="153"/>
      <c r="AP1117" s="153"/>
      <c r="AQ1117" s="153"/>
      <c r="AR1117" s="153"/>
      <c r="AS1117" s="153"/>
      <c r="AT1117" s="153"/>
      <c r="AU1117" s="153"/>
      <c r="AV1117" s="153"/>
      <c r="AW1117" s="153"/>
      <c r="AX1117" s="153"/>
      <c r="AY1117" s="153"/>
      <c r="AZ1117" s="153">
        <v>274</v>
      </c>
      <c r="BA1117" s="153">
        <f>274*25500</f>
        <v>6987000</v>
      </c>
      <c r="BB1117" s="153"/>
      <c r="BC1117" s="153"/>
      <c r="BD1117" s="153"/>
      <c r="BE1117" s="153"/>
      <c r="BF1117" s="153"/>
      <c r="BG1117" s="153"/>
      <c r="BH1117" s="153"/>
      <c r="BI1117" s="153"/>
      <c r="BJ1117" s="153"/>
      <c r="BK1117" s="153"/>
      <c r="BL1117" s="153"/>
      <c r="BM1117" s="153"/>
      <c r="BN1117" s="153"/>
      <c r="BO1117" s="153"/>
      <c r="BP1117" s="153"/>
      <c r="BQ1117" s="153"/>
      <c r="BR1117" s="153"/>
      <c r="BS1117" s="153"/>
      <c r="BT1117" s="153"/>
      <c r="BU1117" s="153"/>
      <c r="BV1117" s="153"/>
      <c r="BW1117" s="153"/>
      <c r="BX1117" s="153"/>
      <c r="BY1117" s="153"/>
      <c r="BZ1117" s="153"/>
      <c r="CA1117" s="153"/>
      <c r="CB1117" s="153"/>
      <c r="CC1117" s="153"/>
      <c r="CD1117" s="155">
        <v>137</v>
      </c>
      <c r="CE1117" s="156">
        <f>137*37000</f>
        <v>5069000</v>
      </c>
      <c r="CF1117" s="155">
        <v>137</v>
      </c>
      <c r="CG1117" s="156">
        <f>137*39700</f>
        <v>5438900</v>
      </c>
      <c r="CH1117" s="155"/>
      <c r="CI1117" s="156"/>
      <c r="CJ1117" s="157">
        <f t="shared" si="149"/>
        <v>17494900</v>
      </c>
      <c r="CK1117" s="158"/>
      <c r="CL1117" s="159"/>
      <c r="CM1117" s="160">
        <v>137</v>
      </c>
      <c r="CN1117" s="161">
        <f>137*85000</f>
        <v>11645000</v>
      </c>
      <c r="CO1117" s="162"/>
      <c r="CP1117" s="161"/>
      <c r="CQ1117" s="158"/>
      <c r="CR1117" s="159"/>
      <c r="CS1117" s="68"/>
      <c r="CT1117" s="163"/>
      <c r="EC1117" s="344" t="str">
        <f t="shared" si="152"/>
        <v>LA GUAJIRA_ALBANIA</v>
      </c>
      <c r="ED1117" s="341"/>
      <c r="EE1117" s="341"/>
      <c r="EF1117" s="348"/>
      <c r="EG1117" s="341"/>
      <c r="EH1117" s="341"/>
      <c r="EI1117" s="341"/>
    </row>
    <row r="1118" spans="1:139" s="164" customFormat="1" ht="38.25">
      <c r="A1118" s="228">
        <v>40431</v>
      </c>
      <c r="B1118" s="222" t="s">
        <v>1440</v>
      </c>
      <c r="C1118" s="222" t="s">
        <v>1418</v>
      </c>
      <c r="D1118" s="233" t="s">
        <v>1201</v>
      </c>
      <c r="E1118" s="325" t="s">
        <v>3875</v>
      </c>
      <c r="F1118" s="325"/>
      <c r="G1118" s="204"/>
      <c r="H1118" s="151"/>
      <c r="I1118" s="151"/>
      <c r="J1118" s="151"/>
      <c r="K1118" s="151"/>
      <c r="L1118" s="1"/>
      <c r="M1118" s="73">
        <f t="shared" si="146"/>
        <v>0</v>
      </c>
      <c r="N1118" s="73">
        <f t="shared" si="151"/>
        <v>0</v>
      </c>
      <c r="O1118" s="73">
        <f t="shared" si="153"/>
        <v>0</v>
      </c>
      <c r="P1118" s="73">
        <f t="shared" si="148"/>
        <v>0</v>
      </c>
      <c r="Q1118" s="73"/>
      <c r="R1118" s="73">
        <v>0</v>
      </c>
      <c r="S1118" s="75">
        <f t="shared" si="150"/>
        <v>0</v>
      </c>
      <c r="T1118" s="77">
        <v>0</v>
      </c>
      <c r="U1118" s="66">
        <v>40435</v>
      </c>
      <c r="V1118" s="79"/>
      <c r="W1118" s="66" t="s">
        <v>1585</v>
      </c>
      <c r="X1118" s="24" t="s">
        <v>1586</v>
      </c>
      <c r="Y1118" s="62"/>
      <c r="Z1118" s="169" t="s">
        <v>894</v>
      </c>
      <c r="AA1118" s="166" t="s">
        <v>2624</v>
      </c>
      <c r="AB1118" s="152"/>
      <c r="AC1118" s="153"/>
      <c r="AD1118" s="154"/>
      <c r="AE1118" s="153"/>
      <c r="AF1118" s="153"/>
      <c r="AG1118" s="153"/>
      <c r="AH1118" s="153"/>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c r="BF1118" s="153"/>
      <c r="BG1118" s="153"/>
      <c r="BH1118" s="153"/>
      <c r="BI1118" s="153"/>
      <c r="BJ1118" s="153"/>
      <c r="BK1118" s="153"/>
      <c r="BL1118" s="153"/>
      <c r="BM1118" s="153"/>
      <c r="BN1118" s="153"/>
      <c r="BO1118" s="153"/>
      <c r="BP1118" s="153"/>
      <c r="BQ1118" s="153"/>
      <c r="BR1118" s="153"/>
      <c r="BS1118" s="153"/>
      <c r="BT1118" s="153"/>
      <c r="BU1118" s="153"/>
      <c r="BV1118" s="153"/>
      <c r="BW1118" s="153"/>
      <c r="BX1118" s="153"/>
      <c r="BY1118" s="153"/>
      <c r="BZ1118" s="153"/>
      <c r="CA1118" s="153"/>
      <c r="CB1118" s="153"/>
      <c r="CC1118" s="153"/>
      <c r="CD1118" s="155"/>
      <c r="CE1118" s="156"/>
      <c r="CF1118" s="155"/>
      <c r="CG1118" s="156"/>
      <c r="CH1118" s="155"/>
      <c r="CI1118" s="156"/>
      <c r="CJ1118" s="157">
        <f t="shared" si="149"/>
        <v>0</v>
      </c>
      <c r="CK1118" s="158"/>
      <c r="CL1118" s="159"/>
      <c r="CM1118" s="160"/>
      <c r="CN1118" s="161"/>
      <c r="CO1118" s="162"/>
      <c r="CP1118" s="161"/>
      <c r="CQ1118" s="158"/>
      <c r="CR1118" s="159"/>
      <c r="CS1118" s="68"/>
      <c r="CT1118" s="163"/>
      <c r="EC1118" s="344" t="str">
        <f t="shared" si="152"/>
        <v>MAGDALENA_SANTA MARTA</v>
      </c>
      <c r="ED1118" s="341"/>
      <c r="EE1118" s="342" t="s">
        <v>3219</v>
      </c>
      <c r="EF1118" s="343" t="s">
        <v>607</v>
      </c>
      <c r="EG1118" s="342" t="s">
        <v>3219</v>
      </c>
      <c r="EH1118" s="341" t="s">
        <v>1605</v>
      </c>
      <c r="EI1118" s="341" t="str">
        <f t="shared" ref="EI1118:EI1145" si="154">EF1118&amp;"_"&amp;EH1118</f>
        <v>AMAZONAS_DEPARTAMENTO</v>
      </c>
    </row>
    <row r="1119" spans="1:139" s="164" customFormat="1" ht="38.25">
      <c r="A1119" s="228">
        <v>40431</v>
      </c>
      <c r="B1119" s="222" t="s">
        <v>396</v>
      </c>
      <c r="C1119" s="222" t="s">
        <v>1899</v>
      </c>
      <c r="D1119" s="233" t="s">
        <v>2606</v>
      </c>
      <c r="E1119" s="325" t="s">
        <v>3905</v>
      </c>
      <c r="F1119" s="325"/>
      <c r="G1119" s="204"/>
      <c r="H1119" s="151"/>
      <c r="I1119" s="151"/>
      <c r="J1119" s="151">
        <v>20</v>
      </c>
      <c r="K1119" s="151">
        <v>4</v>
      </c>
      <c r="L1119" s="1"/>
      <c r="M1119" s="73">
        <f t="shared" si="146"/>
        <v>0</v>
      </c>
      <c r="N1119" s="73">
        <f t="shared" si="151"/>
        <v>0</v>
      </c>
      <c r="O1119" s="73">
        <f t="shared" si="153"/>
        <v>0</v>
      </c>
      <c r="P1119" s="73">
        <f t="shared" si="148"/>
        <v>0</v>
      </c>
      <c r="Q1119" s="73"/>
      <c r="R1119" s="73">
        <v>0</v>
      </c>
      <c r="S1119" s="75">
        <f t="shared" si="150"/>
        <v>0</v>
      </c>
      <c r="T1119" s="77">
        <v>0</v>
      </c>
      <c r="U1119" s="66">
        <v>40435</v>
      </c>
      <c r="V1119" s="79"/>
      <c r="W1119" s="66" t="s">
        <v>1585</v>
      </c>
      <c r="X1119" s="24" t="s">
        <v>1586</v>
      </c>
      <c r="Y1119" s="62"/>
      <c r="Z1119" s="169" t="s">
        <v>894</v>
      </c>
      <c r="AA1119" s="166" t="s">
        <v>2623</v>
      </c>
      <c r="AB1119" s="152"/>
      <c r="AC1119" s="153"/>
      <c r="AD1119" s="154"/>
      <c r="AE1119" s="153"/>
      <c r="AF1119" s="153"/>
      <c r="AG1119" s="153"/>
      <c r="AH1119" s="153"/>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c r="BF1119" s="153"/>
      <c r="BG1119" s="153"/>
      <c r="BH1119" s="153"/>
      <c r="BI1119" s="153"/>
      <c r="BJ1119" s="153"/>
      <c r="BK1119" s="153"/>
      <c r="BL1119" s="153"/>
      <c r="BM1119" s="153"/>
      <c r="BN1119" s="153"/>
      <c r="BO1119" s="153"/>
      <c r="BP1119" s="153"/>
      <c r="BQ1119" s="153"/>
      <c r="BR1119" s="153"/>
      <c r="BS1119" s="153"/>
      <c r="BT1119" s="153"/>
      <c r="BU1119" s="153"/>
      <c r="BV1119" s="153"/>
      <c r="BW1119" s="153"/>
      <c r="BX1119" s="153"/>
      <c r="BY1119" s="153"/>
      <c r="BZ1119" s="153"/>
      <c r="CA1119" s="153"/>
      <c r="CB1119" s="153"/>
      <c r="CC1119" s="153"/>
      <c r="CD1119" s="155"/>
      <c r="CE1119" s="156"/>
      <c r="CF1119" s="155"/>
      <c r="CG1119" s="156"/>
      <c r="CH1119" s="155"/>
      <c r="CI1119" s="156"/>
      <c r="CJ1119" s="157">
        <f t="shared" si="149"/>
        <v>0</v>
      </c>
      <c r="CK1119" s="158"/>
      <c r="CL1119" s="159"/>
      <c r="CM1119" s="160"/>
      <c r="CN1119" s="161"/>
      <c r="CO1119" s="162"/>
      <c r="CP1119" s="161"/>
      <c r="CQ1119" s="158"/>
      <c r="CR1119" s="159"/>
      <c r="CS1119" s="68"/>
      <c r="CT1119" s="163"/>
      <c r="EC1119" s="344" t="str">
        <f t="shared" si="152"/>
        <v>META_VILLAVICENCIO</v>
      </c>
      <c r="ED1119" s="341"/>
      <c r="EE1119" s="342" t="s">
        <v>3103</v>
      </c>
      <c r="EF1119" s="343" t="s">
        <v>1972</v>
      </c>
      <c r="EG1119" s="342" t="s">
        <v>3103</v>
      </c>
      <c r="EH1119" s="341" t="s">
        <v>1605</v>
      </c>
      <c r="EI1119" s="341" t="str">
        <f t="shared" si="154"/>
        <v>ANTIOQUIA_DEPARTAMENTO</v>
      </c>
    </row>
    <row r="1120" spans="1:139" s="164" customFormat="1" ht="51">
      <c r="A1120" s="228">
        <v>40432</v>
      </c>
      <c r="B1120" s="102" t="s">
        <v>1609</v>
      </c>
      <c r="C1120" s="205" t="s">
        <v>1708</v>
      </c>
      <c r="D1120" s="207" t="s">
        <v>2606</v>
      </c>
      <c r="E1120" s="323" t="s">
        <v>4062</v>
      </c>
      <c r="F1120" s="323"/>
      <c r="G1120" s="204"/>
      <c r="H1120" s="151"/>
      <c r="I1120" s="151"/>
      <c r="J1120" s="151">
        <v>15</v>
      </c>
      <c r="K1120" s="151">
        <v>3</v>
      </c>
      <c r="L1120" s="1"/>
      <c r="M1120" s="73">
        <f t="shared" si="146"/>
        <v>0</v>
      </c>
      <c r="N1120" s="73">
        <f t="shared" si="151"/>
        <v>0</v>
      </c>
      <c r="O1120" s="73">
        <f t="shared" si="153"/>
        <v>0</v>
      </c>
      <c r="P1120" s="73">
        <f t="shared" si="148"/>
        <v>0</v>
      </c>
      <c r="Q1120" s="73"/>
      <c r="R1120" s="73">
        <v>0</v>
      </c>
      <c r="S1120" s="75">
        <f t="shared" si="150"/>
        <v>0</v>
      </c>
      <c r="T1120" s="77">
        <v>0</v>
      </c>
      <c r="U1120" s="66">
        <v>40455</v>
      </c>
      <c r="V1120" s="79"/>
      <c r="W1120" s="66" t="s">
        <v>1585</v>
      </c>
      <c r="X1120" s="24" t="s">
        <v>1586</v>
      </c>
      <c r="Y1120" s="62"/>
      <c r="Z1120" s="169" t="s">
        <v>894</v>
      </c>
      <c r="AA1120" s="166" t="s">
        <v>2195</v>
      </c>
      <c r="AB1120" s="152"/>
      <c r="AC1120" s="153"/>
      <c r="AD1120" s="154"/>
      <c r="AE1120" s="153"/>
      <c r="AF1120" s="153"/>
      <c r="AG1120" s="153"/>
      <c r="AH1120" s="153"/>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c r="BF1120" s="153"/>
      <c r="BG1120" s="153"/>
      <c r="BH1120" s="153"/>
      <c r="BI1120" s="153"/>
      <c r="BJ1120" s="153"/>
      <c r="BK1120" s="153"/>
      <c r="BL1120" s="153"/>
      <c r="BM1120" s="153"/>
      <c r="BN1120" s="153"/>
      <c r="BO1120" s="153"/>
      <c r="BP1120" s="153"/>
      <c r="BQ1120" s="153"/>
      <c r="BR1120" s="153"/>
      <c r="BS1120" s="153"/>
      <c r="BT1120" s="153"/>
      <c r="BU1120" s="153"/>
      <c r="BV1120" s="153"/>
      <c r="BW1120" s="153"/>
      <c r="BX1120" s="153"/>
      <c r="BY1120" s="153"/>
      <c r="BZ1120" s="153"/>
      <c r="CA1120" s="153"/>
      <c r="CB1120" s="153"/>
      <c r="CC1120" s="153"/>
      <c r="CD1120" s="155"/>
      <c r="CE1120" s="156"/>
      <c r="CF1120" s="155"/>
      <c r="CG1120" s="156"/>
      <c r="CH1120" s="155"/>
      <c r="CI1120" s="156"/>
      <c r="CJ1120" s="157">
        <f t="shared" si="149"/>
        <v>0</v>
      </c>
      <c r="CK1120" s="158"/>
      <c r="CL1120" s="159"/>
      <c r="CM1120" s="160"/>
      <c r="CN1120" s="161"/>
      <c r="CO1120" s="162"/>
      <c r="CP1120" s="161"/>
      <c r="CQ1120" s="158"/>
      <c r="CR1120" s="159"/>
      <c r="CS1120" s="68"/>
      <c r="CT1120" s="163"/>
      <c r="EC1120" s="344" t="str">
        <f t="shared" si="152"/>
        <v>RISARALDA_SANTA ROSA DE CABAL</v>
      </c>
      <c r="ED1120" s="341"/>
      <c r="EE1120" s="342" t="s">
        <v>3206</v>
      </c>
      <c r="EF1120" s="343" t="s">
        <v>2367</v>
      </c>
      <c r="EG1120" s="342" t="s">
        <v>3206</v>
      </c>
      <c r="EH1120" s="341" t="s">
        <v>1605</v>
      </c>
      <c r="EI1120" s="341" t="str">
        <f t="shared" si="154"/>
        <v>ARAUCA_DEPARTAMENTO</v>
      </c>
    </row>
    <row r="1121" spans="1:139" s="164" customFormat="1" ht="72">
      <c r="A1121" s="228">
        <v>40432</v>
      </c>
      <c r="B1121" s="205" t="s">
        <v>1998</v>
      </c>
      <c r="C1121" s="205" t="s">
        <v>906</v>
      </c>
      <c r="D1121" s="207" t="s">
        <v>2606</v>
      </c>
      <c r="E1121" s="323" t="s">
        <v>4137</v>
      </c>
      <c r="F1121" s="323"/>
      <c r="G1121" s="263"/>
      <c r="H1121" s="151"/>
      <c r="I1121" s="151"/>
      <c r="J1121" s="151">
        <v>324</v>
      </c>
      <c r="K1121" s="151">
        <v>69</v>
      </c>
      <c r="L1121" s="1"/>
      <c r="M1121" s="73">
        <f t="shared" si="146"/>
        <v>0</v>
      </c>
      <c r="N1121" s="73">
        <f t="shared" si="151"/>
        <v>0</v>
      </c>
      <c r="O1121" s="73">
        <f t="shared" si="153"/>
        <v>0</v>
      </c>
      <c r="P1121" s="73">
        <f t="shared" si="148"/>
        <v>0</v>
      </c>
      <c r="Q1121" s="73"/>
      <c r="R1121" s="73">
        <v>0</v>
      </c>
      <c r="S1121" s="75">
        <f t="shared" si="150"/>
        <v>0</v>
      </c>
      <c r="T1121" s="77">
        <v>0</v>
      </c>
      <c r="U1121" s="66">
        <v>40455</v>
      </c>
      <c r="V1121" s="79">
        <v>53171</v>
      </c>
      <c r="W1121" s="66" t="s">
        <v>1606</v>
      </c>
      <c r="X1121" s="24" t="s">
        <v>1607</v>
      </c>
      <c r="Y1121" s="62"/>
      <c r="Z1121" s="176" t="s">
        <v>2279</v>
      </c>
      <c r="AA1121" s="166" t="s">
        <v>2996</v>
      </c>
      <c r="AB1121" s="152"/>
      <c r="AC1121" s="153"/>
      <c r="AD1121" s="154"/>
      <c r="AE1121" s="153"/>
      <c r="AF1121" s="153"/>
      <c r="AG1121" s="153"/>
      <c r="AH1121" s="153"/>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c r="BF1121" s="153"/>
      <c r="BG1121" s="153"/>
      <c r="BH1121" s="153"/>
      <c r="BI1121" s="153"/>
      <c r="BJ1121" s="153"/>
      <c r="BK1121" s="153"/>
      <c r="BL1121" s="153"/>
      <c r="BM1121" s="153"/>
      <c r="BN1121" s="153"/>
      <c r="BO1121" s="153"/>
      <c r="BP1121" s="153"/>
      <c r="BQ1121" s="153"/>
      <c r="BR1121" s="153"/>
      <c r="BS1121" s="153"/>
      <c r="BT1121" s="153"/>
      <c r="BU1121" s="153"/>
      <c r="BV1121" s="153"/>
      <c r="BW1121" s="153"/>
      <c r="BX1121" s="153"/>
      <c r="BY1121" s="153"/>
      <c r="BZ1121" s="153"/>
      <c r="CA1121" s="153"/>
      <c r="CB1121" s="153"/>
      <c r="CC1121" s="153"/>
      <c r="CD1121" s="155"/>
      <c r="CE1121" s="156"/>
      <c r="CF1121" s="155"/>
      <c r="CG1121" s="156"/>
      <c r="CH1121" s="155"/>
      <c r="CI1121" s="156"/>
      <c r="CJ1121" s="157">
        <f t="shared" si="149"/>
        <v>0</v>
      </c>
      <c r="CK1121" s="158"/>
      <c r="CL1121" s="159"/>
      <c r="CM1121" s="160"/>
      <c r="CN1121" s="161"/>
      <c r="CO1121" s="162"/>
      <c r="CP1121" s="161"/>
      <c r="CQ1121" s="158"/>
      <c r="CR1121" s="159"/>
      <c r="CS1121" s="68"/>
      <c r="CT1121" s="163"/>
      <c r="EC1121" s="344" t="str">
        <f t="shared" si="152"/>
        <v>SANTANDER_SAN VICENTE DE CHUCURI</v>
      </c>
      <c r="ED1121" s="341"/>
      <c r="EE1121" s="342" t="s">
        <v>3110</v>
      </c>
      <c r="EF1121" s="343" t="s">
        <v>1551</v>
      </c>
      <c r="EG1121" s="342" t="s">
        <v>3110</v>
      </c>
      <c r="EH1121" s="341" t="s">
        <v>1605</v>
      </c>
      <c r="EI1121" s="341" t="str">
        <f t="shared" si="154"/>
        <v>ATLANTICO_DEPARTAMENTO</v>
      </c>
    </row>
    <row r="1122" spans="1:139" s="164" customFormat="1" ht="48">
      <c r="A1122" s="228">
        <v>40433</v>
      </c>
      <c r="B1122" s="222" t="s">
        <v>1972</v>
      </c>
      <c r="C1122" s="222" t="s">
        <v>890</v>
      </c>
      <c r="D1122" s="233" t="s">
        <v>2346</v>
      </c>
      <c r="E1122" s="325" t="s">
        <v>3301</v>
      </c>
      <c r="F1122" s="325"/>
      <c r="G1122" s="204">
        <v>2</v>
      </c>
      <c r="H1122" s="151"/>
      <c r="I1122" s="151"/>
      <c r="J1122" s="151"/>
      <c r="K1122" s="151"/>
      <c r="L1122" s="1"/>
      <c r="M1122" s="73">
        <f t="shared" si="146"/>
        <v>0</v>
      </c>
      <c r="N1122" s="73">
        <f t="shared" si="151"/>
        <v>0</v>
      </c>
      <c r="O1122" s="73">
        <f t="shared" si="153"/>
        <v>0</v>
      </c>
      <c r="P1122" s="73">
        <f t="shared" si="148"/>
        <v>0</v>
      </c>
      <c r="Q1122" s="73"/>
      <c r="R1122" s="73">
        <v>0</v>
      </c>
      <c r="S1122" s="75">
        <f t="shared" si="150"/>
        <v>0</v>
      </c>
      <c r="T1122" s="77">
        <v>0</v>
      </c>
      <c r="U1122" s="66">
        <v>40435</v>
      </c>
      <c r="V1122" s="79"/>
      <c r="W1122" s="66" t="s">
        <v>1585</v>
      </c>
      <c r="X1122" s="24" t="s">
        <v>1586</v>
      </c>
      <c r="Y1122" s="62"/>
      <c r="Z1122" s="169" t="s">
        <v>894</v>
      </c>
      <c r="AA1122" s="166" t="s">
        <v>1786</v>
      </c>
      <c r="AB1122" s="152"/>
      <c r="AC1122" s="153"/>
      <c r="AD1122" s="154"/>
      <c r="AE1122" s="153"/>
      <c r="AF1122" s="153"/>
      <c r="AG1122" s="153"/>
      <c r="AH1122" s="153"/>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c r="BF1122" s="153"/>
      <c r="BG1122" s="153"/>
      <c r="BH1122" s="153"/>
      <c r="BI1122" s="153"/>
      <c r="BJ1122" s="153"/>
      <c r="BK1122" s="153"/>
      <c r="BL1122" s="153"/>
      <c r="BM1122" s="153"/>
      <c r="BN1122" s="153"/>
      <c r="BO1122" s="153"/>
      <c r="BP1122" s="153"/>
      <c r="BQ1122" s="153"/>
      <c r="BR1122" s="153"/>
      <c r="BS1122" s="153"/>
      <c r="BT1122" s="153"/>
      <c r="BU1122" s="153"/>
      <c r="BV1122" s="153"/>
      <c r="BW1122" s="153"/>
      <c r="BX1122" s="153"/>
      <c r="BY1122" s="153"/>
      <c r="BZ1122" s="153"/>
      <c r="CA1122" s="153"/>
      <c r="CB1122" s="153"/>
      <c r="CC1122" s="153"/>
      <c r="CD1122" s="155"/>
      <c r="CE1122" s="156"/>
      <c r="CF1122" s="155"/>
      <c r="CG1122" s="156"/>
      <c r="CH1122" s="155"/>
      <c r="CI1122" s="156"/>
      <c r="CJ1122" s="157">
        <f t="shared" si="149"/>
        <v>0</v>
      </c>
      <c r="CK1122" s="158"/>
      <c r="CL1122" s="159"/>
      <c r="CM1122" s="160"/>
      <c r="CN1122" s="161"/>
      <c r="CO1122" s="162"/>
      <c r="CP1122" s="161"/>
      <c r="CQ1122" s="158"/>
      <c r="CR1122" s="159"/>
      <c r="CS1122" s="68"/>
      <c r="CT1122" s="163"/>
      <c r="EC1122" s="344" t="str">
        <f t="shared" si="152"/>
        <v>ANTIOQUIA_NECHI</v>
      </c>
      <c r="ED1122" s="341"/>
      <c r="EE1122" s="342" t="s">
        <v>3113</v>
      </c>
      <c r="EF1122" s="343" t="s">
        <v>2298</v>
      </c>
      <c r="EG1122" s="342" t="s">
        <v>3113</v>
      </c>
      <c r="EH1122" s="341" t="s">
        <v>1605</v>
      </c>
      <c r="EI1122" s="341" t="str">
        <f t="shared" si="154"/>
        <v>BOGOTA D.C._DEPARTAMENTO</v>
      </c>
    </row>
    <row r="1123" spans="1:139" s="164" customFormat="1" ht="45">
      <c r="A1123" s="228">
        <v>40433</v>
      </c>
      <c r="B1123" s="222" t="s">
        <v>1615</v>
      </c>
      <c r="C1123" s="222" t="s">
        <v>1695</v>
      </c>
      <c r="D1123" s="233" t="s">
        <v>1201</v>
      </c>
      <c r="E1123" s="325" t="s">
        <v>3409</v>
      </c>
      <c r="F1123" s="325"/>
      <c r="G1123" s="204"/>
      <c r="H1123" s="151"/>
      <c r="I1123" s="151"/>
      <c r="J1123" s="151">
        <v>285</v>
      </c>
      <c r="K1123" s="151">
        <v>57</v>
      </c>
      <c r="L1123" s="1">
        <v>40514</v>
      </c>
      <c r="M1123" s="73">
        <f t="shared" si="146"/>
        <v>3168000</v>
      </c>
      <c r="N1123" s="73">
        <f t="shared" si="151"/>
        <v>14960000</v>
      </c>
      <c r="O1123" s="73">
        <f t="shared" si="153"/>
        <v>0</v>
      </c>
      <c r="P1123" s="73">
        <f t="shared" si="148"/>
        <v>0</v>
      </c>
      <c r="Q1123" s="73"/>
      <c r="R1123" s="73">
        <v>0</v>
      </c>
      <c r="S1123" s="75">
        <f t="shared" si="150"/>
        <v>18128000</v>
      </c>
      <c r="T1123" s="77">
        <v>0</v>
      </c>
      <c r="U1123" s="66">
        <v>40435</v>
      </c>
      <c r="V1123" s="79">
        <v>47005</v>
      </c>
      <c r="W1123" s="66" t="s">
        <v>1606</v>
      </c>
      <c r="X1123" s="24" t="s">
        <v>1607</v>
      </c>
      <c r="Y1123" s="62">
        <v>23792</v>
      </c>
      <c r="Z1123" s="177" t="s">
        <v>2580</v>
      </c>
      <c r="AA1123" s="166" t="s">
        <v>2625</v>
      </c>
      <c r="AB1123" s="152"/>
      <c r="AC1123" s="153"/>
      <c r="AD1123" s="154"/>
      <c r="AE1123" s="153"/>
      <c r="AF1123" s="153"/>
      <c r="AG1123" s="153"/>
      <c r="AH1123" s="153"/>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c r="BF1123" s="153"/>
      <c r="BG1123" s="153"/>
      <c r="BH1123" s="153"/>
      <c r="BI1123" s="153"/>
      <c r="BJ1123" s="153"/>
      <c r="BK1123" s="153"/>
      <c r="BL1123" s="153"/>
      <c r="BM1123" s="153"/>
      <c r="BN1123" s="153"/>
      <c r="BO1123" s="153"/>
      <c r="BP1123" s="153"/>
      <c r="BQ1123" s="153"/>
      <c r="BR1123" s="153"/>
      <c r="BS1123" s="153"/>
      <c r="BT1123" s="153"/>
      <c r="BU1123" s="153"/>
      <c r="BV1123" s="153"/>
      <c r="BW1123" s="153"/>
      <c r="BX1123" s="153"/>
      <c r="BY1123" s="153"/>
      <c r="BZ1123" s="153"/>
      <c r="CA1123" s="153"/>
      <c r="CB1123" s="153">
        <v>176</v>
      </c>
      <c r="CC1123" s="153">
        <f>176*18000</f>
        <v>3168000</v>
      </c>
      <c r="CD1123" s="155"/>
      <c r="CE1123" s="156"/>
      <c r="CF1123" s="155"/>
      <c r="CG1123" s="156"/>
      <c r="CH1123" s="155"/>
      <c r="CI1123" s="156"/>
      <c r="CJ1123" s="157">
        <f t="shared" si="149"/>
        <v>3168000</v>
      </c>
      <c r="CK1123" s="158"/>
      <c r="CL1123" s="159"/>
      <c r="CM1123" s="160">
        <v>176</v>
      </c>
      <c r="CN1123" s="161">
        <f>176*85000</f>
        <v>14960000</v>
      </c>
      <c r="CO1123" s="162"/>
      <c r="CP1123" s="161"/>
      <c r="CQ1123" s="158"/>
      <c r="CR1123" s="159"/>
      <c r="CS1123" s="68"/>
      <c r="CT1123" s="163"/>
      <c r="EC1123" s="344" t="str">
        <f t="shared" si="152"/>
        <v>BOLIVAR_SAN PABLO</v>
      </c>
      <c r="ED1123" s="341"/>
      <c r="EE1123" s="342" t="s">
        <v>3114</v>
      </c>
      <c r="EF1123" s="343" t="s">
        <v>1615</v>
      </c>
      <c r="EG1123" s="342" t="s">
        <v>3114</v>
      </c>
      <c r="EH1123" s="341" t="s">
        <v>1605</v>
      </c>
      <c r="EI1123" s="341" t="str">
        <f t="shared" si="154"/>
        <v>BOLIVAR_DEPARTAMENTO</v>
      </c>
    </row>
    <row r="1124" spans="1:139" s="164" customFormat="1" ht="38.25">
      <c r="A1124" s="228">
        <v>40434</v>
      </c>
      <c r="B1124" s="222" t="s">
        <v>1972</v>
      </c>
      <c r="C1124" s="222" t="s">
        <v>1783</v>
      </c>
      <c r="D1124" s="233" t="s">
        <v>1923</v>
      </c>
      <c r="E1124" s="325" t="s">
        <v>3256</v>
      </c>
      <c r="F1124" s="325"/>
      <c r="G1124" s="204"/>
      <c r="H1124" s="151"/>
      <c r="I1124" s="151"/>
      <c r="J1124" s="151">
        <v>12</v>
      </c>
      <c r="K1124" s="151">
        <v>2</v>
      </c>
      <c r="L1124" s="1"/>
      <c r="M1124" s="73">
        <f t="shared" si="146"/>
        <v>0</v>
      </c>
      <c r="N1124" s="73">
        <f t="shared" si="151"/>
        <v>0</v>
      </c>
      <c r="O1124" s="73">
        <f t="shared" si="153"/>
        <v>0</v>
      </c>
      <c r="P1124" s="73">
        <f t="shared" si="148"/>
        <v>0</v>
      </c>
      <c r="Q1124" s="73"/>
      <c r="R1124" s="73">
        <v>0</v>
      </c>
      <c r="S1124" s="75">
        <f t="shared" si="150"/>
        <v>0</v>
      </c>
      <c r="T1124" s="77">
        <v>0</v>
      </c>
      <c r="U1124" s="66">
        <v>40435</v>
      </c>
      <c r="V1124" s="79"/>
      <c r="W1124" s="66" t="s">
        <v>1585</v>
      </c>
      <c r="X1124" s="24" t="s">
        <v>1586</v>
      </c>
      <c r="Y1124" s="62"/>
      <c r="Z1124" s="169" t="s">
        <v>894</v>
      </c>
      <c r="AA1124" s="166" t="s">
        <v>1784</v>
      </c>
      <c r="AB1124" s="152"/>
      <c r="AC1124" s="153"/>
      <c r="AD1124" s="154"/>
      <c r="AE1124" s="153"/>
      <c r="AF1124" s="153"/>
      <c r="AG1124" s="153"/>
      <c r="AH1124" s="153"/>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c r="BF1124" s="153"/>
      <c r="BG1124" s="153"/>
      <c r="BH1124" s="153"/>
      <c r="BI1124" s="153"/>
      <c r="BJ1124" s="153"/>
      <c r="BK1124" s="153"/>
      <c r="BL1124" s="153"/>
      <c r="BM1124" s="153"/>
      <c r="BN1124" s="153"/>
      <c r="BO1124" s="153"/>
      <c r="BP1124" s="153"/>
      <c r="BQ1124" s="153"/>
      <c r="BR1124" s="153"/>
      <c r="BS1124" s="153"/>
      <c r="BT1124" s="153"/>
      <c r="BU1124" s="153"/>
      <c r="BV1124" s="153"/>
      <c r="BW1124" s="153"/>
      <c r="BX1124" s="153"/>
      <c r="BY1124" s="153"/>
      <c r="BZ1124" s="153"/>
      <c r="CA1124" s="153"/>
      <c r="CB1124" s="153"/>
      <c r="CC1124" s="153"/>
      <c r="CD1124" s="155"/>
      <c r="CE1124" s="156"/>
      <c r="CF1124" s="155"/>
      <c r="CG1124" s="156"/>
      <c r="CH1124" s="155"/>
      <c r="CI1124" s="156"/>
      <c r="CJ1124" s="157">
        <f t="shared" si="149"/>
        <v>0</v>
      </c>
      <c r="CK1124" s="158"/>
      <c r="CL1124" s="159"/>
      <c r="CM1124" s="160"/>
      <c r="CN1124" s="161"/>
      <c r="CO1124" s="162"/>
      <c r="CP1124" s="161"/>
      <c r="CQ1124" s="158"/>
      <c r="CR1124" s="159"/>
      <c r="CS1124" s="68"/>
      <c r="CT1124" s="163"/>
      <c r="EC1124" s="344" t="str">
        <f t="shared" si="152"/>
        <v>ANTIOQUIA_CARACOLI</v>
      </c>
      <c r="ED1124" s="341"/>
      <c r="EE1124" s="342" t="s">
        <v>3120</v>
      </c>
      <c r="EF1124" s="343" t="s">
        <v>1192</v>
      </c>
      <c r="EG1124" s="342" t="s">
        <v>3120</v>
      </c>
      <c r="EH1124" s="341" t="s">
        <v>1605</v>
      </c>
      <c r="EI1124" s="341" t="str">
        <f t="shared" si="154"/>
        <v>BOYACA_DEPARTAMENTO</v>
      </c>
    </row>
    <row r="1125" spans="1:139" s="164" customFormat="1" ht="63.75">
      <c r="A1125" s="235">
        <v>40434</v>
      </c>
      <c r="B1125" s="267" t="s">
        <v>1972</v>
      </c>
      <c r="C1125" s="269" t="s">
        <v>1781</v>
      </c>
      <c r="D1125" s="236" t="s">
        <v>1878</v>
      </c>
      <c r="E1125" s="324" t="s">
        <v>3315</v>
      </c>
      <c r="F1125" s="324"/>
      <c r="G1125" s="204"/>
      <c r="H1125" s="151"/>
      <c r="I1125" s="151"/>
      <c r="J1125" s="151">
        <v>151</v>
      </c>
      <c r="K1125" s="151">
        <v>32</v>
      </c>
      <c r="L1125" s="1"/>
      <c r="M1125" s="73">
        <f t="shared" si="146"/>
        <v>0</v>
      </c>
      <c r="N1125" s="73">
        <f t="shared" si="151"/>
        <v>0</v>
      </c>
      <c r="O1125" s="73">
        <f t="shared" si="153"/>
        <v>0</v>
      </c>
      <c r="P1125" s="73">
        <f t="shared" si="148"/>
        <v>0</v>
      </c>
      <c r="Q1125" s="73"/>
      <c r="R1125" s="73">
        <v>0</v>
      </c>
      <c r="S1125" s="75">
        <f t="shared" si="150"/>
        <v>0</v>
      </c>
      <c r="T1125" s="77">
        <v>0</v>
      </c>
      <c r="U1125" s="66">
        <v>40435</v>
      </c>
      <c r="V1125" s="79"/>
      <c r="W1125" s="66" t="s">
        <v>1585</v>
      </c>
      <c r="X1125" s="24" t="s">
        <v>1586</v>
      </c>
      <c r="Y1125" s="62"/>
      <c r="Z1125" s="169" t="s">
        <v>894</v>
      </c>
      <c r="AA1125" s="166" t="s">
        <v>1782</v>
      </c>
      <c r="AB1125" s="152"/>
      <c r="AC1125" s="153"/>
      <c r="AD1125" s="154"/>
      <c r="AE1125" s="153"/>
      <c r="AF1125" s="153"/>
      <c r="AG1125" s="153"/>
      <c r="AH1125" s="153"/>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c r="BF1125" s="153"/>
      <c r="BG1125" s="153"/>
      <c r="BH1125" s="153"/>
      <c r="BI1125" s="153"/>
      <c r="BJ1125" s="153"/>
      <c r="BK1125" s="153"/>
      <c r="BL1125" s="153"/>
      <c r="BM1125" s="153"/>
      <c r="BN1125" s="153"/>
      <c r="BO1125" s="153"/>
      <c r="BP1125" s="153"/>
      <c r="BQ1125" s="153"/>
      <c r="BR1125" s="153"/>
      <c r="BS1125" s="153"/>
      <c r="BT1125" s="153"/>
      <c r="BU1125" s="153"/>
      <c r="BV1125" s="153"/>
      <c r="BW1125" s="153"/>
      <c r="BX1125" s="153"/>
      <c r="BY1125" s="153"/>
      <c r="BZ1125" s="153"/>
      <c r="CA1125" s="153"/>
      <c r="CB1125" s="153"/>
      <c r="CC1125" s="153"/>
      <c r="CD1125" s="155"/>
      <c r="CE1125" s="156"/>
      <c r="CF1125" s="155"/>
      <c r="CG1125" s="156"/>
      <c r="CH1125" s="155"/>
      <c r="CI1125" s="156"/>
      <c r="CJ1125" s="157">
        <f t="shared" si="149"/>
        <v>0</v>
      </c>
      <c r="CK1125" s="158"/>
      <c r="CL1125" s="159"/>
      <c r="CM1125" s="160"/>
      <c r="CN1125" s="161"/>
      <c r="CO1125" s="162"/>
      <c r="CP1125" s="161"/>
      <c r="CQ1125" s="158"/>
      <c r="CR1125" s="159"/>
      <c r="CS1125" s="68"/>
      <c r="CT1125" s="163"/>
      <c r="EC1125" s="344" t="str">
        <f t="shared" si="152"/>
        <v>ANTIOQUIA_SAN ANDRES DE CUERQUIA</v>
      </c>
      <c r="ED1125" s="341"/>
      <c r="EE1125" s="342" t="s">
        <v>3125</v>
      </c>
      <c r="EF1125" s="343" t="s">
        <v>653</v>
      </c>
      <c r="EG1125" s="342" t="s">
        <v>3125</v>
      </c>
      <c r="EH1125" s="341" t="s">
        <v>1605</v>
      </c>
      <c r="EI1125" s="341" t="str">
        <f t="shared" si="154"/>
        <v>CALDAS_DEPARTAMENTO</v>
      </c>
    </row>
    <row r="1126" spans="1:139" s="164" customFormat="1" ht="38.25">
      <c r="A1126" s="228">
        <v>40434</v>
      </c>
      <c r="B1126" s="222" t="s">
        <v>1996</v>
      </c>
      <c r="C1126" s="222" t="s">
        <v>940</v>
      </c>
      <c r="D1126" s="206" t="s">
        <v>1878</v>
      </c>
      <c r="E1126" s="320" t="s">
        <v>3796</v>
      </c>
      <c r="F1126" s="320"/>
      <c r="G1126" s="204"/>
      <c r="H1126" s="151"/>
      <c r="I1126" s="151"/>
      <c r="J1126" s="151"/>
      <c r="K1126" s="151"/>
      <c r="L1126" s="1"/>
      <c r="M1126" s="73">
        <f t="shared" si="146"/>
        <v>16258000</v>
      </c>
      <c r="N1126" s="73">
        <f t="shared" si="151"/>
        <v>23885000</v>
      </c>
      <c r="O1126" s="73">
        <f t="shared" si="153"/>
        <v>0</v>
      </c>
      <c r="P1126" s="73">
        <f t="shared" si="148"/>
        <v>0</v>
      </c>
      <c r="Q1126" s="73"/>
      <c r="R1126" s="73">
        <v>0</v>
      </c>
      <c r="S1126" s="75">
        <f t="shared" si="150"/>
        <v>40143000</v>
      </c>
      <c r="T1126" s="77">
        <v>0</v>
      </c>
      <c r="U1126" s="66">
        <v>40435</v>
      </c>
      <c r="V1126" s="79"/>
      <c r="W1126" s="66" t="s">
        <v>1606</v>
      </c>
      <c r="X1126" s="24" t="s">
        <v>1607</v>
      </c>
      <c r="Y1126" s="62"/>
      <c r="Z1126" s="169" t="s">
        <v>894</v>
      </c>
      <c r="AA1126" s="166" t="s">
        <v>2628</v>
      </c>
      <c r="AB1126" s="152"/>
      <c r="AC1126" s="153"/>
      <c r="AD1126" s="154"/>
      <c r="AE1126" s="153"/>
      <c r="AF1126" s="153"/>
      <c r="AG1126" s="153"/>
      <c r="AH1126" s="153"/>
      <c r="AI1126" s="153"/>
      <c r="AJ1126" s="153"/>
      <c r="AK1126" s="153"/>
      <c r="AL1126" s="153"/>
      <c r="AM1126" s="153"/>
      <c r="AN1126" s="153"/>
      <c r="AO1126" s="153"/>
      <c r="AP1126" s="153">
        <v>200</v>
      </c>
      <c r="AQ1126" s="153">
        <f>200*56000</f>
        <v>11200000</v>
      </c>
      <c r="AR1126" s="153"/>
      <c r="AS1126" s="153"/>
      <c r="AT1126" s="153"/>
      <c r="AU1126" s="153"/>
      <c r="AV1126" s="153"/>
      <c r="AW1126" s="153"/>
      <c r="AX1126" s="153"/>
      <c r="AY1126" s="153"/>
      <c r="AZ1126" s="153"/>
      <c r="BA1126" s="153"/>
      <c r="BB1126" s="153"/>
      <c r="BC1126" s="153"/>
      <c r="BD1126" s="153"/>
      <c r="BE1126" s="153"/>
      <c r="BF1126" s="153"/>
      <c r="BG1126" s="153"/>
      <c r="BH1126" s="153"/>
      <c r="BI1126" s="153"/>
      <c r="BJ1126" s="153"/>
      <c r="BK1126" s="153"/>
      <c r="BL1126" s="153"/>
      <c r="BM1126" s="153"/>
      <c r="BN1126" s="153"/>
      <c r="BO1126" s="153"/>
      <c r="BP1126" s="153"/>
      <c r="BQ1126" s="153"/>
      <c r="BR1126" s="153"/>
      <c r="BS1126" s="153"/>
      <c r="BT1126" s="153"/>
      <c r="BU1126" s="153"/>
      <c r="BV1126" s="153"/>
      <c r="BW1126" s="153"/>
      <c r="BX1126" s="153"/>
      <c r="BY1126" s="153"/>
      <c r="BZ1126" s="153"/>
      <c r="CA1126" s="153"/>
      <c r="CB1126" s="153">
        <v>281</v>
      </c>
      <c r="CC1126" s="153">
        <f>281*18000</f>
        <v>5058000</v>
      </c>
      <c r="CD1126" s="155"/>
      <c r="CE1126" s="156"/>
      <c r="CF1126" s="155"/>
      <c r="CG1126" s="156"/>
      <c r="CH1126" s="155"/>
      <c r="CI1126" s="156"/>
      <c r="CJ1126" s="157">
        <f t="shared" si="149"/>
        <v>16258000</v>
      </c>
      <c r="CK1126" s="158"/>
      <c r="CL1126" s="159"/>
      <c r="CM1126" s="160">
        <v>281</v>
      </c>
      <c r="CN1126" s="161">
        <f>281*85000</f>
        <v>23885000</v>
      </c>
      <c r="CO1126" s="162"/>
      <c r="CP1126" s="161"/>
      <c r="CQ1126" s="158"/>
      <c r="CR1126" s="159"/>
      <c r="CS1126" s="68"/>
      <c r="CT1126" s="163"/>
      <c r="EC1126" s="344" t="str">
        <f t="shared" si="152"/>
        <v>CHOCO_ATRATO</v>
      </c>
      <c r="ED1126" s="341"/>
      <c r="EE1126" s="342" t="s">
        <v>3128</v>
      </c>
      <c r="EF1126" s="343" t="s">
        <v>2704</v>
      </c>
      <c r="EG1126" s="342" t="s">
        <v>3128</v>
      </c>
      <c r="EH1126" s="341" t="s">
        <v>1605</v>
      </c>
      <c r="EI1126" s="341" t="str">
        <f t="shared" si="154"/>
        <v>CAQUETA_DEPARTAMENTO</v>
      </c>
    </row>
    <row r="1127" spans="1:139" s="164" customFormat="1" ht="38.25">
      <c r="A1127" s="228">
        <v>40434</v>
      </c>
      <c r="B1127" s="222" t="s">
        <v>1440</v>
      </c>
      <c r="C1127" s="222" t="s">
        <v>1487</v>
      </c>
      <c r="D1127" s="206" t="s">
        <v>1878</v>
      </c>
      <c r="E1127" s="320" t="s">
        <v>3881</v>
      </c>
      <c r="F1127" s="320"/>
      <c r="G1127" s="204">
        <v>2</v>
      </c>
      <c r="H1127" s="151">
        <v>4</v>
      </c>
      <c r="I1127" s="151"/>
      <c r="J1127" s="151">
        <v>6</v>
      </c>
      <c r="K1127" s="151">
        <v>1</v>
      </c>
      <c r="L1127" s="1"/>
      <c r="M1127" s="73">
        <f t="shared" si="146"/>
        <v>0</v>
      </c>
      <c r="N1127" s="73">
        <f t="shared" si="151"/>
        <v>0</v>
      </c>
      <c r="O1127" s="73">
        <f t="shared" si="153"/>
        <v>0</v>
      </c>
      <c r="P1127" s="73">
        <f t="shared" si="148"/>
        <v>0</v>
      </c>
      <c r="Q1127" s="73"/>
      <c r="R1127" s="73">
        <v>0</v>
      </c>
      <c r="S1127" s="75">
        <f t="shared" si="150"/>
        <v>0</v>
      </c>
      <c r="T1127" s="77">
        <v>0</v>
      </c>
      <c r="U1127" s="66">
        <v>40435</v>
      </c>
      <c r="V1127" s="79"/>
      <c r="W1127" s="66" t="s">
        <v>1585</v>
      </c>
      <c r="X1127" s="24" t="s">
        <v>1586</v>
      </c>
      <c r="Y1127" s="62"/>
      <c r="Z1127" s="169" t="s">
        <v>894</v>
      </c>
      <c r="AA1127" s="166" t="s">
        <v>2626</v>
      </c>
      <c r="AB1127" s="152"/>
      <c r="AC1127" s="153"/>
      <c r="AD1127" s="154"/>
      <c r="AE1127" s="153"/>
      <c r="AF1127" s="153"/>
      <c r="AG1127" s="153"/>
      <c r="AH1127" s="153"/>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c r="BF1127" s="153"/>
      <c r="BG1127" s="153"/>
      <c r="BH1127" s="153"/>
      <c r="BI1127" s="153"/>
      <c r="BJ1127" s="153"/>
      <c r="BK1127" s="153"/>
      <c r="BL1127" s="153"/>
      <c r="BM1127" s="153"/>
      <c r="BN1127" s="153"/>
      <c r="BO1127" s="153"/>
      <c r="BP1127" s="153"/>
      <c r="BQ1127" s="153"/>
      <c r="BR1127" s="153"/>
      <c r="BS1127" s="153"/>
      <c r="BT1127" s="153"/>
      <c r="BU1127" s="153"/>
      <c r="BV1127" s="153"/>
      <c r="BW1127" s="153"/>
      <c r="BX1127" s="153"/>
      <c r="BY1127" s="153"/>
      <c r="BZ1127" s="153"/>
      <c r="CA1127" s="153"/>
      <c r="CB1127" s="153"/>
      <c r="CC1127" s="153"/>
      <c r="CD1127" s="155"/>
      <c r="CE1127" s="156"/>
      <c r="CF1127" s="155"/>
      <c r="CG1127" s="156"/>
      <c r="CH1127" s="155"/>
      <c r="CI1127" s="156"/>
      <c r="CJ1127" s="157">
        <f t="shared" si="149"/>
        <v>0</v>
      </c>
      <c r="CK1127" s="158"/>
      <c r="CL1127" s="159"/>
      <c r="CM1127" s="160"/>
      <c r="CN1127" s="161"/>
      <c r="CO1127" s="162"/>
      <c r="CP1127" s="161"/>
      <c r="CQ1127" s="158"/>
      <c r="CR1127" s="159"/>
      <c r="CS1127" s="68"/>
      <c r="CT1127" s="163"/>
      <c r="EC1127" s="344" t="str">
        <f t="shared" si="152"/>
        <v>MAGDALENA_CIENAGA</v>
      </c>
      <c r="ED1127" s="341"/>
      <c r="EE1127" s="342" t="s">
        <v>3208</v>
      </c>
      <c r="EF1127" s="343" t="s">
        <v>1617</v>
      </c>
      <c r="EG1127" s="342" t="s">
        <v>3208</v>
      </c>
      <c r="EH1127" s="341" t="s">
        <v>1605</v>
      </c>
      <c r="EI1127" s="341" t="str">
        <f t="shared" si="154"/>
        <v>CASANARE_DEPARTAMENTO</v>
      </c>
    </row>
    <row r="1128" spans="1:139" s="191" customFormat="1" ht="38.25">
      <c r="A1128" s="228">
        <v>40434</v>
      </c>
      <c r="B1128" s="222" t="s">
        <v>1440</v>
      </c>
      <c r="C1128" s="222" t="s">
        <v>1418</v>
      </c>
      <c r="D1128" s="233" t="s">
        <v>1201</v>
      </c>
      <c r="E1128" s="325" t="s">
        <v>3875</v>
      </c>
      <c r="F1128" s="325"/>
      <c r="G1128" s="204"/>
      <c r="H1128" s="151"/>
      <c r="I1128" s="151"/>
      <c r="J1128" s="151">
        <v>15</v>
      </c>
      <c r="K1128" s="151">
        <v>3</v>
      </c>
      <c r="L1128" s="1"/>
      <c r="M1128" s="73">
        <f t="shared" si="146"/>
        <v>0</v>
      </c>
      <c r="N1128" s="73">
        <f t="shared" si="151"/>
        <v>0</v>
      </c>
      <c r="O1128" s="73">
        <f t="shared" si="153"/>
        <v>0</v>
      </c>
      <c r="P1128" s="73">
        <f t="shared" si="148"/>
        <v>0</v>
      </c>
      <c r="Q1128" s="73"/>
      <c r="R1128" s="73">
        <v>0</v>
      </c>
      <c r="S1128" s="75">
        <f t="shared" si="150"/>
        <v>0</v>
      </c>
      <c r="T1128" s="77">
        <v>0</v>
      </c>
      <c r="U1128" s="66">
        <v>40435</v>
      </c>
      <c r="V1128" s="79"/>
      <c r="W1128" s="66" t="s">
        <v>1585</v>
      </c>
      <c r="X1128" s="24" t="s">
        <v>1586</v>
      </c>
      <c r="Y1128" s="62"/>
      <c r="Z1128" s="169" t="s">
        <v>894</v>
      </c>
      <c r="AA1128" s="166" t="s">
        <v>2627</v>
      </c>
      <c r="AB1128" s="152"/>
      <c r="AC1128" s="153"/>
      <c r="AD1128" s="154"/>
      <c r="AE1128" s="153"/>
      <c r="AF1128" s="153"/>
      <c r="AG1128" s="153"/>
      <c r="AH1128" s="153"/>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c r="BF1128" s="153"/>
      <c r="BG1128" s="153"/>
      <c r="BH1128" s="153"/>
      <c r="BI1128" s="153"/>
      <c r="BJ1128" s="153"/>
      <c r="BK1128" s="153"/>
      <c r="BL1128" s="153"/>
      <c r="BM1128" s="153"/>
      <c r="BN1128" s="153"/>
      <c r="BO1128" s="153"/>
      <c r="BP1128" s="153"/>
      <c r="BQ1128" s="153"/>
      <c r="BR1128" s="153"/>
      <c r="BS1128" s="153"/>
      <c r="BT1128" s="153"/>
      <c r="BU1128" s="153"/>
      <c r="BV1128" s="153"/>
      <c r="BW1128" s="153"/>
      <c r="BX1128" s="153"/>
      <c r="BY1128" s="153"/>
      <c r="BZ1128" s="153"/>
      <c r="CA1128" s="153"/>
      <c r="CB1128" s="153"/>
      <c r="CC1128" s="153"/>
      <c r="CD1128" s="155"/>
      <c r="CE1128" s="156"/>
      <c r="CF1128" s="155"/>
      <c r="CG1128" s="156"/>
      <c r="CH1128" s="155"/>
      <c r="CI1128" s="156"/>
      <c r="CJ1128" s="157">
        <f t="shared" si="149"/>
        <v>0</v>
      </c>
      <c r="CK1128" s="158"/>
      <c r="CL1128" s="159"/>
      <c r="CM1128" s="160"/>
      <c r="CN1128" s="161"/>
      <c r="CO1128" s="162"/>
      <c r="CP1128" s="161"/>
      <c r="CQ1128" s="158"/>
      <c r="CR1128" s="159"/>
      <c r="CS1128" s="68"/>
      <c r="CT1128" s="163"/>
      <c r="EC1128" s="344" t="str">
        <f t="shared" si="152"/>
        <v>MAGDALENA_SANTA MARTA</v>
      </c>
      <c r="ED1128" s="341"/>
      <c r="EE1128" s="342" t="s">
        <v>3131</v>
      </c>
      <c r="EF1128" s="343" t="s">
        <v>1314</v>
      </c>
      <c r="EG1128" s="342" t="s">
        <v>3131</v>
      </c>
      <c r="EH1128" s="341" t="s">
        <v>1605</v>
      </c>
      <c r="EI1128" s="341" t="str">
        <f t="shared" si="154"/>
        <v>CAUCA_DEPARTAMENTO</v>
      </c>
    </row>
    <row r="1129" spans="1:139" s="164" customFormat="1" ht="120">
      <c r="A1129" s="228">
        <v>40434</v>
      </c>
      <c r="B1129" s="205" t="s">
        <v>1440</v>
      </c>
      <c r="C1129" s="205" t="s">
        <v>977</v>
      </c>
      <c r="D1129" s="207" t="s">
        <v>1201</v>
      </c>
      <c r="E1129" s="323" t="s">
        <v>3904</v>
      </c>
      <c r="F1129" s="323"/>
      <c r="G1129" s="204"/>
      <c r="H1129" s="151"/>
      <c r="I1129" s="151"/>
      <c r="J1129" s="151">
        <f>8530-860-225</f>
        <v>7445</v>
      </c>
      <c r="K1129" s="151">
        <f>1706-172-45</f>
        <v>1489</v>
      </c>
      <c r="L1129" s="1">
        <v>40508</v>
      </c>
      <c r="M1129" s="73">
        <f t="shared" si="146"/>
        <v>49843840</v>
      </c>
      <c r="N1129" s="73">
        <f t="shared" si="151"/>
        <v>227800000</v>
      </c>
      <c r="O1129" s="73">
        <f t="shared" si="153"/>
        <v>0</v>
      </c>
      <c r="P1129" s="73">
        <f t="shared" si="148"/>
        <v>4500800</v>
      </c>
      <c r="Q1129" s="73"/>
      <c r="R1129" s="73">
        <v>0</v>
      </c>
      <c r="S1129" s="75">
        <f t="shared" si="150"/>
        <v>282144640</v>
      </c>
      <c r="T1129" s="77">
        <v>0</v>
      </c>
      <c r="U1129" s="66">
        <v>40441</v>
      </c>
      <c r="V1129" s="79">
        <v>52364</v>
      </c>
      <c r="W1129" s="66" t="s">
        <v>1606</v>
      </c>
      <c r="X1129" s="24" t="s">
        <v>1607</v>
      </c>
      <c r="Y1129" s="62"/>
      <c r="Z1129" s="177" t="s">
        <v>2580</v>
      </c>
      <c r="AA1129" s="166" t="s">
        <v>1466</v>
      </c>
      <c r="AB1129" s="152"/>
      <c r="AC1129" s="153"/>
      <c r="AD1129" s="154"/>
      <c r="AE1129" s="153"/>
      <c r="AF1129" s="153"/>
      <c r="AG1129" s="153"/>
      <c r="AH1129" s="153"/>
      <c r="AI1129" s="153"/>
      <c r="AJ1129" s="153"/>
      <c r="AK1129" s="153"/>
      <c r="AL1129" s="153"/>
      <c r="AM1129" s="153"/>
      <c r="AN1129" s="153">
        <v>270</v>
      </c>
      <c r="AO1129" s="153">
        <f>270*55712</f>
        <v>15042240</v>
      </c>
      <c r="AP1129" s="153"/>
      <c r="AQ1129" s="153"/>
      <c r="AR1129" s="153"/>
      <c r="AS1129" s="153"/>
      <c r="AT1129" s="153"/>
      <c r="AU1129" s="153"/>
      <c r="AV1129" s="153"/>
      <c r="AW1129" s="153"/>
      <c r="AX1129" s="153"/>
      <c r="AY1129" s="153"/>
      <c r="AZ1129" s="153"/>
      <c r="BA1129" s="153"/>
      <c r="BB1129" s="153"/>
      <c r="BC1129" s="153"/>
      <c r="BD1129" s="153"/>
      <c r="BE1129" s="153"/>
      <c r="BF1129" s="153"/>
      <c r="BG1129" s="153"/>
      <c r="BH1129" s="153"/>
      <c r="BI1129" s="153"/>
      <c r="BJ1129" s="153"/>
      <c r="BK1129" s="153"/>
      <c r="BL1129" s="153"/>
      <c r="BM1129" s="153"/>
      <c r="BN1129" s="153">
        <f>4+5</f>
        <v>9</v>
      </c>
      <c r="BO1129" s="153">
        <f>4*510400+5*504000</f>
        <v>4561600</v>
      </c>
      <c r="BP1129" s="153"/>
      <c r="BQ1129" s="153"/>
      <c r="BR1129" s="153"/>
      <c r="BS1129" s="153"/>
      <c r="BT1129" s="153"/>
      <c r="BU1129" s="153"/>
      <c r="BV1129" s="153"/>
      <c r="BW1129" s="153"/>
      <c r="BX1129" s="153"/>
      <c r="BY1129" s="153"/>
      <c r="BZ1129" s="153"/>
      <c r="CA1129" s="153"/>
      <c r="CB1129" s="153">
        <v>1680</v>
      </c>
      <c r="CC1129" s="153">
        <f>1680*18000</f>
        <v>30240000</v>
      </c>
      <c r="CD1129" s="155"/>
      <c r="CE1129" s="156"/>
      <c r="CF1129" s="155"/>
      <c r="CG1129" s="156"/>
      <c r="CH1129" s="155"/>
      <c r="CI1129" s="156"/>
      <c r="CJ1129" s="157">
        <f t="shared" si="149"/>
        <v>49843840</v>
      </c>
      <c r="CK1129" s="158">
        <v>5000</v>
      </c>
      <c r="CL1129" s="159">
        <f>5000*900.16</f>
        <v>4500800</v>
      </c>
      <c r="CM1129" s="160">
        <f>1680+1000</f>
        <v>2680</v>
      </c>
      <c r="CN1129" s="161">
        <f>1680*85000+1000*85000</f>
        <v>227800000</v>
      </c>
      <c r="CO1129" s="162"/>
      <c r="CP1129" s="161"/>
      <c r="CQ1129" s="158"/>
      <c r="CR1129" s="159"/>
      <c r="CS1129" s="68"/>
      <c r="CT1129" s="163"/>
      <c r="EC1129" s="344" t="str">
        <f t="shared" si="152"/>
        <v>MAGDALENA_ZONA BANANERA</v>
      </c>
      <c r="ED1129" s="341"/>
      <c r="EE1129" s="342" t="s">
        <v>3134</v>
      </c>
      <c r="EF1129" s="343" t="s">
        <v>1821</v>
      </c>
      <c r="EG1129" s="342" t="s">
        <v>3134</v>
      </c>
      <c r="EH1129" s="341" t="s">
        <v>1605</v>
      </c>
      <c r="EI1129" s="341" t="str">
        <f t="shared" si="154"/>
        <v>CESAR_DEPARTAMENTO</v>
      </c>
    </row>
    <row r="1130" spans="1:139" s="164" customFormat="1" ht="48">
      <c r="A1130" s="228">
        <v>40434</v>
      </c>
      <c r="B1130" s="205" t="s">
        <v>1943</v>
      </c>
      <c r="C1130" s="205" t="s">
        <v>3194</v>
      </c>
      <c r="D1130" s="207" t="s">
        <v>1201</v>
      </c>
      <c r="E1130" s="323" t="s">
        <v>4173</v>
      </c>
      <c r="F1130" s="323"/>
      <c r="G1130" s="204"/>
      <c r="H1130" s="151"/>
      <c r="I1130" s="151"/>
      <c r="J1130" s="151">
        <f>108*5</f>
        <v>540</v>
      </c>
      <c r="K1130" s="151">
        <v>108</v>
      </c>
      <c r="L1130" s="1">
        <v>40466</v>
      </c>
      <c r="M1130" s="73">
        <f t="shared" si="146"/>
        <v>0</v>
      </c>
      <c r="N1130" s="73">
        <f t="shared" si="151"/>
        <v>21250000</v>
      </c>
      <c r="O1130" s="73">
        <f t="shared" si="153"/>
        <v>0</v>
      </c>
      <c r="P1130" s="73">
        <f t="shared" si="148"/>
        <v>0</v>
      </c>
      <c r="Q1130" s="73"/>
      <c r="R1130" s="73">
        <v>300000000</v>
      </c>
      <c r="S1130" s="75">
        <f t="shared" si="150"/>
        <v>321250000</v>
      </c>
      <c r="T1130" s="77">
        <v>0</v>
      </c>
      <c r="U1130" s="66">
        <v>40438</v>
      </c>
      <c r="V1130" s="79">
        <v>49172</v>
      </c>
      <c r="W1130" s="66" t="s">
        <v>1606</v>
      </c>
      <c r="X1130" s="24" t="s">
        <v>1607</v>
      </c>
      <c r="Y1130" s="62">
        <v>476</v>
      </c>
      <c r="Z1130" s="169" t="s">
        <v>1435</v>
      </c>
      <c r="AA1130" s="170" t="s">
        <v>2257</v>
      </c>
      <c r="AB1130" s="152"/>
      <c r="AC1130" s="153"/>
      <c r="AD1130" s="154"/>
      <c r="AE1130" s="153"/>
      <c r="AF1130" s="153"/>
      <c r="AG1130" s="153"/>
      <c r="AH1130" s="153"/>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c r="BF1130" s="153"/>
      <c r="BG1130" s="153"/>
      <c r="BH1130" s="153"/>
      <c r="BI1130" s="153"/>
      <c r="BJ1130" s="153"/>
      <c r="BK1130" s="153"/>
      <c r="BL1130" s="153"/>
      <c r="BM1130" s="153"/>
      <c r="BN1130" s="153"/>
      <c r="BO1130" s="153"/>
      <c r="BP1130" s="153"/>
      <c r="BQ1130" s="153"/>
      <c r="BR1130" s="153"/>
      <c r="BS1130" s="153"/>
      <c r="BT1130" s="153"/>
      <c r="BU1130" s="153"/>
      <c r="BV1130" s="153"/>
      <c r="BW1130" s="153"/>
      <c r="BX1130" s="153"/>
      <c r="BY1130" s="153"/>
      <c r="BZ1130" s="153"/>
      <c r="CA1130" s="153"/>
      <c r="CB1130" s="153"/>
      <c r="CC1130" s="153"/>
      <c r="CD1130" s="155"/>
      <c r="CE1130" s="156"/>
      <c r="CF1130" s="155"/>
      <c r="CG1130" s="156"/>
      <c r="CH1130" s="155"/>
      <c r="CI1130" s="156"/>
      <c r="CJ1130" s="157">
        <f t="shared" si="149"/>
        <v>0</v>
      </c>
      <c r="CK1130" s="158"/>
      <c r="CL1130" s="159"/>
      <c r="CM1130" s="160">
        <v>250</v>
      </c>
      <c r="CN1130" s="161">
        <f>250*85000</f>
        <v>21250000</v>
      </c>
      <c r="CO1130" s="162"/>
      <c r="CP1130" s="161"/>
      <c r="CQ1130" s="158"/>
      <c r="CR1130" s="159"/>
      <c r="CS1130" s="68">
        <v>4</v>
      </c>
      <c r="CT1130" s="163"/>
      <c r="EC1130" s="344" t="str">
        <f t="shared" si="152"/>
        <v>SUCRE_SAN LUIS DE SINCE</v>
      </c>
      <c r="ED1130" s="341"/>
      <c r="EE1130" s="342" t="s">
        <v>3136</v>
      </c>
      <c r="EF1130" s="343" t="s">
        <v>1295</v>
      </c>
      <c r="EG1130" s="342" t="s">
        <v>3136</v>
      </c>
      <c r="EH1130" s="341" t="s">
        <v>1605</v>
      </c>
      <c r="EI1130" s="341" t="str">
        <f t="shared" si="154"/>
        <v>CORDOBA_DEPARTAMENTO</v>
      </c>
    </row>
    <row r="1131" spans="1:139" s="164" customFormat="1" ht="51">
      <c r="A1131" s="228">
        <v>40435</v>
      </c>
      <c r="B1131" s="222" t="s">
        <v>2367</v>
      </c>
      <c r="C1131" s="222" t="s">
        <v>1002</v>
      </c>
      <c r="D1131" s="233" t="s">
        <v>1201</v>
      </c>
      <c r="E1131" s="325" t="s">
        <v>4272</v>
      </c>
      <c r="F1131" s="325"/>
      <c r="G1131" s="204"/>
      <c r="H1131" s="151"/>
      <c r="I1131" s="151"/>
      <c r="J1131" s="151">
        <f>779-35</f>
        <v>744</v>
      </c>
      <c r="K1131" s="151">
        <v>191</v>
      </c>
      <c r="L1131" s="1"/>
      <c r="M1131" s="73">
        <f t="shared" si="146"/>
        <v>0</v>
      </c>
      <c r="N1131" s="73">
        <f t="shared" si="151"/>
        <v>0</v>
      </c>
      <c r="O1131" s="73">
        <f t="shared" si="153"/>
        <v>0</v>
      </c>
      <c r="P1131" s="73">
        <f t="shared" si="148"/>
        <v>0</v>
      </c>
      <c r="Q1131" s="73"/>
      <c r="R1131" s="73">
        <v>0</v>
      </c>
      <c r="S1131" s="75">
        <f t="shared" si="150"/>
        <v>0</v>
      </c>
      <c r="T1131" s="77">
        <v>0</v>
      </c>
      <c r="U1131" s="66">
        <v>40441</v>
      </c>
      <c r="V1131" s="79"/>
      <c r="W1131" s="66" t="s">
        <v>1606</v>
      </c>
      <c r="X1131" s="24" t="s">
        <v>1607</v>
      </c>
      <c r="Y1131" s="62"/>
      <c r="Z1131" s="198" t="s">
        <v>1270</v>
      </c>
      <c r="AA1131" s="166" t="s">
        <v>2059</v>
      </c>
      <c r="AB1131" s="152"/>
      <c r="AC1131" s="153"/>
      <c r="AD1131" s="154"/>
      <c r="AE1131" s="153"/>
      <c r="AF1131" s="153"/>
      <c r="AG1131" s="153"/>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c r="BI1131" s="153"/>
      <c r="BJ1131" s="153"/>
      <c r="BK1131" s="153"/>
      <c r="BL1131" s="153"/>
      <c r="BM1131" s="153"/>
      <c r="BN1131" s="153"/>
      <c r="BO1131" s="153"/>
      <c r="BP1131" s="153"/>
      <c r="BQ1131" s="153"/>
      <c r="BR1131" s="153"/>
      <c r="BS1131" s="153"/>
      <c r="BT1131" s="153"/>
      <c r="BU1131" s="153"/>
      <c r="BV1131" s="153"/>
      <c r="BW1131" s="153"/>
      <c r="BX1131" s="153"/>
      <c r="BY1131" s="153"/>
      <c r="BZ1131" s="153"/>
      <c r="CA1131" s="153"/>
      <c r="CB1131" s="153"/>
      <c r="CC1131" s="153"/>
      <c r="CD1131" s="155"/>
      <c r="CE1131" s="156"/>
      <c r="CF1131" s="155"/>
      <c r="CG1131" s="156"/>
      <c r="CH1131" s="155"/>
      <c r="CI1131" s="156"/>
      <c r="CJ1131" s="157">
        <f t="shared" si="149"/>
        <v>0</v>
      </c>
      <c r="CK1131" s="158"/>
      <c r="CL1131" s="159"/>
      <c r="CM1131" s="160"/>
      <c r="CN1131" s="161"/>
      <c r="CO1131" s="162"/>
      <c r="CP1131" s="161"/>
      <c r="CQ1131" s="158"/>
      <c r="CR1131" s="159"/>
      <c r="CS1131" s="68"/>
      <c r="CT1131" s="163"/>
      <c r="EC1131" s="344" t="str">
        <f t="shared" si="152"/>
        <v>ARAUCA_TAME</v>
      </c>
      <c r="ED1131" s="341"/>
      <c r="EE1131" s="342" t="s">
        <v>3139</v>
      </c>
      <c r="EF1131" s="343" t="s">
        <v>1604</v>
      </c>
      <c r="EG1131" s="342" t="s">
        <v>3139</v>
      </c>
      <c r="EH1131" s="341" t="s">
        <v>1605</v>
      </c>
      <c r="EI1131" s="341" t="str">
        <f t="shared" si="154"/>
        <v>CUNDINAMARCA_DEPARTAMENTO</v>
      </c>
    </row>
    <row r="1132" spans="1:139" s="164" customFormat="1" ht="38.25">
      <c r="A1132" s="228">
        <v>40435</v>
      </c>
      <c r="B1132" s="205" t="s">
        <v>962</v>
      </c>
      <c r="C1132" s="205" t="s">
        <v>86</v>
      </c>
      <c r="D1132" s="207" t="s">
        <v>2606</v>
      </c>
      <c r="E1132" s="323" t="s">
        <v>3832</v>
      </c>
      <c r="F1132" s="323"/>
      <c r="G1132" s="204"/>
      <c r="H1132" s="151"/>
      <c r="I1132" s="151"/>
      <c r="J1132" s="151">
        <v>74</v>
      </c>
      <c r="K1132" s="151">
        <v>12</v>
      </c>
      <c r="L1132" s="1"/>
      <c r="M1132" s="73">
        <f t="shared" si="146"/>
        <v>0</v>
      </c>
      <c r="N1132" s="73">
        <f t="shared" si="151"/>
        <v>0</v>
      </c>
      <c r="O1132" s="73">
        <f t="shared" si="153"/>
        <v>0</v>
      </c>
      <c r="P1132" s="73">
        <f t="shared" si="148"/>
        <v>0</v>
      </c>
      <c r="Q1132" s="73"/>
      <c r="R1132" s="73">
        <v>0</v>
      </c>
      <c r="S1132" s="75">
        <f t="shared" si="150"/>
        <v>0</v>
      </c>
      <c r="T1132" s="77">
        <v>0</v>
      </c>
      <c r="U1132" s="66">
        <v>40581</v>
      </c>
      <c r="V1132" s="79"/>
      <c r="W1132" s="66" t="s">
        <v>1585</v>
      </c>
      <c r="X1132" s="24" t="s">
        <v>1586</v>
      </c>
      <c r="Y1132" s="62"/>
      <c r="Z1132" s="169" t="s">
        <v>894</v>
      </c>
      <c r="AA1132" s="166" t="s">
        <v>54</v>
      </c>
      <c r="AB1132" s="152"/>
      <c r="AC1132" s="153"/>
      <c r="AD1132" s="154"/>
      <c r="AE1132" s="153"/>
      <c r="AF1132" s="153"/>
      <c r="AG1132" s="153"/>
      <c r="AH1132" s="153"/>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c r="BF1132" s="153"/>
      <c r="BG1132" s="153"/>
      <c r="BH1132" s="153"/>
      <c r="BI1132" s="153"/>
      <c r="BJ1132" s="153"/>
      <c r="BK1132" s="153"/>
      <c r="BL1132" s="153"/>
      <c r="BM1132" s="153"/>
      <c r="BN1132" s="153"/>
      <c r="BO1132" s="153"/>
      <c r="BP1132" s="153"/>
      <c r="BQ1132" s="153"/>
      <c r="BR1132" s="153"/>
      <c r="BS1132" s="153"/>
      <c r="BT1132" s="153"/>
      <c r="BU1132" s="153"/>
      <c r="BV1132" s="153"/>
      <c r="BW1132" s="153"/>
      <c r="BX1132" s="153"/>
      <c r="BY1132" s="153"/>
      <c r="BZ1132" s="153"/>
      <c r="CA1132" s="153"/>
      <c r="CB1132" s="153"/>
      <c r="CC1132" s="153"/>
      <c r="CD1132" s="155"/>
      <c r="CE1132" s="156"/>
      <c r="CF1132" s="155"/>
      <c r="CG1132" s="156"/>
      <c r="CH1132" s="155"/>
      <c r="CI1132" s="156"/>
      <c r="CJ1132" s="157">
        <f t="shared" si="149"/>
        <v>0</v>
      </c>
      <c r="CK1132" s="158"/>
      <c r="CL1132" s="159"/>
      <c r="CM1132" s="160"/>
      <c r="CN1132" s="161"/>
      <c r="CO1132" s="162"/>
      <c r="CP1132" s="161"/>
      <c r="CQ1132" s="158"/>
      <c r="CR1132" s="159"/>
      <c r="CS1132" s="68"/>
      <c r="CT1132" s="163"/>
      <c r="EC1132" s="344" t="str">
        <f t="shared" si="152"/>
        <v>HUILA_ELIAS</v>
      </c>
      <c r="ED1132" s="341"/>
      <c r="EE1132" s="342" t="s">
        <v>3150</v>
      </c>
      <c r="EF1132" s="343" t="s">
        <v>1996</v>
      </c>
      <c r="EG1132" s="342" t="s">
        <v>3150</v>
      </c>
      <c r="EH1132" s="341" t="s">
        <v>1605</v>
      </c>
      <c r="EI1132" s="341" t="str">
        <f t="shared" si="154"/>
        <v>CHOCO_DEPARTAMENTO</v>
      </c>
    </row>
    <row r="1133" spans="1:139" s="164" customFormat="1" ht="38.25">
      <c r="A1133" s="228">
        <v>40435</v>
      </c>
      <c r="B1133" s="222" t="s">
        <v>962</v>
      </c>
      <c r="C1133" s="222" t="s">
        <v>1797</v>
      </c>
      <c r="D1133" s="233" t="s">
        <v>2606</v>
      </c>
      <c r="E1133" s="325" t="s">
        <v>3838</v>
      </c>
      <c r="F1133" s="325"/>
      <c r="G1133" s="204"/>
      <c r="H1133" s="151"/>
      <c r="I1133" s="151"/>
      <c r="J1133" s="151"/>
      <c r="K1133" s="151"/>
      <c r="L1133" s="1"/>
      <c r="M1133" s="73">
        <f t="shared" si="146"/>
        <v>0</v>
      </c>
      <c r="N1133" s="73">
        <f t="shared" si="151"/>
        <v>0</v>
      </c>
      <c r="O1133" s="73">
        <f t="shared" si="153"/>
        <v>0</v>
      </c>
      <c r="P1133" s="73">
        <f t="shared" si="148"/>
        <v>0</v>
      </c>
      <c r="Q1133" s="73"/>
      <c r="R1133" s="73">
        <v>0</v>
      </c>
      <c r="S1133" s="75">
        <f t="shared" si="150"/>
        <v>0</v>
      </c>
      <c r="T1133" s="77">
        <v>0</v>
      </c>
      <c r="U1133" s="66">
        <v>40441</v>
      </c>
      <c r="V1133" s="79"/>
      <c r="W1133" s="66" t="s">
        <v>1585</v>
      </c>
      <c r="X1133" s="24" t="s">
        <v>1586</v>
      </c>
      <c r="Y1133" s="62"/>
      <c r="Z1133" s="169" t="s">
        <v>894</v>
      </c>
      <c r="AA1133" s="166" t="s">
        <v>1799</v>
      </c>
      <c r="AB1133" s="152"/>
      <c r="AC1133" s="153"/>
      <c r="AD1133" s="154"/>
      <c r="AE1133" s="153"/>
      <c r="AF1133" s="153"/>
      <c r="AG1133" s="153"/>
      <c r="AH1133" s="153"/>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c r="BF1133" s="153"/>
      <c r="BG1133" s="153"/>
      <c r="BH1133" s="153"/>
      <c r="BI1133" s="153"/>
      <c r="BJ1133" s="153"/>
      <c r="BK1133" s="153"/>
      <c r="BL1133" s="153"/>
      <c r="BM1133" s="153"/>
      <c r="BN1133" s="153"/>
      <c r="BO1133" s="153"/>
      <c r="BP1133" s="153"/>
      <c r="BQ1133" s="153"/>
      <c r="BR1133" s="153"/>
      <c r="BS1133" s="153"/>
      <c r="BT1133" s="153"/>
      <c r="BU1133" s="153"/>
      <c r="BV1133" s="153"/>
      <c r="BW1133" s="153"/>
      <c r="BX1133" s="153"/>
      <c r="BY1133" s="153"/>
      <c r="BZ1133" s="153"/>
      <c r="CA1133" s="153"/>
      <c r="CB1133" s="153"/>
      <c r="CC1133" s="153"/>
      <c r="CD1133" s="155"/>
      <c r="CE1133" s="156"/>
      <c r="CF1133" s="155"/>
      <c r="CG1133" s="156"/>
      <c r="CH1133" s="155"/>
      <c r="CI1133" s="156"/>
      <c r="CJ1133" s="157">
        <f t="shared" si="149"/>
        <v>0</v>
      </c>
      <c r="CK1133" s="158"/>
      <c r="CL1133" s="159"/>
      <c r="CM1133" s="160"/>
      <c r="CN1133" s="161"/>
      <c r="CO1133" s="162"/>
      <c r="CP1133" s="161"/>
      <c r="CQ1133" s="158"/>
      <c r="CR1133" s="159"/>
      <c r="CS1133" s="68"/>
      <c r="CT1133" s="163"/>
      <c r="EC1133" s="344" t="str">
        <f t="shared" si="152"/>
        <v>HUILA_ISNOS</v>
      </c>
      <c r="ED1133" s="341"/>
      <c r="EE1133" s="342" t="s">
        <v>3220</v>
      </c>
      <c r="EF1133" s="343" t="s">
        <v>2694</v>
      </c>
      <c r="EG1133" s="342" t="s">
        <v>3220</v>
      </c>
      <c r="EH1133" s="341" t="s">
        <v>1605</v>
      </c>
      <c r="EI1133" s="341" t="str">
        <f t="shared" si="154"/>
        <v>GUAINIA_DEPARTAMENTO</v>
      </c>
    </row>
    <row r="1134" spans="1:139" s="181" customFormat="1" ht="38.25">
      <c r="A1134" s="228">
        <v>40435</v>
      </c>
      <c r="B1134" s="205" t="s">
        <v>962</v>
      </c>
      <c r="C1134" s="205" t="s">
        <v>2056</v>
      </c>
      <c r="D1134" s="207" t="s">
        <v>2606</v>
      </c>
      <c r="E1134" s="323" t="s">
        <v>3847</v>
      </c>
      <c r="F1134" s="323"/>
      <c r="G1134" s="204"/>
      <c r="H1134" s="151"/>
      <c r="I1134" s="151"/>
      <c r="J1134" s="151"/>
      <c r="K1134" s="151"/>
      <c r="L1134" s="1"/>
      <c r="M1134" s="73">
        <f t="shared" si="146"/>
        <v>0</v>
      </c>
      <c r="N1134" s="73">
        <f t="shared" si="151"/>
        <v>0</v>
      </c>
      <c r="O1134" s="73">
        <f t="shared" si="153"/>
        <v>0</v>
      </c>
      <c r="P1134" s="73">
        <f t="shared" si="148"/>
        <v>0</v>
      </c>
      <c r="Q1134" s="73"/>
      <c r="R1134" s="73">
        <v>0</v>
      </c>
      <c r="S1134" s="75">
        <f t="shared" si="150"/>
        <v>0</v>
      </c>
      <c r="T1134" s="77">
        <v>0</v>
      </c>
      <c r="U1134" s="66">
        <v>40441</v>
      </c>
      <c r="V1134" s="79"/>
      <c r="W1134" s="66" t="s">
        <v>1585</v>
      </c>
      <c r="X1134" s="24" t="s">
        <v>1586</v>
      </c>
      <c r="Y1134" s="62"/>
      <c r="Z1134" s="169" t="s">
        <v>894</v>
      </c>
      <c r="AA1134" s="166" t="s">
        <v>2057</v>
      </c>
      <c r="AB1134" s="152"/>
      <c r="AC1134" s="153"/>
      <c r="AD1134" s="154"/>
      <c r="AE1134" s="153"/>
      <c r="AF1134" s="153"/>
      <c r="AG1134" s="153"/>
      <c r="AH1134" s="153"/>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c r="BF1134" s="153"/>
      <c r="BG1134" s="153"/>
      <c r="BH1134" s="153"/>
      <c r="BI1134" s="153"/>
      <c r="BJ1134" s="153"/>
      <c r="BK1134" s="153"/>
      <c r="BL1134" s="153"/>
      <c r="BM1134" s="153"/>
      <c r="BN1134" s="153"/>
      <c r="BO1134" s="153"/>
      <c r="BP1134" s="153"/>
      <c r="BQ1134" s="153"/>
      <c r="BR1134" s="153"/>
      <c r="BS1134" s="153"/>
      <c r="BT1134" s="153"/>
      <c r="BU1134" s="153"/>
      <c r="BV1134" s="153"/>
      <c r="BW1134" s="153"/>
      <c r="BX1134" s="153"/>
      <c r="BY1134" s="153"/>
      <c r="BZ1134" s="153"/>
      <c r="CA1134" s="153"/>
      <c r="CB1134" s="153"/>
      <c r="CC1134" s="153"/>
      <c r="CD1134" s="155"/>
      <c r="CE1134" s="156"/>
      <c r="CF1134" s="155"/>
      <c r="CG1134" s="156"/>
      <c r="CH1134" s="155"/>
      <c r="CI1134" s="156"/>
      <c r="CJ1134" s="157">
        <f t="shared" si="149"/>
        <v>0</v>
      </c>
      <c r="CK1134" s="158"/>
      <c r="CL1134" s="159"/>
      <c r="CM1134" s="160"/>
      <c r="CN1134" s="161"/>
      <c r="CO1134" s="162"/>
      <c r="CP1134" s="161"/>
      <c r="CQ1134" s="158"/>
      <c r="CR1134" s="159"/>
      <c r="CS1134" s="68"/>
      <c r="CT1134" s="163"/>
      <c r="EC1134" s="344" t="str">
        <f t="shared" si="152"/>
        <v>HUILA_PITALITO</v>
      </c>
      <c r="ED1134" s="341"/>
      <c r="EE1134" s="342" t="s">
        <v>3159</v>
      </c>
      <c r="EF1134" s="343" t="s">
        <v>1994</v>
      </c>
      <c r="EG1134" s="342" t="s">
        <v>3159</v>
      </c>
      <c r="EH1134" s="341" t="s">
        <v>1605</v>
      </c>
      <c r="EI1134" s="341" t="str">
        <f t="shared" si="154"/>
        <v>GUAJIRA_DEPARTAMENTO</v>
      </c>
    </row>
    <row r="1135" spans="1:139" s="164" customFormat="1" ht="38.25">
      <c r="A1135" s="228">
        <v>40435</v>
      </c>
      <c r="B1135" s="222" t="s">
        <v>962</v>
      </c>
      <c r="C1135" s="222" t="s">
        <v>1796</v>
      </c>
      <c r="D1135" s="233" t="s">
        <v>2606</v>
      </c>
      <c r="E1135" s="325" t="s">
        <v>3857</v>
      </c>
      <c r="F1135" s="325"/>
      <c r="G1135" s="204"/>
      <c r="H1135" s="151"/>
      <c r="I1135" s="151"/>
      <c r="J1135" s="151">
        <v>29</v>
      </c>
      <c r="K1135" s="151">
        <v>5</v>
      </c>
      <c r="L1135" s="1"/>
      <c r="M1135" s="73">
        <f t="shared" si="146"/>
        <v>0</v>
      </c>
      <c r="N1135" s="73">
        <f t="shared" si="151"/>
        <v>0</v>
      </c>
      <c r="O1135" s="73">
        <f t="shared" si="153"/>
        <v>0</v>
      </c>
      <c r="P1135" s="73">
        <f t="shared" si="148"/>
        <v>0</v>
      </c>
      <c r="Q1135" s="73"/>
      <c r="R1135" s="73">
        <v>0</v>
      </c>
      <c r="S1135" s="75">
        <f t="shared" si="150"/>
        <v>0</v>
      </c>
      <c r="T1135" s="77">
        <v>0</v>
      </c>
      <c r="U1135" s="66">
        <v>40441</v>
      </c>
      <c r="V1135" s="79"/>
      <c r="W1135" s="66" t="s">
        <v>1585</v>
      </c>
      <c r="X1135" s="24" t="s">
        <v>1586</v>
      </c>
      <c r="Y1135" s="62"/>
      <c r="Z1135" s="169" t="s">
        <v>894</v>
      </c>
      <c r="AA1135" s="166" t="s">
        <v>1798</v>
      </c>
      <c r="AB1135" s="152"/>
      <c r="AC1135" s="153"/>
      <c r="AD1135" s="154"/>
      <c r="AE1135" s="153"/>
      <c r="AF1135" s="153"/>
      <c r="AG1135" s="153"/>
      <c r="AH1135" s="153"/>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c r="BF1135" s="153"/>
      <c r="BG1135" s="153"/>
      <c r="BH1135" s="153"/>
      <c r="BI1135" s="153"/>
      <c r="BJ1135" s="153"/>
      <c r="BK1135" s="153"/>
      <c r="BL1135" s="153"/>
      <c r="BM1135" s="153"/>
      <c r="BN1135" s="153"/>
      <c r="BO1135" s="153"/>
      <c r="BP1135" s="153"/>
      <c r="BQ1135" s="153"/>
      <c r="BR1135" s="153"/>
      <c r="BS1135" s="153"/>
      <c r="BT1135" s="153"/>
      <c r="BU1135" s="153"/>
      <c r="BV1135" s="153"/>
      <c r="BW1135" s="153"/>
      <c r="BX1135" s="153"/>
      <c r="BY1135" s="153"/>
      <c r="BZ1135" s="153"/>
      <c r="CA1135" s="153"/>
      <c r="CB1135" s="153"/>
      <c r="CC1135" s="153"/>
      <c r="CD1135" s="155"/>
      <c r="CE1135" s="156"/>
      <c r="CF1135" s="155"/>
      <c r="CG1135" s="156"/>
      <c r="CH1135" s="155"/>
      <c r="CI1135" s="156"/>
      <c r="CJ1135" s="157">
        <f t="shared" si="149"/>
        <v>0</v>
      </c>
      <c r="CK1135" s="158"/>
      <c r="CL1135" s="159"/>
      <c r="CM1135" s="160"/>
      <c r="CN1135" s="161"/>
      <c r="CO1135" s="162"/>
      <c r="CP1135" s="161"/>
      <c r="CQ1135" s="158"/>
      <c r="CR1135" s="159"/>
      <c r="CS1135" s="68"/>
      <c r="CT1135" s="163"/>
      <c r="EC1135" s="344" t="str">
        <f t="shared" si="152"/>
        <v>HUILA_TIMANA</v>
      </c>
      <c r="ED1135" s="341"/>
      <c r="EE1135" s="342" t="s">
        <v>3222</v>
      </c>
      <c r="EF1135" s="343" t="s">
        <v>1892</v>
      </c>
      <c r="EG1135" s="342" t="s">
        <v>3222</v>
      </c>
      <c r="EH1135" s="341" t="s">
        <v>1605</v>
      </c>
      <c r="EI1135" s="341" t="str">
        <f t="shared" si="154"/>
        <v>GUAVIARE_DEPARTAMENTO</v>
      </c>
    </row>
    <row r="1136" spans="1:139" s="164" customFormat="1" ht="38.25">
      <c r="A1136" s="228">
        <v>40435</v>
      </c>
      <c r="B1136" s="205" t="s">
        <v>965</v>
      </c>
      <c r="C1136" s="222" t="s">
        <v>1327</v>
      </c>
      <c r="D1136" s="233" t="s">
        <v>1201</v>
      </c>
      <c r="E1136" s="325" t="s">
        <v>3998</v>
      </c>
      <c r="F1136" s="325"/>
      <c r="G1136" s="204"/>
      <c r="H1136" s="151"/>
      <c r="I1136" s="151"/>
      <c r="J1136" s="151">
        <v>35</v>
      </c>
      <c r="K1136" s="151">
        <v>7</v>
      </c>
      <c r="L1136" s="1"/>
      <c r="M1136" s="73">
        <f t="shared" si="146"/>
        <v>0</v>
      </c>
      <c r="N1136" s="73">
        <f t="shared" si="151"/>
        <v>0</v>
      </c>
      <c r="O1136" s="73">
        <f t="shared" si="153"/>
        <v>0</v>
      </c>
      <c r="P1136" s="73">
        <f t="shared" si="148"/>
        <v>0</v>
      </c>
      <c r="Q1136" s="73"/>
      <c r="R1136" s="73">
        <v>0</v>
      </c>
      <c r="S1136" s="75">
        <f t="shared" si="150"/>
        <v>0</v>
      </c>
      <c r="T1136" s="77">
        <v>0</v>
      </c>
      <c r="U1136" s="66">
        <v>40441</v>
      </c>
      <c r="V1136" s="79"/>
      <c r="W1136" s="66" t="s">
        <v>1585</v>
      </c>
      <c r="X1136" s="24" t="s">
        <v>1586</v>
      </c>
      <c r="Y1136" s="62"/>
      <c r="Z1136" s="66" t="s">
        <v>894</v>
      </c>
      <c r="AA1136" s="166" t="s">
        <v>1800</v>
      </c>
      <c r="AB1136" s="152"/>
      <c r="AC1136" s="153"/>
      <c r="AD1136" s="154"/>
      <c r="AE1136" s="153"/>
      <c r="AF1136" s="153"/>
      <c r="AG1136" s="153"/>
      <c r="AH1136" s="153"/>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c r="BF1136" s="153"/>
      <c r="BG1136" s="153"/>
      <c r="BH1136" s="153"/>
      <c r="BI1136" s="153"/>
      <c r="BJ1136" s="153"/>
      <c r="BK1136" s="153"/>
      <c r="BL1136" s="153"/>
      <c r="BM1136" s="153"/>
      <c r="BN1136" s="153"/>
      <c r="BO1136" s="153"/>
      <c r="BP1136" s="153"/>
      <c r="BQ1136" s="153"/>
      <c r="BR1136" s="153"/>
      <c r="BS1136" s="153"/>
      <c r="BT1136" s="153"/>
      <c r="BU1136" s="153"/>
      <c r="BV1136" s="153"/>
      <c r="BW1136" s="153"/>
      <c r="BX1136" s="153"/>
      <c r="BY1136" s="153"/>
      <c r="BZ1136" s="153"/>
      <c r="CA1136" s="153"/>
      <c r="CB1136" s="153"/>
      <c r="CC1136" s="153"/>
      <c r="CD1136" s="155"/>
      <c r="CE1136" s="156"/>
      <c r="CF1136" s="155"/>
      <c r="CG1136" s="156"/>
      <c r="CH1136" s="155"/>
      <c r="CI1136" s="156"/>
      <c r="CJ1136" s="157">
        <f t="shared" si="149"/>
        <v>0</v>
      </c>
      <c r="CK1136" s="158"/>
      <c r="CL1136" s="159"/>
      <c r="CM1136" s="160"/>
      <c r="CN1136" s="161"/>
      <c r="CO1136" s="162"/>
      <c r="CP1136" s="161"/>
      <c r="CQ1136" s="158"/>
      <c r="CR1136" s="159"/>
      <c r="CS1136" s="68"/>
      <c r="CT1136" s="163"/>
      <c r="EC1136" s="344" t="str">
        <f t="shared" si="152"/>
        <v>NORTE DE SANTANDER_CUCUTA</v>
      </c>
      <c r="ED1136" s="341"/>
      <c r="EE1136" s="342" t="s">
        <v>3156</v>
      </c>
      <c r="EF1136" s="343" t="s">
        <v>962</v>
      </c>
      <c r="EG1136" s="342" t="s">
        <v>3156</v>
      </c>
      <c r="EH1136" s="341" t="s">
        <v>1605</v>
      </c>
      <c r="EI1136" s="341" t="str">
        <f t="shared" si="154"/>
        <v>HUILA_DEPARTAMENTO</v>
      </c>
    </row>
    <row r="1137" spans="1:139" s="164" customFormat="1" ht="38.25">
      <c r="A1137" s="228">
        <v>40435</v>
      </c>
      <c r="B1137" s="222" t="s">
        <v>1196</v>
      </c>
      <c r="C1137" s="222" t="s">
        <v>3217</v>
      </c>
      <c r="D1137" s="233" t="s">
        <v>2606</v>
      </c>
      <c r="E1137" s="325" t="s">
        <v>4304</v>
      </c>
      <c r="F1137" s="325"/>
      <c r="G1137" s="204"/>
      <c r="H1137" s="151"/>
      <c r="I1137" s="151"/>
      <c r="J1137" s="151">
        <v>2</v>
      </c>
      <c r="K1137" s="151">
        <v>1</v>
      </c>
      <c r="L1137" s="1"/>
      <c r="M1137" s="73">
        <f t="shared" si="146"/>
        <v>0</v>
      </c>
      <c r="N1137" s="73">
        <f t="shared" si="151"/>
        <v>0</v>
      </c>
      <c r="O1137" s="73">
        <f t="shared" si="153"/>
        <v>0</v>
      </c>
      <c r="P1137" s="73">
        <f t="shared" si="148"/>
        <v>0</v>
      </c>
      <c r="Q1137" s="73"/>
      <c r="R1137" s="73">
        <v>0</v>
      </c>
      <c r="S1137" s="75">
        <f t="shared" si="150"/>
        <v>0</v>
      </c>
      <c r="T1137" s="77">
        <v>0</v>
      </c>
      <c r="U1137" s="66">
        <v>40441</v>
      </c>
      <c r="V1137" s="79"/>
      <c r="W1137" s="66" t="s">
        <v>1585</v>
      </c>
      <c r="X1137" s="24" t="s">
        <v>1586</v>
      </c>
      <c r="Y1137" s="62"/>
      <c r="Z1137" s="169" t="s">
        <v>894</v>
      </c>
      <c r="AA1137" s="166" t="s">
        <v>972</v>
      </c>
      <c r="AB1137" s="152"/>
      <c r="AC1137" s="153"/>
      <c r="AD1137" s="154"/>
      <c r="AE1137" s="153"/>
      <c r="AF1137" s="153"/>
      <c r="AG1137" s="153"/>
      <c r="AH1137" s="153"/>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c r="BF1137" s="153"/>
      <c r="BG1137" s="153"/>
      <c r="BH1137" s="153"/>
      <c r="BI1137" s="153"/>
      <c r="BJ1137" s="153"/>
      <c r="BK1137" s="153"/>
      <c r="BL1137" s="153"/>
      <c r="BM1137" s="153"/>
      <c r="BN1137" s="153"/>
      <c r="BO1137" s="153"/>
      <c r="BP1137" s="153"/>
      <c r="BQ1137" s="153"/>
      <c r="BR1137" s="153"/>
      <c r="BS1137" s="153"/>
      <c r="BT1137" s="153"/>
      <c r="BU1137" s="153"/>
      <c r="BV1137" s="153"/>
      <c r="BW1137" s="153"/>
      <c r="BX1137" s="153"/>
      <c r="BY1137" s="153"/>
      <c r="BZ1137" s="153"/>
      <c r="CA1137" s="153"/>
      <c r="CB1137" s="153"/>
      <c r="CC1137" s="153"/>
      <c r="CD1137" s="155"/>
      <c r="CE1137" s="156"/>
      <c r="CF1137" s="155"/>
      <c r="CG1137" s="156"/>
      <c r="CH1137" s="155"/>
      <c r="CI1137" s="156"/>
      <c r="CJ1137" s="157">
        <f t="shared" si="149"/>
        <v>0</v>
      </c>
      <c r="CK1137" s="158"/>
      <c r="CL1137" s="159"/>
      <c r="CM1137" s="160"/>
      <c r="CN1137" s="161"/>
      <c r="CO1137" s="162"/>
      <c r="CP1137" s="161"/>
      <c r="CQ1137" s="158"/>
      <c r="CR1137" s="159"/>
      <c r="CS1137" s="68"/>
      <c r="CT1137" s="163"/>
      <c r="EC1137" s="344" t="str">
        <f t="shared" si="152"/>
        <v>PUTUMAYO_VILLAGARZON</v>
      </c>
      <c r="ED1137" s="341"/>
      <c r="EE1137" s="342" t="s">
        <v>3162</v>
      </c>
      <c r="EF1137" s="343" t="s">
        <v>1440</v>
      </c>
      <c r="EG1137" s="342" t="s">
        <v>3162</v>
      </c>
      <c r="EH1137" s="341" t="s">
        <v>1605</v>
      </c>
      <c r="EI1137" s="341" t="str">
        <f t="shared" si="154"/>
        <v>MAGDALENA_DEPARTAMENTO</v>
      </c>
    </row>
    <row r="1138" spans="1:139" s="164" customFormat="1" ht="38.25">
      <c r="A1138" s="228">
        <v>40436</v>
      </c>
      <c r="B1138" s="222" t="s">
        <v>1551</v>
      </c>
      <c r="C1138" s="222" t="s">
        <v>1590</v>
      </c>
      <c r="D1138" s="233" t="s">
        <v>2606</v>
      </c>
      <c r="E1138" s="325" t="s">
        <v>3352</v>
      </c>
      <c r="F1138" s="325"/>
      <c r="G1138" s="204"/>
      <c r="H1138" s="151"/>
      <c r="I1138" s="151"/>
      <c r="J1138" s="151">
        <v>85</v>
      </c>
      <c r="K1138" s="151">
        <v>17</v>
      </c>
      <c r="L1138" s="1"/>
      <c r="M1138" s="73">
        <f t="shared" si="146"/>
        <v>0</v>
      </c>
      <c r="N1138" s="73">
        <f t="shared" si="151"/>
        <v>0</v>
      </c>
      <c r="O1138" s="73">
        <f t="shared" si="153"/>
        <v>0</v>
      </c>
      <c r="P1138" s="73">
        <f t="shared" si="148"/>
        <v>0</v>
      </c>
      <c r="Q1138" s="73"/>
      <c r="R1138" s="73">
        <v>0</v>
      </c>
      <c r="S1138" s="75">
        <f t="shared" si="150"/>
        <v>0</v>
      </c>
      <c r="T1138" s="77">
        <v>0</v>
      </c>
      <c r="U1138" s="66">
        <v>40441</v>
      </c>
      <c r="V1138" s="79"/>
      <c r="W1138" s="66" t="s">
        <v>1585</v>
      </c>
      <c r="X1138" s="24" t="s">
        <v>1586</v>
      </c>
      <c r="Y1138" s="62"/>
      <c r="Z1138" s="169" t="s">
        <v>894</v>
      </c>
      <c r="AA1138" s="166" t="s">
        <v>1801</v>
      </c>
      <c r="AB1138" s="152"/>
      <c r="AC1138" s="153"/>
      <c r="AD1138" s="154"/>
      <c r="AE1138" s="153"/>
      <c r="AF1138" s="153"/>
      <c r="AG1138" s="153"/>
      <c r="AH1138" s="153"/>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c r="BF1138" s="153"/>
      <c r="BG1138" s="153"/>
      <c r="BH1138" s="153"/>
      <c r="BI1138" s="153"/>
      <c r="BJ1138" s="153"/>
      <c r="BK1138" s="153"/>
      <c r="BL1138" s="153"/>
      <c r="BM1138" s="153"/>
      <c r="BN1138" s="153"/>
      <c r="BO1138" s="153"/>
      <c r="BP1138" s="153"/>
      <c r="BQ1138" s="153"/>
      <c r="BR1138" s="153"/>
      <c r="BS1138" s="153"/>
      <c r="BT1138" s="153"/>
      <c r="BU1138" s="153"/>
      <c r="BV1138" s="153"/>
      <c r="BW1138" s="153"/>
      <c r="BX1138" s="153"/>
      <c r="BY1138" s="153"/>
      <c r="BZ1138" s="153"/>
      <c r="CA1138" s="153"/>
      <c r="CB1138" s="153"/>
      <c r="CC1138" s="153"/>
      <c r="CD1138" s="155"/>
      <c r="CE1138" s="156"/>
      <c r="CF1138" s="155"/>
      <c r="CG1138" s="156"/>
      <c r="CH1138" s="155"/>
      <c r="CI1138" s="156"/>
      <c r="CJ1138" s="157">
        <f t="shared" si="149"/>
        <v>0</v>
      </c>
      <c r="CK1138" s="158"/>
      <c r="CL1138" s="159"/>
      <c r="CM1138" s="160"/>
      <c r="CN1138" s="161"/>
      <c r="CO1138" s="162"/>
      <c r="CP1138" s="161"/>
      <c r="CQ1138" s="158"/>
      <c r="CR1138" s="159"/>
      <c r="CS1138" s="68"/>
      <c r="CT1138" s="163"/>
      <c r="EC1138" s="344" t="str">
        <f t="shared" si="152"/>
        <v>ATLANTICO_BARRANQUILLA</v>
      </c>
      <c r="ED1138" s="341"/>
      <c r="EE1138" s="342" t="s">
        <v>3168</v>
      </c>
      <c r="EF1138" s="343" t="s">
        <v>396</v>
      </c>
      <c r="EG1138" s="342" t="s">
        <v>3168</v>
      </c>
      <c r="EH1138" s="341" t="s">
        <v>1605</v>
      </c>
      <c r="EI1138" s="341" t="str">
        <f t="shared" si="154"/>
        <v>META_DEPARTAMENTO</v>
      </c>
    </row>
    <row r="1139" spans="1:139" s="164" customFormat="1" ht="38.25">
      <c r="A1139" s="228">
        <v>40436</v>
      </c>
      <c r="B1139" s="205" t="s">
        <v>1821</v>
      </c>
      <c r="C1139" s="205" t="s">
        <v>1640</v>
      </c>
      <c r="D1139" s="207" t="s">
        <v>2606</v>
      </c>
      <c r="E1139" s="323" t="s">
        <v>3652</v>
      </c>
      <c r="F1139" s="323"/>
      <c r="G1139" s="204"/>
      <c r="H1139" s="151"/>
      <c r="I1139" s="151"/>
      <c r="J1139" s="175">
        <v>17</v>
      </c>
      <c r="K1139" s="151">
        <v>3</v>
      </c>
      <c r="L1139" s="1"/>
      <c r="M1139" s="73">
        <f t="shared" si="146"/>
        <v>0</v>
      </c>
      <c r="N1139" s="73">
        <f t="shared" si="151"/>
        <v>0</v>
      </c>
      <c r="O1139" s="73">
        <f t="shared" si="153"/>
        <v>0</v>
      </c>
      <c r="P1139" s="73">
        <f t="shared" si="148"/>
        <v>0</v>
      </c>
      <c r="Q1139" s="73"/>
      <c r="R1139" s="73">
        <v>0</v>
      </c>
      <c r="S1139" s="75">
        <f t="shared" si="150"/>
        <v>0</v>
      </c>
      <c r="T1139" s="77">
        <v>0</v>
      </c>
      <c r="U1139" s="66">
        <v>40441</v>
      </c>
      <c r="V1139" s="79"/>
      <c r="W1139" s="66" t="s">
        <v>1585</v>
      </c>
      <c r="X1139" s="24" t="s">
        <v>1586</v>
      </c>
      <c r="Y1139" s="62"/>
      <c r="Z1139" s="169" t="s">
        <v>894</v>
      </c>
      <c r="AA1139" s="166" t="s">
        <v>2054</v>
      </c>
      <c r="AB1139" s="152"/>
      <c r="AC1139" s="153"/>
      <c r="AD1139" s="154"/>
      <c r="AE1139" s="153"/>
      <c r="AF1139" s="153"/>
      <c r="AG1139" s="153"/>
      <c r="AH1139" s="153"/>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c r="BF1139" s="153"/>
      <c r="BG1139" s="153"/>
      <c r="BH1139" s="153"/>
      <c r="BI1139" s="153"/>
      <c r="BJ1139" s="153"/>
      <c r="BK1139" s="153"/>
      <c r="BL1139" s="153"/>
      <c r="BM1139" s="153"/>
      <c r="BN1139" s="153"/>
      <c r="BO1139" s="153"/>
      <c r="BP1139" s="153"/>
      <c r="BQ1139" s="153"/>
      <c r="BR1139" s="153"/>
      <c r="BS1139" s="153"/>
      <c r="BT1139" s="153"/>
      <c r="BU1139" s="153"/>
      <c r="BV1139" s="153"/>
      <c r="BW1139" s="153"/>
      <c r="BX1139" s="153"/>
      <c r="BY1139" s="153"/>
      <c r="BZ1139" s="153"/>
      <c r="CA1139" s="153"/>
      <c r="CB1139" s="153"/>
      <c r="CC1139" s="153"/>
      <c r="CD1139" s="155"/>
      <c r="CE1139" s="156"/>
      <c r="CF1139" s="155"/>
      <c r="CG1139" s="156"/>
      <c r="CH1139" s="155"/>
      <c r="CI1139" s="156"/>
      <c r="CJ1139" s="157">
        <f t="shared" si="149"/>
        <v>0</v>
      </c>
      <c r="CK1139" s="158"/>
      <c r="CL1139" s="159"/>
      <c r="CM1139" s="160"/>
      <c r="CN1139" s="161"/>
      <c r="CO1139" s="162"/>
      <c r="CP1139" s="161"/>
      <c r="CQ1139" s="158"/>
      <c r="CR1139" s="159"/>
      <c r="CS1139" s="68"/>
      <c r="CT1139" s="163"/>
      <c r="EC1139" s="344" t="str">
        <f t="shared" si="152"/>
        <v>CESAR_TAMALAMEQUE</v>
      </c>
      <c r="ED1139" s="341"/>
      <c r="EE1139" s="342" t="s">
        <v>3171</v>
      </c>
      <c r="EF1139" s="343" t="s">
        <v>1824</v>
      </c>
      <c r="EG1139" s="342" t="s">
        <v>3171</v>
      </c>
      <c r="EH1139" s="341" t="s">
        <v>1605</v>
      </c>
      <c r="EI1139" s="341" t="str">
        <f t="shared" si="154"/>
        <v>NARIÑO_DEPARTAMENTO</v>
      </c>
    </row>
    <row r="1140" spans="1:139" s="164" customFormat="1" ht="51">
      <c r="A1140" s="228">
        <v>40436</v>
      </c>
      <c r="B1140" s="102" t="s">
        <v>1609</v>
      </c>
      <c r="C1140" s="205" t="s">
        <v>2196</v>
      </c>
      <c r="D1140" s="206" t="s">
        <v>1878</v>
      </c>
      <c r="E1140" s="320" t="s">
        <v>4061</v>
      </c>
      <c r="F1140" s="320"/>
      <c r="G1140" s="204"/>
      <c r="H1140" s="151"/>
      <c r="I1140" s="151"/>
      <c r="J1140" s="151">
        <v>25</v>
      </c>
      <c r="K1140" s="151">
        <v>5</v>
      </c>
      <c r="L1140" s="1"/>
      <c r="M1140" s="73">
        <f t="shared" si="146"/>
        <v>0</v>
      </c>
      <c r="N1140" s="73">
        <f t="shared" si="151"/>
        <v>0</v>
      </c>
      <c r="O1140" s="73">
        <f t="shared" si="153"/>
        <v>0</v>
      </c>
      <c r="P1140" s="73">
        <f t="shared" si="148"/>
        <v>0</v>
      </c>
      <c r="Q1140" s="73"/>
      <c r="R1140" s="73">
        <v>0</v>
      </c>
      <c r="S1140" s="75">
        <f t="shared" si="150"/>
        <v>0</v>
      </c>
      <c r="T1140" s="77">
        <v>0</v>
      </c>
      <c r="U1140" s="66">
        <v>40455</v>
      </c>
      <c r="V1140" s="79"/>
      <c r="W1140" s="66" t="s">
        <v>1585</v>
      </c>
      <c r="X1140" s="24" t="s">
        <v>1586</v>
      </c>
      <c r="Y1140" s="62"/>
      <c r="Z1140" s="169" t="s">
        <v>894</v>
      </c>
      <c r="AA1140" s="166" t="s">
        <v>2197</v>
      </c>
      <c r="AB1140" s="152"/>
      <c r="AC1140" s="153"/>
      <c r="AD1140" s="154"/>
      <c r="AE1140" s="153"/>
      <c r="AF1140" s="153"/>
      <c r="AG1140" s="153"/>
      <c r="AH1140" s="153"/>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c r="BF1140" s="153"/>
      <c r="BG1140" s="153"/>
      <c r="BH1140" s="153"/>
      <c r="BI1140" s="153"/>
      <c r="BJ1140" s="153"/>
      <c r="BK1140" s="153"/>
      <c r="BL1140" s="153"/>
      <c r="BM1140" s="153"/>
      <c r="BN1140" s="153"/>
      <c r="BO1140" s="153"/>
      <c r="BP1140" s="153"/>
      <c r="BQ1140" s="153"/>
      <c r="BR1140" s="153"/>
      <c r="BS1140" s="153"/>
      <c r="BT1140" s="153"/>
      <c r="BU1140" s="153"/>
      <c r="BV1140" s="153"/>
      <c r="BW1140" s="153"/>
      <c r="BX1140" s="153"/>
      <c r="BY1140" s="153"/>
      <c r="BZ1140" s="153"/>
      <c r="CA1140" s="153"/>
      <c r="CB1140" s="153"/>
      <c r="CC1140" s="153"/>
      <c r="CD1140" s="155"/>
      <c r="CE1140" s="156"/>
      <c r="CF1140" s="155"/>
      <c r="CG1140" s="156"/>
      <c r="CH1140" s="155"/>
      <c r="CI1140" s="156"/>
      <c r="CJ1140" s="157">
        <f t="shared" si="149"/>
        <v>0</v>
      </c>
      <c r="CK1140" s="158"/>
      <c r="CL1140" s="159"/>
      <c r="CM1140" s="160"/>
      <c r="CN1140" s="161"/>
      <c r="CO1140" s="162"/>
      <c r="CP1140" s="161"/>
      <c r="CQ1140" s="158"/>
      <c r="CR1140" s="159"/>
      <c r="CS1140" s="68"/>
      <c r="CT1140" s="163"/>
      <c r="EC1140" s="344" t="str">
        <f t="shared" si="152"/>
        <v>RISARALDA_QUINCHIA</v>
      </c>
      <c r="ED1140" s="341"/>
      <c r="EE1140" s="342" t="s">
        <v>3176</v>
      </c>
      <c r="EF1140" s="343" t="s">
        <v>965</v>
      </c>
      <c r="EG1140" s="342" t="s">
        <v>3176</v>
      </c>
      <c r="EH1140" s="341" t="s">
        <v>1605</v>
      </c>
      <c r="EI1140" s="341" t="str">
        <f t="shared" si="154"/>
        <v>NORTE DE SANTANDER_DEPARTAMENTO</v>
      </c>
    </row>
    <row r="1141" spans="1:139" s="164" customFormat="1" ht="84">
      <c r="A1141" s="228">
        <v>40436</v>
      </c>
      <c r="B1141" s="222" t="s">
        <v>1998</v>
      </c>
      <c r="C1141" s="222" t="s">
        <v>1802</v>
      </c>
      <c r="D1141" s="206" t="s">
        <v>1878</v>
      </c>
      <c r="E1141" s="320" t="s">
        <v>4141</v>
      </c>
      <c r="F1141" s="320"/>
      <c r="G1141" s="263"/>
      <c r="H1141" s="151"/>
      <c r="I1141" s="151"/>
      <c r="J1141" s="151">
        <f>80*5</f>
        <v>400</v>
      </c>
      <c r="K1141" s="151">
        <v>80</v>
      </c>
      <c r="L1141" s="1"/>
      <c r="M1141" s="73">
        <f t="shared" si="146"/>
        <v>0</v>
      </c>
      <c r="N1141" s="73">
        <f t="shared" si="151"/>
        <v>0</v>
      </c>
      <c r="O1141" s="73">
        <f t="shared" si="153"/>
        <v>0</v>
      </c>
      <c r="P1141" s="73">
        <f t="shared" si="148"/>
        <v>0</v>
      </c>
      <c r="Q1141" s="73"/>
      <c r="R1141" s="73">
        <v>0</v>
      </c>
      <c r="S1141" s="75">
        <f t="shared" si="150"/>
        <v>0</v>
      </c>
      <c r="T1141" s="77">
        <v>0</v>
      </c>
      <c r="U1141" s="66">
        <v>40441</v>
      </c>
      <c r="V1141" s="79"/>
      <c r="W1141" s="66" t="s">
        <v>1606</v>
      </c>
      <c r="X1141" s="24" t="s">
        <v>1607</v>
      </c>
      <c r="Y1141" s="62"/>
      <c r="Z1141" s="176" t="s">
        <v>2279</v>
      </c>
      <c r="AA1141" s="166" t="s">
        <v>2762</v>
      </c>
      <c r="AB1141" s="152"/>
      <c r="AC1141" s="153"/>
      <c r="AD1141" s="154"/>
      <c r="AE1141" s="153"/>
      <c r="AF1141" s="153"/>
      <c r="AG1141" s="153"/>
      <c r="AH1141" s="153"/>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c r="BF1141" s="153"/>
      <c r="BG1141" s="153"/>
      <c r="BH1141" s="153"/>
      <c r="BI1141" s="153"/>
      <c r="BJ1141" s="153"/>
      <c r="BK1141" s="153"/>
      <c r="BL1141" s="153"/>
      <c r="BM1141" s="153"/>
      <c r="BN1141" s="153"/>
      <c r="BO1141" s="153"/>
      <c r="BP1141" s="153"/>
      <c r="BQ1141" s="153"/>
      <c r="BR1141" s="153"/>
      <c r="BS1141" s="153"/>
      <c r="BT1141" s="153"/>
      <c r="BU1141" s="153"/>
      <c r="BV1141" s="153"/>
      <c r="BW1141" s="153"/>
      <c r="BX1141" s="153"/>
      <c r="BY1141" s="153"/>
      <c r="BZ1141" s="153"/>
      <c r="CA1141" s="153"/>
      <c r="CB1141" s="153"/>
      <c r="CC1141" s="153"/>
      <c r="CD1141" s="155"/>
      <c r="CE1141" s="156"/>
      <c r="CF1141" s="155"/>
      <c r="CG1141" s="156"/>
      <c r="CH1141" s="155"/>
      <c r="CI1141" s="156"/>
      <c r="CJ1141" s="157">
        <f t="shared" si="149"/>
        <v>0</v>
      </c>
      <c r="CK1141" s="158"/>
      <c r="CL1141" s="159"/>
      <c r="CM1141" s="160"/>
      <c r="CN1141" s="161"/>
      <c r="CO1141" s="162"/>
      <c r="CP1141" s="161"/>
      <c r="CQ1141" s="158"/>
      <c r="CR1141" s="159"/>
      <c r="CS1141" s="68"/>
      <c r="CT1141" s="163"/>
      <c r="EC1141" s="344" t="str">
        <f t="shared" si="152"/>
        <v>SANTANDER_SOCORRO</v>
      </c>
      <c r="ED1141" s="341"/>
      <c r="EE1141" s="342" t="s">
        <v>3214</v>
      </c>
      <c r="EF1141" s="343" t="s">
        <v>1196</v>
      </c>
      <c r="EG1141" s="342" t="s">
        <v>3214</v>
      </c>
      <c r="EH1141" s="341" t="s">
        <v>1605</v>
      </c>
      <c r="EI1141" s="341" t="str">
        <f t="shared" si="154"/>
        <v>PUTUMAYO_DEPARTAMENTO</v>
      </c>
    </row>
    <row r="1142" spans="1:139" s="164" customFormat="1" ht="51">
      <c r="A1142" s="228">
        <v>40436</v>
      </c>
      <c r="B1142" s="222" t="s">
        <v>1088</v>
      </c>
      <c r="C1142" s="102" t="s">
        <v>3204</v>
      </c>
      <c r="D1142" s="207" t="s">
        <v>1316</v>
      </c>
      <c r="E1142" s="323" t="s">
        <v>4224</v>
      </c>
      <c r="F1142" s="323"/>
      <c r="G1142" s="204"/>
      <c r="H1142" s="151">
        <v>9</v>
      </c>
      <c r="I1142" s="151"/>
      <c r="J1142" s="151"/>
      <c r="K1142" s="151"/>
      <c r="L1142" s="1"/>
      <c r="M1142" s="73">
        <f t="shared" si="146"/>
        <v>0</v>
      </c>
      <c r="N1142" s="73">
        <f t="shared" si="151"/>
        <v>0</v>
      </c>
      <c r="O1142" s="73">
        <f t="shared" si="153"/>
        <v>0</v>
      </c>
      <c r="P1142" s="73">
        <f t="shared" si="148"/>
        <v>0</v>
      </c>
      <c r="Q1142" s="73"/>
      <c r="R1142" s="73">
        <v>0</v>
      </c>
      <c r="S1142" s="75">
        <f t="shared" si="150"/>
        <v>0</v>
      </c>
      <c r="T1142" s="77">
        <v>0</v>
      </c>
      <c r="U1142" s="66">
        <v>40441</v>
      </c>
      <c r="V1142" s="79"/>
      <c r="W1142" s="66" t="s">
        <v>1585</v>
      </c>
      <c r="X1142" s="24" t="s">
        <v>1586</v>
      </c>
      <c r="Y1142" s="62"/>
      <c r="Z1142" s="169" t="s">
        <v>894</v>
      </c>
      <c r="AA1142" s="166" t="s">
        <v>1803</v>
      </c>
      <c r="AB1142" s="152"/>
      <c r="AC1142" s="153"/>
      <c r="AD1142" s="154"/>
      <c r="AE1142" s="153"/>
      <c r="AF1142" s="153"/>
      <c r="AG1142" s="153"/>
      <c r="AH1142" s="153"/>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c r="BF1142" s="153"/>
      <c r="BG1142" s="153"/>
      <c r="BH1142" s="153"/>
      <c r="BI1142" s="153"/>
      <c r="BJ1142" s="153"/>
      <c r="BK1142" s="153"/>
      <c r="BL1142" s="153"/>
      <c r="BM1142" s="153"/>
      <c r="BN1142" s="153"/>
      <c r="BO1142" s="153"/>
      <c r="BP1142" s="153"/>
      <c r="BQ1142" s="153"/>
      <c r="BR1142" s="153"/>
      <c r="BS1142" s="153"/>
      <c r="BT1142" s="153"/>
      <c r="BU1142" s="153"/>
      <c r="BV1142" s="153"/>
      <c r="BW1142" s="153"/>
      <c r="BX1142" s="153"/>
      <c r="BY1142" s="153"/>
      <c r="BZ1142" s="153"/>
      <c r="CA1142" s="153"/>
      <c r="CB1142" s="153"/>
      <c r="CC1142" s="153"/>
      <c r="CD1142" s="155"/>
      <c r="CE1142" s="156"/>
      <c r="CF1142" s="155"/>
      <c r="CG1142" s="156"/>
      <c r="CH1142" s="155"/>
      <c r="CI1142" s="156"/>
      <c r="CJ1142" s="157">
        <f t="shared" si="149"/>
        <v>0</v>
      </c>
      <c r="CK1142" s="158"/>
      <c r="CL1142" s="159"/>
      <c r="CM1142" s="160"/>
      <c r="CN1142" s="161"/>
      <c r="CO1142" s="162"/>
      <c r="CP1142" s="161"/>
      <c r="CQ1142" s="158"/>
      <c r="CR1142" s="159"/>
      <c r="CS1142" s="68"/>
      <c r="CT1142" s="163"/>
      <c r="EC1142" s="344" t="str">
        <f t="shared" si="152"/>
        <v>VALLE DEL CAUCA_CALI</v>
      </c>
      <c r="ED1142" s="341"/>
      <c r="EE1142" s="342" t="s">
        <v>3218</v>
      </c>
      <c r="EF1142" s="343" t="s">
        <v>1572</v>
      </c>
      <c r="EG1142" s="342" t="s">
        <v>3218</v>
      </c>
      <c r="EH1142" s="341" t="s">
        <v>1605</v>
      </c>
      <c r="EI1142" s="341" t="str">
        <f t="shared" si="154"/>
        <v>SAN ANDRES_DEPARTAMENTO</v>
      </c>
    </row>
    <row r="1143" spans="1:139" s="164" customFormat="1" ht="60">
      <c r="A1143" s="228">
        <v>40436</v>
      </c>
      <c r="B1143" s="205" t="s">
        <v>1088</v>
      </c>
      <c r="C1143" s="205" t="s">
        <v>1227</v>
      </c>
      <c r="D1143" s="207" t="s">
        <v>2606</v>
      </c>
      <c r="E1143" s="323" t="s">
        <v>4238</v>
      </c>
      <c r="F1143" s="323"/>
      <c r="G1143" s="204"/>
      <c r="H1143" s="151"/>
      <c r="I1143" s="151"/>
      <c r="J1143" s="151">
        <f>160*5</f>
        <v>800</v>
      </c>
      <c r="K1143" s="151">
        <v>160</v>
      </c>
      <c r="L1143" s="1"/>
      <c r="M1143" s="73">
        <f t="shared" si="146"/>
        <v>13671000</v>
      </c>
      <c r="N1143" s="73">
        <f t="shared" si="151"/>
        <v>12495000</v>
      </c>
      <c r="O1143" s="73">
        <f t="shared" si="153"/>
        <v>0</v>
      </c>
      <c r="P1143" s="73">
        <f t="shared" si="148"/>
        <v>0</v>
      </c>
      <c r="Q1143" s="73"/>
      <c r="R1143" s="73">
        <v>0</v>
      </c>
      <c r="S1143" s="75">
        <f t="shared" si="150"/>
        <v>26166000</v>
      </c>
      <c r="T1143" s="77">
        <v>0</v>
      </c>
      <c r="U1143" s="66">
        <v>40483</v>
      </c>
      <c r="V1143" s="79"/>
      <c r="W1143" s="66" t="s">
        <v>1606</v>
      </c>
      <c r="X1143" s="24" t="s">
        <v>1607</v>
      </c>
      <c r="Y1143" s="62"/>
      <c r="Z1143" s="169" t="s">
        <v>894</v>
      </c>
      <c r="AA1143" s="166" t="s">
        <v>2910</v>
      </c>
      <c r="AB1143" s="152"/>
      <c r="AC1143" s="153"/>
      <c r="AD1143" s="154"/>
      <c r="AE1143" s="153"/>
      <c r="AF1143" s="153"/>
      <c r="AG1143" s="153"/>
      <c r="AH1143" s="153"/>
      <c r="AI1143" s="153"/>
      <c r="AJ1143" s="153"/>
      <c r="AK1143" s="153"/>
      <c r="AL1143" s="153"/>
      <c r="AM1143" s="153"/>
      <c r="AN1143" s="153">
        <v>147</v>
      </c>
      <c r="AO1143" s="153">
        <f>147*56000</f>
        <v>8232000</v>
      </c>
      <c r="AP1143" s="153"/>
      <c r="AQ1143" s="153"/>
      <c r="AR1143" s="153"/>
      <c r="AS1143" s="153"/>
      <c r="AT1143" s="153"/>
      <c r="AU1143" s="153"/>
      <c r="AV1143" s="153"/>
      <c r="AW1143" s="153"/>
      <c r="AX1143" s="153"/>
      <c r="AY1143" s="153"/>
      <c r="AZ1143" s="153"/>
      <c r="BA1143" s="153"/>
      <c r="BB1143" s="153"/>
      <c r="BC1143" s="153"/>
      <c r="BD1143" s="153"/>
      <c r="BE1143" s="153"/>
      <c r="BF1143" s="153"/>
      <c r="BG1143" s="153"/>
      <c r="BH1143" s="153"/>
      <c r="BI1143" s="153"/>
      <c r="BJ1143" s="153"/>
      <c r="BK1143" s="153"/>
      <c r="BL1143" s="153"/>
      <c r="BM1143" s="153"/>
      <c r="BN1143" s="153"/>
      <c r="BO1143" s="153"/>
      <c r="BP1143" s="153"/>
      <c r="BQ1143" s="153"/>
      <c r="BR1143" s="153"/>
      <c r="BS1143" s="153"/>
      <c r="BT1143" s="153"/>
      <c r="BU1143" s="153"/>
      <c r="BV1143" s="153"/>
      <c r="BW1143" s="153"/>
      <c r="BX1143" s="153"/>
      <c r="BY1143" s="153"/>
      <c r="BZ1143" s="153"/>
      <c r="CA1143" s="153"/>
      <c r="CB1143" s="153"/>
      <c r="CC1143" s="153"/>
      <c r="CD1143" s="155">
        <v>147</v>
      </c>
      <c r="CE1143" s="156">
        <f>147*37000</f>
        <v>5439000</v>
      </c>
      <c r="CF1143" s="155"/>
      <c r="CG1143" s="156"/>
      <c r="CH1143" s="155"/>
      <c r="CI1143" s="156"/>
      <c r="CJ1143" s="157">
        <f t="shared" si="149"/>
        <v>13671000</v>
      </c>
      <c r="CK1143" s="158"/>
      <c r="CL1143" s="159"/>
      <c r="CM1143" s="160">
        <v>147</v>
      </c>
      <c r="CN1143" s="161">
        <f>147*85000</f>
        <v>12495000</v>
      </c>
      <c r="CO1143" s="162"/>
      <c r="CP1143" s="161"/>
      <c r="CQ1143" s="158"/>
      <c r="CR1143" s="159"/>
      <c r="CS1143" s="68"/>
      <c r="CT1143" s="163"/>
      <c r="EC1143" s="344" t="str">
        <f t="shared" si="152"/>
        <v>VALLE DEL CAUCA_EL AGUILA</v>
      </c>
      <c r="ED1143" s="341"/>
      <c r="EE1143" s="342" t="s">
        <v>3180</v>
      </c>
      <c r="EF1143" s="343" t="s">
        <v>1612</v>
      </c>
      <c r="EG1143" s="342" t="s">
        <v>3180</v>
      </c>
      <c r="EH1143" s="341" t="s">
        <v>1605</v>
      </c>
      <c r="EI1143" s="341" t="str">
        <f t="shared" si="154"/>
        <v>QUINDIO_DEPARTAMENTO</v>
      </c>
    </row>
    <row r="1144" spans="1:139" s="164" customFormat="1" ht="48">
      <c r="A1144" s="228">
        <v>40436</v>
      </c>
      <c r="B1144" s="205" t="s">
        <v>1088</v>
      </c>
      <c r="C1144" s="205" t="s">
        <v>994</v>
      </c>
      <c r="D1144" s="207" t="s">
        <v>2606</v>
      </c>
      <c r="E1144" s="323" t="s">
        <v>4250</v>
      </c>
      <c r="F1144" s="323"/>
      <c r="G1144" s="204">
        <v>1</v>
      </c>
      <c r="H1144" s="151"/>
      <c r="I1144" s="151"/>
      <c r="J1144" s="151">
        <v>175</v>
      </c>
      <c r="K1144" s="151">
        <v>35</v>
      </c>
      <c r="L1144" s="1"/>
      <c r="M1144" s="73">
        <f t="shared" si="146"/>
        <v>0</v>
      </c>
      <c r="N1144" s="73">
        <f t="shared" si="151"/>
        <v>0</v>
      </c>
      <c r="O1144" s="73">
        <f t="shared" si="153"/>
        <v>0</v>
      </c>
      <c r="P1144" s="73">
        <f t="shared" si="148"/>
        <v>0</v>
      </c>
      <c r="Q1144" s="73"/>
      <c r="R1144" s="73">
        <v>0</v>
      </c>
      <c r="S1144" s="75">
        <f t="shared" si="150"/>
        <v>0</v>
      </c>
      <c r="T1144" s="77">
        <v>0</v>
      </c>
      <c r="U1144" s="66">
        <v>40441</v>
      </c>
      <c r="V1144" s="79"/>
      <c r="W1144" s="66" t="s">
        <v>1585</v>
      </c>
      <c r="X1144" s="24" t="s">
        <v>1586</v>
      </c>
      <c r="Y1144" s="62"/>
      <c r="Z1144" s="169" t="s">
        <v>894</v>
      </c>
      <c r="AA1144" s="166" t="s">
        <v>2058</v>
      </c>
      <c r="AB1144" s="152"/>
      <c r="AC1144" s="153"/>
      <c r="AD1144" s="154"/>
      <c r="AE1144" s="153"/>
      <c r="AF1144" s="153"/>
      <c r="AG1144" s="153"/>
      <c r="AH1144" s="153"/>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c r="BF1144" s="153"/>
      <c r="BG1144" s="153"/>
      <c r="BH1144" s="153"/>
      <c r="BI1144" s="153"/>
      <c r="BJ1144" s="153"/>
      <c r="BK1144" s="153"/>
      <c r="BL1144" s="153"/>
      <c r="BM1144" s="153"/>
      <c r="BN1144" s="153"/>
      <c r="BO1144" s="153"/>
      <c r="BP1144" s="153"/>
      <c r="BQ1144" s="153"/>
      <c r="BR1144" s="153"/>
      <c r="BS1144" s="153"/>
      <c r="BT1144" s="153"/>
      <c r="BU1144" s="153"/>
      <c r="BV1144" s="153"/>
      <c r="BW1144" s="153"/>
      <c r="BX1144" s="153"/>
      <c r="BY1144" s="153"/>
      <c r="BZ1144" s="153"/>
      <c r="CA1144" s="153"/>
      <c r="CB1144" s="153"/>
      <c r="CC1144" s="153"/>
      <c r="CD1144" s="155"/>
      <c r="CE1144" s="156"/>
      <c r="CF1144" s="155"/>
      <c r="CG1144" s="156"/>
      <c r="CH1144" s="155"/>
      <c r="CI1144" s="156"/>
      <c r="CJ1144" s="157">
        <f t="shared" si="149"/>
        <v>0</v>
      </c>
      <c r="CK1144" s="158"/>
      <c r="CL1144" s="159"/>
      <c r="CM1144" s="160"/>
      <c r="CN1144" s="161"/>
      <c r="CO1144" s="162"/>
      <c r="CP1144" s="161"/>
      <c r="CQ1144" s="158"/>
      <c r="CR1144" s="159"/>
      <c r="CS1144" s="68"/>
      <c r="CT1144" s="163"/>
      <c r="EC1144" s="344" t="str">
        <f t="shared" si="152"/>
        <v>VALLE DEL CAUCA_PALMIRA</v>
      </c>
      <c r="ED1144" s="341"/>
      <c r="EE1144" s="342" t="s">
        <v>3182</v>
      </c>
      <c r="EF1144" s="343" t="s">
        <v>1609</v>
      </c>
      <c r="EG1144" s="342" t="s">
        <v>3182</v>
      </c>
      <c r="EH1144" s="341" t="s">
        <v>1605</v>
      </c>
      <c r="EI1144" s="341" t="str">
        <f t="shared" si="154"/>
        <v>RISARALDA_DEPARTAMENTO</v>
      </c>
    </row>
    <row r="1145" spans="1:139" s="164" customFormat="1" ht="38.25">
      <c r="A1145" s="228">
        <v>40437</v>
      </c>
      <c r="B1145" s="205" t="s">
        <v>1551</v>
      </c>
      <c r="C1145" s="205" t="s">
        <v>1590</v>
      </c>
      <c r="D1145" s="206" t="s">
        <v>1878</v>
      </c>
      <c r="E1145" s="320" t="s">
        <v>3352</v>
      </c>
      <c r="F1145" s="320"/>
      <c r="G1145" s="204"/>
      <c r="H1145" s="151"/>
      <c r="I1145" s="151"/>
      <c r="J1145" s="151">
        <v>50</v>
      </c>
      <c r="K1145" s="151">
        <v>10</v>
      </c>
      <c r="L1145" s="1"/>
      <c r="M1145" s="73">
        <f t="shared" si="146"/>
        <v>0</v>
      </c>
      <c r="N1145" s="73">
        <f t="shared" si="151"/>
        <v>0</v>
      </c>
      <c r="O1145" s="73">
        <f t="shared" si="153"/>
        <v>0</v>
      </c>
      <c r="P1145" s="73">
        <f t="shared" si="148"/>
        <v>0</v>
      </c>
      <c r="Q1145" s="73"/>
      <c r="R1145" s="73">
        <v>0</v>
      </c>
      <c r="S1145" s="75">
        <f t="shared" si="150"/>
        <v>0</v>
      </c>
      <c r="T1145" s="77">
        <v>0</v>
      </c>
      <c r="U1145" s="66">
        <v>40441</v>
      </c>
      <c r="V1145" s="79"/>
      <c r="W1145" s="66" t="s">
        <v>1585</v>
      </c>
      <c r="X1145" s="24" t="s">
        <v>1586</v>
      </c>
      <c r="Y1145" s="62"/>
      <c r="Z1145" s="169" t="s">
        <v>894</v>
      </c>
      <c r="AA1145" s="166" t="s">
        <v>2063</v>
      </c>
      <c r="AB1145" s="152"/>
      <c r="AC1145" s="153"/>
      <c r="AD1145" s="154"/>
      <c r="AE1145" s="153"/>
      <c r="AF1145" s="153"/>
      <c r="AG1145" s="153"/>
      <c r="AH1145" s="153"/>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c r="BF1145" s="153"/>
      <c r="BG1145" s="153"/>
      <c r="BH1145" s="153"/>
      <c r="BI1145" s="153"/>
      <c r="BJ1145" s="153"/>
      <c r="BK1145" s="153"/>
      <c r="BL1145" s="153"/>
      <c r="BM1145" s="153"/>
      <c r="BN1145" s="153"/>
      <c r="BO1145" s="153"/>
      <c r="BP1145" s="153"/>
      <c r="BQ1145" s="153"/>
      <c r="BR1145" s="153"/>
      <c r="BS1145" s="153"/>
      <c r="BT1145" s="153"/>
      <c r="BU1145" s="153"/>
      <c r="BV1145" s="153"/>
      <c r="BW1145" s="153"/>
      <c r="BX1145" s="153"/>
      <c r="BY1145" s="153"/>
      <c r="BZ1145" s="153"/>
      <c r="CA1145" s="153"/>
      <c r="CB1145" s="153"/>
      <c r="CC1145" s="153"/>
      <c r="CD1145" s="155"/>
      <c r="CE1145" s="156"/>
      <c r="CF1145" s="155"/>
      <c r="CG1145" s="156"/>
      <c r="CH1145" s="155"/>
      <c r="CI1145" s="156"/>
      <c r="CJ1145" s="157">
        <f t="shared" si="149"/>
        <v>0</v>
      </c>
      <c r="CK1145" s="158"/>
      <c r="CL1145" s="159"/>
      <c r="CM1145" s="160"/>
      <c r="CN1145" s="161"/>
      <c r="CO1145" s="162"/>
      <c r="CP1145" s="161"/>
      <c r="CQ1145" s="158"/>
      <c r="CR1145" s="159"/>
      <c r="CS1145" s="68"/>
      <c r="CT1145" s="163"/>
      <c r="EC1145" s="344" t="str">
        <f t="shared" si="152"/>
        <v>ATLANTICO_BARRANQUILLA</v>
      </c>
      <c r="ED1145" s="341"/>
      <c r="EE1145" s="342" t="s">
        <v>3184</v>
      </c>
      <c r="EF1145" s="343" t="s">
        <v>1998</v>
      </c>
      <c r="EG1145" s="342" t="s">
        <v>3184</v>
      </c>
      <c r="EH1145" s="341" t="s">
        <v>1605</v>
      </c>
      <c r="EI1145" s="341" t="str">
        <f t="shared" si="154"/>
        <v>SANTANDER_DEPARTAMENTO</v>
      </c>
    </row>
    <row r="1146" spans="1:139" s="164" customFormat="1" ht="38.25">
      <c r="A1146" s="228">
        <v>40437</v>
      </c>
      <c r="B1146" s="205" t="s">
        <v>2704</v>
      </c>
      <c r="C1146" s="205" t="s">
        <v>3129</v>
      </c>
      <c r="D1146" s="207" t="s">
        <v>2606</v>
      </c>
      <c r="E1146" s="323" t="s">
        <v>3575</v>
      </c>
      <c r="F1146" s="323"/>
      <c r="G1146" s="204"/>
      <c r="H1146" s="151">
        <v>1</v>
      </c>
      <c r="I1146" s="151"/>
      <c r="J1146" s="151">
        <f>88*5</f>
        <v>440</v>
      </c>
      <c r="K1146" s="151">
        <v>88</v>
      </c>
      <c r="L1146" s="1"/>
      <c r="M1146" s="73">
        <f t="shared" si="146"/>
        <v>0</v>
      </c>
      <c r="N1146" s="73">
        <f t="shared" si="151"/>
        <v>0</v>
      </c>
      <c r="O1146" s="73">
        <f t="shared" ref="O1146:O1168" si="155">CP1146+CR1146</f>
        <v>0</v>
      </c>
      <c r="P1146" s="73">
        <f t="shared" si="148"/>
        <v>0</v>
      </c>
      <c r="Q1146" s="73"/>
      <c r="R1146" s="73">
        <v>0</v>
      </c>
      <c r="S1146" s="75">
        <f t="shared" si="150"/>
        <v>0</v>
      </c>
      <c r="T1146" s="77">
        <v>0</v>
      </c>
      <c r="U1146" s="66">
        <v>40441</v>
      </c>
      <c r="V1146" s="79"/>
      <c r="W1146" s="66" t="s">
        <v>1585</v>
      </c>
      <c r="X1146" s="24" t="s">
        <v>1586</v>
      </c>
      <c r="Y1146" s="62"/>
      <c r="Z1146" s="169" t="s">
        <v>894</v>
      </c>
      <c r="AA1146" s="166" t="s">
        <v>2062</v>
      </c>
      <c r="AB1146" s="152"/>
      <c r="AC1146" s="153"/>
      <c r="AD1146" s="154"/>
      <c r="AE1146" s="153"/>
      <c r="AF1146" s="153"/>
      <c r="AG1146" s="153"/>
      <c r="AH1146" s="153"/>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c r="BF1146" s="153"/>
      <c r="BG1146" s="153"/>
      <c r="BH1146" s="153"/>
      <c r="BI1146" s="153"/>
      <c r="BJ1146" s="153"/>
      <c r="BK1146" s="153"/>
      <c r="BL1146" s="153"/>
      <c r="BM1146" s="153"/>
      <c r="BN1146" s="153"/>
      <c r="BO1146" s="153"/>
      <c r="BP1146" s="153"/>
      <c r="BQ1146" s="153"/>
      <c r="BR1146" s="153"/>
      <c r="BS1146" s="153"/>
      <c r="BT1146" s="153"/>
      <c r="BU1146" s="153"/>
      <c r="BV1146" s="153"/>
      <c r="BW1146" s="153"/>
      <c r="BX1146" s="153"/>
      <c r="BY1146" s="153"/>
      <c r="BZ1146" s="153"/>
      <c r="CA1146" s="153"/>
      <c r="CB1146" s="153"/>
      <c r="CC1146" s="153"/>
      <c r="CD1146" s="155"/>
      <c r="CE1146" s="156"/>
      <c r="CF1146" s="155"/>
      <c r="CG1146" s="156"/>
      <c r="CH1146" s="155"/>
      <c r="CI1146" s="156"/>
      <c r="CJ1146" s="157">
        <f t="shared" si="149"/>
        <v>0</v>
      </c>
      <c r="CK1146" s="158"/>
      <c r="CL1146" s="159"/>
      <c r="CM1146" s="160"/>
      <c r="CN1146" s="161"/>
      <c r="CO1146" s="162"/>
      <c r="CP1146" s="161"/>
      <c r="CQ1146" s="158"/>
      <c r="CR1146" s="159"/>
      <c r="CS1146" s="68"/>
      <c r="CT1146" s="163"/>
      <c r="EC1146" s="344" t="str">
        <f t="shared" si="152"/>
        <v>CAQUETA_EL DONCELLO</v>
      </c>
      <c r="ED1146" s="341"/>
      <c r="EE1146" s="342" t="s">
        <v>3191</v>
      </c>
      <c r="EF1146" s="343" t="s">
        <v>1943</v>
      </c>
      <c r="EG1146" s="342" t="s">
        <v>3191</v>
      </c>
      <c r="EH1146" s="348" t="s">
        <v>1605</v>
      </c>
      <c r="EI1146" s="341" t="str">
        <f>EF1146&amp;"_"&amp;EH1146</f>
        <v>SUCRE_DEPARTAMENTO</v>
      </c>
    </row>
    <row r="1147" spans="1:139" s="164" customFormat="1" ht="38.25">
      <c r="A1147" s="228">
        <v>40437</v>
      </c>
      <c r="B1147" s="102" t="s">
        <v>1295</v>
      </c>
      <c r="C1147" s="205" t="s">
        <v>2052</v>
      </c>
      <c r="D1147" s="207" t="s">
        <v>1902</v>
      </c>
      <c r="E1147" s="323" t="s">
        <v>4325</v>
      </c>
      <c r="F1147" s="323"/>
      <c r="G1147" s="204"/>
      <c r="H1147" s="151"/>
      <c r="I1147" s="151"/>
      <c r="J1147" s="151">
        <v>735</v>
      </c>
      <c r="K1147" s="151">
        <v>148</v>
      </c>
      <c r="L1147" s="1"/>
      <c r="M1147" s="73">
        <f t="shared" si="146"/>
        <v>0</v>
      </c>
      <c r="N1147" s="73">
        <f t="shared" si="151"/>
        <v>0</v>
      </c>
      <c r="O1147" s="73">
        <f t="shared" si="155"/>
        <v>0</v>
      </c>
      <c r="P1147" s="73">
        <f t="shared" si="148"/>
        <v>0</v>
      </c>
      <c r="Q1147" s="73"/>
      <c r="R1147" s="73">
        <v>0</v>
      </c>
      <c r="S1147" s="75">
        <f t="shared" si="150"/>
        <v>0</v>
      </c>
      <c r="T1147" s="77">
        <v>0</v>
      </c>
      <c r="U1147" s="66">
        <v>40441</v>
      </c>
      <c r="V1147" s="79"/>
      <c r="W1147" s="66" t="s">
        <v>1585</v>
      </c>
      <c r="X1147" s="24" t="s">
        <v>1586</v>
      </c>
      <c r="Y1147" s="62"/>
      <c r="Z1147" s="169" t="s">
        <v>894</v>
      </c>
      <c r="AA1147" s="166" t="s">
        <v>2053</v>
      </c>
      <c r="AB1147" s="152"/>
      <c r="AC1147" s="153"/>
      <c r="AD1147" s="154"/>
      <c r="AE1147" s="153"/>
      <c r="AF1147" s="153"/>
      <c r="AG1147" s="153"/>
      <c r="AH1147" s="153"/>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c r="BF1147" s="153"/>
      <c r="BG1147" s="153"/>
      <c r="BH1147" s="153"/>
      <c r="BI1147" s="153"/>
      <c r="BJ1147" s="153"/>
      <c r="BK1147" s="153"/>
      <c r="BL1147" s="153"/>
      <c r="BM1147" s="153"/>
      <c r="BN1147" s="153"/>
      <c r="BO1147" s="153"/>
      <c r="BP1147" s="153"/>
      <c r="BQ1147" s="153"/>
      <c r="BR1147" s="153"/>
      <c r="BS1147" s="153"/>
      <c r="BT1147" s="153"/>
      <c r="BU1147" s="153"/>
      <c r="BV1147" s="153"/>
      <c r="BW1147" s="153"/>
      <c r="BX1147" s="153"/>
      <c r="BY1147" s="153"/>
      <c r="BZ1147" s="153"/>
      <c r="CA1147" s="153"/>
      <c r="CB1147" s="153"/>
      <c r="CC1147" s="153"/>
      <c r="CD1147" s="155"/>
      <c r="CE1147" s="156"/>
      <c r="CF1147" s="155"/>
      <c r="CG1147" s="156"/>
      <c r="CH1147" s="155"/>
      <c r="CI1147" s="156"/>
      <c r="CJ1147" s="157">
        <f t="shared" si="149"/>
        <v>0</v>
      </c>
      <c r="CK1147" s="158"/>
      <c r="CL1147" s="159"/>
      <c r="CM1147" s="160"/>
      <c r="CN1147" s="161"/>
      <c r="CO1147" s="162"/>
      <c r="CP1147" s="161"/>
      <c r="CQ1147" s="158"/>
      <c r="CR1147" s="159"/>
      <c r="CS1147" s="68"/>
      <c r="CT1147" s="163"/>
      <c r="EC1147" s="344" t="str">
        <f t="shared" si="152"/>
        <v>CORDOBA_SAN JOSE DE URE</v>
      </c>
      <c r="ED1147" s="341"/>
      <c r="EE1147" s="342" t="s">
        <v>3197</v>
      </c>
      <c r="EF1147" s="341" t="s">
        <v>2400</v>
      </c>
      <c r="EG1147" s="342" t="s">
        <v>3197</v>
      </c>
      <c r="EH1147" s="348" t="s">
        <v>1605</v>
      </c>
      <c r="EI1147" s="342" t="str">
        <f>EF1147&amp;"_"&amp;EH1147</f>
        <v>TOLIMA_DEPARTAMENTO</v>
      </c>
    </row>
    <row r="1148" spans="1:139" s="164" customFormat="1" ht="38.25">
      <c r="A1148" s="228">
        <v>40437</v>
      </c>
      <c r="B1148" s="205" t="s">
        <v>965</v>
      </c>
      <c r="C1148" s="205" t="s">
        <v>696</v>
      </c>
      <c r="D1148" s="207" t="s">
        <v>1201</v>
      </c>
      <c r="E1148" s="323" t="s">
        <v>4014</v>
      </c>
      <c r="F1148" s="323"/>
      <c r="G1148" s="204"/>
      <c r="H1148" s="151"/>
      <c r="I1148" s="151"/>
      <c r="J1148" s="151">
        <v>25</v>
      </c>
      <c r="K1148" s="151">
        <v>5</v>
      </c>
      <c r="L1148" s="1"/>
      <c r="M1148" s="73">
        <f t="shared" si="146"/>
        <v>0</v>
      </c>
      <c r="N1148" s="73">
        <f t="shared" si="151"/>
        <v>0</v>
      </c>
      <c r="O1148" s="73">
        <f t="shared" si="155"/>
        <v>0</v>
      </c>
      <c r="P1148" s="73">
        <f t="shared" si="148"/>
        <v>0</v>
      </c>
      <c r="Q1148" s="73"/>
      <c r="R1148" s="73">
        <v>0</v>
      </c>
      <c r="S1148" s="75">
        <f t="shared" si="150"/>
        <v>0</v>
      </c>
      <c r="T1148" s="77">
        <v>0</v>
      </c>
      <c r="U1148" s="66">
        <v>40441</v>
      </c>
      <c r="V1148" s="79"/>
      <c r="W1148" s="66" t="s">
        <v>1585</v>
      </c>
      <c r="X1148" s="24" t="s">
        <v>1586</v>
      </c>
      <c r="Y1148" s="62"/>
      <c r="Z1148" s="169" t="s">
        <v>894</v>
      </c>
      <c r="AA1148" s="166" t="s">
        <v>2060</v>
      </c>
      <c r="AB1148" s="152"/>
      <c r="AC1148" s="153"/>
      <c r="AD1148" s="154"/>
      <c r="AE1148" s="153"/>
      <c r="AF1148" s="153"/>
      <c r="AG1148" s="153"/>
      <c r="AH1148" s="153"/>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c r="BF1148" s="153"/>
      <c r="BG1148" s="153"/>
      <c r="BH1148" s="153"/>
      <c r="BI1148" s="153"/>
      <c r="BJ1148" s="153"/>
      <c r="BK1148" s="153"/>
      <c r="BL1148" s="153"/>
      <c r="BM1148" s="153"/>
      <c r="BN1148" s="153"/>
      <c r="BO1148" s="153"/>
      <c r="BP1148" s="153"/>
      <c r="BQ1148" s="153"/>
      <c r="BR1148" s="153"/>
      <c r="BS1148" s="153"/>
      <c r="BT1148" s="153"/>
      <c r="BU1148" s="153"/>
      <c r="BV1148" s="153"/>
      <c r="BW1148" s="153"/>
      <c r="BX1148" s="153"/>
      <c r="BY1148" s="153"/>
      <c r="BZ1148" s="153"/>
      <c r="CA1148" s="153"/>
      <c r="CB1148" s="153"/>
      <c r="CC1148" s="153"/>
      <c r="CD1148" s="155"/>
      <c r="CE1148" s="156"/>
      <c r="CF1148" s="155"/>
      <c r="CG1148" s="156"/>
      <c r="CH1148" s="155"/>
      <c r="CI1148" s="156"/>
      <c r="CJ1148" s="157">
        <f t="shared" si="149"/>
        <v>0</v>
      </c>
      <c r="CK1148" s="158"/>
      <c r="CL1148" s="159"/>
      <c r="CM1148" s="160"/>
      <c r="CN1148" s="161"/>
      <c r="CO1148" s="162"/>
      <c r="CP1148" s="161"/>
      <c r="CQ1148" s="158"/>
      <c r="CR1148" s="159"/>
      <c r="CS1148" s="68"/>
      <c r="CT1148" s="163"/>
      <c r="EC1148" s="344" t="str">
        <f t="shared" si="152"/>
        <v>NORTE DE SANTANDER_HACARI</v>
      </c>
      <c r="ED1148" s="341"/>
      <c r="EE1148" s="342" t="s">
        <v>3223</v>
      </c>
      <c r="EF1148" s="341" t="s">
        <v>3224</v>
      </c>
      <c r="EG1148" s="342" t="s">
        <v>3223</v>
      </c>
      <c r="EH1148" s="348" t="s">
        <v>1605</v>
      </c>
      <c r="EI1148" s="342" t="str">
        <f>EF1148&amp;"_"&amp;EH1148</f>
        <v>VAUPES_DEPARTAMENTO</v>
      </c>
    </row>
    <row r="1149" spans="1:139" s="164" customFormat="1" ht="38.25">
      <c r="A1149" s="228">
        <v>40437</v>
      </c>
      <c r="B1149" s="205" t="s">
        <v>1943</v>
      </c>
      <c r="C1149" s="205" t="s">
        <v>3195</v>
      </c>
      <c r="D1149" s="207" t="s">
        <v>2606</v>
      </c>
      <c r="E1149" s="323" t="s">
        <v>4175</v>
      </c>
      <c r="F1149" s="323"/>
      <c r="G1149" s="204"/>
      <c r="H1149" s="151"/>
      <c r="I1149" s="151"/>
      <c r="J1149" s="151">
        <v>3936</v>
      </c>
      <c r="K1149" s="151">
        <v>734</v>
      </c>
      <c r="L1149" s="1"/>
      <c r="M1149" s="73">
        <f t="shared" si="146"/>
        <v>0</v>
      </c>
      <c r="N1149" s="73">
        <f t="shared" si="151"/>
        <v>0</v>
      </c>
      <c r="O1149" s="73">
        <f t="shared" si="155"/>
        <v>0</v>
      </c>
      <c r="P1149" s="73">
        <f t="shared" si="148"/>
        <v>0</v>
      </c>
      <c r="Q1149" s="73"/>
      <c r="R1149" s="73">
        <v>0</v>
      </c>
      <c r="S1149" s="75">
        <f t="shared" si="150"/>
        <v>0</v>
      </c>
      <c r="T1149" s="77">
        <v>0</v>
      </c>
      <c r="U1149" s="66">
        <v>40437</v>
      </c>
      <c r="V1149" s="79"/>
      <c r="W1149" s="66" t="s">
        <v>1585</v>
      </c>
      <c r="X1149" s="24" t="s">
        <v>1586</v>
      </c>
      <c r="Y1149" s="62"/>
      <c r="Z1149" s="169" t="s">
        <v>894</v>
      </c>
      <c r="AA1149" s="166"/>
      <c r="AB1149" s="152"/>
      <c r="AC1149" s="153"/>
      <c r="AD1149" s="154"/>
      <c r="AE1149" s="153"/>
      <c r="AF1149" s="153"/>
      <c r="AG1149" s="153"/>
      <c r="AH1149" s="153"/>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c r="BF1149" s="153"/>
      <c r="BG1149" s="153"/>
      <c r="BH1149" s="153"/>
      <c r="BI1149" s="153"/>
      <c r="BJ1149" s="153"/>
      <c r="BK1149" s="153"/>
      <c r="BL1149" s="153"/>
      <c r="BM1149" s="153"/>
      <c r="BN1149" s="153"/>
      <c r="BO1149" s="153"/>
      <c r="BP1149" s="153"/>
      <c r="BQ1149" s="153"/>
      <c r="BR1149" s="153"/>
      <c r="BS1149" s="153"/>
      <c r="BT1149" s="153"/>
      <c r="BU1149" s="153"/>
      <c r="BV1149" s="153"/>
      <c r="BW1149" s="153"/>
      <c r="BX1149" s="153"/>
      <c r="BY1149" s="153"/>
      <c r="BZ1149" s="153"/>
      <c r="CA1149" s="153"/>
      <c r="CB1149" s="153"/>
      <c r="CC1149" s="153"/>
      <c r="CD1149" s="155"/>
      <c r="CE1149" s="156"/>
      <c r="CF1149" s="155"/>
      <c r="CG1149" s="156"/>
      <c r="CH1149" s="155"/>
      <c r="CI1149" s="156"/>
      <c r="CJ1149" s="157">
        <f t="shared" si="149"/>
        <v>0</v>
      </c>
      <c r="CK1149" s="158"/>
      <c r="CL1149" s="159"/>
      <c r="CM1149" s="160"/>
      <c r="CN1149" s="161"/>
      <c r="CO1149" s="162"/>
      <c r="CP1149" s="161"/>
      <c r="CQ1149" s="158"/>
      <c r="CR1149" s="159"/>
      <c r="CS1149" s="68"/>
      <c r="CT1149" s="163"/>
      <c r="EC1149" s="344" t="str">
        <f t="shared" si="152"/>
        <v>SUCRE_SANTIAGO DE TOLU</v>
      </c>
      <c r="ED1149" s="341"/>
      <c r="EE1149" s="342" t="s">
        <v>3225</v>
      </c>
      <c r="EF1149" s="341" t="s">
        <v>3226</v>
      </c>
      <c r="EG1149" s="342" t="s">
        <v>3225</v>
      </c>
      <c r="EH1149" s="348" t="s">
        <v>1605</v>
      </c>
      <c r="EI1149" s="342" t="str">
        <f>EF1149&amp;"_"&amp;EH1149</f>
        <v>VICHADA_DEPARTAMENTO</v>
      </c>
    </row>
    <row r="1150" spans="1:139" s="164" customFormat="1" ht="45.75" thickBot="1">
      <c r="A1150" s="228">
        <v>40437</v>
      </c>
      <c r="B1150" s="205" t="s">
        <v>1943</v>
      </c>
      <c r="C1150" s="205" t="s">
        <v>2064</v>
      </c>
      <c r="D1150" s="207" t="s">
        <v>1201</v>
      </c>
      <c r="E1150" s="323" t="s">
        <v>4151</v>
      </c>
      <c r="F1150" s="323"/>
      <c r="G1150" s="204"/>
      <c r="H1150" s="151"/>
      <c r="I1150" s="151"/>
      <c r="J1150" s="151">
        <v>640</v>
      </c>
      <c r="K1150" s="151">
        <v>160</v>
      </c>
      <c r="L1150" s="1"/>
      <c r="M1150" s="73">
        <f t="shared" si="146"/>
        <v>0</v>
      </c>
      <c r="N1150" s="73">
        <f t="shared" si="151"/>
        <v>13600000</v>
      </c>
      <c r="O1150" s="73">
        <f t="shared" si="155"/>
        <v>0</v>
      </c>
      <c r="P1150" s="73">
        <f t="shared" si="148"/>
        <v>0</v>
      </c>
      <c r="Q1150" s="73"/>
      <c r="R1150" s="73">
        <v>0</v>
      </c>
      <c r="S1150" s="75">
        <f t="shared" si="150"/>
        <v>13600000</v>
      </c>
      <c r="T1150" s="77">
        <v>0</v>
      </c>
      <c r="U1150" s="66">
        <v>40441</v>
      </c>
      <c r="V1150" s="79"/>
      <c r="W1150" s="66" t="s">
        <v>1606</v>
      </c>
      <c r="X1150" s="24" t="s">
        <v>1607</v>
      </c>
      <c r="Y1150" s="62"/>
      <c r="Z1150" s="177" t="s">
        <v>2580</v>
      </c>
      <c r="AA1150" s="166" t="s">
        <v>2065</v>
      </c>
      <c r="AB1150" s="152"/>
      <c r="AC1150" s="153"/>
      <c r="AD1150" s="154"/>
      <c r="AE1150" s="153"/>
      <c r="AF1150" s="153"/>
      <c r="AG1150" s="153"/>
      <c r="AH1150" s="153"/>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c r="BI1150" s="153"/>
      <c r="BJ1150" s="153"/>
      <c r="BK1150" s="153"/>
      <c r="BL1150" s="153"/>
      <c r="BM1150" s="153"/>
      <c r="BN1150" s="153"/>
      <c r="BO1150" s="153"/>
      <c r="BP1150" s="153"/>
      <c r="BQ1150" s="153"/>
      <c r="BR1150" s="153"/>
      <c r="BS1150" s="153"/>
      <c r="BT1150" s="153"/>
      <c r="BU1150" s="153"/>
      <c r="BV1150" s="153"/>
      <c r="BW1150" s="153"/>
      <c r="BX1150" s="153"/>
      <c r="BY1150" s="153"/>
      <c r="BZ1150" s="153"/>
      <c r="CA1150" s="153"/>
      <c r="CB1150" s="153"/>
      <c r="CC1150" s="153"/>
      <c r="CD1150" s="155"/>
      <c r="CE1150" s="156"/>
      <c r="CF1150" s="155"/>
      <c r="CG1150" s="156"/>
      <c r="CH1150" s="155"/>
      <c r="CI1150" s="156"/>
      <c r="CJ1150" s="157">
        <f t="shared" si="149"/>
        <v>0</v>
      </c>
      <c r="CK1150" s="158"/>
      <c r="CL1150" s="159"/>
      <c r="CM1150" s="160">
        <v>160</v>
      </c>
      <c r="CN1150" s="161">
        <f>160*85000</f>
        <v>13600000</v>
      </c>
      <c r="CO1150" s="162"/>
      <c r="CP1150" s="161"/>
      <c r="CQ1150" s="158"/>
      <c r="CR1150" s="159"/>
      <c r="CS1150" s="68"/>
      <c r="CT1150" s="163"/>
      <c r="EC1150" s="344" t="str">
        <f t="shared" si="152"/>
        <v>SUCRE_SINCELEJO</v>
      </c>
      <c r="ED1150" s="341"/>
      <c r="EE1150" s="361" t="s">
        <v>3202</v>
      </c>
      <c r="EF1150" s="347" t="s">
        <v>1088</v>
      </c>
      <c r="EG1150" s="361" t="s">
        <v>3202</v>
      </c>
      <c r="EH1150" s="362" t="s">
        <v>1605</v>
      </c>
      <c r="EI1150" s="361" t="str">
        <f>EF1150&amp;"_"&amp;EH1150</f>
        <v>VALLE DEL CAUCA_DEPARTAMENTO</v>
      </c>
    </row>
    <row r="1151" spans="1:139" s="164" customFormat="1" ht="39" thickTop="1">
      <c r="A1151" s="228">
        <v>40438</v>
      </c>
      <c r="B1151" s="205" t="s">
        <v>1943</v>
      </c>
      <c r="C1151" s="205" t="s">
        <v>1605</v>
      </c>
      <c r="D1151" s="207" t="s">
        <v>1201</v>
      </c>
      <c r="E1151" s="323" t="s">
        <v>3191</v>
      </c>
      <c r="F1151" s="323"/>
      <c r="G1151" s="204"/>
      <c r="H1151" s="151"/>
      <c r="I1151" s="151"/>
      <c r="J1151" s="151"/>
      <c r="K1151" s="151"/>
      <c r="L1151" s="1">
        <v>40463</v>
      </c>
      <c r="M1151" s="73">
        <f t="shared" si="146"/>
        <v>0</v>
      </c>
      <c r="N1151" s="73">
        <f t="shared" si="151"/>
        <v>0</v>
      </c>
      <c r="O1151" s="73">
        <f t="shared" si="155"/>
        <v>0</v>
      </c>
      <c r="P1151" s="73">
        <f t="shared" si="148"/>
        <v>270522000</v>
      </c>
      <c r="Q1151" s="73"/>
      <c r="R1151" s="73">
        <v>0</v>
      </c>
      <c r="S1151" s="75">
        <f t="shared" si="150"/>
        <v>270522000</v>
      </c>
      <c r="T1151" s="77">
        <v>0</v>
      </c>
      <c r="U1151" s="66">
        <v>40427</v>
      </c>
      <c r="V1151" s="79">
        <v>46020</v>
      </c>
      <c r="W1151" s="66" t="s">
        <v>1606</v>
      </c>
      <c r="X1151" s="24" t="s">
        <v>1607</v>
      </c>
      <c r="Y1151" s="83" t="s">
        <v>2783</v>
      </c>
      <c r="Z1151" s="169" t="s">
        <v>1795</v>
      </c>
      <c r="AA1151" s="166" t="s">
        <v>1273</v>
      </c>
      <c r="AB1151" s="152"/>
      <c r="AC1151" s="153"/>
      <c r="AD1151" s="154"/>
      <c r="AE1151" s="153"/>
      <c r="AF1151" s="153"/>
      <c r="AG1151" s="153"/>
      <c r="AH1151" s="153"/>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c r="BI1151" s="153"/>
      <c r="BJ1151" s="153"/>
      <c r="BK1151" s="153"/>
      <c r="BL1151" s="153"/>
      <c r="BM1151" s="153"/>
      <c r="BN1151" s="153"/>
      <c r="BO1151" s="153"/>
      <c r="BP1151" s="153"/>
      <c r="BQ1151" s="153"/>
      <c r="BR1151" s="153"/>
      <c r="BS1151" s="153"/>
      <c r="BT1151" s="153"/>
      <c r="BU1151" s="153"/>
      <c r="BV1151" s="153"/>
      <c r="BW1151" s="153"/>
      <c r="BX1151" s="153"/>
      <c r="BY1151" s="153"/>
      <c r="BZ1151" s="153"/>
      <c r="CA1151" s="153"/>
      <c r="CB1151" s="153"/>
      <c r="CC1151" s="153"/>
      <c r="CD1151" s="155"/>
      <c r="CE1151" s="156"/>
      <c r="CF1151" s="155"/>
      <c r="CG1151" s="156"/>
      <c r="CH1151" s="155"/>
      <c r="CI1151" s="156"/>
      <c r="CJ1151" s="157">
        <f t="shared" si="149"/>
        <v>0</v>
      </c>
      <c r="CK1151" s="158">
        <f>50000+50000+200000</f>
        <v>300000</v>
      </c>
      <c r="CL1151" s="159">
        <f>50000*904.8+50000*905+200000*900.16</f>
        <v>270522000</v>
      </c>
      <c r="CM1151" s="160"/>
      <c r="CN1151" s="161"/>
      <c r="CO1151" s="162"/>
      <c r="CP1151" s="161"/>
      <c r="CQ1151" s="158"/>
      <c r="CR1151" s="159"/>
      <c r="CS1151" s="68"/>
      <c r="CT1151" s="163"/>
      <c r="EC1151" s="344" t="str">
        <f t="shared" si="152"/>
        <v>SUCRE_DEPARTAMENTO</v>
      </c>
      <c r="ED1151" s="341"/>
      <c r="EE1151" s="341"/>
      <c r="EF1151" s="348"/>
      <c r="EG1151" s="341"/>
      <c r="EH1151" s="341"/>
      <c r="EI1151" s="341"/>
    </row>
    <row r="1152" spans="1:139" s="164" customFormat="1" ht="60">
      <c r="A1152" s="228">
        <v>40438</v>
      </c>
      <c r="B1152" s="205" t="s">
        <v>1088</v>
      </c>
      <c r="C1152" s="205" t="s">
        <v>2708</v>
      </c>
      <c r="D1152" s="207" t="s">
        <v>1201</v>
      </c>
      <c r="E1152" s="323" t="s">
        <v>4257</v>
      </c>
      <c r="F1152" s="323"/>
      <c r="G1152" s="204"/>
      <c r="H1152" s="151"/>
      <c r="I1152" s="151"/>
      <c r="J1152" s="151">
        <f>39*5</f>
        <v>195</v>
      </c>
      <c r="K1152" s="151">
        <v>39</v>
      </c>
      <c r="L1152" s="1"/>
      <c r="M1152" s="73">
        <f t="shared" si="146"/>
        <v>0</v>
      </c>
      <c r="N1152" s="73">
        <f t="shared" si="151"/>
        <v>0</v>
      </c>
      <c r="O1152" s="73">
        <f t="shared" si="155"/>
        <v>0</v>
      </c>
      <c r="P1152" s="73">
        <f t="shared" si="148"/>
        <v>0</v>
      </c>
      <c r="Q1152" s="73"/>
      <c r="R1152" s="73">
        <v>0</v>
      </c>
      <c r="S1152" s="75">
        <f t="shared" si="150"/>
        <v>0</v>
      </c>
      <c r="T1152" s="77">
        <v>0</v>
      </c>
      <c r="U1152" s="66">
        <v>40441</v>
      </c>
      <c r="V1152" s="79"/>
      <c r="W1152" s="66" t="s">
        <v>1585</v>
      </c>
      <c r="X1152" s="24" t="s">
        <v>1586</v>
      </c>
      <c r="Y1152" s="62"/>
      <c r="Z1152" s="169" t="s">
        <v>894</v>
      </c>
      <c r="AA1152" s="166" t="s">
        <v>429</v>
      </c>
      <c r="AB1152" s="152"/>
      <c r="AC1152" s="153"/>
      <c r="AD1152" s="154"/>
      <c r="AE1152" s="153"/>
      <c r="AF1152" s="153"/>
      <c r="AG1152" s="153"/>
      <c r="AH1152" s="153"/>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c r="BF1152" s="153"/>
      <c r="BG1152" s="153"/>
      <c r="BH1152" s="153"/>
      <c r="BI1152" s="153"/>
      <c r="BJ1152" s="153"/>
      <c r="BK1152" s="153"/>
      <c r="BL1152" s="153"/>
      <c r="BM1152" s="153"/>
      <c r="BN1152" s="153"/>
      <c r="BO1152" s="153"/>
      <c r="BP1152" s="153"/>
      <c r="BQ1152" s="153"/>
      <c r="BR1152" s="153"/>
      <c r="BS1152" s="153"/>
      <c r="BT1152" s="153"/>
      <c r="BU1152" s="153"/>
      <c r="BV1152" s="153"/>
      <c r="BW1152" s="153"/>
      <c r="BX1152" s="153"/>
      <c r="BY1152" s="153"/>
      <c r="BZ1152" s="153"/>
      <c r="CA1152" s="153"/>
      <c r="CB1152" s="153"/>
      <c r="CC1152" s="153"/>
      <c r="CD1152" s="155"/>
      <c r="CE1152" s="156"/>
      <c r="CF1152" s="155"/>
      <c r="CG1152" s="156"/>
      <c r="CH1152" s="155"/>
      <c r="CI1152" s="156"/>
      <c r="CJ1152" s="157">
        <f t="shared" si="149"/>
        <v>0</v>
      </c>
      <c r="CK1152" s="158"/>
      <c r="CL1152" s="159"/>
      <c r="CM1152" s="160"/>
      <c r="CN1152" s="161"/>
      <c r="CO1152" s="162"/>
      <c r="CP1152" s="161"/>
      <c r="CQ1152" s="158"/>
      <c r="CR1152" s="159"/>
      <c r="CS1152" s="68"/>
      <c r="CT1152" s="163">
        <v>1352</v>
      </c>
      <c r="EC1152" s="344" t="str">
        <f t="shared" si="152"/>
        <v>VALLE DEL CAUCA_TORO</v>
      </c>
      <c r="ED1152" s="341"/>
      <c r="EE1152" s="341"/>
      <c r="EF1152" s="348"/>
      <c r="EG1152" s="341"/>
      <c r="EH1152" s="341"/>
      <c r="EI1152" s="341"/>
    </row>
    <row r="1153" spans="1:139" s="164" customFormat="1" ht="25.5">
      <c r="A1153" s="228">
        <v>40439</v>
      </c>
      <c r="B1153" s="102" t="s">
        <v>1609</v>
      </c>
      <c r="C1153" s="205" t="s">
        <v>2004</v>
      </c>
      <c r="D1153" s="207" t="s">
        <v>1316</v>
      </c>
      <c r="E1153" s="323" t="s">
        <v>4050</v>
      </c>
      <c r="F1153" s="323"/>
      <c r="G1153" s="204"/>
      <c r="H1153" s="151"/>
      <c r="I1153" s="151"/>
      <c r="J1153" s="151">
        <v>38</v>
      </c>
      <c r="K1153" s="151">
        <v>5</v>
      </c>
      <c r="L1153" s="1"/>
      <c r="M1153" s="73">
        <f t="shared" si="146"/>
        <v>0</v>
      </c>
      <c r="N1153" s="73">
        <f t="shared" si="151"/>
        <v>0</v>
      </c>
      <c r="O1153" s="73">
        <f t="shared" si="155"/>
        <v>0</v>
      </c>
      <c r="P1153" s="73">
        <f t="shared" si="148"/>
        <v>0</v>
      </c>
      <c r="Q1153" s="73"/>
      <c r="R1153" s="73">
        <v>0</v>
      </c>
      <c r="S1153" s="75">
        <f t="shared" si="150"/>
        <v>0</v>
      </c>
      <c r="T1153" s="77">
        <v>0</v>
      </c>
      <c r="U1153" s="66">
        <v>40441</v>
      </c>
      <c r="V1153" s="79"/>
      <c r="W1153" s="66" t="s">
        <v>1585</v>
      </c>
      <c r="X1153" s="24" t="s">
        <v>1586</v>
      </c>
      <c r="Y1153" s="62"/>
      <c r="Z1153" s="169" t="s">
        <v>894</v>
      </c>
      <c r="AA1153" s="166" t="s">
        <v>2067</v>
      </c>
      <c r="AB1153" s="152"/>
      <c r="AC1153" s="153"/>
      <c r="AD1153" s="154"/>
      <c r="AE1153" s="153"/>
      <c r="AF1153" s="153"/>
      <c r="AG1153" s="153"/>
      <c r="AH1153" s="153"/>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c r="BF1153" s="153"/>
      <c r="BG1153" s="153"/>
      <c r="BH1153" s="153"/>
      <c r="BI1153" s="153"/>
      <c r="BJ1153" s="153"/>
      <c r="BK1153" s="153"/>
      <c r="BL1153" s="153"/>
      <c r="BM1153" s="153"/>
      <c r="BN1153" s="153"/>
      <c r="BO1153" s="153"/>
      <c r="BP1153" s="153"/>
      <c r="BQ1153" s="153"/>
      <c r="BR1153" s="153"/>
      <c r="BS1153" s="153"/>
      <c r="BT1153" s="153"/>
      <c r="BU1153" s="153"/>
      <c r="BV1153" s="153"/>
      <c r="BW1153" s="153"/>
      <c r="BX1153" s="153"/>
      <c r="BY1153" s="153"/>
      <c r="BZ1153" s="153"/>
      <c r="CA1153" s="153"/>
      <c r="CB1153" s="153"/>
      <c r="CC1153" s="153"/>
      <c r="CD1153" s="155"/>
      <c r="CE1153" s="156"/>
      <c r="CF1153" s="155"/>
      <c r="CG1153" s="156"/>
      <c r="CH1153" s="155"/>
      <c r="CI1153" s="156"/>
      <c r="CJ1153" s="157">
        <f t="shared" si="149"/>
        <v>0</v>
      </c>
      <c r="CK1153" s="158"/>
      <c r="CL1153" s="159"/>
      <c r="CM1153" s="160"/>
      <c r="CN1153" s="161"/>
      <c r="CO1153" s="162"/>
      <c r="CP1153" s="161"/>
      <c r="CQ1153" s="158"/>
      <c r="CR1153" s="159"/>
      <c r="CS1153" s="68"/>
      <c r="CT1153" s="163"/>
      <c r="EC1153" s="344" t="str">
        <f t="shared" si="152"/>
        <v>RISARALDA_PEREIRA</v>
      </c>
      <c r="ED1153" s="341"/>
      <c r="EE1153" s="341"/>
      <c r="EF1153" s="348"/>
      <c r="EG1153" s="341"/>
      <c r="EH1153" s="341"/>
      <c r="EI1153" s="341"/>
    </row>
    <row r="1154" spans="1:139" s="164" customFormat="1" ht="25.5">
      <c r="A1154" s="228">
        <v>40440</v>
      </c>
      <c r="B1154" s="205" t="s">
        <v>1615</v>
      </c>
      <c r="C1154" s="205" t="s">
        <v>1556</v>
      </c>
      <c r="D1154" s="206" t="s">
        <v>1878</v>
      </c>
      <c r="E1154" s="320" t="s">
        <v>3417</v>
      </c>
      <c r="F1154" s="320"/>
      <c r="G1154" s="204"/>
      <c r="H1154" s="151"/>
      <c r="I1154" s="151"/>
      <c r="J1154" s="151">
        <v>7</v>
      </c>
      <c r="K1154" s="151">
        <v>1</v>
      </c>
      <c r="L1154" s="1"/>
      <c r="M1154" s="73">
        <f t="shared" si="146"/>
        <v>0</v>
      </c>
      <c r="N1154" s="73">
        <f t="shared" si="151"/>
        <v>0</v>
      </c>
      <c r="O1154" s="73">
        <f t="shared" si="155"/>
        <v>0</v>
      </c>
      <c r="P1154" s="73">
        <f t="shared" si="148"/>
        <v>0</v>
      </c>
      <c r="Q1154" s="73"/>
      <c r="R1154" s="73">
        <v>0</v>
      </c>
      <c r="S1154" s="75">
        <f t="shared" si="150"/>
        <v>0</v>
      </c>
      <c r="T1154" s="77">
        <v>0</v>
      </c>
      <c r="U1154" s="66">
        <v>40441</v>
      </c>
      <c r="V1154" s="79"/>
      <c r="W1154" s="66" t="s">
        <v>1585</v>
      </c>
      <c r="X1154" s="24" t="s">
        <v>1586</v>
      </c>
      <c r="Y1154" s="62"/>
      <c r="Z1154" s="169" t="s">
        <v>894</v>
      </c>
      <c r="AA1154" s="166" t="s">
        <v>2068</v>
      </c>
      <c r="AB1154" s="152"/>
      <c r="AC1154" s="153"/>
      <c r="AD1154" s="154"/>
      <c r="AE1154" s="153"/>
      <c r="AF1154" s="153"/>
      <c r="AG1154" s="153"/>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c r="BF1154" s="153"/>
      <c r="BG1154" s="153"/>
      <c r="BH1154" s="153"/>
      <c r="BI1154" s="153"/>
      <c r="BJ1154" s="153"/>
      <c r="BK1154" s="153"/>
      <c r="BL1154" s="153"/>
      <c r="BM1154" s="153"/>
      <c r="BN1154" s="153"/>
      <c r="BO1154" s="153"/>
      <c r="BP1154" s="153"/>
      <c r="BQ1154" s="153"/>
      <c r="BR1154" s="153"/>
      <c r="BS1154" s="153"/>
      <c r="BT1154" s="153"/>
      <c r="BU1154" s="153"/>
      <c r="BV1154" s="153"/>
      <c r="BW1154" s="153"/>
      <c r="BX1154" s="153"/>
      <c r="BY1154" s="153"/>
      <c r="BZ1154" s="153"/>
      <c r="CA1154" s="153"/>
      <c r="CB1154" s="153"/>
      <c r="CC1154" s="153"/>
      <c r="CD1154" s="155"/>
      <c r="CE1154" s="156"/>
      <c r="CF1154" s="155"/>
      <c r="CG1154" s="156"/>
      <c r="CH1154" s="155"/>
      <c r="CI1154" s="156"/>
      <c r="CJ1154" s="157">
        <f t="shared" si="149"/>
        <v>0</v>
      </c>
      <c r="CK1154" s="158"/>
      <c r="CL1154" s="159"/>
      <c r="CM1154" s="160"/>
      <c r="CN1154" s="161"/>
      <c r="CO1154" s="162"/>
      <c r="CP1154" s="161"/>
      <c r="CQ1154" s="158"/>
      <c r="CR1154" s="159"/>
      <c r="CS1154" s="68"/>
      <c r="CT1154" s="163"/>
      <c r="EC1154" s="344" t="str">
        <f t="shared" si="152"/>
        <v>BOLIVAR_TURBACO</v>
      </c>
      <c r="ED1154" s="341"/>
      <c r="EE1154" s="341"/>
      <c r="EF1154" s="348"/>
      <c r="EG1154" s="341"/>
      <c r="EH1154" s="341"/>
      <c r="EI1154" s="341"/>
    </row>
    <row r="1155" spans="1:139" s="164" customFormat="1" ht="156">
      <c r="A1155" s="228">
        <v>40440</v>
      </c>
      <c r="B1155" s="102" t="s">
        <v>4321</v>
      </c>
      <c r="C1155" s="205" t="s">
        <v>1995</v>
      </c>
      <c r="D1155" s="207" t="s">
        <v>1201</v>
      </c>
      <c r="E1155" s="323" t="s">
        <v>3870</v>
      </c>
      <c r="F1155" s="323"/>
      <c r="G1155" s="204"/>
      <c r="H1155" s="151"/>
      <c r="I1155" s="151"/>
      <c r="J1155" s="151">
        <f>2251*5</f>
        <v>11255</v>
      </c>
      <c r="K1155" s="151">
        <v>2251</v>
      </c>
      <c r="L1155" s="1">
        <v>40514</v>
      </c>
      <c r="M1155" s="73">
        <f t="shared" ref="M1155:M1218" si="156">CJ1155</f>
        <v>103324200</v>
      </c>
      <c r="N1155" s="73">
        <f t="shared" si="151"/>
        <v>85935000</v>
      </c>
      <c r="O1155" s="73">
        <f t="shared" si="155"/>
        <v>0</v>
      </c>
      <c r="P1155" s="73">
        <f t="shared" ref="P1155:P1218" si="157">CL1155</f>
        <v>1800000</v>
      </c>
      <c r="Q1155" s="73"/>
      <c r="R1155" s="73">
        <v>0</v>
      </c>
      <c r="S1155" s="75">
        <f t="shared" si="150"/>
        <v>191059200</v>
      </c>
      <c r="T1155" s="77">
        <v>0</v>
      </c>
      <c r="U1155" s="66">
        <v>40441</v>
      </c>
      <c r="V1155" s="79">
        <v>59457</v>
      </c>
      <c r="W1155" s="66" t="s">
        <v>1606</v>
      </c>
      <c r="X1155" s="24" t="s">
        <v>1607</v>
      </c>
      <c r="Y1155" s="83" t="s">
        <v>880</v>
      </c>
      <c r="Z1155" s="177" t="s">
        <v>2580</v>
      </c>
      <c r="AA1155" s="166" t="s">
        <v>1655</v>
      </c>
      <c r="AB1155" s="152"/>
      <c r="AC1155" s="153"/>
      <c r="AD1155" s="154"/>
      <c r="AE1155" s="153"/>
      <c r="AF1155" s="153"/>
      <c r="AG1155" s="153"/>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v>1011</v>
      </c>
      <c r="BA1155" s="153">
        <f>1011*25500</f>
        <v>25780500</v>
      </c>
      <c r="BB1155" s="153"/>
      <c r="BC1155" s="153"/>
      <c r="BD1155" s="153"/>
      <c r="BE1155" s="153"/>
      <c r="BF1155" s="153"/>
      <c r="BG1155" s="153"/>
      <c r="BH1155" s="153"/>
      <c r="BI1155" s="153"/>
      <c r="BJ1155" s="153"/>
      <c r="BK1155" s="153"/>
      <c r="BL1155" s="153"/>
      <c r="BM1155" s="153"/>
      <c r="BN1155" s="153"/>
      <c r="BO1155" s="153"/>
      <c r="BP1155" s="153"/>
      <c r="BQ1155" s="153"/>
      <c r="BR1155" s="153"/>
      <c r="BS1155" s="153"/>
      <c r="BT1155" s="153"/>
      <c r="BU1155" s="153"/>
      <c r="BV1155" s="153"/>
      <c r="BW1155" s="153"/>
      <c r="BX1155" s="153"/>
      <c r="BY1155" s="153"/>
      <c r="BZ1155" s="153"/>
      <c r="CA1155" s="153"/>
      <c r="CB1155" s="153"/>
      <c r="CC1155" s="153"/>
      <c r="CD1155" s="155">
        <v>1011</v>
      </c>
      <c r="CE1155" s="156">
        <f>1011*37000</f>
        <v>37407000</v>
      </c>
      <c r="CF1155" s="155">
        <v>1011</v>
      </c>
      <c r="CG1155" s="156">
        <f>1011*39700</f>
        <v>40136700</v>
      </c>
      <c r="CH1155" s="155"/>
      <c r="CI1155" s="156"/>
      <c r="CJ1155" s="157">
        <f t="shared" ref="CJ1155:CJ1218" si="158">AC1155+AE1155+AG1155+AI1155+AK1155+AM1155+AO1155+AQ1155+AS1155+AU1155+AW1155+AY1155+BA1155+BC1155+BE1155+BG1155+BI1155+BK1155+BM1155+BO1155+BQ1155+BS1155+BU1155+BW1155+BY1155+CA1155+CC1155+CE1155+CG1155+CI1155</f>
        <v>103324200</v>
      </c>
      <c r="CK1155" s="158">
        <v>2000</v>
      </c>
      <c r="CL1155" s="159">
        <f>2000*900</f>
        <v>1800000</v>
      </c>
      <c r="CM1155" s="160">
        <v>1011</v>
      </c>
      <c r="CN1155" s="161">
        <f>1011*85000</f>
        <v>85935000</v>
      </c>
      <c r="CO1155" s="162"/>
      <c r="CP1155" s="161"/>
      <c r="CQ1155" s="158"/>
      <c r="CR1155" s="159"/>
      <c r="CS1155" s="68"/>
      <c r="CT1155" s="163"/>
      <c r="EC1155" s="344" t="str">
        <f t="shared" si="152"/>
        <v>LA GUAJIRA_MANAURE</v>
      </c>
      <c r="ED1155" s="341"/>
      <c r="EE1155" s="341"/>
      <c r="EF1155" s="348"/>
      <c r="EG1155" s="341"/>
      <c r="EH1155" s="341"/>
      <c r="EI1155" s="341"/>
    </row>
    <row r="1156" spans="1:139" s="164" customFormat="1" ht="45">
      <c r="A1156" s="228">
        <v>40440</v>
      </c>
      <c r="B1156" s="205" t="s">
        <v>1440</v>
      </c>
      <c r="C1156" s="205" t="s">
        <v>2075</v>
      </c>
      <c r="D1156" s="207" t="s">
        <v>1201</v>
      </c>
      <c r="E1156" s="323" t="s">
        <v>3876</v>
      </c>
      <c r="F1156" s="323"/>
      <c r="G1156" s="204"/>
      <c r="H1156" s="151"/>
      <c r="I1156" s="151"/>
      <c r="J1156" s="151">
        <v>1305</v>
      </c>
      <c r="K1156" s="151">
        <v>261</v>
      </c>
      <c r="L1156" s="1"/>
      <c r="M1156" s="73">
        <f t="shared" si="156"/>
        <v>4150000</v>
      </c>
      <c r="N1156" s="73">
        <f t="shared" si="151"/>
        <v>25500000</v>
      </c>
      <c r="O1156" s="73">
        <f t="shared" si="155"/>
        <v>0</v>
      </c>
      <c r="P1156" s="73">
        <f t="shared" si="157"/>
        <v>1800320</v>
      </c>
      <c r="Q1156" s="73"/>
      <c r="R1156" s="73">
        <v>0</v>
      </c>
      <c r="S1156" s="75">
        <f t="shared" si="150"/>
        <v>31450320</v>
      </c>
      <c r="T1156" s="77">
        <v>0</v>
      </c>
      <c r="U1156" s="66">
        <v>40444</v>
      </c>
      <c r="V1156" s="79">
        <v>52364</v>
      </c>
      <c r="W1156" s="66" t="s">
        <v>1606</v>
      </c>
      <c r="X1156" s="24" t="s">
        <v>1607</v>
      </c>
      <c r="Y1156" s="62"/>
      <c r="Z1156" s="177" t="s">
        <v>2580</v>
      </c>
      <c r="AA1156" s="166" t="s">
        <v>2076</v>
      </c>
      <c r="AB1156" s="152"/>
      <c r="AC1156" s="153"/>
      <c r="AD1156" s="154"/>
      <c r="AE1156" s="153"/>
      <c r="AF1156" s="153"/>
      <c r="AG1156" s="153"/>
      <c r="AH1156" s="153"/>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c r="BF1156" s="153"/>
      <c r="BG1156" s="153"/>
      <c r="BH1156" s="153"/>
      <c r="BI1156" s="153"/>
      <c r="BJ1156" s="153"/>
      <c r="BK1156" s="153"/>
      <c r="BL1156" s="153"/>
      <c r="BM1156" s="153"/>
      <c r="BN1156" s="153">
        <v>5</v>
      </c>
      <c r="BO1156" s="153">
        <f>5*470000</f>
        <v>2350000</v>
      </c>
      <c r="BP1156" s="153"/>
      <c r="BQ1156" s="153"/>
      <c r="BR1156" s="153"/>
      <c r="BS1156" s="153"/>
      <c r="BT1156" s="153"/>
      <c r="BU1156" s="153"/>
      <c r="BV1156" s="153"/>
      <c r="BW1156" s="153"/>
      <c r="BX1156" s="153"/>
      <c r="BY1156" s="153"/>
      <c r="BZ1156" s="153"/>
      <c r="CA1156" s="153"/>
      <c r="CB1156" s="153">
        <v>100</v>
      </c>
      <c r="CC1156" s="153">
        <f>100*18000</f>
        <v>1800000</v>
      </c>
      <c r="CD1156" s="155"/>
      <c r="CE1156" s="156"/>
      <c r="CF1156" s="155"/>
      <c r="CG1156" s="156"/>
      <c r="CH1156" s="155"/>
      <c r="CI1156" s="156"/>
      <c r="CJ1156" s="157">
        <f t="shared" si="158"/>
        <v>4150000</v>
      </c>
      <c r="CK1156" s="158">
        <v>2000</v>
      </c>
      <c r="CL1156" s="159">
        <f>2000*900.16</f>
        <v>1800320</v>
      </c>
      <c r="CM1156" s="160">
        <f>100+200</f>
        <v>300</v>
      </c>
      <c r="CN1156" s="161">
        <f>100*85000+200*85000</f>
        <v>25500000</v>
      </c>
      <c r="CO1156" s="162"/>
      <c r="CP1156" s="161"/>
      <c r="CQ1156" s="158"/>
      <c r="CR1156" s="159"/>
      <c r="CS1156" s="68"/>
      <c r="CT1156" s="163"/>
      <c r="EC1156" s="344" t="str">
        <f t="shared" si="152"/>
        <v>MAGDALENA_ALGARROBO</v>
      </c>
      <c r="ED1156" s="341"/>
      <c r="EE1156" s="341"/>
      <c r="EF1156" s="348"/>
      <c r="EG1156" s="341"/>
      <c r="EH1156" s="341"/>
      <c r="EI1156" s="341"/>
    </row>
    <row r="1157" spans="1:139" s="164" customFormat="1" ht="108">
      <c r="A1157" s="228">
        <v>40440</v>
      </c>
      <c r="B1157" s="205" t="s">
        <v>1440</v>
      </c>
      <c r="C1157" s="205" t="s">
        <v>2069</v>
      </c>
      <c r="D1157" s="207" t="s">
        <v>1201</v>
      </c>
      <c r="E1157" s="323" t="s">
        <v>3877</v>
      </c>
      <c r="F1157" s="323"/>
      <c r="G1157" s="204"/>
      <c r="H1157" s="151"/>
      <c r="I1157" s="151"/>
      <c r="J1157" s="151">
        <v>12445</v>
      </c>
      <c r="K1157" s="151">
        <v>2489</v>
      </c>
      <c r="L1157" s="1"/>
      <c r="M1157" s="73">
        <f t="shared" si="156"/>
        <v>39439200</v>
      </c>
      <c r="N1157" s="73">
        <f t="shared" si="151"/>
        <v>338385000</v>
      </c>
      <c r="O1157" s="73">
        <f t="shared" si="155"/>
        <v>0</v>
      </c>
      <c r="P1157" s="73">
        <f t="shared" si="157"/>
        <v>4500800</v>
      </c>
      <c r="Q1157" s="73"/>
      <c r="R1157" s="73">
        <v>0</v>
      </c>
      <c r="S1157" s="75">
        <f t="shared" si="150"/>
        <v>382325000</v>
      </c>
      <c r="T1157" s="77">
        <v>0</v>
      </c>
      <c r="U1157" s="66">
        <v>40441</v>
      </c>
      <c r="V1157" s="79">
        <v>52364</v>
      </c>
      <c r="W1157" s="66" t="s">
        <v>1606</v>
      </c>
      <c r="X1157" s="24" t="s">
        <v>1607</v>
      </c>
      <c r="Y1157" s="62">
        <v>26471</v>
      </c>
      <c r="Z1157" s="177" t="s">
        <v>2580</v>
      </c>
      <c r="AA1157" s="166" t="s">
        <v>713</v>
      </c>
      <c r="AB1157" s="152"/>
      <c r="AC1157" s="153"/>
      <c r="AD1157" s="154"/>
      <c r="AE1157" s="153"/>
      <c r="AF1157" s="153"/>
      <c r="AG1157" s="153"/>
      <c r="AH1157" s="153"/>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c r="BF1157" s="153"/>
      <c r="BG1157" s="153"/>
      <c r="BH1157" s="153"/>
      <c r="BI1157" s="153"/>
      <c r="BJ1157" s="153"/>
      <c r="BK1157" s="153"/>
      <c r="BL1157" s="153"/>
      <c r="BM1157" s="153"/>
      <c r="BN1157" s="153">
        <f>3+5</f>
        <v>8</v>
      </c>
      <c r="BO1157" s="153">
        <f>3*510400+5*450000</f>
        <v>3781200</v>
      </c>
      <c r="BP1157" s="153"/>
      <c r="BQ1157" s="153"/>
      <c r="BR1157" s="153"/>
      <c r="BS1157" s="153"/>
      <c r="BT1157" s="153"/>
      <c r="BU1157" s="153"/>
      <c r="BV1157" s="153"/>
      <c r="BW1157" s="153"/>
      <c r="BX1157" s="153"/>
      <c r="BY1157" s="153"/>
      <c r="BZ1157" s="153"/>
      <c r="CA1157" s="153"/>
      <c r="CB1157" s="153">
        <v>1981</v>
      </c>
      <c r="CC1157" s="153">
        <f>1981*18000</f>
        <v>35658000</v>
      </c>
      <c r="CD1157" s="155"/>
      <c r="CE1157" s="156"/>
      <c r="CF1157" s="155"/>
      <c r="CG1157" s="156"/>
      <c r="CH1157" s="155"/>
      <c r="CI1157" s="156"/>
      <c r="CJ1157" s="157">
        <f t="shared" si="158"/>
        <v>39439200</v>
      </c>
      <c r="CK1157" s="158">
        <v>5000</v>
      </c>
      <c r="CL1157" s="159">
        <f>5000*900.16</f>
        <v>4500800</v>
      </c>
      <c r="CM1157" s="160">
        <f>1981+1000+1000</f>
        <v>3981</v>
      </c>
      <c r="CN1157" s="161">
        <f>1981*85000+1000*85000+1000*85000</f>
        <v>338385000</v>
      </c>
      <c r="CO1157" s="162"/>
      <c r="CP1157" s="161"/>
      <c r="CQ1157" s="158"/>
      <c r="CR1157" s="159"/>
      <c r="CS1157" s="68"/>
      <c r="CT1157" s="163"/>
      <c r="EC1157" s="344" t="str">
        <f t="shared" si="152"/>
        <v>MAGDALENA_ARACATACA</v>
      </c>
      <c r="ED1157" s="341"/>
      <c r="EE1157" s="341"/>
      <c r="EF1157" s="348"/>
      <c r="EG1157" s="341"/>
      <c r="EH1157" s="341"/>
      <c r="EI1157" s="341"/>
    </row>
    <row r="1158" spans="1:139" s="164" customFormat="1" ht="38.25">
      <c r="A1158" s="228">
        <v>40440</v>
      </c>
      <c r="B1158" s="205" t="s">
        <v>965</v>
      </c>
      <c r="C1158" s="205" t="s">
        <v>2077</v>
      </c>
      <c r="D1158" s="207" t="s">
        <v>1201</v>
      </c>
      <c r="E1158" s="323" t="s">
        <v>4034</v>
      </c>
      <c r="F1158" s="323"/>
      <c r="G1158" s="204"/>
      <c r="H1158" s="151"/>
      <c r="I1158" s="151"/>
      <c r="J1158" s="151">
        <v>1250</v>
      </c>
      <c r="K1158" s="151">
        <v>250</v>
      </c>
      <c r="L1158" s="1"/>
      <c r="M1158" s="73">
        <f t="shared" si="156"/>
        <v>0</v>
      </c>
      <c r="N1158" s="73">
        <f t="shared" si="151"/>
        <v>0</v>
      </c>
      <c r="O1158" s="73">
        <f t="shared" si="155"/>
        <v>0</v>
      </c>
      <c r="P1158" s="73">
        <f t="shared" si="157"/>
        <v>0</v>
      </c>
      <c r="Q1158" s="73"/>
      <c r="R1158" s="73">
        <v>0</v>
      </c>
      <c r="S1158" s="75">
        <f t="shared" si="150"/>
        <v>0</v>
      </c>
      <c r="T1158" s="77">
        <v>0</v>
      </c>
      <c r="U1158" s="66">
        <v>40444</v>
      </c>
      <c r="V1158" s="79"/>
      <c r="W1158" s="66" t="s">
        <v>1585</v>
      </c>
      <c r="X1158" s="24" t="s">
        <v>1586</v>
      </c>
      <c r="Y1158" s="62"/>
      <c r="Z1158" s="169" t="s">
        <v>894</v>
      </c>
      <c r="AA1158" s="166" t="s">
        <v>2078</v>
      </c>
      <c r="AB1158" s="152"/>
      <c r="AC1158" s="153"/>
      <c r="AD1158" s="154"/>
      <c r="AE1158" s="153"/>
      <c r="AF1158" s="153"/>
      <c r="AG1158" s="153"/>
      <c r="AH1158" s="153"/>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c r="BF1158" s="153"/>
      <c r="BG1158" s="153"/>
      <c r="BH1158" s="153"/>
      <c r="BI1158" s="153"/>
      <c r="BJ1158" s="153"/>
      <c r="BK1158" s="153"/>
      <c r="BL1158" s="153"/>
      <c r="BM1158" s="153"/>
      <c r="BN1158" s="153"/>
      <c r="BO1158" s="153"/>
      <c r="BP1158" s="153"/>
      <c r="BQ1158" s="153"/>
      <c r="BR1158" s="153"/>
      <c r="BS1158" s="153"/>
      <c r="BT1158" s="153"/>
      <c r="BU1158" s="153"/>
      <c r="BV1158" s="153"/>
      <c r="BW1158" s="153"/>
      <c r="BX1158" s="153"/>
      <c r="BY1158" s="153"/>
      <c r="BZ1158" s="153"/>
      <c r="CA1158" s="153"/>
      <c r="CB1158" s="153"/>
      <c r="CC1158" s="153"/>
      <c r="CD1158" s="155"/>
      <c r="CE1158" s="156"/>
      <c r="CF1158" s="155"/>
      <c r="CG1158" s="156"/>
      <c r="CH1158" s="155"/>
      <c r="CI1158" s="156"/>
      <c r="CJ1158" s="157">
        <f t="shared" si="158"/>
        <v>0</v>
      </c>
      <c r="CK1158" s="158"/>
      <c r="CL1158" s="159"/>
      <c r="CM1158" s="160"/>
      <c r="CN1158" s="161"/>
      <c r="CO1158" s="162"/>
      <c r="CP1158" s="161"/>
      <c r="CQ1158" s="158"/>
      <c r="CR1158" s="159"/>
      <c r="CS1158" s="68"/>
      <c r="CT1158" s="163"/>
      <c r="EC1158" s="344" t="str">
        <f t="shared" si="152"/>
        <v>NORTE DE SANTANDER_TIBU</v>
      </c>
      <c r="ED1158" s="341"/>
      <c r="EE1158" s="341"/>
      <c r="EF1158" s="348"/>
      <c r="EG1158" s="341"/>
      <c r="EH1158" s="341"/>
      <c r="EI1158" s="341"/>
    </row>
    <row r="1159" spans="1:139" s="164" customFormat="1" ht="25.5">
      <c r="A1159" s="228">
        <v>40440</v>
      </c>
      <c r="B1159" s="102" t="s">
        <v>1609</v>
      </c>
      <c r="C1159" s="205" t="s">
        <v>2004</v>
      </c>
      <c r="D1159" s="207" t="s">
        <v>1316</v>
      </c>
      <c r="E1159" s="323" t="s">
        <v>4050</v>
      </c>
      <c r="F1159" s="323"/>
      <c r="G1159" s="204"/>
      <c r="H1159" s="151"/>
      <c r="I1159" s="151"/>
      <c r="J1159" s="151">
        <v>12</v>
      </c>
      <c r="K1159" s="151">
        <v>2</v>
      </c>
      <c r="L1159" s="1"/>
      <c r="M1159" s="73">
        <f t="shared" si="156"/>
        <v>0</v>
      </c>
      <c r="N1159" s="73">
        <f t="shared" si="151"/>
        <v>0</v>
      </c>
      <c r="O1159" s="73">
        <f t="shared" si="155"/>
        <v>0</v>
      </c>
      <c r="P1159" s="73">
        <f t="shared" si="157"/>
        <v>0</v>
      </c>
      <c r="Q1159" s="73"/>
      <c r="R1159" s="73">
        <v>0</v>
      </c>
      <c r="S1159" s="75">
        <f t="shared" si="150"/>
        <v>0</v>
      </c>
      <c r="T1159" s="77">
        <v>0</v>
      </c>
      <c r="U1159" s="66">
        <v>40444</v>
      </c>
      <c r="V1159" s="79"/>
      <c r="W1159" s="66" t="s">
        <v>1585</v>
      </c>
      <c r="X1159" s="24" t="s">
        <v>1586</v>
      </c>
      <c r="Y1159" s="62"/>
      <c r="Z1159" s="169" t="s">
        <v>894</v>
      </c>
      <c r="AA1159" s="166" t="s">
        <v>2074</v>
      </c>
      <c r="AB1159" s="152"/>
      <c r="AC1159" s="153"/>
      <c r="AD1159" s="154"/>
      <c r="AE1159" s="153"/>
      <c r="AF1159" s="153"/>
      <c r="AG1159" s="153"/>
      <c r="AH1159" s="153"/>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c r="BF1159" s="153"/>
      <c r="BG1159" s="153"/>
      <c r="BH1159" s="153"/>
      <c r="BI1159" s="153"/>
      <c r="BJ1159" s="153"/>
      <c r="BK1159" s="153"/>
      <c r="BL1159" s="153"/>
      <c r="BM1159" s="153"/>
      <c r="BN1159" s="153"/>
      <c r="BO1159" s="153"/>
      <c r="BP1159" s="153"/>
      <c r="BQ1159" s="153"/>
      <c r="BR1159" s="153"/>
      <c r="BS1159" s="153"/>
      <c r="BT1159" s="153"/>
      <c r="BU1159" s="153"/>
      <c r="BV1159" s="153"/>
      <c r="BW1159" s="153"/>
      <c r="BX1159" s="153"/>
      <c r="BY1159" s="153"/>
      <c r="BZ1159" s="153"/>
      <c r="CA1159" s="153"/>
      <c r="CB1159" s="153"/>
      <c r="CC1159" s="153"/>
      <c r="CD1159" s="155"/>
      <c r="CE1159" s="156"/>
      <c r="CF1159" s="155"/>
      <c r="CG1159" s="156"/>
      <c r="CH1159" s="155"/>
      <c r="CI1159" s="156"/>
      <c r="CJ1159" s="157">
        <f t="shared" si="158"/>
        <v>0</v>
      </c>
      <c r="CK1159" s="158"/>
      <c r="CL1159" s="159"/>
      <c r="CM1159" s="160"/>
      <c r="CN1159" s="161"/>
      <c r="CO1159" s="162"/>
      <c r="CP1159" s="161"/>
      <c r="CQ1159" s="158"/>
      <c r="CR1159" s="159"/>
      <c r="CS1159" s="68"/>
      <c r="CT1159" s="163">
        <v>1293</v>
      </c>
      <c r="EC1159" s="344" t="str">
        <f t="shared" si="152"/>
        <v>RISARALDA_PEREIRA</v>
      </c>
      <c r="ED1159" s="341"/>
      <c r="EE1159" s="341"/>
      <c r="EF1159" s="348"/>
      <c r="EG1159" s="341"/>
      <c r="EH1159" s="341"/>
      <c r="EI1159" s="341"/>
    </row>
    <row r="1160" spans="1:139" s="164" customFormat="1" ht="84">
      <c r="A1160" s="228">
        <v>40441</v>
      </c>
      <c r="B1160" s="205" t="s">
        <v>1551</v>
      </c>
      <c r="C1160" s="205" t="s">
        <v>2170</v>
      </c>
      <c r="D1160" s="207" t="s">
        <v>1201</v>
      </c>
      <c r="E1160" s="323" t="s">
        <v>3370</v>
      </c>
      <c r="F1160" s="323"/>
      <c r="G1160" s="204"/>
      <c r="H1160" s="151"/>
      <c r="I1160" s="151"/>
      <c r="J1160" s="151">
        <v>825</v>
      </c>
      <c r="K1160" s="151">
        <v>236</v>
      </c>
      <c r="L1160" s="1">
        <v>40451</v>
      </c>
      <c r="M1160" s="73">
        <f t="shared" si="156"/>
        <v>0</v>
      </c>
      <c r="N1160" s="73">
        <f t="shared" si="151"/>
        <v>0</v>
      </c>
      <c r="O1160" s="73">
        <f t="shared" si="155"/>
        <v>0</v>
      </c>
      <c r="P1160" s="73">
        <f t="shared" si="157"/>
        <v>0</v>
      </c>
      <c r="Q1160" s="73"/>
      <c r="R1160" s="73">
        <v>40180744</v>
      </c>
      <c r="S1160" s="75">
        <f t="shared" si="150"/>
        <v>40180744</v>
      </c>
      <c r="T1160" s="77">
        <v>0</v>
      </c>
      <c r="U1160" s="66">
        <v>40442</v>
      </c>
      <c r="V1160" s="79">
        <v>50127</v>
      </c>
      <c r="W1160" s="66" t="s">
        <v>1606</v>
      </c>
      <c r="X1160" s="24" t="s">
        <v>1607</v>
      </c>
      <c r="Y1160" s="62">
        <v>35261</v>
      </c>
      <c r="Z1160" s="178" t="s">
        <v>1435</v>
      </c>
      <c r="AA1160" s="166" t="s">
        <v>2171</v>
      </c>
      <c r="AB1160" s="152"/>
      <c r="AC1160" s="153"/>
      <c r="AD1160" s="154"/>
      <c r="AE1160" s="153"/>
      <c r="AF1160" s="153"/>
      <c r="AG1160" s="153"/>
      <c r="AH1160" s="153"/>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c r="BF1160" s="153"/>
      <c r="BG1160" s="153"/>
      <c r="BH1160" s="153"/>
      <c r="BI1160" s="153"/>
      <c r="BJ1160" s="153"/>
      <c r="BK1160" s="153"/>
      <c r="BL1160" s="153"/>
      <c r="BM1160" s="153"/>
      <c r="BN1160" s="153"/>
      <c r="BO1160" s="153"/>
      <c r="BP1160" s="153"/>
      <c r="BQ1160" s="153"/>
      <c r="BR1160" s="153"/>
      <c r="BS1160" s="153"/>
      <c r="BT1160" s="153"/>
      <c r="BU1160" s="153"/>
      <c r="BV1160" s="153"/>
      <c r="BW1160" s="153"/>
      <c r="BX1160" s="153"/>
      <c r="BY1160" s="153"/>
      <c r="BZ1160" s="153"/>
      <c r="CA1160" s="153"/>
      <c r="CB1160" s="153"/>
      <c r="CC1160" s="153"/>
      <c r="CD1160" s="155"/>
      <c r="CE1160" s="156"/>
      <c r="CF1160" s="155"/>
      <c r="CG1160" s="156"/>
      <c r="CH1160" s="155"/>
      <c r="CI1160" s="156"/>
      <c r="CJ1160" s="157">
        <f t="shared" si="158"/>
        <v>0</v>
      </c>
      <c r="CK1160" s="158"/>
      <c r="CL1160" s="159"/>
      <c r="CM1160" s="160"/>
      <c r="CN1160" s="161"/>
      <c r="CO1160" s="162"/>
      <c r="CP1160" s="161"/>
      <c r="CQ1160" s="158"/>
      <c r="CR1160" s="159"/>
      <c r="CS1160" s="68">
        <v>2</v>
      </c>
      <c r="CT1160" s="163"/>
      <c r="EC1160" s="344" t="str">
        <f t="shared" si="152"/>
        <v>ATLANTICO_SANTO TOMAS</v>
      </c>
      <c r="ED1160" s="341"/>
      <c r="EE1160" s="341"/>
      <c r="EF1160" s="348"/>
      <c r="EG1160" s="341"/>
      <c r="EH1160" s="341"/>
      <c r="EI1160" s="341"/>
    </row>
    <row r="1161" spans="1:139" s="164" customFormat="1" ht="38.25">
      <c r="A1161" s="228">
        <v>40441</v>
      </c>
      <c r="B1161" s="102" t="s">
        <v>1295</v>
      </c>
      <c r="C1161" s="205" t="s">
        <v>1605</v>
      </c>
      <c r="D1161" s="207" t="s">
        <v>1201</v>
      </c>
      <c r="E1161" s="323" t="s">
        <v>3136</v>
      </c>
      <c r="F1161" s="323"/>
      <c r="G1161" s="204"/>
      <c r="H1161" s="151"/>
      <c r="I1161" s="151"/>
      <c r="J1161" s="151"/>
      <c r="K1161" s="151"/>
      <c r="L1161" s="1">
        <v>40466</v>
      </c>
      <c r="M1161" s="73">
        <f t="shared" si="156"/>
        <v>47000000</v>
      </c>
      <c r="N1161" s="73">
        <f t="shared" si="151"/>
        <v>0</v>
      </c>
      <c r="O1161" s="73">
        <f t="shared" si="155"/>
        <v>0</v>
      </c>
      <c r="P1161" s="73">
        <f t="shared" si="157"/>
        <v>624130000</v>
      </c>
      <c r="Q1161" s="73"/>
      <c r="R1161" s="73">
        <v>0</v>
      </c>
      <c r="S1161" s="75">
        <f t="shared" ref="S1161:S1224" si="159">M1161+N1161+O1161+P1161+Q1161+R1161</f>
        <v>671130000</v>
      </c>
      <c r="T1161" s="77">
        <v>0</v>
      </c>
      <c r="U1161" s="66">
        <v>40441</v>
      </c>
      <c r="V1161" s="79">
        <v>38575</v>
      </c>
      <c r="W1161" s="66" t="s">
        <v>1606</v>
      </c>
      <c r="X1161" s="24" t="s">
        <v>1607</v>
      </c>
      <c r="Y1161" s="83" t="s">
        <v>776</v>
      </c>
      <c r="Z1161" s="169" t="s">
        <v>1795</v>
      </c>
      <c r="AA1161" s="166" t="s">
        <v>1273</v>
      </c>
      <c r="AB1161" s="152"/>
      <c r="AC1161" s="153"/>
      <c r="AD1161" s="154"/>
      <c r="AE1161" s="153"/>
      <c r="AF1161" s="153"/>
      <c r="AG1161" s="153"/>
      <c r="AH1161" s="153"/>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c r="BF1161" s="153"/>
      <c r="BG1161" s="153"/>
      <c r="BH1161" s="153"/>
      <c r="BI1161" s="153"/>
      <c r="BJ1161" s="153"/>
      <c r="BK1161" s="153"/>
      <c r="BL1161" s="153"/>
      <c r="BM1161" s="153"/>
      <c r="BN1161" s="153">
        <v>100</v>
      </c>
      <c r="BO1161" s="153">
        <f>100*470000</f>
        <v>47000000</v>
      </c>
      <c r="BP1161" s="153"/>
      <c r="BQ1161" s="153"/>
      <c r="BR1161" s="153"/>
      <c r="BS1161" s="153"/>
      <c r="BT1161" s="153"/>
      <c r="BU1161" s="153"/>
      <c r="BV1161" s="153"/>
      <c r="BW1161" s="153"/>
      <c r="BX1161" s="153"/>
      <c r="BY1161" s="153"/>
      <c r="BZ1161" s="153"/>
      <c r="CA1161" s="153"/>
      <c r="CB1161" s="153"/>
      <c r="CC1161" s="153"/>
      <c r="CD1161" s="155"/>
      <c r="CE1161" s="156"/>
      <c r="CF1161" s="155"/>
      <c r="CG1161" s="156"/>
      <c r="CH1161" s="155"/>
      <c r="CI1161" s="156"/>
      <c r="CJ1161" s="157">
        <f t="shared" si="158"/>
        <v>47000000</v>
      </c>
      <c r="CK1161" s="158">
        <f>50000+210000+200000+200000</f>
        <v>660000</v>
      </c>
      <c r="CL1161" s="159">
        <f>50000*899+210000*986+200000*910.6+200000*950</f>
        <v>624130000</v>
      </c>
      <c r="CM1161" s="160"/>
      <c r="CN1161" s="161"/>
      <c r="CO1161" s="162"/>
      <c r="CP1161" s="161"/>
      <c r="CQ1161" s="158"/>
      <c r="CR1161" s="159"/>
      <c r="CS1161" s="68"/>
      <c r="CT1161" s="163"/>
      <c r="EC1161" s="344" t="str">
        <f t="shared" si="152"/>
        <v>CORDOBA_DEPARTAMENTO</v>
      </c>
      <c r="ED1161" s="341"/>
      <c r="EE1161" s="341"/>
      <c r="EF1161" s="348"/>
      <c r="EG1161" s="341"/>
      <c r="EH1161" s="341"/>
      <c r="EI1161" s="341"/>
    </row>
    <row r="1162" spans="1:139" s="164" customFormat="1" ht="78.75">
      <c r="A1162" s="228">
        <v>40441</v>
      </c>
      <c r="B1162" s="102" t="s">
        <v>1295</v>
      </c>
      <c r="C1162" s="205" t="s">
        <v>2304</v>
      </c>
      <c r="D1162" s="207" t="s">
        <v>1201</v>
      </c>
      <c r="E1162" s="323" t="s">
        <v>3663</v>
      </c>
      <c r="F1162" s="323"/>
      <c r="G1162" s="204"/>
      <c r="H1162" s="151"/>
      <c r="I1162" s="151"/>
      <c r="J1162" s="151"/>
      <c r="K1162" s="151"/>
      <c r="L1162" s="1">
        <v>40459</v>
      </c>
      <c r="M1162" s="73">
        <f t="shared" si="156"/>
        <v>11527996.800000001</v>
      </c>
      <c r="N1162" s="73">
        <f t="shared" si="151"/>
        <v>877625000</v>
      </c>
      <c r="O1162" s="73">
        <f t="shared" si="155"/>
        <v>0</v>
      </c>
      <c r="P1162" s="73">
        <f t="shared" si="157"/>
        <v>0</v>
      </c>
      <c r="Q1162" s="73">
        <f>2*4408000</f>
        <v>8816000</v>
      </c>
      <c r="R1162" s="73">
        <v>0</v>
      </c>
      <c r="S1162" s="75">
        <f t="shared" si="159"/>
        <v>897968996.79999995</v>
      </c>
      <c r="T1162" s="77">
        <v>0</v>
      </c>
      <c r="U1162" s="66">
        <v>40441</v>
      </c>
      <c r="V1162" s="79">
        <v>41794</v>
      </c>
      <c r="W1162" s="66" t="s">
        <v>1606</v>
      </c>
      <c r="X1162" s="24" t="s">
        <v>1607</v>
      </c>
      <c r="Y1162" s="83" t="s">
        <v>1126</v>
      </c>
      <c r="Z1162" s="177" t="s">
        <v>2580</v>
      </c>
      <c r="AA1162" s="166" t="s">
        <v>1127</v>
      </c>
      <c r="AB1162" s="152"/>
      <c r="AC1162" s="153"/>
      <c r="AD1162" s="154"/>
      <c r="AE1162" s="153"/>
      <c r="AF1162" s="153"/>
      <c r="AG1162" s="153"/>
      <c r="AH1162" s="153"/>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c r="BF1162" s="153"/>
      <c r="BG1162" s="153"/>
      <c r="BH1162" s="153"/>
      <c r="BI1162" s="153"/>
      <c r="BJ1162" s="153"/>
      <c r="BK1162" s="153"/>
      <c r="BL1162" s="153"/>
      <c r="BM1162" s="153"/>
      <c r="BN1162" s="153">
        <f>10+10+3</f>
        <v>23</v>
      </c>
      <c r="BO1162" s="153">
        <f>10*504600+10*496999.68+3*504000</f>
        <v>11527996.800000001</v>
      </c>
      <c r="BP1162" s="153"/>
      <c r="BQ1162" s="153"/>
      <c r="BR1162" s="153"/>
      <c r="BS1162" s="153"/>
      <c r="BT1162" s="153"/>
      <c r="BU1162" s="153"/>
      <c r="BV1162" s="153"/>
      <c r="BW1162" s="153"/>
      <c r="BX1162" s="153"/>
      <c r="BY1162" s="153"/>
      <c r="BZ1162" s="153"/>
      <c r="CA1162" s="153"/>
      <c r="CB1162" s="153"/>
      <c r="CC1162" s="153"/>
      <c r="CD1162" s="155"/>
      <c r="CE1162" s="156"/>
      <c r="CF1162" s="155"/>
      <c r="CG1162" s="156"/>
      <c r="CH1162" s="155"/>
      <c r="CI1162" s="156"/>
      <c r="CJ1162" s="157">
        <f t="shared" si="158"/>
        <v>11527996.800000001</v>
      </c>
      <c r="CK1162" s="158"/>
      <c r="CL1162" s="159"/>
      <c r="CM1162" s="160">
        <v>1062</v>
      </c>
      <c r="CN1162" s="161">
        <f>1000*85000+6325*85000+2000*85000+1000*85000</f>
        <v>877625000</v>
      </c>
      <c r="CO1162" s="162"/>
      <c r="CP1162" s="161"/>
      <c r="CQ1162" s="158"/>
      <c r="CR1162" s="159"/>
      <c r="CS1162" s="68"/>
      <c r="CT1162" s="163"/>
      <c r="EC1162" s="344" t="str">
        <f t="shared" si="152"/>
        <v>CORDOBA_LORICA</v>
      </c>
      <c r="ED1162" s="341"/>
      <c r="EE1162" s="341"/>
      <c r="EF1162" s="348"/>
      <c r="EG1162" s="341"/>
      <c r="EH1162" s="341"/>
      <c r="EI1162" s="341"/>
    </row>
    <row r="1163" spans="1:139" s="164" customFormat="1" ht="25.5">
      <c r="A1163" s="228">
        <v>40441</v>
      </c>
      <c r="B1163" s="205" t="s">
        <v>2400</v>
      </c>
      <c r="C1163" s="205" t="s">
        <v>738</v>
      </c>
      <c r="D1163" s="206" t="s">
        <v>1878</v>
      </c>
      <c r="E1163" s="320" t="s">
        <v>4195</v>
      </c>
      <c r="F1163" s="320"/>
      <c r="G1163" s="204"/>
      <c r="H1163" s="151"/>
      <c r="I1163" s="151"/>
      <c r="J1163" s="151">
        <v>2</v>
      </c>
      <c r="K1163" s="151">
        <v>1</v>
      </c>
      <c r="L1163" s="1"/>
      <c r="M1163" s="73">
        <f t="shared" si="156"/>
        <v>0</v>
      </c>
      <c r="N1163" s="73">
        <f t="shared" si="151"/>
        <v>0</v>
      </c>
      <c r="O1163" s="73">
        <f t="shared" si="155"/>
        <v>0</v>
      </c>
      <c r="P1163" s="73">
        <f t="shared" si="157"/>
        <v>0</v>
      </c>
      <c r="Q1163" s="73"/>
      <c r="R1163" s="73">
        <v>0</v>
      </c>
      <c r="S1163" s="75">
        <f t="shared" si="159"/>
        <v>0</v>
      </c>
      <c r="T1163" s="77">
        <v>0</v>
      </c>
      <c r="U1163" s="66">
        <v>40444</v>
      </c>
      <c r="V1163" s="79"/>
      <c r="W1163" s="66" t="s">
        <v>1585</v>
      </c>
      <c r="X1163" s="24" t="s">
        <v>1586</v>
      </c>
      <c r="Y1163" s="62"/>
      <c r="Z1163" s="169" t="s">
        <v>894</v>
      </c>
      <c r="AA1163" s="166" t="s">
        <v>2079</v>
      </c>
      <c r="AB1163" s="152"/>
      <c r="AC1163" s="153"/>
      <c r="AD1163" s="154"/>
      <c r="AE1163" s="153"/>
      <c r="AF1163" s="153"/>
      <c r="AG1163" s="153"/>
      <c r="AH1163" s="153"/>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c r="BF1163" s="153"/>
      <c r="BG1163" s="153"/>
      <c r="BH1163" s="153"/>
      <c r="BI1163" s="153"/>
      <c r="BJ1163" s="153"/>
      <c r="BK1163" s="153"/>
      <c r="BL1163" s="153"/>
      <c r="BM1163" s="153"/>
      <c r="BN1163" s="153"/>
      <c r="BO1163" s="153"/>
      <c r="BP1163" s="153"/>
      <c r="BQ1163" s="153"/>
      <c r="BR1163" s="153"/>
      <c r="BS1163" s="153"/>
      <c r="BT1163" s="153"/>
      <c r="BU1163" s="153"/>
      <c r="BV1163" s="153"/>
      <c r="BW1163" s="153"/>
      <c r="BX1163" s="153"/>
      <c r="BY1163" s="153"/>
      <c r="BZ1163" s="153"/>
      <c r="CA1163" s="153"/>
      <c r="CB1163" s="153"/>
      <c r="CC1163" s="153"/>
      <c r="CD1163" s="155"/>
      <c r="CE1163" s="156"/>
      <c r="CF1163" s="155"/>
      <c r="CG1163" s="156"/>
      <c r="CH1163" s="155"/>
      <c r="CI1163" s="156"/>
      <c r="CJ1163" s="157">
        <f t="shared" si="158"/>
        <v>0</v>
      </c>
      <c r="CK1163" s="158"/>
      <c r="CL1163" s="159"/>
      <c r="CM1163" s="160"/>
      <c r="CN1163" s="161"/>
      <c r="CO1163" s="162"/>
      <c r="CP1163" s="161"/>
      <c r="CQ1163" s="158"/>
      <c r="CR1163" s="159"/>
      <c r="CS1163" s="68"/>
      <c r="CT1163" s="163"/>
      <c r="EC1163" s="344" t="str">
        <f t="shared" si="152"/>
        <v>TOLIMA_FRESNO</v>
      </c>
      <c r="ED1163" s="341"/>
      <c r="EE1163" s="341"/>
      <c r="EF1163" s="348"/>
      <c r="EG1163" s="341"/>
      <c r="EH1163" s="341"/>
      <c r="EI1163" s="341"/>
    </row>
    <row r="1164" spans="1:139" s="164" customFormat="1" ht="108">
      <c r="A1164" s="228">
        <v>40441</v>
      </c>
      <c r="B1164" s="205" t="s">
        <v>1088</v>
      </c>
      <c r="C1164" s="205" t="s">
        <v>1777</v>
      </c>
      <c r="D1164" s="206" t="s">
        <v>1878</v>
      </c>
      <c r="E1164" s="320" t="s">
        <v>4233</v>
      </c>
      <c r="F1164" s="320"/>
      <c r="G1164" s="204"/>
      <c r="H1164" s="151"/>
      <c r="I1164" s="151"/>
      <c r="J1164" s="151">
        <f>44*5</f>
        <v>220</v>
      </c>
      <c r="K1164" s="151">
        <v>44</v>
      </c>
      <c r="L1164" s="1">
        <v>40520</v>
      </c>
      <c r="M1164" s="73">
        <f t="shared" si="156"/>
        <v>4092000</v>
      </c>
      <c r="N1164" s="73">
        <f t="shared" si="151"/>
        <v>3740000</v>
      </c>
      <c r="O1164" s="73">
        <f t="shared" si="155"/>
        <v>0</v>
      </c>
      <c r="P1164" s="73">
        <f t="shared" si="157"/>
        <v>0</v>
      </c>
      <c r="Q1164" s="73"/>
      <c r="R1164" s="73">
        <v>0</v>
      </c>
      <c r="S1164" s="75">
        <f t="shared" si="159"/>
        <v>7832000</v>
      </c>
      <c r="T1164" s="77">
        <v>0</v>
      </c>
      <c r="U1164" s="66">
        <v>40455</v>
      </c>
      <c r="V1164" s="79"/>
      <c r="W1164" s="66" t="s">
        <v>1606</v>
      </c>
      <c r="X1164" s="24" t="s">
        <v>1607</v>
      </c>
      <c r="Y1164" s="62">
        <v>26384</v>
      </c>
      <c r="Z1164" s="169" t="s">
        <v>324</v>
      </c>
      <c r="AA1164" s="166" t="s">
        <v>428</v>
      </c>
      <c r="AB1164" s="152"/>
      <c r="AC1164" s="153"/>
      <c r="AD1164" s="154"/>
      <c r="AE1164" s="153"/>
      <c r="AF1164" s="153"/>
      <c r="AG1164" s="153"/>
      <c r="AH1164" s="153"/>
      <c r="AI1164" s="153"/>
      <c r="AJ1164" s="153"/>
      <c r="AK1164" s="153"/>
      <c r="AL1164" s="153"/>
      <c r="AM1164" s="153"/>
      <c r="AN1164" s="153">
        <v>44</v>
      </c>
      <c r="AO1164" s="153">
        <f>44*56000</f>
        <v>2464000</v>
      </c>
      <c r="AP1164" s="153"/>
      <c r="AQ1164" s="153"/>
      <c r="AR1164" s="153"/>
      <c r="AS1164" s="153"/>
      <c r="AT1164" s="153"/>
      <c r="AU1164" s="153"/>
      <c r="AV1164" s="153"/>
      <c r="AW1164" s="153"/>
      <c r="AX1164" s="153"/>
      <c r="AY1164" s="153"/>
      <c r="AZ1164" s="153"/>
      <c r="BA1164" s="153"/>
      <c r="BB1164" s="153"/>
      <c r="BC1164" s="153"/>
      <c r="BD1164" s="153"/>
      <c r="BE1164" s="153"/>
      <c r="BF1164" s="153"/>
      <c r="BG1164" s="153"/>
      <c r="BH1164" s="153"/>
      <c r="BI1164" s="153"/>
      <c r="BJ1164" s="153"/>
      <c r="BK1164" s="153"/>
      <c r="BL1164" s="153"/>
      <c r="BM1164" s="153"/>
      <c r="BN1164" s="153"/>
      <c r="BO1164" s="153"/>
      <c r="BP1164" s="153"/>
      <c r="BQ1164" s="153"/>
      <c r="BR1164" s="153"/>
      <c r="BS1164" s="153"/>
      <c r="BT1164" s="153"/>
      <c r="BU1164" s="153"/>
      <c r="BV1164" s="153"/>
      <c r="BW1164" s="153"/>
      <c r="BX1164" s="153"/>
      <c r="BY1164" s="153"/>
      <c r="BZ1164" s="153"/>
      <c r="CA1164" s="153"/>
      <c r="CB1164" s="153"/>
      <c r="CC1164" s="153"/>
      <c r="CD1164" s="155">
        <v>44</v>
      </c>
      <c r="CE1164" s="156">
        <f>44*37000</f>
        <v>1628000</v>
      </c>
      <c r="CF1164" s="155"/>
      <c r="CG1164" s="156"/>
      <c r="CH1164" s="155"/>
      <c r="CI1164" s="156"/>
      <c r="CJ1164" s="157">
        <f t="shared" si="158"/>
        <v>4092000</v>
      </c>
      <c r="CK1164" s="158"/>
      <c r="CL1164" s="159"/>
      <c r="CM1164" s="160">
        <v>44</v>
      </c>
      <c r="CN1164" s="161">
        <f>44*85000</f>
        <v>3740000</v>
      </c>
      <c r="CO1164" s="162"/>
      <c r="CP1164" s="161"/>
      <c r="CQ1164" s="158"/>
      <c r="CR1164" s="159"/>
      <c r="CS1164" s="68"/>
      <c r="CT1164" s="163"/>
      <c r="EC1164" s="344" t="str">
        <f t="shared" si="152"/>
        <v>VALLE DEL CAUCA_CAICEDONIA</v>
      </c>
      <c r="ED1164" s="341"/>
      <c r="EE1164" s="341"/>
      <c r="EF1164" s="348"/>
      <c r="EG1164" s="341"/>
      <c r="EH1164" s="341"/>
      <c r="EI1164" s="341"/>
    </row>
    <row r="1165" spans="1:139" s="164" customFormat="1" ht="38.25">
      <c r="A1165" s="228">
        <v>40442</v>
      </c>
      <c r="B1165" s="205" t="s">
        <v>1551</v>
      </c>
      <c r="C1165" s="205" t="s">
        <v>1590</v>
      </c>
      <c r="D1165" s="206" t="s">
        <v>1878</v>
      </c>
      <c r="E1165" s="320" t="s">
        <v>3352</v>
      </c>
      <c r="F1165" s="320"/>
      <c r="G1165" s="204"/>
      <c r="H1165" s="151"/>
      <c r="I1165" s="151"/>
      <c r="J1165" s="151">
        <v>40</v>
      </c>
      <c r="K1165" s="151">
        <v>8</v>
      </c>
      <c r="L1165" s="1"/>
      <c r="M1165" s="73">
        <f t="shared" si="156"/>
        <v>0</v>
      </c>
      <c r="N1165" s="73">
        <f t="shared" si="151"/>
        <v>0</v>
      </c>
      <c r="O1165" s="73">
        <f t="shared" si="155"/>
        <v>0</v>
      </c>
      <c r="P1165" s="73">
        <f t="shared" si="157"/>
        <v>0</v>
      </c>
      <c r="Q1165" s="73"/>
      <c r="R1165" s="73">
        <v>0</v>
      </c>
      <c r="S1165" s="75">
        <f t="shared" si="159"/>
        <v>0</v>
      </c>
      <c r="T1165" s="77">
        <v>0</v>
      </c>
      <c r="U1165" s="66">
        <v>40444</v>
      </c>
      <c r="V1165" s="79"/>
      <c r="W1165" s="66" t="s">
        <v>1585</v>
      </c>
      <c r="X1165" s="24" t="s">
        <v>1586</v>
      </c>
      <c r="Y1165" s="62"/>
      <c r="Z1165" s="169" t="s">
        <v>894</v>
      </c>
      <c r="AA1165" s="166" t="s">
        <v>2764</v>
      </c>
      <c r="AB1165" s="152"/>
      <c r="AC1165" s="153"/>
      <c r="AD1165" s="154"/>
      <c r="AE1165" s="153"/>
      <c r="AF1165" s="153"/>
      <c r="AG1165" s="153"/>
      <c r="AH1165" s="153"/>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c r="BF1165" s="153"/>
      <c r="BG1165" s="153"/>
      <c r="BH1165" s="153"/>
      <c r="BI1165" s="153"/>
      <c r="BJ1165" s="153"/>
      <c r="BK1165" s="153"/>
      <c r="BL1165" s="153"/>
      <c r="BM1165" s="153"/>
      <c r="BN1165" s="153"/>
      <c r="BO1165" s="153"/>
      <c r="BP1165" s="153"/>
      <c r="BQ1165" s="153"/>
      <c r="BR1165" s="153"/>
      <c r="BS1165" s="153"/>
      <c r="BT1165" s="153"/>
      <c r="BU1165" s="153"/>
      <c r="BV1165" s="153"/>
      <c r="BW1165" s="153"/>
      <c r="BX1165" s="153"/>
      <c r="BY1165" s="153"/>
      <c r="BZ1165" s="153"/>
      <c r="CA1165" s="153"/>
      <c r="CB1165" s="153"/>
      <c r="CC1165" s="153"/>
      <c r="CD1165" s="155"/>
      <c r="CE1165" s="156"/>
      <c r="CF1165" s="155"/>
      <c r="CG1165" s="156"/>
      <c r="CH1165" s="155"/>
      <c r="CI1165" s="156"/>
      <c r="CJ1165" s="157">
        <f t="shared" si="158"/>
        <v>0</v>
      </c>
      <c r="CK1165" s="158"/>
      <c r="CL1165" s="159"/>
      <c r="CM1165" s="160"/>
      <c r="CN1165" s="161"/>
      <c r="CO1165" s="162"/>
      <c r="CP1165" s="161"/>
      <c r="CQ1165" s="158"/>
      <c r="CR1165" s="159"/>
      <c r="CS1165" s="68"/>
      <c r="CT1165" s="163"/>
      <c r="EC1165" s="344" t="str">
        <f t="shared" si="152"/>
        <v>ATLANTICO_BARRANQUILLA</v>
      </c>
      <c r="ED1165" s="341"/>
      <c r="EE1165" s="341"/>
      <c r="EF1165" s="348"/>
      <c r="EG1165" s="341"/>
      <c r="EH1165" s="341"/>
      <c r="EI1165" s="341"/>
    </row>
    <row r="1166" spans="1:139" s="164" customFormat="1" ht="51">
      <c r="A1166" s="228">
        <v>40442</v>
      </c>
      <c r="B1166" s="205" t="s">
        <v>1615</v>
      </c>
      <c r="C1166" s="205" t="s">
        <v>2081</v>
      </c>
      <c r="D1166" s="207" t="s">
        <v>1201</v>
      </c>
      <c r="E1166" s="323" t="s">
        <v>3407</v>
      </c>
      <c r="F1166" s="323"/>
      <c r="G1166" s="204"/>
      <c r="H1166" s="151"/>
      <c r="I1166" s="151"/>
      <c r="J1166" s="151">
        <v>600</v>
      </c>
      <c r="K1166" s="151">
        <v>120</v>
      </c>
      <c r="L1166" s="1"/>
      <c r="M1166" s="73">
        <f t="shared" si="156"/>
        <v>0</v>
      </c>
      <c r="N1166" s="73">
        <f t="shared" ref="N1166:N1229" si="160">CN1166</f>
        <v>0</v>
      </c>
      <c r="O1166" s="73">
        <f t="shared" si="155"/>
        <v>0</v>
      </c>
      <c r="P1166" s="73">
        <f t="shared" si="157"/>
        <v>0</v>
      </c>
      <c r="Q1166" s="73"/>
      <c r="R1166" s="73">
        <v>0</v>
      </c>
      <c r="S1166" s="75">
        <f t="shared" si="159"/>
        <v>0</v>
      </c>
      <c r="T1166" s="77">
        <v>0</v>
      </c>
      <c r="U1166" s="66">
        <v>40444</v>
      </c>
      <c r="V1166" s="79"/>
      <c r="W1166" s="66" t="s">
        <v>1585</v>
      </c>
      <c r="X1166" s="24" t="s">
        <v>1586</v>
      </c>
      <c r="Y1166" s="62"/>
      <c r="Z1166" s="169" t="s">
        <v>894</v>
      </c>
      <c r="AA1166" s="166" t="s">
        <v>2082</v>
      </c>
      <c r="AB1166" s="152"/>
      <c r="AC1166" s="153"/>
      <c r="AD1166" s="154"/>
      <c r="AE1166" s="153"/>
      <c r="AF1166" s="153"/>
      <c r="AG1166" s="153"/>
      <c r="AH1166" s="153"/>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c r="BF1166" s="153"/>
      <c r="BG1166" s="153"/>
      <c r="BH1166" s="153"/>
      <c r="BI1166" s="153"/>
      <c r="BJ1166" s="153"/>
      <c r="BK1166" s="153"/>
      <c r="BL1166" s="153"/>
      <c r="BM1166" s="153"/>
      <c r="BN1166" s="153"/>
      <c r="BO1166" s="153"/>
      <c r="BP1166" s="153"/>
      <c r="BQ1166" s="153"/>
      <c r="BR1166" s="153"/>
      <c r="BS1166" s="153"/>
      <c r="BT1166" s="153"/>
      <c r="BU1166" s="153"/>
      <c r="BV1166" s="153"/>
      <c r="BW1166" s="153"/>
      <c r="BX1166" s="153"/>
      <c r="BY1166" s="153"/>
      <c r="BZ1166" s="153"/>
      <c r="CA1166" s="153"/>
      <c r="CB1166" s="153"/>
      <c r="CC1166" s="153"/>
      <c r="CD1166" s="155"/>
      <c r="CE1166" s="156"/>
      <c r="CF1166" s="155"/>
      <c r="CG1166" s="156"/>
      <c r="CH1166" s="155"/>
      <c r="CI1166" s="156"/>
      <c r="CJ1166" s="157">
        <f t="shared" si="158"/>
        <v>0</v>
      </c>
      <c r="CK1166" s="158"/>
      <c r="CL1166" s="159"/>
      <c r="CM1166" s="160"/>
      <c r="CN1166" s="161"/>
      <c r="CO1166" s="162"/>
      <c r="CP1166" s="161"/>
      <c r="CQ1166" s="158"/>
      <c r="CR1166" s="159"/>
      <c r="CS1166" s="68"/>
      <c r="CT1166" s="163"/>
      <c r="EC1166" s="344" t="str">
        <f t="shared" si="152"/>
        <v>BOLIVAR_SAN JUAN NEPOMUCENO</v>
      </c>
      <c r="ED1166" s="341"/>
      <c r="EE1166" s="341"/>
      <c r="EF1166" s="348"/>
      <c r="EG1166" s="341"/>
      <c r="EH1166" s="341"/>
      <c r="EI1166" s="341"/>
    </row>
    <row r="1167" spans="1:139" s="164" customFormat="1" ht="48">
      <c r="A1167" s="228">
        <v>40442</v>
      </c>
      <c r="B1167" s="102" t="s">
        <v>4321</v>
      </c>
      <c r="C1167" s="205" t="s">
        <v>2773</v>
      </c>
      <c r="D1167" s="207" t="s">
        <v>1201</v>
      </c>
      <c r="E1167" s="323" t="s">
        <v>3866</v>
      </c>
      <c r="F1167" s="323"/>
      <c r="G1167" s="204"/>
      <c r="H1167" s="151"/>
      <c r="I1167" s="151"/>
      <c r="J1167" s="151">
        <f>429*5</f>
        <v>2145</v>
      </c>
      <c r="K1167" s="151">
        <v>429</v>
      </c>
      <c r="L1167" s="1">
        <v>40508</v>
      </c>
      <c r="M1167" s="73">
        <f t="shared" si="156"/>
        <v>12616600</v>
      </c>
      <c r="N1167" s="73">
        <f t="shared" si="160"/>
        <v>8330000</v>
      </c>
      <c r="O1167" s="73">
        <f t="shared" si="155"/>
        <v>0</v>
      </c>
      <c r="P1167" s="73">
        <f t="shared" si="157"/>
        <v>0</v>
      </c>
      <c r="Q1167" s="73"/>
      <c r="R1167" s="73">
        <v>0</v>
      </c>
      <c r="S1167" s="75">
        <f t="shared" si="159"/>
        <v>20946600</v>
      </c>
      <c r="T1167" s="77">
        <v>0</v>
      </c>
      <c r="U1167" s="66">
        <v>40476</v>
      </c>
      <c r="V1167" s="79">
        <v>59457</v>
      </c>
      <c r="W1167" s="66" t="s">
        <v>1606</v>
      </c>
      <c r="X1167" s="24" t="s">
        <v>1607</v>
      </c>
      <c r="Y1167" s="62">
        <v>24642</v>
      </c>
      <c r="Z1167" s="177" t="s">
        <v>2580</v>
      </c>
      <c r="AA1167" s="166" t="s">
        <v>2465</v>
      </c>
      <c r="AB1167" s="152"/>
      <c r="AC1167" s="153"/>
      <c r="AD1167" s="154"/>
      <c r="AE1167" s="153"/>
      <c r="AF1167" s="153"/>
      <c r="AG1167" s="153"/>
      <c r="AH1167" s="153"/>
      <c r="AI1167" s="153"/>
      <c r="AJ1167" s="153"/>
      <c r="AK1167" s="153"/>
      <c r="AL1167" s="153"/>
      <c r="AM1167" s="153"/>
      <c r="AN1167" s="153"/>
      <c r="AO1167" s="153"/>
      <c r="AP1167" s="153"/>
      <c r="AQ1167" s="153"/>
      <c r="AR1167" s="153"/>
      <c r="AS1167" s="153"/>
      <c r="AT1167" s="153"/>
      <c r="AU1167" s="153"/>
      <c r="AV1167" s="153"/>
      <c r="AW1167" s="153"/>
      <c r="AX1167" s="153"/>
      <c r="AY1167" s="153"/>
      <c r="AZ1167" s="153">
        <v>200</v>
      </c>
      <c r="BA1167" s="153">
        <f>200*25500</f>
        <v>5100000</v>
      </c>
      <c r="BB1167" s="153"/>
      <c r="BC1167" s="153"/>
      <c r="BD1167" s="153"/>
      <c r="BE1167" s="153"/>
      <c r="BF1167" s="153"/>
      <c r="BG1167" s="153"/>
      <c r="BH1167" s="153"/>
      <c r="BI1167" s="153"/>
      <c r="BJ1167" s="153"/>
      <c r="BK1167" s="153"/>
      <c r="BL1167" s="153"/>
      <c r="BM1167" s="153"/>
      <c r="BN1167" s="153"/>
      <c r="BO1167" s="153"/>
      <c r="BP1167" s="153"/>
      <c r="BQ1167" s="153"/>
      <c r="BR1167" s="153"/>
      <c r="BS1167" s="153"/>
      <c r="BT1167" s="153"/>
      <c r="BU1167" s="153"/>
      <c r="BV1167" s="153"/>
      <c r="BW1167" s="153"/>
      <c r="BX1167" s="153"/>
      <c r="BY1167" s="153"/>
      <c r="BZ1167" s="153"/>
      <c r="CA1167" s="153"/>
      <c r="CB1167" s="153"/>
      <c r="CC1167" s="153"/>
      <c r="CD1167" s="155">
        <v>98</v>
      </c>
      <c r="CE1167" s="156">
        <f>98*37000</f>
        <v>3626000</v>
      </c>
      <c r="CF1167" s="155">
        <v>98</v>
      </c>
      <c r="CG1167" s="156">
        <f>98*39700</f>
        <v>3890600</v>
      </c>
      <c r="CH1167" s="155"/>
      <c r="CI1167" s="156"/>
      <c r="CJ1167" s="157">
        <f t="shared" si="158"/>
        <v>12616600</v>
      </c>
      <c r="CK1167" s="158"/>
      <c r="CL1167" s="159"/>
      <c r="CM1167" s="160">
        <v>98</v>
      </c>
      <c r="CN1167" s="161">
        <f>98*85000</f>
        <v>8330000</v>
      </c>
      <c r="CO1167" s="162"/>
      <c r="CP1167" s="161"/>
      <c r="CQ1167" s="158"/>
      <c r="CR1167" s="159"/>
      <c r="CS1167" s="68"/>
      <c r="CT1167" s="163"/>
      <c r="EC1167" s="344" t="str">
        <f t="shared" si="152"/>
        <v>LA GUAJIRA_FONSECA</v>
      </c>
      <c r="ED1167" s="341"/>
      <c r="EE1167" s="341"/>
      <c r="EF1167" s="348"/>
      <c r="EG1167" s="341"/>
      <c r="EH1167" s="341"/>
      <c r="EI1167" s="341"/>
    </row>
    <row r="1168" spans="1:139" s="164" customFormat="1" ht="38.25">
      <c r="A1168" s="228">
        <v>40442</v>
      </c>
      <c r="B1168" s="205" t="s">
        <v>965</v>
      </c>
      <c r="C1168" s="205" t="s">
        <v>1327</v>
      </c>
      <c r="D1168" s="207" t="s">
        <v>1316</v>
      </c>
      <c r="E1168" s="323" t="s">
        <v>3998</v>
      </c>
      <c r="F1168" s="323"/>
      <c r="G1168" s="204">
        <v>1</v>
      </c>
      <c r="H1168" s="151"/>
      <c r="I1168" s="151"/>
      <c r="J1168" s="151">
        <v>5</v>
      </c>
      <c r="K1168" s="151">
        <v>1</v>
      </c>
      <c r="L1168" s="1"/>
      <c r="M1168" s="73">
        <f t="shared" si="156"/>
        <v>0</v>
      </c>
      <c r="N1168" s="73">
        <f t="shared" si="160"/>
        <v>0</v>
      </c>
      <c r="O1168" s="73">
        <f t="shared" si="155"/>
        <v>0</v>
      </c>
      <c r="P1168" s="73">
        <f t="shared" si="157"/>
        <v>0</v>
      </c>
      <c r="Q1168" s="73"/>
      <c r="R1168" s="73">
        <v>0</v>
      </c>
      <c r="S1168" s="75">
        <f t="shared" si="159"/>
        <v>0</v>
      </c>
      <c r="T1168" s="77">
        <v>0</v>
      </c>
      <c r="U1168" s="66">
        <v>40444</v>
      </c>
      <c r="V1168" s="79"/>
      <c r="W1168" s="66" t="s">
        <v>1585</v>
      </c>
      <c r="X1168" s="24" t="s">
        <v>1586</v>
      </c>
      <c r="Y1168" s="62"/>
      <c r="Z1168" s="169" t="s">
        <v>894</v>
      </c>
      <c r="AA1168" s="166" t="s">
        <v>2080</v>
      </c>
      <c r="AB1168" s="152"/>
      <c r="AC1168" s="153"/>
      <c r="AD1168" s="154"/>
      <c r="AE1168" s="153"/>
      <c r="AF1168" s="153"/>
      <c r="AG1168" s="153"/>
      <c r="AH1168" s="153"/>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c r="BF1168" s="153"/>
      <c r="BG1168" s="153"/>
      <c r="BH1168" s="153"/>
      <c r="BI1168" s="153"/>
      <c r="BJ1168" s="153"/>
      <c r="BK1168" s="153"/>
      <c r="BL1168" s="153"/>
      <c r="BM1168" s="153"/>
      <c r="BN1168" s="153"/>
      <c r="BO1168" s="153"/>
      <c r="BP1168" s="153"/>
      <c r="BQ1168" s="153"/>
      <c r="BR1168" s="153"/>
      <c r="BS1168" s="153"/>
      <c r="BT1168" s="153"/>
      <c r="BU1168" s="153"/>
      <c r="BV1168" s="153"/>
      <c r="BW1168" s="153"/>
      <c r="BX1168" s="153"/>
      <c r="BY1168" s="153"/>
      <c r="BZ1168" s="153"/>
      <c r="CA1168" s="153"/>
      <c r="CB1168" s="153"/>
      <c r="CC1168" s="153"/>
      <c r="CD1168" s="155"/>
      <c r="CE1168" s="156"/>
      <c r="CF1168" s="155"/>
      <c r="CG1168" s="156"/>
      <c r="CH1168" s="155"/>
      <c r="CI1168" s="156"/>
      <c r="CJ1168" s="157">
        <f t="shared" si="158"/>
        <v>0</v>
      </c>
      <c r="CK1168" s="158"/>
      <c r="CL1168" s="159"/>
      <c r="CM1168" s="160"/>
      <c r="CN1168" s="161"/>
      <c r="CO1168" s="162"/>
      <c r="CP1168" s="161"/>
      <c r="CQ1168" s="158"/>
      <c r="CR1168" s="159"/>
      <c r="CS1168" s="68"/>
      <c r="CT1168" s="163"/>
      <c r="EC1168" s="344" t="str">
        <f t="shared" si="152"/>
        <v>NORTE DE SANTANDER_CUCUTA</v>
      </c>
      <c r="ED1168" s="341"/>
      <c r="EE1168" s="341"/>
      <c r="EF1168" s="348"/>
      <c r="EG1168" s="341"/>
      <c r="EH1168" s="341"/>
      <c r="EI1168" s="341"/>
    </row>
    <row r="1169" spans="1:139" s="164" customFormat="1" ht="108">
      <c r="A1169" s="228">
        <v>40442</v>
      </c>
      <c r="B1169" s="205" t="s">
        <v>965</v>
      </c>
      <c r="C1169" s="205" t="s">
        <v>2083</v>
      </c>
      <c r="D1169" s="207" t="s">
        <v>1201</v>
      </c>
      <c r="E1169" s="323" t="s">
        <v>4012</v>
      </c>
      <c r="F1169" s="323"/>
      <c r="G1169" s="204"/>
      <c r="H1169" s="151"/>
      <c r="I1169" s="151"/>
      <c r="J1169" s="151">
        <f>1983-15-55</f>
        <v>1913</v>
      </c>
      <c r="K1169" s="151">
        <f>547-3-11</f>
        <v>533</v>
      </c>
      <c r="L1169" s="1">
        <v>40511</v>
      </c>
      <c r="M1169" s="73">
        <f t="shared" si="156"/>
        <v>0</v>
      </c>
      <c r="N1169" s="73">
        <f t="shared" si="160"/>
        <v>0</v>
      </c>
      <c r="O1169" s="73">
        <f>400*21315+500*21460+75*49300+3000*850</f>
        <v>25503500</v>
      </c>
      <c r="P1169" s="73">
        <f t="shared" si="157"/>
        <v>0</v>
      </c>
      <c r="Q1169" s="73"/>
      <c r="R1169" s="73">
        <v>0</v>
      </c>
      <c r="S1169" s="75">
        <f t="shared" si="159"/>
        <v>25503500</v>
      </c>
      <c r="T1169" s="77">
        <v>0</v>
      </c>
      <c r="U1169" s="66">
        <v>40444</v>
      </c>
      <c r="V1169" s="79">
        <v>57402</v>
      </c>
      <c r="W1169" s="66" t="s">
        <v>1606</v>
      </c>
      <c r="X1169" s="24" t="s">
        <v>1607</v>
      </c>
      <c r="Y1169" s="62">
        <v>24569</v>
      </c>
      <c r="Z1169" s="169" t="s">
        <v>2580</v>
      </c>
      <c r="AA1169" s="166" t="s">
        <v>657</v>
      </c>
      <c r="AB1169" s="152"/>
      <c r="AC1169" s="153"/>
      <c r="AD1169" s="154"/>
      <c r="AE1169" s="153"/>
      <c r="AF1169" s="153"/>
      <c r="AG1169" s="153"/>
      <c r="AH1169" s="153"/>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c r="BF1169" s="153"/>
      <c r="BG1169" s="153"/>
      <c r="BH1169" s="153"/>
      <c r="BI1169" s="153"/>
      <c r="BJ1169" s="153"/>
      <c r="BK1169" s="153"/>
      <c r="BL1169" s="153"/>
      <c r="BM1169" s="153"/>
      <c r="BN1169" s="153"/>
      <c r="BO1169" s="153"/>
      <c r="BP1169" s="153"/>
      <c r="BQ1169" s="153"/>
      <c r="BR1169" s="153"/>
      <c r="BS1169" s="153"/>
      <c r="BT1169" s="153"/>
      <c r="BU1169" s="153"/>
      <c r="BV1169" s="153"/>
      <c r="BW1169" s="153"/>
      <c r="BX1169" s="153"/>
      <c r="BY1169" s="153"/>
      <c r="BZ1169" s="153"/>
      <c r="CA1169" s="153"/>
      <c r="CB1169" s="153"/>
      <c r="CC1169" s="153"/>
      <c r="CD1169" s="155"/>
      <c r="CE1169" s="156"/>
      <c r="CF1169" s="155"/>
      <c r="CG1169" s="156"/>
      <c r="CH1169" s="155"/>
      <c r="CI1169" s="156"/>
      <c r="CJ1169" s="157">
        <f t="shared" si="158"/>
        <v>0</v>
      </c>
      <c r="CK1169" s="158"/>
      <c r="CL1169" s="159"/>
      <c r="CM1169" s="160"/>
      <c r="CN1169" s="161"/>
      <c r="CO1169" s="162"/>
      <c r="CP1169" s="161"/>
      <c r="CQ1169" s="158"/>
      <c r="CR1169" s="159"/>
      <c r="CS1169" s="68"/>
      <c r="CT1169" s="163"/>
      <c r="EC1169" s="344" t="str">
        <f t="shared" si="152"/>
        <v>NORTE DE SANTANDER_EL ZULIA</v>
      </c>
      <c r="ED1169" s="341"/>
      <c r="EE1169" s="341"/>
      <c r="EF1169" s="348"/>
      <c r="EG1169" s="341"/>
      <c r="EH1169" s="341"/>
      <c r="EI1169" s="341"/>
    </row>
    <row r="1170" spans="1:139" s="164" customFormat="1" ht="25.5">
      <c r="A1170" s="235">
        <v>40443</v>
      </c>
      <c r="B1170" s="269" t="s">
        <v>1972</v>
      </c>
      <c r="C1170" s="269" t="s">
        <v>588</v>
      </c>
      <c r="D1170" s="270" t="s">
        <v>1201</v>
      </c>
      <c r="E1170" s="327" t="s">
        <v>3332</v>
      </c>
      <c r="F1170" s="327"/>
      <c r="G1170" s="204"/>
      <c r="H1170" s="151"/>
      <c r="I1170" s="151"/>
      <c r="J1170" s="151">
        <v>1000</v>
      </c>
      <c r="K1170" s="151">
        <v>200</v>
      </c>
      <c r="L1170" s="1"/>
      <c r="M1170" s="73">
        <f t="shared" si="156"/>
        <v>0</v>
      </c>
      <c r="N1170" s="73">
        <f t="shared" si="160"/>
        <v>0</v>
      </c>
      <c r="O1170" s="73">
        <f t="shared" ref="O1170:O1196" si="161">CP1170+CR1170</f>
        <v>0</v>
      </c>
      <c r="P1170" s="73">
        <f t="shared" si="157"/>
        <v>0</v>
      </c>
      <c r="Q1170" s="73"/>
      <c r="R1170" s="73">
        <v>0</v>
      </c>
      <c r="S1170" s="75">
        <f t="shared" si="159"/>
        <v>0</v>
      </c>
      <c r="T1170" s="77">
        <v>0</v>
      </c>
      <c r="U1170" s="66">
        <v>40444</v>
      </c>
      <c r="V1170" s="79"/>
      <c r="W1170" s="66" t="s">
        <v>1585</v>
      </c>
      <c r="X1170" s="24" t="s">
        <v>1586</v>
      </c>
      <c r="Y1170" s="62"/>
      <c r="Z1170" s="169" t="s">
        <v>894</v>
      </c>
      <c r="AA1170" s="166" t="s">
        <v>1284</v>
      </c>
      <c r="AB1170" s="152"/>
      <c r="AC1170" s="153"/>
      <c r="AD1170" s="154"/>
      <c r="AE1170" s="153"/>
      <c r="AF1170" s="153"/>
      <c r="AG1170" s="153"/>
      <c r="AH1170" s="153"/>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c r="BF1170" s="153"/>
      <c r="BG1170" s="153"/>
      <c r="BH1170" s="153"/>
      <c r="BI1170" s="153"/>
      <c r="BJ1170" s="153"/>
      <c r="BK1170" s="153"/>
      <c r="BL1170" s="153"/>
      <c r="BM1170" s="153"/>
      <c r="BN1170" s="153"/>
      <c r="BO1170" s="153"/>
      <c r="BP1170" s="153"/>
      <c r="BQ1170" s="153"/>
      <c r="BR1170" s="153"/>
      <c r="BS1170" s="153"/>
      <c r="BT1170" s="153"/>
      <c r="BU1170" s="153"/>
      <c r="BV1170" s="153"/>
      <c r="BW1170" s="153"/>
      <c r="BX1170" s="153"/>
      <c r="BY1170" s="153"/>
      <c r="BZ1170" s="153"/>
      <c r="CA1170" s="153"/>
      <c r="CB1170" s="153"/>
      <c r="CC1170" s="153"/>
      <c r="CD1170" s="155"/>
      <c r="CE1170" s="156"/>
      <c r="CF1170" s="155"/>
      <c r="CG1170" s="156"/>
      <c r="CH1170" s="155"/>
      <c r="CI1170" s="156"/>
      <c r="CJ1170" s="157">
        <f t="shared" si="158"/>
        <v>0</v>
      </c>
      <c r="CK1170" s="158"/>
      <c r="CL1170" s="159"/>
      <c r="CM1170" s="160"/>
      <c r="CN1170" s="161"/>
      <c r="CO1170" s="162"/>
      <c r="CP1170" s="161"/>
      <c r="CQ1170" s="158"/>
      <c r="CR1170" s="159"/>
      <c r="CS1170" s="68"/>
      <c r="CT1170" s="163"/>
      <c r="EC1170" s="344" t="str">
        <f t="shared" si="152"/>
        <v>ANTIOQUIA_SONSON</v>
      </c>
      <c r="ED1170" s="341"/>
      <c r="EE1170" s="341"/>
      <c r="EF1170" s="348"/>
      <c r="EG1170" s="341"/>
      <c r="EH1170" s="341"/>
      <c r="EI1170" s="341"/>
    </row>
    <row r="1171" spans="1:139" s="164" customFormat="1" ht="38.25">
      <c r="A1171" s="228">
        <v>40443</v>
      </c>
      <c r="B1171" s="205" t="s">
        <v>1551</v>
      </c>
      <c r="C1171" s="205" t="s">
        <v>1590</v>
      </c>
      <c r="D1171" s="207" t="s">
        <v>1265</v>
      </c>
      <c r="E1171" s="323" t="s">
        <v>3352</v>
      </c>
      <c r="F1171" s="323"/>
      <c r="G1171" s="204"/>
      <c r="H1171" s="151"/>
      <c r="I1171" s="151"/>
      <c r="J1171" s="151">
        <v>580</v>
      </c>
      <c r="K1171" s="151">
        <v>116</v>
      </c>
      <c r="L1171" s="1"/>
      <c r="M1171" s="73">
        <f t="shared" si="156"/>
        <v>0</v>
      </c>
      <c r="N1171" s="73">
        <f t="shared" si="160"/>
        <v>0</v>
      </c>
      <c r="O1171" s="73">
        <f t="shared" si="161"/>
        <v>0</v>
      </c>
      <c r="P1171" s="73">
        <f t="shared" si="157"/>
        <v>0</v>
      </c>
      <c r="Q1171" s="73"/>
      <c r="R1171" s="73">
        <v>0</v>
      </c>
      <c r="S1171" s="75">
        <f t="shared" si="159"/>
        <v>0</v>
      </c>
      <c r="T1171" s="77">
        <v>0</v>
      </c>
      <c r="U1171" s="66">
        <v>40444</v>
      </c>
      <c r="V1171" s="79"/>
      <c r="W1171" s="66" t="s">
        <v>1585</v>
      </c>
      <c r="X1171" s="24" t="s">
        <v>1586</v>
      </c>
      <c r="Y1171" s="62"/>
      <c r="Z1171" s="169" t="s">
        <v>894</v>
      </c>
      <c r="AA1171" s="166" t="s">
        <v>1282</v>
      </c>
      <c r="AB1171" s="152"/>
      <c r="AC1171" s="153"/>
      <c r="AD1171" s="154"/>
      <c r="AE1171" s="153"/>
      <c r="AF1171" s="153"/>
      <c r="AG1171" s="153"/>
      <c r="AH1171" s="153"/>
      <c r="AI1171" s="153"/>
      <c r="AJ1171" s="153"/>
      <c r="AK1171" s="153"/>
      <c r="AL1171" s="153"/>
      <c r="AM1171" s="153"/>
      <c r="AN1171" s="153"/>
      <c r="AO1171" s="153"/>
      <c r="AP1171" s="153"/>
      <c r="AQ1171" s="153"/>
      <c r="AR1171" s="153"/>
      <c r="AS1171" s="153"/>
      <c r="AT1171" s="153"/>
      <c r="AU1171" s="153"/>
      <c r="AV1171" s="153"/>
      <c r="AW1171" s="153"/>
      <c r="AX1171" s="153"/>
      <c r="AY1171" s="153"/>
      <c r="AZ1171" s="153"/>
      <c r="BA1171" s="153"/>
      <c r="BB1171" s="153"/>
      <c r="BC1171" s="153"/>
      <c r="BD1171" s="153"/>
      <c r="BE1171" s="153"/>
      <c r="BF1171" s="153"/>
      <c r="BG1171" s="153"/>
      <c r="BH1171" s="153"/>
      <c r="BI1171" s="153"/>
      <c r="BJ1171" s="153"/>
      <c r="BK1171" s="153"/>
      <c r="BL1171" s="153"/>
      <c r="BM1171" s="153"/>
      <c r="BN1171" s="153"/>
      <c r="BO1171" s="153"/>
      <c r="BP1171" s="153"/>
      <c r="BQ1171" s="153"/>
      <c r="BR1171" s="153"/>
      <c r="BS1171" s="153"/>
      <c r="BT1171" s="153"/>
      <c r="BU1171" s="153"/>
      <c r="BV1171" s="153"/>
      <c r="BW1171" s="153"/>
      <c r="BX1171" s="153"/>
      <c r="BY1171" s="153"/>
      <c r="BZ1171" s="153"/>
      <c r="CA1171" s="153"/>
      <c r="CB1171" s="153"/>
      <c r="CC1171" s="153"/>
      <c r="CD1171" s="155"/>
      <c r="CE1171" s="156"/>
      <c r="CF1171" s="155"/>
      <c r="CG1171" s="156"/>
      <c r="CH1171" s="155"/>
      <c r="CI1171" s="156"/>
      <c r="CJ1171" s="157">
        <f t="shared" si="158"/>
        <v>0</v>
      </c>
      <c r="CK1171" s="158"/>
      <c r="CL1171" s="159"/>
      <c r="CM1171" s="160"/>
      <c r="CN1171" s="161"/>
      <c r="CO1171" s="162"/>
      <c r="CP1171" s="161"/>
      <c r="CQ1171" s="158"/>
      <c r="CR1171" s="159"/>
      <c r="CS1171" s="68"/>
      <c r="CT1171" s="163"/>
      <c r="EC1171" s="344" t="str">
        <f t="shared" si="152"/>
        <v>ATLANTICO_BARRANQUILLA</v>
      </c>
      <c r="ED1171" s="341"/>
      <c r="EE1171" s="341"/>
      <c r="EF1171" s="348"/>
      <c r="EG1171" s="341"/>
      <c r="EH1171" s="341"/>
      <c r="EI1171" s="341"/>
    </row>
    <row r="1172" spans="1:139" s="164" customFormat="1" ht="25.5">
      <c r="A1172" s="228">
        <v>40443</v>
      </c>
      <c r="B1172" s="205" t="s">
        <v>1615</v>
      </c>
      <c r="C1172" s="205" t="s">
        <v>1445</v>
      </c>
      <c r="D1172" s="207" t="s">
        <v>1201</v>
      </c>
      <c r="E1172" s="323" t="s">
        <v>3420</v>
      </c>
      <c r="F1172" s="323"/>
      <c r="G1172" s="204"/>
      <c r="H1172" s="151"/>
      <c r="I1172" s="151"/>
      <c r="J1172" s="151">
        <v>5</v>
      </c>
      <c r="K1172" s="151">
        <v>1</v>
      </c>
      <c r="L1172" s="1"/>
      <c r="M1172" s="73">
        <f t="shared" si="156"/>
        <v>0</v>
      </c>
      <c r="N1172" s="73">
        <f t="shared" si="160"/>
        <v>0</v>
      </c>
      <c r="O1172" s="73">
        <f t="shared" si="161"/>
        <v>0</v>
      </c>
      <c r="P1172" s="73">
        <f t="shared" si="157"/>
        <v>0</v>
      </c>
      <c r="Q1172" s="73"/>
      <c r="R1172" s="73">
        <v>0</v>
      </c>
      <c r="S1172" s="75">
        <f t="shared" si="159"/>
        <v>0</v>
      </c>
      <c r="T1172" s="77">
        <v>0</v>
      </c>
      <c r="U1172" s="66">
        <v>40444</v>
      </c>
      <c r="V1172" s="79"/>
      <c r="W1172" s="66" t="s">
        <v>1585</v>
      </c>
      <c r="X1172" s="24" t="s">
        <v>1586</v>
      </c>
      <c r="Y1172" s="62"/>
      <c r="Z1172" s="169" t="s">
        <v>894</v>
      </c>
      <c r="AA1172" s="166" t="s">
        <v>1264</v>
      </c>
      <c r="AB1172" s="152"/>
      <c r="AC1172" s="153"/>
      <c r="AD1172" s="154"/>
      <c r="AE1172" s="153"/>
      <c r="AF1172" s="153"/>
      <c r="AG1172" s="153"/>
      <c r="AH1172" s="153"/>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c r="BF1172" s="153"/>
      <c r="BG1172" s="153"/>
      <c r="BH1172" s="153"/>
      <c r="BI1172" s="153"/>
      <c r="BJ1172" s="153"/>
      <c r="BK1172" s="153"/>
      <c r="BL1172" s="153"/>
      <c r="BM1172" s="153"/>
      <c r="BN1172" s="153"/>
      <c r="BO1172" s="153"/>
      <c r="BP1172" s="153"/>
      <c r="BQ1172" s="153"/>
      <c r="BR1172" s="153"/>
      <c r="BS1172" s="153"/>
      <c r="BT1172" s="153"/>
      <c r="BU1172" s="153"/>
      <c r="BV1172" s="153"/>
      <c r="BW1172" s="153"/>
      <c r="BX1172" s="153"/>
      <c r="BY1172" s="153"/>
      <c r="BZ1172" s="153"/>
      <c r="CA1172" s="153"/>
      <c r="CB1172" s="153"/>
      <c r="CC1172" s="153"/>
      <c r="CD1172" s="155"/>
      <c r="CE1172" s="156"/>
      <c r="CF1172" s="155"/>
      <c r="CG1172" s="156"/>
      <c r="CH1172" s="155"/>
      <c r="CI1172" s="156"/>
      <c r="CJ1172" s="157">
        <f t="shared" si="158"/>
        <v>0</v>
      </c>
      <c r="CK1172" s="158"/>
      <c r="CL1172" s="159"/>
      <c r="CM1172" s="160"/>
      <c r="CN1172" s="161"/>
      <c r="CO1172" s="162"/>
      <c r="CP1172" s="161"/>
      <c r="CQ1172" s="158"/>
      <c r="CR1172" s="159"/>
      <c r="CS1172" s="68"/>
      <c r="CT1172" s="163"/>
      <c r="EC1172" s="344" t="str">
        <f t="shared" si="152"/>
        <v>BOLIVAR_ZAMBRANO</v>
      </c>
      <c r="ED1172" s="341"/>
      <c r="EE1172" s="341"/>
      <c r="EF1172" s="348"/>
      <c r="EG1172" s="341"/>
      <c r="EH1172" s="341"/>
      <c r="EI1172" s="341"/>
    </row>
    <row r="1173" spans="1:139" s="164" customFormat="1" ht="72">
      <c r="A1173" s="228">
        <v>40443</v>
      </c>
      <c r="B1173" s="205" t="s">
        <v>653</v>
      </c>
      <c r="C1173" s="205" t="s">
        <v>1027</v>
      </c>
      <c r="D1173" s="207" t="s">
        <v>1201</v>
      </c>
      <c r="E1173" s="323" t="s">
        <v>3550</v>
      </c>
      <c r="F1173" s="323"/>
      <c r="G1173" s="204"/>
      <c r="H1173" s="151"/>
      <c r="I1173" s="151"/>
      <c r="J1173" s="151">
        <f>1134*5</f>
        <v>5670</v>
      </c>
      <c r="K1173" s="151">
        <v>1134</v>
      </c>
      <c r="L1173" s="1"/>
      <c r="M1173" s="73">
        <f t="shared" si="156"/>
        <v>0</v>
      </c>
      <c r="N1173" s="73">
        <f t="shared" si="160"/>
        <v>0</v>
      </c>
      <c r="O1173" s="73">
        <f t="shared" si="161"/>
        <v>0</v>
      </c>
      <c r="P1173" s="73">
        <f t="shared" si="157"/>
        <v>0</v>
      </c>
      <c r="Q1173" s="73"/>
      <c r="R1173" s="73">
        <v>0</v>
      </c>
      <c r="S1173" s="75">
        <f t="shared" si="159"/>
        <v>0</v>
      </c>
      <c r="T1173" s="77">
        <v>0</v>
      </c>
      <c r="U1173" s="66">
        <v>40444</v>
      </c>
      <c r="V1173" s="79"/>
      <c r="W1173" s="66" t="s">
        <v>1606</v>
      </c>
      <c r="X1173" s="24" t="s">
        <v>1607</v>
      </c>
      <c r="Y1173" s="62"/>
      <c r="Z1173" s="176" t="s">
        <v>3056</v>
      </c>
      <c r="AA1173" s="166" t="s">
        <v>47</v>
      </c>
      <c r="AB1173" s="152"/>
      <c r="AC1173" s="153"/>
      <c r="AD1173" s="154"/>
      <c r="AE1173" s="153"/>
      <c r="AF1173" s="153"/>
      <c r="AG1173" s="153"/>
      <c r="AH1173" s="153"/>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c r="BF1173" s="153"/>
      <c r="BG1173" s="153"/>
      <c r="BH1173" s="153"/>
      <c r="BI1173" s="153"/>
      <c r="BJ1173" s="153"/>
      <c r="BK1173" s="153"/>
      <c r="BL1173" s="153"/>
      <c r="BM1173" s="153"/>
      <c r="BN1173" s="153"/>
      <c r="BO1173" s="153"/>
      <c r="BP1173" s="153"/>
      <c r="BQ1173" s="153"/>
      <c r="BR1173" s="153"/>
      <c r="BS1173" s="153"/>
      <c r="BT1173" s="153"/>
      <c r="BU1173" s="153"/>
      <c r="BV1173" s="153"/>
      <c r="BW1173" s="153"/>
      <c r="BX1173" s="153"/>
      <c r="BY1173" s="153"/>
      <c r="BZ1173" s="153"/>
      <c r="CA1173" s="153"/>
      <c r="CB1173" s="153"/>
      <c r="CC1173" s="153"/>
      <c r="CD1173" s="155"/>
      <c r="CE1173" s="156"/>
      <c r="CF1173" s="155"/>
      <c r="CG1173" s="156"/>
      <c r="CH1173" s="155"/>
      <c r="CI1173" s="156"/>
      <c r="CJ1173" s="157">
        <f t="shared" si="158"/>
        <v>0</v>
      </c>
      <c r="CK1173" s="158"/>
      <c r="CL1173" s="159"/>
      <c r="CM1173" s="160"/>
      <c r="CN1173" s="161"/>
      <c r="CO1173" s="162"/>
      <c r="CP1173" s="161"/>
      <c r="CQ1173" s="158"/>
      <c r="CR1173" s="159"/>
      <c r="CS1173" s="68"/>
      <c r="CT1173" s="163"/>
      <c r="EC1173" s="344" t="str">
        <f t="shared" si="152"/>
        <v>CALDAS_LA DORADA</v>
      </c>
      <c r="ED1173" s="341"/>
      <c r="EE1173" s="341"/>
      <c r="EF1173" s="348"/>
      <c r="EG1173" s="341"/>
      <c r="EH1173" s="341"/>
      <c r="EI1173" s="341"/>
    </row>
    <row r="1174" spans="1:139" s="164" customFormat="1" ht="25.5">
      <c r="A1174" s="228">
        <v>40443</v>
      </c>
      <c r="B1174" s="205" t="s">
        <v>653</v>
      </c>
      <c r="C1174" s="205" t="s">
        <v>3127</v>
      </c>
      <c r="D1174" s="207" t="s">
        <v>1201</v>
      </c>
      <c r="E1174" s="323" t="s">
        <v>3567</v>
      </c>
      <c r="F1174" s="323"/>
      <c r="G1174" s="204"/>
      <c r="H1174" s="151"/>
      <c r="I1174" s="151"/>
      <c r="J1174" s="151">
        <f>253*5</f>
        <v>1265</v>
      </c>
      <c r="K1174" s="151">
        <f>289-28-8</f>
        <v>253</v>
      </c>
      <c r="L1174" s="1"/>
      <c r="M1174" s="73">
        <f t="shared" si="156"/>
        <v>0</v>
      </c>
      <c r="N1174" s="73">
        <f t="shared" si="160"/>
        <v>0</v>
      </c>
      <c r="O1174" s="73">
        <f t="shared" si="161"/>
        <v>0</v>
      </c>
      <c r="P1174" s="73">
        <f t="shared" si="157"/>
        <v>0</v>
      </c>
      <c r="Q1174" s="73"/>
      <c r="R1174" s="73">
        <v>0</v>
      </c>
      <c r="S1174" s="75">
        <f t="shared" si="159"/>
        <v>0</v>
      </c>
      <c r="T1174" s="77">
        <v>0</v>
      </c>
      <c r="U1174" s="66">
        <v>40444</v>
      </c>
      <c r="V1174" s="79"/>
      <c r="W1174" s="66" t="s">
        <v>1606</v>
      </c>
      <c r="X1174" s="24" t="s">
        <v>1607</v>
      </c>
      <c r="Y1174" s="62"/>
      <c r="Z1174" s="176" t="s">
        <v>3056</v>
      </c>
      <c r="AA1174" s="166" t="s">
        <v>1283</v>
      </c>
      <c r="AB1174" s="152"/>
      <c r="AC1174" s="153"/>
      <c r="AD1174" s="154"/>
      <c r="AE1174" s="153"/>
      <c r="AF1174" s="153"/>
      <c r="AG1174" s="153"/>
      <c r="AH1174" s="153"/>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c r="BF1174" s="153"/>
      <c r="BG1174" s="153"/>
      <c r="BH1174" s="153"/>
      <c r="BI1174" s="153"/>
      <c r="BJ1174" s="153"/>
      <c r="BK1174" s="153"/>
      <c r="BL1174" s="153"/>
      <c r="BM1174" s="153"/>
      <c r="BN1174" s="153"/>
      <c r="BO1174" s="153"/>
      <c r="BP1174" s="153"/>
      <c r="BQ1174" s="153"/>
      <c r="BR1174" s="153"/>
      <c r="BS1174" s="153"/>
      <c r="BT1174" s="153"/>
      <c r="BU1174" s="153"/>
      <c r="BV1174" s="153"/>
      <c r="BW1174" s="153"/>
      <c r="BX1174" s="153"/>
      <c r="BY1174" s="153"/>
      <c r="BZ1174" s="153"/>
      <c r="CA1174" s="153"/>
      <c r="CB1174" s="153"/>
      <c r="CC1174" s="153"/>
      <c r="CD1174" s="155"/>
      <c r="CE1174" s="156"/>
      <c r="CF1174" s="155"/>
      <c r="CG1174" s="156"/>
      <c r="CH1174" s="155"/>
      <c r="CI1174" s="156"/>
      <c r="CJ1174" s="157">
        <f t="shared" si="158"/>
        <v>0</v>
      </c>
      <c r="CK1174" s="158"/>
      <c r="CL1174" s="159"/>
      <c r="CM1174" s="160"/>
      <c r="CN1174" s="161"/>
      <c r="CO1174" s="162"/>
      <c r="CP1174" s="161"/>
      <c r="CQ1174" s="158"/>
      <c r="CR1174" s="159"/>
      <c r="CS1174" s="68"/>
      <c r="CT1174" s="163"/>
      <c r="EC1174" s="344" t="str">
        <f t="shared" si="152"/>
        <v>CALDAS_VICTORIA</v>
      </c>
      <c r="ED1174" s="341"/>
      <c r="EE1174" s="341"/>
      <c r="EF1174" s="348"/>
      <c r="EG1174" s="341"/>
      <c r="EH1174" s="341"/>
      <c r="EI1174" s="341"/>
    </row>
    <row r="1175" spans="1:139" s="164" customFormat="1" ht="45">
      <c r="A1175" s="228">
        <v>40443</v>
      </c>
      <c r="B1175" s="102" t="s">
        <v>4321</v>
      </c>
      <c r="C1175" s="205" t="s">
        <v>1236</v>
      </c>
      <c r="D1175" s="207" t="s">
        <v>1201</v>
      </c>
      <c r="E1175" s="323" t="s">
        <v>3869</v>
      </c>
      <c r="F1175" s="323"/>
      <c r="G1175" s="213"/>
      <c r="H1175" s="175"/>
      <c r="I1175" s="175"/>
      <c r="J1175" s="175">
        <f>4878*5</f>
        <v>24390</v>
      </c>
      <c r="K1175" s="175">
        <f>5508-26-395-209</f>
        <v>4878</v>
      </c>
      <c r="L1175" s="1">
        <v>40508</v>
      </c>
      <c r="M1175" s="73">
        <f t="shared" si="156"/>
        <v>124173000</v>
      </c>
      <c r="N1175" s="73">
        <f t="shared" si="160"/>
        <v>103275000</v>
      </c>
      <c r="O1175" s="73">
        <f t="shared" si="161"/>
        <v>0</v>
      </c>
      <c r="P1175" s="73">
        <f t="shared" si="157"/>
        <v>0</v>
      </c>
      <c r="Q1175" s="73"/>
      <c r="R1175" s="73">
        <v>0</v>
      </c>
      <c r="S1175" s="75">
        <f t="shared" si="159"/>
        <v>227448000</v>
      </c>
      <c r="T1175" s="77">
        <v>0</v>
      </c>
      <c r="U1175" s="66">
        <v>40449</v>
      </c>
      <c r="V1175" s="79">
        <v>59457</v>
      </c>
      <c r="W1175" s="66" t="s">
        <v>1606</v>
      </c>
      <c r="X1175" s="24" t="s">
        <v>1607</v>
      </c>
      <c r="Y1175" s="62">
        <v>25041</v>
      </c>
      <c r="Z1175" s="177" t="s">
        <v>2580</v>
      </c>
      <c r="AA1175" s="166" t="s">
        <v>902</v>
      </c>
      <c r="AB1175" s="152"/>
      <c r="AC1175" s="153"/>
      <c r="AD1175" s="154"/>
      <c r="AE1175" s="153"/>
      <c r="AF1175" s="153"/>
      <c r="AG1175" s="153"/>
      <c r="AH1175" s="153"/>
      <c r="AI1175" s="153"/>
      <c r="AJ1175" s="153"/>
      <c r="AK1175" s="153"/>
      <c r="AL1175" s="153"/>
      <c r="AM1175" s="153"/>
      <c r="AN1175" s="153"/>
      <c r="AO1175" s="153"/>
      <c r="AP1175" s="153"/>
      <c r="AQ1175" s="153"/>
      <c r="AR1175" s="153"/>
      <c r="AS1175" s="153"/>
      <c r="AT1175" s="153"/>
      <c r="AU1175" s="153"/>
      <c r="AV1175" s="153"/>
      <c r="AW1175" s="153"/>
      <c r="AX1175" s="153"/>
      <c r="AY1175" s="153"/>
      <c r="AZ1175" s="153">
        <v>1215</v>
      </c>
      <c r="BA1175" s="153">
        <f>1215*25500</f>
        <v>30982500</v>
      </c>
      <c r="BB1175" s="153"/>
      <c r="BC1175" s="153"/>
      <c r="BD1175" s="153"/>
      <c r="BE1175" s="153"/>
      <c r="BF1175" s="153"/>
      <c r="BG1175" s="153"/>
      <c r="BH1175" s="153"/>
      <c r="BI1175" s="153"/>
      <c r="BJ1175" s="153"/>
      <c r="BK1175" s="153"/>
      <c r="BL1175" s="153"/>
      <c r="BM1175" s="153"/>
      <c r="BN1175" s="153"/>
      <c r="BO1175" s="153"/>
      <c r="BP1175" s="153"/>
      <c r="BQ1175" s="153"/>
      <c r="BR1175" s="153"/>
      <c r="BS1175" s="153"/>
      <c r="BT1175" s="153"/>
      <c r="BU1175" s="153"/>
      <c r="BV1175" s="153"/>
      <c r="BW1175" s="153"/>
      <c r="BX1175" s="153"/>
      <c r="BY1175" s="153"/>
      <c r="BZ1175" s="153"/>
      <c r="CA1175" s="153"/>
      <c r="CB1175" s="153"/>
      <c r="CC1175" s="153"/>
      <c r="CD1175" s="182">
        <v>1215</v>
      </c>
      <c r="CE1175" s="183">
        <f>1215*37000</f>
        <v>44955000</v>
      </c>
      <c r="CF1175" s="182">
        <v>1215</v>
      </c>
      <c r="CG1175" s="183">
        <f>1215*39700</f>
        <v>48235500</v>
      </c>
      <c r="CH1175" s="182"/>
      <c r="CI1175" s="183"/>
      <c r="CJ1175" s="157">
        <f t="shared" si="158"/>
        <v>124173000</v>
      </c>
      <c r="CK1175" s="184"/>
      <c r="CL1175" s="185"/>
      <c r="CM1175" s="186">
        <v>1215</v>
      </c>
      <c r="CN1175" s="187">
        <f>1215*85000</f>
        <v>103275000</v>
      </c>
      <c r="CO1175" s="188"/>
      <c r="CP1175" s="187"/>
      <c r="CQ1175" s="184"/>
      <c r="CR1175" s="185"/>
      <c r="CS1175" s="68"/>
      <c r="CT1175" s="171"/>
      <c r="EC1175" s="344" t="str">
        <f t="shared" si="152"/>
        <v>LA GUAJIRA_MAICAO</v>
      </c>
      <c r="ED1175" s="341"/>
      <c r="EE1175" s="341"/>
      <c r="EF1175" s="348"/>
      <c r="EG1175" s="341"/>
      <c r="EH1175" s="341"/>
      <c r="EI1175" s="341"/>
    </row>
    <row r="1176" spans="1:139" s="164" customFormat="1" ht="25.5">
      <c r="A1176" s="228">
        <v>40444</v>
      </c>
      <c r="B1176" s="102" t="s">
        <v>1295</v>
      </c>
      <c r="C1176" s="205" t="s">
        <v>1268</v>
      </c>
      <c r="D1176" s="207" t="s">
        <v>1201</v>
      </c>
      <c r="E1176" s="323" t="s">
        <v>3667</v>
      </c>
      <c r="F1176" s="323"/>
      <c r="G1176" s="204"/>
      <c r="H1176" s="151"/>
      <c r="I1176" s="151"/>
      <c r="J1176" s="151">
        <v>18420</v>
      </c>
      <c r="K1176" s="151">
        <v>3684</v>
      </c>
      <c r="L1176" s="1">
        <v>40504</v>
      </c>
      <c r="M1176" s="73">
        <f t="shared" si="156"/>
        <v>1983616</v>
      </c>
      <c r="N1176" s="73">
        <f t="shared" si="160"/>
        <v>2040000</v>
      </c>
      <c r="O1176" s="73">
        <f t="shared" si="161"/>
        <v>0</v>
      </c>
      <c r="P1176" s="73">
        <f t="shared" si="157"/>
        <v>0</v>
      </c>
      <c r="Q1176" s="73"/>
      <c r="R1176" s="73">
        <v>0</v>
      </c>
      <c r="S1176" s="75">
        <f t="shared" si="159"/>
        <v>4023616</v>
      </c>
      <c r="T1176" s="77">
        <v>0</v>
      </c>
      <c r="U1176" s="66">
        <v>40504</v>
      </c>
      <c r="V1176" s="79">
        <v>40466</v>
      </c>
      <c r="W1176" s="66" t="s">
        <v>1606</v>
      </c>
      <c r="X1176" s="24" t="s">
        <v>1607</v>
      </c>
      <c r="Y1176" s="62">
        <v>23555</v>
      </c>
      <c r="Z1176" s="169" t="s">
        <v>1795</v>
      </c>
      <c r="AA1176" s="166" t="s">
        <v>1501</v>
      </c>
      <c r="AB1176" s="152"/>
      <c r="AC1176" s="153"/>
      <c r="AD1176" s="154"/>
      <c r="AE1176" s="153"/>
      <c r="AF1176" s="153"/>
      <c r="AG1176" s="153"/>
      <c r="AH1176" s="153"/>
      <c r="AI1176" s="153"/>
      <c r="AJ1176" s="153"/>
      <c r="AK1176" s="153"/>
      <c r="AL1176" s="153"/>
      <c r="AM1176" s="153"/>
      <c r="AN1176" s="153">
        <v>25</v>
      </c>
      <c r="AO1176" s="153">
        <f>25*56000</f>
        <v>1400000</v>
      </c>
      <c r="AP1176" s="153"/>
      <c r="AQ1176" s="153"/>
      <c r="AR1176" s="153"/>
      <c r="AS1176" s="153"/>
      <c r="AT1176" s="153"/>
      <c r="AU1176" s="153"/>
      <c r="AV1176" s="153"/>
      <c r="AW1176" s="153"/>
      <c r="AX1176" s="153"/>
      <c r="AY1176" s="153"/>
      <c r="AZ1176" s="153"/>
      <c r="BA1176" s="153"/>
      <c r="BB1176" s="153"/>
      <c r="BC1176" s="153"/>
      <c r="BD1176" s="153"/>
      <c r="BE1176" s="153"/>
      <c r="BF1176" s="153"/>
      <c r="BG1176" s="153"/>
      <c r="BH1176" s="153"/>
      <c r="BI1176" s="153"/>
      <c r="BJ1176" s="153"/>
      <c r="BK1176" s="153"/>
      <c r="BL1176" s="153"/>
      <c r="BM1176" s="153"/>
      <c r="BN1176" s="153"/>
      <c r="BO1176" s="153"/>
      <c r="BP1176" s="153"/>
      <c r="BQ1176" s="153"/>
      <c r="BR1176" s="153"/>
      <c r="BS1176" s="153"/>
      <c r="BT1176" s="153"/>
      <c r="BU1176" s="153"/>
      <c r="BV1176" s="153"/>
      <c r="BW1176" s="153"/>
      <c r="BX1176" s="153"/>
      <c r="BY1176" s="153"/>
      <c r="BZ1176" s="153"/>
      <c r="CA1176" s="153"/>
      <c r="CB1176" s="153"/>
      <c r="CC1176" s="153"/>
      <c r="CD1176" s="155">
        <v>8</v>
      </c>
      <c r="CE1176" s="156">
        <f>8*36952</f>
        <v>295616</v>
      </c>
      <c r="CF1176" s="155">
        <v>8</v>
      </c>
      <c r="CG1176" s="156">
        <f>8*36000</f>
        <v>288000</v>
      </c>
      <c r="CH1176" s="155"/>
      <c r="CI1176" s="156"/>
      <c r="CJ1176" s="157">
        <f t="shared" si="158"/>
        <v>1983616</v>
      </c>
      <c r="CK1176" s="158"/>
      <c r="CL1176" s="159"/>
      <c r="CM1176" s="160">
        <f>8+8+8</f>
        <v>24</v>
      </c>
      <c r="CN1176" s="161">
        <f>8*85000+8*85000+8*85000</f>
        <v>2040000</v>
      </c>
      <c r="CO1176" s="162"/>
      <c r="CP1176" s="161"/>
      <c r="CQ1176" s="158"/>
      <c r="CR1176" s="159"/>
      <c r="CS1176" s="68"/>
      <c r="CT1176" s="163"/>
      <c r="EC1176" s="344" t="str">
        <f t="shared" ref="EC1176:EC1237" si="162">B1176&amp;"_"&amp;C1176</f>
        <v>CORDOBA_MOÑITOS</v>
      </c>
      <c r="ED1176" s="341"/>
      <c r="EE1176" s="341"/>
      <c r="EF1176" s="348"/>
      <c r="EG1176" s="341"/>
      <c r="EH1176" s="341"/>
      <c r="EI1176" s="341"/>
    </row>
    <row r="1177" spans="1:139" s="164" customFormat="1" ht="45">
      <c r="A1177" s="228">
        <v>40444</v>
      </c>
      <c r="B1177" s="102" t="s">
        <v>4321</v>
      </c>
      <c r="C1177" s="205" t="s">
        <v>1553</v>
      </c>
      <c r="D1177" s="207" t="s">
        <v>1201</v>
      </c>
      <c r="E1177" s="323" t="s">
        <v>3874</v>
      </c>
      <c r="F1177" s="323"/>
      <c r="G1177" s="204"/>
      <c r="H1177" s="151"/>
      <c r="I1177" s="151"/>
      <c r="J1177" s="151"/>
      <c r="K1177" s="151"/>
      <c r="L1177" s="1">
        <v>40508</v>
      </c>
      <c r="M1177" s="73">
        <f t="shared" si="156"/>
        <v>19009200</v>
      </c>
      <c r="N1177" s="73">
        <f t="shared" si="160"/>
        <v>15810000</v>
      </c>
      <c r="O1177" s="73">
        <f t="shared" si="161"/>
        <v>0</v>
      </c>
      <c r="P1177" s="73">
        <f t="shared" si="157"/>
        <v>0</v>
      </c>
      <c r="Q1177" s="73"/>
      <c r="R1177" s="73">
        <v>0</v>
      </c>
      <c r="S1177" s="75">
        <f t="shared" si="159"/>
        <v>34819200</v>
      </c>
      <c r="T1177" s="77">
        <v>0</v>
      </c>
      <c r="U1177" s="66">
        <v>40478</v>
      </c>
      <c r="V1177" s="79">
        <v>59457</v>
      </c>
      <c r="W1177" s="66" t="s">
        <v>1606</v>
      </c>
      <c r="X1177" s="24" t="s">
        <v>1607</v>
      </c>
      <c r="Y1177" s="62">
        <v>24642</v>
      </c>
      <c r="Z1177" s="177" t="s">
        <v>2580</v>
      </c>
      <c r="AA1177" s="166" t="s">
        <v>1150</v>
      </c>
      <c r="AB1177" s="152"/>
      <c r="AC1177" s="153"/>
      <c r="AD1177" s="154"/>
      <c r="AE1177" s="153"/>
      <c r="AF1177" s="153"/>
      <c r="AG1177" s="153"/>
      <c r="AH1177" s="153"/>
      <c r="AI1177" s="153"/>
      <c r="AJ1177" s="153"/>
      <c r="AK1177" s="153"/>
      <c r="AL1177" s="153"/>
      <c r="AM1177" s="153"/>
      <c r="AN1177" s="153"/>
      <c r="AO1177" s="153"/>
      <c r="AP1177" s="153"/>
      <c r="AQ1177" s="153"/>
      <c r="AR1177" s="153"/>
      <c r="AS1177" s="153"/>
      <c r="AT1177" s="153"/>
      <c r="AU1177" s="153"/>
      <c r="AV1177" s="153"/>
      <c r="AW1177" s="153"/>
      <c r="AX1177" s="153"/>
      <c r="AY1177" s="153"/>
      <c r="AZ1177" s="153">
        <v>186</v>
      </c>
      <c r="BA1177" s="153">
        <f>186*25500</f>
        <v>4743000</v>
      </c>
      <c r="BB1177" s="153"/>
      <c r="BC1177" s="153"/>
      <c r="BD1177" s="153"/>
      <c r="BE1177" s="153"/>
      <c r="BF1177" s="153"/>
      <c r="BG1177" s="153"/>
      <c r="BH1177" s="153"/>
      <c r="BI1177" s="153"/>
      <c r="BJ1177" s="153"/>
      <c r="BK1177" s="153"/>
      <c r="BL1177" s="153"/>
      <c r="BM1177" s="153"/>
      <c r="BN1177" s="153"/>
      <c r="BO1177" s="153"/>
      <c r="BP1177" s="153"/>
      <c r="BQ1177" s="153"/>
      <c r="BR1177" s="153"/>
      <c r="BS1177" s="153"/>
      <c r="BT1177" s="153"/>
      <c r="BU1177" s="153"/>
      <c r="BV1177" s="153"/>
      <c r="BW1177" s="153"/>
      <c r="BX1177" s="153"/>
      <c r="BY1177" s="153"/>
      <c r="BZ1177" s="153"/>
      <c r="CA1177" s="153"/>
      <c r="CB1177" s="153"/>
      <c r="CC1177" s="153"/>
      <c r="CD1177" s="155">
        <v>186</v>
      </c>
      <c r="CE1177" s="156">
        <f>186*37000</f>
        <v>6882000</v>
      </c>
      <c r="CF1177" s="155">
        <v>186</v>
      </c>
      <c r="CG1177" s="156">
        <f>186*39700</f>
        <v>7384200</v>
      </c>
      <c r="CH1177" s="155"/>
      <c r="CI1177" s="156"/>
      <c r="CJ1177" s="157">
        <f t="shared" si="158"/>
        <v>19009200</v>
      </c>
      <c r="CK1177" s="158"/>
      <c r="CL1177" s="159"/>
      <c r="CM1177" s="160">
        <v>186</v>
      </c>
      <c r="CN1177" s="161">
        <f>186*85000</f>
        <v>15810000</v>
      </c>
      <c r="CO1177" s="162"/>
      <c r="CP1177" s="161"/>
      <c r="CQ1177" s="158"/>
      <c r="CR1177" s="159"/>
      <c r="CS1177" s="68"/>
      <c r="CT1177" s="163"/>
      <c r="EC1177" s="344" t="str">
        <f t="shared" si="162"/>
        <v>LA GUAJIRA_VILLANUEVA</v>
      </c>
      <c r="ED1177" s="341"/>
      <c r="EE1177" s="341"/>
      <c r="EF1177" s="348"/>
      <c r="EG1177" s="341"/>
      <c r="EH1177" s="341"/>
      <c r="EI1177" s="341"/>
    </row>
    <row r="1178" spans="1:139" s="164" customFormat="1" ht="38.25">
      <c r="A1178" s="228">
        <v>40444</v>
      </c>
      <c r="B1178" s="205" t="s">
        <v>965</v>
      </c>
      <c r="C1178" s="205" t="s">
        <v>1327</v>
      </c>
      <c r="D1178" s="207" t="s">
        <v>1201</v>
      </c>
      <c r="E1178" s="323" t="s">
        <v>3998</v>
      </c>
      <c r="F1178" s="323"/>
      <c r="G1178" s="204">
        <v>1</v>
      </c>
      <c r="H1178" s="151"/>
      <c r="I1178" s="151"/>
      <c r="J1178" s="151">
        <v>130</v>
      </c>
      <c r="K1178" s="151">
        <v>26</v>
      </c>
      <c r="L1178" s="1"/>
      <c r="M1178" s="73">
        <f t="shared" si="156"/>
        <v>0</v>
      </c>
      <c r="N1178" s="73">
        <f t="shared" si="160"/>
        <v>0</v>
      </c>
      <c r="O1178" s="73">
        <f t="shared" si="161"/>
        <v>0</v>
      </c>
      <c r="P1178" s="73">
        <f t="shared" si="157"/>
        <v>0</v>
      </c>
      <c r="Q1178" s="73"/>
      <c r="R1178" s="73">
        <v>0</v>
      </c>
      <c r="S1178" s="75">
        <f t="shared" si="159"/>
        <v>0</v>
      </c>
      <c r="T1178" s="77">
        <v>0</v>
      </c>
      <c r="U1178" s="66">
        <v>40448</v>
      </c>
      <c r="V1178" s="79"/>
      <c r="W1178" s="66" t="s">
        <v>1585</v>
      </c>
      <c r="X1178" s="24" t="s">
        <v>1586</v>
      </c>
      <c r="Y1178" s="62"/>
      <c r="Z1178" s="169" t="s">
        <v>894</v>
      </c>
      <c r="AA1178" s="166" t="s">
        <v>1285</v>
      </c>
      <c r="AB1178" s="152"/>
      <c r="AC1178" s="153"/>
      <c r="AD1178" s="154"/>
      <c r="AE1178" s="153"/>
      <c r="AF1178" s="153"/>
      <c r="AG1178" s="153"/>
      <c r="AH1178" s="153"/>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c r="BF1178" s="153"/>
      <c r="BG1178" s="153"/>
      <c r="BH1178" s="153"/>
      <c r="BI1178" s="153"/>
      <c r="BJ1178" s="153"/>
      <c r="BK1178" s="153"/>
      <c r="BL1178" s="153"/>
      <c r="BM1178" s="153"/>
      <c r="BN1178" s="153"/>
      <c r="BO1178" s="153"/>
      <c r="BP1178" s="153"/>
      <c r="BQ1178" s="153"/>
      <c r="BR1178" s="153"/>
      <c r="BS1178" s="153"/>
      <c r="BT1178" s="153"/>
      <c r="BU1178" s="153"/>
      <c r="BV1178" s="153"/>
      <c r="BW1178" s="153"/>
      <c r="BX1178" s="153"/>
      <c r="BY1178" s="153"/>
      <c r="BZ1178" s="153"/>
      <c r="CA1178" s="153"/>
      <c r="CB1178" s="153"/>
      <c r="CC1178" s="153"/>
      <c r="CD1178" s="155"/>
      <c r="CE1178" s="156"/>
      <c r="CF1178" s="155"/>
      <c r="CG1178" s="156"/>
      <c r="CH1178" s="155"/>
      <c r="CI1178" s="156"/>
      <c r="CJ1178" s="157">
        <f t="shared" si="158"/>
        <v>0</v>
      </c>
      <c r="CK1178" s="158"/>
      <c r="CL1178" s="159"/>
      <c r="CM1178" s="160"/>
      <c r="CN1178" s="161"/>
      <c r="CO1178" s="162"/>
      <c r="CP1178" s="161"/>
      <c r="CQ1178" s="158"/>
      <c r="CR1178" s="159"/>
      <c r="CS1178" s="68"/>
      <c r="CT1178" s="163"/>
      <c r="EC1178" s="344" t="str">
        <f t="shared" si="162"/>
        <v>NORTE DE SANTANDER_CUCUTA</v>
      </c>
      <c r="ED1178" s="341"/>
      <c r="EE1178" s="341"/>
      <c r="EF1178" s="348"/>
      <c r="EG1178" s="341"/>
      <c r="EH1178" s="341"/>
      <c r="EI1178" s="341"/>
    </row>
    <row r="1179" spans="1:139" s="164" customFormat="1" ht="63.75">
      <c r="A1179" s="228">
        <v>40444</v>
      </c>
      <c r="B1179" s="205" t="s">
        <v>965</v>
      </c>
      <c r="C1179" s="205" t="s">
        <v>828</v>
      </c>
      <c r="D1179" s="207" t="s">
        <v>1902</v>
      </c>
      <c r="E1179" s="323" t="s">
        <v>4025</v>
      </c>
      <c r="F1179" s="323"/>
      <c r="G1179" s="204"/>
      <c r="H1179" s="151"/>
      <c r="I1179" s="151"/>
      <c r="J1179" s="151">
        <v>75</v>
      </c>
      <c r="K1179" s="151">
        <v>15</v>
      </c>
      <c r="L1179" s="1"/>
      <c r="M1179" s="73">
        <f t="shared" si="156"/>
        <v>0</v>
      </c>
      <c r="N1179" s="73">
        <f t="shared" si="160"/>
        <v>0</v>
      </c>
      <c r="O1179" s="73">
        <f t="shared" si="161"/>
        <v>0</v>
      </c>
      <c r="P1179" s="73">
        <f t="shared" si="157"/>
        <v>0</v>
      </c>
      <c r="Q1179" s="73"/>
      <c r="R1179" s="73">
        <v>0</v>
      </c>
      <c r="S1179" s="75">
        <f t="shared" si="159"/>
        <v>0</v>
      </c>
      <c r="T1179" s="77">
        <v>0</v>
      </c>
      <c r="U1179" s="66">
        <v>40448</v>
      </c>
      <c r="V1179" s="79"/>
      <c r="W1179" s="66" t="s">
        <v>1585</v>
      </c>
      <c r="X1179" s="24" t="s">
        <v>1586</v>
      </c>
      <c r="Y1179" s="62"/>
      <c r="Z1179" s="169" t="s">
        <v>894</v>
      </c>
      <c r="AA1179" s="166" t="s">
        <v>1288</v>
      </c>
      <c r="AB1179" s="152"/>
      <c r="AC1179" s="153"/>
      <c r="AD1179" s="154"/>
      <c r="AE1179" s="153"/>
      <c r="AF1179" s="153"/>
      <c r="AG1179" s="153"/>
      <c r="AH1179" s="153"/>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c r="BF1179" s="153"/>
      <c r="BG1179" s="153"/>
      <c r="BH1179" s="153"/>
      <c r="BI1179" s="153"/>
      <c r="BJ1179" s="153"/>
      <c r="BK1179" s="153"/>
      <c r="BL1179" s="153"/>
      <c r="BM1179" s="153"/>
      <c r="BN1179" s="153"/>
      <c r="BO1179" s="153"/>
      <c r="BP1179" s="153"/>
      <c r="BQ1179" s="153"/>
      <c r="BR1179" s="153"/>
      <c r="BS1179" s="153"/>
      <c r="BT1179" s="153"/>
      <c r="BU1179" s="153"/>
      <c r="BV1179" s="153"/>
      <c r="BW1179" s="153"/>
      <c r="BX1179" s="153"/>
      <c r="BY1179" s="153"/>
      <c r="BZ1179" s="153"/>
      <c r="CA1179" s="153"/>
      <c r="CB1179" s="153"/>
      <c r="CC1179" s="153"/>
      <c r="CD1179" s="155"/>
      <c r="CE1179" s="156"/>
      <c r="CF1179" s="155"/>
      <c r="CG1179" s="156"/>
      <c r="CH1179" s="155"/>
      <c r="CI1179" s="156"/>
      <c r="CJ1179" s="157">
        <f t="shared" si="158"/>
        <v>0</v>
      </c>
      <c r="CK1179" s="158"/>
      <c r="CL1179" s="159"/>
      <c r="CM1179" s="160"/>
      <c r="CN1179" s="161"/>
      <c r="CO1179" s="162"/>
      <c r="CP1179" s="161"/>
      <c r="CQ1179" s="158"/>
      <c r="CR1179" s="159"/>
      <c r="CS1179" s="68"/>
      <c r="CT1179" s="163"/>
      <c r="EC1179" s="344" t="str">
        <f t="shared" si="162"/>
        <v>NORTE DE SANTANDER_PUERTO SANTANDER</v>
      </c>
      <c r="ED1179" s="341"/>
      <c r="EE1179" s="341"/>
      <c r="EF1179" s="348"/>
      <c r="EG1179" s="341"/>
      <c r="EH1179" s="341"/>
      <c r="EI1179" s="341"/>
    </row>
    <row r="1180" spans="1:139" s="164" customFormat="1" ht="36">
      <c r="A1180" s="228">
        <v>40444</v>
      </c>
      <c r="B1180" s="205" t="s">
        <v>1612</v>
      </c>
      <c r="C1180" s="205" t="s">
        <v>1613</v>
      </c>
      <c r="D1180" s="207" t="s">
        <v>1201</v>
      </c>
      <c r="E1180" s="323" t="s">
        <v>4038</v>
      </c>
      <c r="F1180" s="323"/>
      <c r="G1180" s="204"/>
      <c r="H1180" s="151"/>
      <c r="I1180" s="151"/>
      <c r="J1180" s="151"/>
      <c r="K1180" s="151"/>
      <c r="L1180" s="1"/>
      <c r="M1180" s="73">
        <f t="shared" si="156"/>
        <v>0</v>
      </c>
      <c r="N1180" s="73">
        <f t="shared" si="160"/>
        <v>0</v>
      </c>
      <c r="O1180" s="73">
        <f t="shared" si="161"/>
        <v>0</v>
      </c>
      <c r="P1180" s="73">
        <f t="shared" si="157"/>
        <v>0</v>
      </c>
      <c r="Q1180" s="73"/>
      <c r="R1180" s="73">
        <v>0</v>
      </c>
      <c r="S1180" s="75">
        <f t="shared" si="159"/>
        <v>0</v>
      </c>
      <c r="T1180" s="77">
        <v>0</v>
      </c>
      <c r="U1180" s="66">
        <v>40448</v>
      </c>
      <c r="V1180" s="79"/>
      <c r="W1180" s="66" t="s">
        <v>1585</v>
      </c>
      <c r="X1180" s="24" t="s">
        <v>1586</v>
      </c>
      <c r="Y1180" s="62"/>
      <c r="Z1180" s="169" t="s">
        <v>894</v>
      </c>
      <c r="AA1180" s="166" t="s">
        <v>1287</v>
      </c>
      <c r="AB1180" s="152"/>
      <c r="AC1180" s="153"/>
      <c r="AD1180" s="154"/>
      <c r="AE1180" s="153"/>
      <c r="AF1180" s="153"/>
      <c r="AG1180" s="153"/>
      <c r="AH1180" s="153"/>
      <c r="AI1180" s="153"/>
      <c r="AJ1180" s="153"/>
      <c r="AK1180" s="153"/>
      <c r="AL1180" s="153"/>
      <c r="AM1180" s="153"/>
      <c r="AN1180" s="153"/>
      <c r="AO1180" s="153"/>
      <c r="AP1180" s="153"/>
      <c r="AQ1180" s="153"/>
      <c r="AR1180" s="153"/>
      <c r="AS1180" s="153"/>
      <c r="AT1180" s="153"/>
      <c r="AU1180" s="153"/>
      <c r="AV1180" s="153"/>
      <c r="AW1180" s="153"/>
      <c r="AX1180" s="153"/>
      <c r="AY1180" s="153"/>
      <c r="AZ1180" s="153"/>
      <c r="BA1180" s="153"/>
      <c r="BB1180" s="153"/>
      <c r="BC1180" s="153"/>
      <c r="BD1180" s="153"/>
      <c r="BE1180" s="153"/>
      <c r="BF1180" s="153"/>
      <c r="BG1180" s="153"/>
      <c r="BH1180" s="153"/>
      <c r="BI1180" s="153"/>
      <c r="BJ1180" s="153"/>
      <c r="BK1180" s="153"/>
      <c r="BL1180" s="153"/>
      <c r="BM1180" s="153"/>
      <c r="BN1180" s="153"/>
      <c r="BO1180" s="153"/>
      <c r="BP1180" s="153"/>
      <c r="BQ1180" s="153"/>
      <c r="BR1180" s="153"/>
      <c r="BS1180" s="153"/>
      <c r="BT1180" s="153"/>
      <c r="BU1180" s="153"/>
      <c r="BV1180" s="153"/>
      <c r="BW1180" s="153"/>
      <c r="BX1180" s="153"/>
      <c r="BY1180" s="153"/>
      <c r="BZ1180" s="153"/>
      <c r="CA1180" s="153"/>
      <c r="CB1180" s="153"/>
      <c r="CC1180" s="153"/>
      <c r="CD1180" s="155"/>
      <c r="CE1180" s="156"/>
      <c r="CF1180" s="155"/>
      <c r="CG1180" s="156"/>
      <c r="CH1180" s="155"/>
      <c r="CI1180" s="156"/>
      <c r="CJ1180" s="157">
        <f t="shared" si="158"/>
        <v>0</v>
      </c>
      <c r="CK1180" s="158"/>
      <c r="CL1180" s="159"/>
      <c r="CM1180" s="160"/>
      <c r="CN1180" s="161"/>
      <c r="CO1180" s="162"/>
      <c r="CP1180" s="161"/>
      <c r="CQ1180" s="158"/>
      <c r="CR1180" s="159"/>
      <c r="CS1180" s="68"/>
      <c r="CT1180" s="163"/>
      <c r="EC1180" s="344" t="str">
        <f t="shared" si="162"/>
        <v>QUINDIO_ARMENIA</v>
      </c>
      <c r="ED1180" s="341"/>
      <c r="EE1180" s="341"/>
      <c r="EF1180" s="348"/>
      <c r="EG1180" s="341"/>
      <c r="EH1180" s="341"/>
      <c r="EI1180" s="341"/>
    </row>
    <row r="1181" spans="1:139" s="164" customFormat="1" ht="25.5">
      <c r="A1181" s="228">
        <v>40444</v>
      </c>
      <c r="B1181" s="205" t="s">
        <v>2400</v>
      </c>
      <c r="C1181" s="205" t="s">
        <v>2362</v>
      </c>
      <c r="D1181" s="207" t="s">
        <v>1923</v>
      </c>
      <c r="E1181" s="323" t="s">
        <v>4203</v>
      </c>
      <c r="F1181" s="323"/>
      <c r="G1181" s="204"/>
      <c r="H1181" s="151">
        <v>3</v>
      </c>
      <c r="I1181" s="151"/>
      <c r="J1181" s="151"/>
      <c r="K1181" s="151"/>
      <c r="L1181" s="1"/>
      <c r="M1181" s="73">
        <f t="shared" si="156"/>
        <v>0</v>
      </c>
      <c r="N1181" s="73">
        <f t="shared" si="160"/>
        <v>0</v>
      </c>
      <c r="O1181" s="73">
        <f t="shared" si="161"/>
        <v>0</v>
      </c>
      <c r="P1181" s="73">
        <f t="shared" si="157"/>
        <v>0</v>
      </c>
      <c r="Q1181" s="73"/>
      <c r="R1181" s="73">
        <v>0</v>
      </c>
      <c r="S1181" s="75">
        <f t="shared" si="159"/>
        <v>0</v>
      </c>
      <c r="T1181" s="77">
        <v>0</v>
      </c>
      <c r="U1181" s="66">
        <v>40448</v>
      </c>
      <c r="V1181" s="79"/>
      <c r="W1181" s="66" t="s">
        <v>1585</v>
      </c>
      <c r="X1181" s="24" t="s">
        <v>1586</v>
      </c>
      <c r="Y1181" s="62"/>
      <c r="Z1181" s="169" t="s">
        <v>894</v>
      </c>
      <c r="AA1181" s="166" t="s">
        <v>1286</v>
      </c>
      <c r="AB1181" s="152"/>
      <c r="AC1181" s="153"/>
      <c r="AD1181" s="154"/>
      <c r="AE1181" s="153"/>
      <c r="AF1181" s="153"/>
      <c r="AG1181" s="153"/>
      <c r="AH1181" s="153"/>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c r="BF1181" s="153"/>
      <c r="BG1181" s="153"/>
      <c r="BH1181" s="153"/>
      <c r="BI1181" s="153"/>
      <c r="BJ1181" s="153"/>
      <c r="BK1181" s="153"/>
      <c r="BL1181" s="153"/>
      <c r="BM1181" s="153"/>
      <c r="BN1181" s="153"/>
      <c r="BO1181" s="153"/>
      <c r="BP1181" s="153"/>
      <c r="BQ1181" s="153"/>
      <c r="BR1181" s="153"/>
      <c r="BS1181" s="153"/>
      <c r="BT1181" s="153"/>
      <c r="BU1181" s="153"/>
      <c r="BV1181" s="153"/>
      <c r="BW1181" s="153"/>
      <c r="BX1181" s="153"/>
      <c r="BY1181" s="153"/>
      <c r="BZ1181" s="153"/>
      <c r="CA1181" s="153"/>
      <c r="CB1181" s="153"/>
      <c r="CC1181" s="153"/>
      <c r="CD1181" s="155"/>
      <c r="CE1181" s="156"/>
      <c r="CF1181" s="155"/>
      <c r="CG1181" s="156"/>
      <c r="CH1181" s="155"/>
      <c r="CI1181" s="156"/>
      <c r="CJ1181" s="157">
        <f t="shared" si="158"/>
        <v>0</v>
      </c>
      <c r="CK1181" s="158"/>
      <c r="CL1181" s="159"/>
      <c r="CM1181" s="160"/>
      <c r="CN1181" s="161"/>
      <c r="CO1181" s="162"/>
      <c r="CP1181" s="161"/>
      <c r="CQ1181" s="158"/>
      <c r="CR1181" s="159"/>
      <c r="CS1181" s="68"/>
      <c r="CT1181" s="163"/>
      <c r="EC1181" s="344" t="str">
        <f t="shared" si="162"/>
        <v>TOLIMA_MELGAR</v>
      </c>
      <c r="ED1181" s="341"/>
      <c r="EE1181" s="341"/>
      <c r="EF1181" s="348"/>
      <c r="EG1181" s="341"/>
      <c r="EH1181" s="341"/>
      <c r="EI1181" s="341"/>
    </row>
    <row r="1182" spans="1:139" s="164" customFormat="1" ht="84">
      <c r="A1182" s="235">
        <v>40445</v>
      </c>
      <c r="B1182" s="269" t="s">
        <v>1972</v>
      </c>
      <c r="C1182" s="269" t="s">
        <v>2607</v>
      </c>
      <c r="D1182" s="270" t="s">
        <v>1201</v>
      </c>
      <c r="E1182" s="327" t="s">
        <v>3262</v>
      </c>
      <c r="F1182" s="327"/>
      <c r="G1182" s="204"/>
      <c r="H1182" s="151"/>
      <c r="I1182" s="151"/>
      <c r="J1182" s="151">
        <f>1795-385</f>
        <v>1410</v>
      </c>
      <c r="K1182" s="151">
        <f>426-77</f>
        <v>349</v>
      </c>
      <c r="L1182" s="1">
        <v>40535</v>
      </c>
      <c r="M1182" s="73">
        <f t="shared" si="156"/>
        <v>0</v>
      </c>
      <c r="N1182" s="73">
        <f t="shared" si="160"/>
        <v>0</v>
      </c>
      <c r="O1182" s="73">
        <f t="shared" si="161"/>
        <v>0</v>
      </c>
      <c r="P1182" s="73">
        <f t="shared" si="157"/>
        <v>0</v>
      </c>
      <c r="Q1182" s="73"/>
      <c r="R1182" s="73">
        <v>37000000</v>
      </c>
      <c r="S1182" s="75">
        <f t="shared" si="159"/>
        <v>37000000</v>
      </c>
      <c r="T1182" s="77">
        <v>0</v>
      </c>
      <c r="U1182" s="66">
        <v>40515</v>
      </c>
      <c r="V1182" s="79">
        <v>69308</v>
      </c>
      <c r="W1182" s="66" t="s">
        <v>1606</v>
      </c>
      <c r="X1182" s="24" t="s">
        <v>1607</v>
      </c>
      <c r="Y1182" s="62">
        <v>521</v>
      </c>
      <c r="Z1182" s="169"/>
      <c r="AA1182" s="166" t="s">
        <v>3063</v>
      </c>
      <c r="AB1182" s="152"/>
      <c r="AC1182" s="153"/>
      <c r="AD1182" s="154"/>
      <c r="AE1182" s="153"/>
      <c r="AF1182" s="153"/>
      <c r="AG1182" s="153"/>
      <c r="AH1182" s="153"/>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c r="BF1182" s="153"/>
      <c r="BG1182" s="153"/>
      <c r="BH1182" s="153"/>
      <c r="BI1182" s="153"/>
      <c r="BJ1182" s="153"/>
      <c r="BK1182" s="153"/>
      <c r="BL1182" s="153"/>
      <c r="BM1182" s="153"/>
      <c r="BN1182" s="153"/>
      <c r="BO1182" s="153"/>
      <c r="BP1182" s="153"/>
      <c r="BQ1182" s="153"/>
      <c r="BR1182" s="153"/>
      <c r="BS1182" s="153"/>
      <c r="BT1182" s="153"/>
      <c r="BU1182" s="153"/>
      <c r="BV1182" s="153"/>
      <c r="BW1182" s="153"/>
      <c r="BX1182" s="153"/>
      <c r="BY1182" s="153"/>
      <c r="BZ1182" s="153"/>
      <c r="CA1182" s="153"/>
      <c r="CB1182" s="153"/>
      <c r="CC1182" s="153"/>
      <c r="CD1182" s="155"/>
      <c r="CE1182" s="156"/>
      <c r="CF1182" s="155"/>
      <c r="CG1182" s="156"/>
      <c r="CH1182" s="155"/>
      <c r="CI1182" s="156"/>
      <c r="CJ1182" s="157">
        <f t="shared" si="158"/>
        <v>0</v>
      </c>
      <c r="CK1182" s="158"/>
      <c r="CL1182" s="159"/>
      <c r="CM1182" s="160"/>
      <c r="CN1182" s="161"/>
      <c r="CO1182" s="162"/>
      <c r="CP1182" s="161"/>
      <c r="CQ1182" s="158"/>
      <c r="CR1182" s="159"/>
      <c r="CS1182" s="68">
        <v>2</v>
      </c>
      <c r="CT1182" s="163"/>
      <c r="EC1182" s="344" t="str">
        <f t="shared" si="162"/>
        <v>ANTIOQUIA_CHIGORODO</v>
      </c>
      <c r="ED1182" s="341"/>
      <c r="EE1182" s="341"/>
      <c r="EF1182" s="348"/>
      <c r="EG1182" s="341"/>
      <c r="EH1182" s="341"/>
      <c r="EI1182" s="341"/>
    </row>
    <row r="1183" spans="1:139" s="164" customFormat="1" ht="48">
      <c r="A1183" s="235">
        <v>40445</v>
      </c>
      <c r="B1183" s="269" t="s">
        <v>1972</v>
      </c>
      <c r="C1183" s="269" t="s">
        <v>2041</v>
      </c>
      <c r="D1183" s="270" t="s">
        <v>1201</v>
      </c>
      <c r="E1183" s="327" t="s">
        <v>3351</v>
      </c>
      <c r="F1183" s="327"/>
      <c r="G1183" s="204"/>
      <c r="H1183" s="151"/>
      <c r="I1183" s="151"/>
      <c r="J1183" s="151">
        <v>500</v>
      </c>
      <c r="K1183" s="151">
        <v>200</v>
      </c>
      <c r="L1183" s="1">
        <v>40508</v>
      </c>
      <c r="M1183" s="73">
        <f t="shared" si="156"/>
        <v>24759000</v>
      </c>
      <c r="N1183" s="73">
        <f t="shared" si="160"/>
        <v>17000000</v>
      </c>
      <c r="O1183" s="73">
        <f t="shared" si="161"/>
        <v>13680000</v>
      </c>
      <c r="P1183" s="73">
        <f t="shared" si="157"/>
        <v>0</v>
      </c>
      <c r="Q1183" s="73"/>
      <c r="R1183" s="73">
        <v>0</v>
      </c>
      <c r="S1183" s="75">
        <f t="shared" si="159"/>
        <v>55439000</v>
      </c>
      <c r="T1183" s="77">
        <v>0</v>
      </c>
      <c r="U1183" s="66">
        <v>40448</v>
      </c>
      <c r="V1183" s="79">
        <v>58109</v>
      </c>
      <c r="W1183" s="66" t="s">
        <v>1606</v>
      </c>
      <c r="X1183" s="24" t="s">
        <v>1607</v>
      </c>
      <c r="Y1183" s="62">
        <v>24950</v>
      </c>
      <c r="Z1183" s="177" t="s">
        <v>2580</v>
      </c>
      <c r="AA1183" s="166" t="s">
        <v>2250</v>
      </c>
      <c r="AB1183" s="152"/>
      <c r="AC1183" s="153"/>
      <c r="AD1183" s="154"/>
      <c r="AE1183" s="153"/>
      <c r="AF1183" s="153"/>
      <c r="AG1183" s="153"/>
      <c r="AH1183" s="153"/>
      <c r="AI1183" s="153"/>
      <c r="AJ1183" s="153"/>
      <c r="AK1183" s="153"/>
      <c r="AL1183" s="153"/>
      <c r="AM1183" s="153"/>
      <c r="AN1183" s="153"/>
      <c r="AO1183" s="153"/>
      <c r="AP1183" s="153"/>
      <c r="AQ1183" s="153"/>
      <c r="AR1183" s="153"/>
      <c r="AS1183" s="153"/>
      <c r="AT1183" s="153"/>
      <c r="AU1183" s="153"/>
      <c r="AV1183" s="153"/>
      <c r="AW1183" s="153"/>
      <c r="AX1183" s="153"/>
      <c r="AY1183" s="153"/>
      <c r="AZ1183" s="153">
        <v>200</v>
      </c>
      <c r="BA1183" s="153">
        <f>200*25500</f>
        <v>5100000</v>
      </c>
      <c r="BB1183" s="153"/>
      <c r="BC1183" s="153"/>
      <c r="BD1183" s="153"/>
      <c r="BE1183" s="153"/>
      <c r="BF1183" s="153"/>
      <c r="BG1183" s="153"/>
      <c r="BH1183" s="153"/>
      <c r="BI1183" s="153"/>
      <c r="BJ1183" s="153"/>
      <c r="BK1183" s="153"/>
      <c r="BL1183" s="153"/>
      <c r="BM1183" s="153"/>
      <c r="BN1183" s="153"/>
      <c r="BO1183" s="153"/>
      <c r="BP1183" s="153"/>
      <c r="BQ1183" s="153"/>
      <c r="BR1183" s="153"/>
      <c r="BS1183" s="153"/>
      <c r="BT1183" s="153"/>
      <c r="BU1183" s="153"/>
      <c r="BV1183" s="153"/>
      <c r="BW1183" s="153"/>
      <c r="BX1183" s="153">
        <v>200</v>
      </c>
      <c r="BY1183" s="153">
        <f>200*22000</f>
        <v>4400000</v>
      </c>
      <c r="BZ1183" s="153"/>
      <c r="CA1183" s="153"/>
      <c r="CB1183" s="153"/>
      <c r="CC1183" s="153"/>
      <c r="CD1183" s="155">
        <v>200</v>
      </c>
      <c r="CE1183" s="156">
        <f>200*36595</f>
        <v>7319000</v>
      </c>
      <c r="CF1183" s="155">
        <v>200</v>
      </c>
      <c r="CG1183" s="156">
        <f>200*39700</f>
        <v>7940000</v>
      </c>
      <c r="CH1183" s="155"/>
      <c r="CI1183" s="156"/>
      <c r="CJ1183" s="157">
        <f t="shared" si="158"/>
        <v>24759000</v>
      </c>
      <c r="CK1183" s="158"/>
      <c r="CL1183" s="159"/>
      <c r="CM1183" s="160">
        <v>200</v>
      </c>
      <c r="CN1183" s="161">
        <f>200*85000</f>
        <v>17000000</v>
      </c>
      <c r="CO1183" s="162"/>
      <c r="CP1183" s="161"/>
      <c r="CQ1183" s="158">
        <v>600</v>
      </c>
      <c r="CR1183" s="159">
        <f>600*22800</f>
        <v>13680000</v>
      </c>
      <c r="CS1183" s="68"/>
      <c r="CT1183" s="163"/>
      <c r="EC1183" s="344" t="str">
        <f t="shared" si="162"/>
        <v>ANTIOQUIA_ZARAGOZA</v>
      </c>
      <c r="ED1183" s="341"/>
      <c r="EE1183" s="341"/>
      <c r="EF1183" s="348"/>
      <c r="EG1183" s="341"/>
      <c r="EH1183" s="341"/>
      <c r="EI1183" s="341"/>
    </row>
    <row r="1184" spans="1:139" s="164" customFormat="1" ht="25.5">
      <c r="A1184" s="228">
        <v>40446</v>
      </c>
      <c r="B1184" s="205" t="s">
        <v>1314</v>
      </c>
      <c r="C1184" s="102" t="s">
        <v>1315</v>
      </c>
      <c r="D1184" s="207" t="s">
        <v>2606</v>
      </c>
      <c r="E1184" s="323" t="s">
        <v>3586</v>
      </c>
      <c r="F1184" s="323"/>
      <c r="G1184" s="204"/>
      <c r="H1184" s="151"/>
      <c r="I1184" s="151"/>
      <c r="J1184" s="151">
        <v>200</v>
      </c>
      <c r="K1184" s="151">
        <v>40</v>
      </c>
      <c r="L1184" s="1"/>
      <c r="M1184" s="73">
        <f t="shared" si="156"/>
        <v>0</v>
      </c>
      <c r="N1184" s="73">
        <f t="shared" si="160"/>
        <v>0</v>
      </c>
      <c r="O1184" s="73">
        <f t="shared" si="161"/>
        <v>0</v>
      </c>
      <c r="P1184" s="73">
        <f t="shared" si="157"/>
        <v>0</v>
      </c>
      <c r="Q1184" s="73"/>
      <c r="R1184" s="73">
        <v>0</v>
      </c>
      <c r="S1184" s="75">
        <f t="shared" si="159"/>
        <v>0</v>
      </c>
      <c r="T1184" s="77">
        <v>0</v>
      </c>
      <c r="U1184" s="66">
        <v>40448</v>
      </c>
      <c r="V1184" s="79"/>
      <c r="W1184" s="66" t="s">
        <v>1585</v>
      </c>
      <c r="X1184" s="24" t="s">
        <v>1586</v>
      </c>
      <c r="Y1184" s="62"/>
      <c r="Z1184" s="169" t="s">
        <v>894</v>
      </c>
      <c r="AA1184" s="166" t="s">
        <v>1289</v>
      </c>
      <c r="AB1184" s="152"/>
      <c r="AC1184" s="153"/>
      <c r="AD1184" s="154"/>
      <c r="AE1184" s="153"/>
      <c r="AF1184" s="153"/>
      <c r="AG1184" s="153"/>
      <c r="AH1184" s="153"/>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c r="BF1184" s="153"/>
      <c r="BG1184" s="153"/>
      <c r="BH1184" s="153"/>
      <c r="BI1184" s="153"/>
      <c r="BJ1184" s="153"/>
      <c r="BK1184" s="153"/>
      <c r="BL1184" s="153"/>
      <c r="BM1184" s="153"/>
      <c r="BN1184" s="153"/>
      <c r="BO1184" s="153"/>
      <c r="BP1184" s="153"/>
      <c r="BQ1184" s="153"/>
      <c r="BR1184" s="153"/>
      <c r="BS1184" s="153"/>
      <c r="BT1184" s="153"/>
      <c r="BU1184" s="153"/>
      <c r="BV1184" s="153"/>
      <c r="BW1184" s="153"/>
      <c r="BX1184" s="153"/>
      <c r="BY1184" s="153"/>
      <c r="BZ1184" s="153"/>
      <c r="CA1184" s="153"/>
      <c r="CB1184" s="153"/>
      <c r="CC1184" s="153"/>
      <c r="CD1184" s="155"/>
      <c r="CE1184" s="156"/>
      <c r="CF1184" s="155"/>
      <c r="CG1184" s="156"/>
      <c r="CH1184" s="155"/>
      <c r="CI1184" s="156"/>
      <c r="CJ1184" s="157">
        <f t="shared" si="158"/>
        <v>0</v>
      </c>
      <c r="CK1184" s="158"/>
      <c r="CL1184" s="159"/>
      <c r="CM1184" s="160"/>
      <c r="CN1184" s="161"/>
      <c r="CO1184" s="162"/>
      <c r="CP1184" s="161"/>
      <c r="CQ1184" s="158"/>
      <c r="CR1184" s="159"/>
      <c r="CS1184" s="68"/>
      <c r="CT1184" s="163"/>
      <c r="EC1184" s="344" t="str">
        <f t="shared" si="162"/>
        <v>CAUCA_POPAYAN</v>
      </c>
      <c r="ED1184" s="341"/>
      <c r="EE1184" s="341"/>
      <c r="EF1184" s="348"/>
      <c r="EG1184" s="341"/>
      <c r="EH1184" s="341"/>
      <c r="EI1184" s="341"/>
    </row>
    <row r="1185" spans="1:139" s="164" customFormat="1" ht="33.75">
      <c r="A1185" s="228">
        <v>40446</v>
      </c>
      <c r="B1185" s="205" t="s">
        <v>1611</v>
      </c>
      <c r="C1185" s="205" t="s">
        <v>1611</v>
      </c>
      <c r="D1185" s="207" t="s">
        <v>1201</v>
      </c>
      <c r="E1185" s="323" t="e">
        <v>#N/A</v>
      </c>
      <c r="F1185" s="323"/>
      <c r="G1185" s="204"/>
      <c r="H1185" s="151"/>
      <c r="I1185" s="151"/>
      <c r="J1185" s="151"/>
      <c r="K1185" s="151"/>
      <c r="L1185" s="1">
        <v>40508</v>
      </c>
      <c r="M1185" s="73">
        <f t="shared" si="156"/>
        <v>0</v>
      </c>
      <c r="N1185" s="73">
        <f t="shared" si="160"/>
        <v>0</v>
      </c>
      <c r="O1185" s="73">
        <f t="shared" si="161"/>
        <v>0</v>
      </c>
      <c r="P1185" s="73">
        <f t="shared" si="157"/>
        <v>270454000</v>
      </c>
      <c r="Q1185" s="73"/>
      <c r="R1185" s="73">
        <v>0</v>
      </c>
      <c r="S1185" s="75">
        <f t="shared" si="159"/>
        <v>270454000</v>
      </c>
      <c r="T1185" s="77">
        <v>0</v>
      </c>
      <c r="U1185" s="66">
        <v>40421</v>
      </c>
      <c r="V1185" s="79">
        <v>44572</v>
      </c>
      <c r="W1185" s="66" t="s">
        <v>1606</v>
      </c>
      <c r="X1185" s="24" t="s">
        <v>1607</v>
      </c>
      <c r="Y1185" s="83" t="s">
        <v>3029</v>
      </c>
      <c r="Z1185" s="169" t="s">
        <v>1795</v>
      </c>
      <c r="AA1185" s="166" t="s">
        <v>3005</v>
      </c>
      <c r="AB1185" s="152"/>
      <c r="AC1185" s="153"/>
      <c r="AD1185" s="154"/>
      <c r="AE1185" s="153"/>
      <c r="AF1185" s="153"/>
      <c r="AG1185" s="153"/>
      <c r="AH1185" s="153"/>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c r="BF1185" s="153"/>
      <c r="BG1185" s="153"/>
      <c r="BH1185" s="153"/>
      <c r="BI1185" s="153"/>
      <c r="BJ1185" s="153"/>
      <c r="BK1185" s="153"/>
      <c r="BL1185" s="153"/>
      <c r="BM1185" s="153"/>
      <c r="BN1185" s="153"/>
      <c r="BO1185" s="153"/>
      <c r="BP1185" s="153"/>
      <c r="BQ1185" s="153"/>
      <c r="BR1185" s="153"/>
      <c r="BS1185" s="153"/>
      <c r="BT1185" s="153"/>
      <c r="BU1185" s="153"/>
      <c r="BV1185" s="153"/>
      <c r="BW1185" s="153"/>
      <c r="BX1185" s="153"/>
      <c r="BY1185" s="153"/>
      <c r="BZ1185" s="153"/>
      <c r="CA1185" s="153"/>
      <c r="CB1185" s="153"/>
      <c r="CC1185" s="153"/>
      <c r="CD1185" s="155"/>
      <c r="CE1185" s="156"/>
      <c r="CF1185" s="155"/>
      <c r="CG1185" s="156"/>
      <c r="CH1185" s="155"/>
      <c r="CI1185" s="156"/>
      <c r="CJ1185" s="157">
        <f t="shared" si="158"/>
        <v>0</v>
      </c>
      <c r="CK1185" s="158">
        <f>50000+50000+100000+100000</f>
        <v>300000</v>
      </c>
      <c r="CL1185" s="159">
        <f>50000*899+50000*900.16+100000*904.8+100000*900.16</f>
        <v>270454000</v>
      </c>
      <c r="CM1185" s="160"/>
      <c r="CN1185" s="161"/>
      <c r="CO1185" s="162"/>
      <c r="CP1185" s="161"/>
      <c r="CQ1185" s="158"/>
      <c r="CR1185" s="159"/>
      <c r="CS1185" s="68"/>
      <c r="CT1185" s="163"/>
      <c r="EC1185" s="344" t="str">
        <f t="shared" si="162"/>
        <v>NACION_NACION</v>
      </c>
      <c r="ED1185" s="341"/>
      <c r="EE1185" s="341"/>
      <c r="EF1185" s="348"/>
      <c r="EG1185" s="341"/>
      <c r="EH1185" s="341"/>
      <c r="EI1185" s="341"/>
    </row>
    <row r="1186" spans="1:139" s="164" customFormat="1" ht="25.5">
      <c r="A1186" s="228">
        <v>40446</v>
      </c>
      <c r="B1186" s="102" t="s">
        <v>1609</v>
      </c>
      <c r="C1186" s="205" t="s">
        <v>2372</v>
      </c>
      <c r="D1186" s="206" t="s">
        <v>1878</v>
      </c>
      <c r="E1186" s="320" t="s">
        <v>4051</v>
      </c>
      <c r="F1186" s="320"/>
      <c r="G1186" s="204"/>
      <c r="H1186" s="151"/>
      <c r="I1186" s="151"/>
      <c r="J1186" s="151">
        <v>20</v>
      </c>
      <c r="K1186" s="151">
        <v>4</v>
      </c>
      <c r="L1186" s="1"/>
      <c r="M1186" s="73">
        <f t="shared" si="156"/>
        <v>0</v>
      </c>
      <c r="N1186" s="73">
        <f t="shared" si="160"/>
        <v>0</v>
      </c>
      <c r="O1186" s="73">
        <f t="shared" si="161"/>
        <v>0</v>
      </c>
      <c r="P1186" s="73">
        <f t="shared" si="157"/>
        <v>0</v>
      </c>
      <c r="Q1186" s="73"/>
      <c r="R1186" s="73">
        <v>0</v>
      </c>
      <c r="S1186" s="75">
        <f t="shared" si="159"/>
        <v>0</v>
      </c>
      <c r="T1186" s="77">
        <v>0</v>
      </c>
      <c r="U1186" s="66">
        <v>40455</v>
      </c>
      <c r="V1186" s="79"/>
      <c r="W1186" s="66" t="s">
        <v>1585</v>
      </c>
      <c r="X1186" s="24" t="s">
        <v>1586</v>
      </c>
      <c r="Y1186" s="62"/>
      <c r="Z1186" s="169" t="s">
        <v>894</v>
      </c>
      <c r="AA1186" s="166" t="s">
        <v>2198</v>
      </c>
      <c r="AB1186" s="152"/>
      <c r="AC1186" s="153"/>
      <c r="AD1186" s="154"/>
      <c r="AE1186" s="153"/>
      <c r="AF1186" s="153"/>
      <c r="AG1186" s="153"/>
      <c r="AH1186" s="153"/>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c r="BF1186" s="153"/>
      <c r="BG1186" s="153"/>
      <c r="BH1186" s="153"/>
      <c r="BI1186" s="153"/>
      <c r="BJ1186" s="153"/>
      <c r="BK1186" s="153"/>
      <c r="BL1186" s="153"/>
      <c r="BM1186" s="153"/>
      <c r="BN1186" s="153"/>
      <c r="BO1186" s="153"/>
      <c r="BP1186" s="153"/>
      <c r="BQ1186" s="153"/>
      <c r="BR1186" s="153"/>
      <c r="BS1186" s="153"/>
      <c r="BT1186" s="153"/>
      <c r="BU1186" s="153"/>
      <c r="BV1186" s="153"/>
      <c r="BW1186" s="153"/>
      <c r="BX1186" s="153"/>
      <c r="BY1186" s="153"/>
      <c r="BZ1186" s="153"/>
      <c r="CA1186" s="153"/>
      <c r="CB1186" s="153"/>
      <c r="CC1186" s="153"/>
      <c r="CD1186" s="155"/>
      <c r="CE1186" s="156"/>
      <c r="CF1186" s="155"/>
      <c r="CG1186" s="156"/>
      <c r="CH1186" s="155"/>
      <c r="CI1186" s="156"/>
      <c r="CJ1186" s="157">
        <f t="shared" si="158"/>
        <v>0</v>
      </c>
      <c r="CK1186" s="158"/>
      <c r="CL1186" s="159"/>
      <c r="CM1186" s="160"/>
      <c r="CN1186" s="161"/>
      <c r="CO1186" s="162"/>
      <c r="CP1186" s="161"/>
      <c r="CQ1186" s="158"/>
      <c r="CR1186" s="159"/>
      <c r="CS1186" s="68"/>
      <c r="CT1186" s="163"/>
      <c r="EC1186" s="344" t="str">
        <f t="shared" si="162"/>
        <v>RISARALDA_APIA</v>
      </c>
      <c r="ED1186" s="341"/>
      <c r="EE1186" s="341"/>
      <c r="EF1186" s="348"/>
      <c r="EG1186" s="341"/>
      <c r="EH1186" s="341"/>
      <c r="EI1186" s="341"/>
    </row>
    <row r="1187" spans="1:139" s="164" customFormat="1" ht="38.25">
      <c r="A1187" s="228">
        <v>40446</v>
      </c>
      <c r="B1187" s="205" t="s">
        <v>1998</v>
      </c>
      <c r="C1187" s="205" t="s">
        <v>1011</v>
      </c>
      <c r="D1187" s="206" t="s">
        <v>1878</v>
      </c>
      <c r="E1187" s="320" t="s">
        <v>4064</v>
      </c>
      <c r="F1187" s="320"/>
      <c r="G1187" s="263"/>
      <c r="H1187" s="151"/>
      <c r="I1187" s="151"/>
      <c r="J1187" s="151">
        <v>20</v>
      </c>
      <c r="K1187" s="151">
        <v>5</v>
      </c>
      <c r="L1187" s="1"/>
      <c r="M1187" s="73">
        <f t="shared" si="156"/>
        <v>0</v>
      </c>
      <c r="N1187" s="73">
        <f t="shared" si="160"/>
        <v>0</v>
      </c>
      <c r="O1187" s="73">
        <f t="shared" si="161"/>
        <v>0</v>
      </c>
      <c r="P1187" s="73">
        <f t="shared" si="157"/>
        <v>0</v>
      </c>
      <c r="Q1187" s="73"/>
      <c r="R1187" s="73">
        <v>0</v>
      </c>
      <c r="S1187" s="75">
        <f t="shared" si="159"/>
        <v>0</v>
      </c>
      <c r="T1187" s="77">
        <v>0</v>
      </c>
      <c r="U1187" s="66">
        <v>40448</v>
      </c>
      <c r="V1187" s="79"/>
      <c r="W1187" s="66" t="s">
        <v>1606</v>
      </c>
      <c r="X1187" s="24" t="s">
        <v>1607</v>
      </c>
      <c r="Y1187" s="62"/>
      <c r="Z1187" s="176" t="s">
        <v>2279</v>
      </c>
      <c r="AA1187" s="166" t="s">
        <v>1290</v>
      </c>
      <c r="AB1187" s="152"/>
      <c r="AC1187" s="153"/>
      <c r="AD1187" s="154"/>
      <c r="AE1187" s="153"/>
      <c r="AF1187" s="153"/>
      <c r="AG1187" s="153"/>
      <c r="AH1187" s="153"/>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c r="BF1187" s="153"/>
      <c r="BG1187" s="153"/>
      <c r="BH1187" s="153"/>
      <c r="BI1187" s="153"/>
      <c r="BJ1187" s="153"/>
      <c r="BK1187" s="153"/>
      <c r="BL1187" s="153"/>
      <c r="BM1187" s="153"/>
      <c r="BN1187" s="153"/>
      <c r="BO1187" s="153"/>
      <c r="BP1187" s="153"/>
      <c r="BQ1187" s="153"/>
      <c r="BR1187" s="153"/>
      <c r="BS1187" s="153"/>
      <c r="BT1187" s="153"/>
      <c r="BU1187" s="153"/>
      <c r="BV1187" s="153"/>
      <c r="BW1187" s="153"/>
      <c r="BX1187" s="153"/>
      <c r="BY1187" s="153"/>
      <c r="BZ1187" s="153"/>
      <c r="CA1187" s="153"/>
      <c r="CB1187" s="153"/>
      <c r="CC1187" s="153"/>
      <c r="CD1187" s="155"/>
      <c r="CE1187" s="156"/>
      <c r="CF1187" s="155"/>
      <c r="CG1187" s="156"/>
      <c r="CH1187" s="155"/>
      <c r="CI1187" s="156"/>
      <c r="CJ1187" s="157">
        <f t="shared" si="158"/>
        <v>0</v>
      </c>
      <c r="CK1187" s="158"/>
      <c r="CL1187" s="159"/>
      <c r="CM1187" s="160"/>
      <c r="CN1187" s="161"/>
      <c r="CO1187" s="162"/>
      <c r="CP1187" s="161"/>
      <c r="CQ1187" s="158"/>
      <c r="CR1187" s="159"/>
      <c r="CS1187" s="68"/>
      <c r="CT1187" s="163"/>
      <c r="EC1187" s="344" t="str">
        <f t="shared" si="162"/>
        <v>SANTANDER_BUCARAMANGA</v>
      </c>
      <c r="ED1187" s="341"/>
      <c r="EE1187" s="341"/>
      <c r="EF1187" s="348"/>
      <c r="EG1187" s="341"/>
      <c r="EH1187" s="341"/>
      <c r="EI1187" s="341"/>
    </row>
    <row r="1188" spans="1:139" s="164" customFormat="1" ht="38.25">
      <c r="A1188" s="235">
        <v>40447</v>
      </c>
      <c r="B1188" s="269" t="s">
        <v>1972</v>
      </c>
      <c r="C1188" s="269" t="s">
        <v>1522</v>
      </c>
      <c r="D1188" s="270" t="s">
        <v>1201</v>
      </c>
      <c r="E1188" s="327" t="s">
        <v>3266</v>
      </c>
      <c r="F1188" s="327"/>
      <c r="G1188" s="204"/>
      <c r="H1188" s="151"/>
      <c r="I1188" s="151"/>
      <c r="J1188" s="151">
        <v>50</v>
      </c>
      <c r="K1188" s="151">
        <v>10</v>
      </c>
      <c r="L1188" s="1"/>
      <c r="M1188" s="73">
        <f t="shared" si="156"/>
        <v>0</v>
      </c>
      <c r="N1188" s="73">
        <f t="shared" si="160"/>
        <v>0</v>
      </c>
      <c r="O1188" s="73">
        <f t="shared" si="161"/>
        <v>0</v>
      </c>
      <c r="P1188" s="73">
        <f t="shared" si="157"/>
        <v>0</v>
      </c>
      <c r="Q1188" s="73"/>
      <c r="R1188" s="73">
        <v>0</v>
      </c>
      <c r="S1188" s="75">
        <f t="shared" si="159"/>
        <v>0</v>
      </c>
      <c r="T1188" s="77">
        <v>0</v>
      </c>
      <c r="U1188" s="66">
        <v>40448</v>
      </c>
      <c r="V1188" s="79"/>
      <c r="W1188" s="66" t="s">
        <v>1606</v>
      </c>
      <c r="X1188" s="24" t="s">
        <v>1607</v>
      </c>
      <c r="Y1188" s="62"/>
      <c r="Z1188" s="176" t="s">
        <v>2836</v>
      </c>
      <c r="AA1188" s="166" t="s">
        <v>2158</v>
      </c>
      <c r="AB1188" s="152"/>
      <c r="AC1188" s="153"/>
      <c r="AD1188" s="154"/>
      <c r="AE1188" s="153"/>
      <c r="AF1188" s="153"/>
      <c r="AG1188" s="153"/>
      <c r="AH1188" s="153"/>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c r="BF1188" s="153"/>
      <c r="BG1188" s="153"/>
      <c r="BH1188" s="153"/>
      <c r="BI1188" s="153"/>
      <c r="BJ1188" s="153"/>
      <c r="BK1188" s="153"/>
      <c r="BL1188" s="153"/>
      <c r="BM1188" s="153"/>
      <c r="BN1188" s="153"/>
      <c r="BO1188" s="153"/>
      <c r="BP1188" s="153"/>
      <c r="BQ1188" s="153"/>
      <c r="BR1188" s="153"/>
      <c r="BS1188" s="153"/>
      <c r="BT1188" s="153"/>
      <c r="BU1188" s="153"/>
      <c r="BV1188" s="153"/>
      <c r="BW1188" s="153"/>
      <c r="BX1188" s="153"/>
      <c r="BY1188" s="153"/>
      <c r="BZ1188" s="153"/>
      <c r="CA1188" s="153"/>
      <c r="CB1188" s="153"/>
      <c r="CC1188" s="153"/>
      <c r="CD1188" s="155"/>
      <c r="CE1188" s="156"/>
      <c r="CF1188" s="155"/>
      <c r="CG1188" s="156"/>
      <c r="CH1188" s="155"/>
      <c r="CI1188" s="156"/>
      <c r="CJ1188" s="157">
        <f t="shared" si="158"/>
        <v>0</v>
      </c>
      <c r="CK1188" s="158"/>
      <c r="CL1188" s="159"/>
      <c r="CM1188" s="160"/>
      <c r="CN1188" s="161"/>
      <c r="CO1188" s="162"/>
      <c r="CP1188" s="161"/>
      <c r="CQ1188" s="158"/>
      <c r="CR1188" s="159"/>
      <c r="CS1188" s="68"/>
      <c r="CT1188" s="163"/>
      <c r="EC1188" s="344" t="str">
        <f t="shared" si="162"/>
        <v>ANTIOQUIA_CONCORDIA</v>
      </c>
      <c r="ED1188" s="341"/>
      <c r="EE1188" s="341"/>
      <c r="EF1188" s="348"/>
      <c r="EG1188" s="341"/>
      <c r="EH1188" s="341"/>
      <c r="EI1188" s="341"/>
    </row>
    <row r="1189" spans="1:139" s="164" customFormat="1" ht="25.5">
      <c r="A1189" s="235">
        <v>40447</v>
      </c>
      <c r="B1189" s="269" t="s">
        <v>1972</v>
      </c>
      <c r="C1189" s="269" t="s">
        <v>1927</v>
      </c>
      <c r="D1189" s="270" t="s">
        <v>1201</v>
      </c>
      <c r="E1189" s="327" t="s">
        <v>3288</v>
      </c>
      <c r="F1189" s="327"/>
      <c r="G1189" s="204"/>
      <c r="H1189" s="151"/>
      <c r="I1189" s="151"/>
      <c r="J1189" s="151">
        <v>129</v>
      </c>
      <c r="K1189" s="151">
        <v>39</v>
      </c>
      <c r="L1189" s="1"/>
      <c r="M1189" s="73">
        <f t="shared" si="156"/>
        <v>0</v>
      </c>
      <c r="N1189" s="73">
        <f t="shared" si="160"/>
        <v>0</v>
      </c>
      <c r="O1189" s="73">
        <f t="shared" si="161"/>
        <v>0</v>
      </c>
      <c r="P1189" s="73">
        <f t="shared" si="157"/>
        <v>0</v>
      </c>
      <c r="Q1189" s="73"/>
      <c r="R1189" s="73">
        <v>0</v>
      </c>
      <c r="S1189" s="75">
        <f t="shared" si="159"/>
        <v>0</v>
      </c>
      <c r="T1189" s="77">
        <v>0</v>
      </c>
      <c r="U1189" s="66">
        <v>40448</v>
      </c>
      <c r="V1189" s="79"/>
      <c r="W1189" s="66" t="s">
        <v>1585</v>
      </c>
      <c r="X1189" s="24" t="s">
        <v>1586</v>
      </c>
      <c r="Y1189" s="62"/>
      <c r="Z1189" s="169" t="s">
        <v>894</v>
      </c>
      <c r="AA1189" s="166" t="s">
        <v>2162</v>
      </c>
      <c r="AB1189" s="152"/>
      <c r="AC1189" s="153"/>
      <c r="AD1189" s="154"/>
      <c r="AE1189" s="153"/>
      <c r="AF1189" s="153"/>
      <c r="AG1189" s="153"/>
      <c r="AH1189" s="153"/>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c r="BF1189" s="153"/>
      <c r="BG1189" s="153"/>
      <c r="BH1189" s="153"/>
      <c r="BI1189" s="153"/>
      <c r="BJ1189" s="153"/>
      <c r="BK1189" s="153"/>
      <c r="BL1189" s="153"/>
      <c r="BM1189" s="153"/>
      <c r="BN1189" s="153"/>
      <c r="BO1189" s="153"/>
      <c r="BP1189" s="153"/>
      <c r="BQ1189" s="153"/>
      <c r="BR1189" s="153"/>
      <c r="BS1189" s="153"/>
      <c r="BT1189" s="153"/>
      <c r="BU1189" s="153"/>
      <c r="BV1189" s="153"/>
      <c r="BW1189" s="153"/>
      <c r="BX1189" s="153"/>
      <c r="BY1189" s="153"/>
      <c r="BZ1189" s="153"/>
      <c r="CA1189" s="153"/>
      <c r="CB1189" s="153"/>
      <c r="CC1189" s="153"/>
      <c r="CD1189" s="155"/>
      <c r="CE1189" s="156"/>
      <c r="CF1189" s="155"/>
      <c r="CG1189" s="156"/>
      <c r="CH1189" s="155"/>
      <c r="CI1189" s="156"/>
      <c r="CJ1189" s="157">
        <f t="shared" si="158"/>
        <v>0</v>
      </c>
      <c r="CK1189" s="158"/>
      <c r="CL1189" s="159"/>
      <c r="CM1189" s="160"/>
      <c r="CN1189" s="161"/>
      <c r="CO1189" s="162"/>
      <c r="CP1189" s="161"/>
      <c r="CQ1189" s="158"/>
      <c r="CR1189" s="159"/>
      <c r="CS1189" s="68"/>
      <c r="CT1189" s="163"/>
      <c r="EC1189" s="344" t="str">
        <f t="shared" si="162"/>
        <v>ANTIOQUIA_JERICO</v>
      </c>
      <c r="ED1189" s="341"/>
      <c r="EE1189" s="341"/>
      <c r="EF1189" s="348"/>
      <c r="EG1189" s="341"/>
      <c r="EH1189" s="341"/>
      <c r="EI1189" s="341"/>
    </row>
    <row r="1190" spans="1:139" s="164" customFormat="1" ht="25.5">
      <c r="A1190" s="235">
        <v>40447</v>
      </c>
      <c r="B1190" s="269" t="s">
        <v>1972</v>
      </c>
      <c r="C1190" s="269" t="s">
        <v>514</v>
      </c>
      <c r="D1190" s="270" t="s">
        <v>1201</v>
      </c>
      <c r="E1190" s="327" t="s">
        <v>3292</v>
      </c>
      <c r="F1190" s="327"/>
      <c r="G1190" s="204"/>
      <c r="H1190" s="151"/>
      <c r="I1190" s="151"/>
      <c r="J1190" s="151">
        <v>1500</v>
      </c>
      <c r="K1190" s="151">
        <v>300</v>
      </c>
      <c r="L1190" s="1"/>
      <c r="M1190" s="73">
        <f t="shared" si="156"/>
        <v>0</v>
      </c>
      <c r="N1190" s="73">
        <f t="shared" si="160"/>
        <v>0</v>
      </c>
      <c r="O1190" s="73">
        <f t="shared" si="161"/>
        <v>0</v>
      </c>
      <c r="P1190" s="73">
        <f t="shared" si="157"/>
        <v>0</v>
      </c>
      <c r="Q1190" s="73"/>
      <c r="R1190" s="73">
        <v>0</v>
      </c>
      <c r="S1190" s="75">
        <f t="shared" si="159"/>
        <v>0</v>
      </c>
      <c r="T1190" s="77">
        <v>0</v>
      </c>
      <c r="U1190" s="66">
        <v>40448</v>
      </c>
      <c r="V1190" s="79"/>
      <c r="W1190" s="66" t="s">
        <v>1585</v>
      </c>
      <c r="X1190" s="24" t="s">
        <v>1586</v>
      </c>
      <c r="Y1190" s="62"/>
      <c r="Z1190" s="169" t="s">
        <v>894</v>
      </c>
      <c r="AA1190" s="166" t="s">
        <v>2163</v>
      </c>
      <c r="AB1190" s="152"/>
      <c r="AC1190" s="153"/>
      <c r="AD1190" s="154"/>
      <c r="AE1190" s="153"/>
      <c r="AF1190" s="153"/>
      <c r="AG1190" s="153"/>
      <c r="AH1190" s="153"/>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c r="BF1190" s="153"/>
      <c r="BG1190" s="153"/>
      <c r="BH1190" s="153"/>
      <c r="BI1190" s="153"/>
      <c r="BJ1190" s="153"/>
      <c r="BK1190" s="153"/>
      <c r="BL1190" s="153"/>
      <c r="BM1190" s="153"/>
      <c r="BN1190" s="153"/>
      <c r="BO1190" s="153"/>
      <c r="BP1190" s="153"/>
      <c r="BQ1190" s="153"/>
      <c r="BR1190" s="153"/>
      <c r="BS1190" s="153"/>
      <c r="BT1190" s="153"/>
      <c r="BU1190" s="153"/>
      <c r="BV1190" s="153"/>
      <c r="BW1190" s="153"/>
      <c r="BX1190" s="153"/>
      <c r="BY1190" s="153"/>
      <c r="BZ1190" s="153"/>
      <c r="CA1190" s="153"/>
      <c r="CB1190" s="153"/>
      <c r="CC1190" s="153"/>
      <c r="CD1190" s="155"/>
      <c r="CE1190" s="156"/>
      <c r="CF1190" s="155"/>
      <c r="CG1190" s="156"/>
      <c r="CH1190" s="155"/>
      <c r="CI1190" s="156"/>
      <c r="CJ1190" s="157">
        <f t="shared" si="158"/>
        <v>0</v>
      </c>
      <c r="CK1190" s="158"/>
      <c r="CL1190" s="159"/>
      <c r="CM1190" s="160"/>
      <c r="CN1190" s="161"/>
      <c r="CO1190" s="162"/>
      <c r="CP1190" s="161"/>
      <c r="CQ1190" s="158"/>
      <c r="CR1190" s="159"/>
      <c r="CS1190" s="68"/>
      <c r="CT1190" s="163"/>
      <c r="EC1190" s="344" t="str">
        <f t="shared" si="162"/>
        <v>ANTIOQUIA_LA UNION</v>
      </c>
      <c r="ED1190" s="341"/>
      <c r="EE1190" s="341"/>
      <c r="EF1190" s="348"/>
      <c r="EG1190" s="341"/>
      <c r="EH1190" s="341"/>
      <c r="EI1190" s="341"/>
    </row>
    <row r="1191" spans="1:139" s="164" customFormat="1" ht="25.5">
      <c r="A1191" s="235">
        <v>40447</v>
      </c>
      <c r="B1191" s="269" t="s">
        <v>1972</v>
      </c>
      <c r="C1191" s="269" t="s">
        <v>2155</v>
      </c>
      <c r="D1191" s="236" t="s">
        <v>1878</v>
      </c>
      <c r="E1191" s="324" t="s">
        <v>3294</v>
      </c>
      <c r="F1191" s="324"/>
      <c r="G1191" s="204"/>
      <c r="H1191" s="151"/>
      <c r="I1191" s="151"/>
      <c r="J1191" s="151">
        <v>15</v>
      </c>
      <c r="K1191" s="151">
        <v>3</v>
      </c>
      <c r="L1191" s="1"/>
      <c r="M1191" s="73">
        <f t="shared" si="156"/>
        <v>0</v>
      </c>
      <c r="N1191" s="73">
        <f t="shared" si="160"/>
        <v>0</v>
      </c>
      <c r="O1191" s="73">
        <f t="shared" si="161"/>
        <v>0</v>
      </c>
      <c r="P1191" s="73">
        <f t="shared" si="157"/>
        <v>0</v>
      </c>
      <c r="Q1191" s="73"/>
      <c r="R1191" s="73">
        <v>0</v>
      </c>
      <c r="S1191" s="75">
        <f t="shared" si="159"/>
        <v>0</v>
      </c>
      <c r="T1191" s="77">
        <v>0</v>
      </c>
      <c r="U1191" s="66">
        <v>40448</v>
      </c>
      <c r="V1191" s="79"/>
      <c r="W1191" s="66" t="s">
        <v>1585</v>
      </c>
      <c r="X1191" s="24" t="s">
        <v>1586</v>
      </c>
      <c r="Y1191" s="62"/>
      <c r="Z1191" s="169" t="s">
        <v>894</v>
      </c>
      <c r="AA1191" s="166" t="s">
        <v>2156</v>
      </c>
      <c r="AB1191" s="152"/>
      <c r="AC1191" s="153"/>
      <c r="AD1191" s="154"/>
      <c r="AE1191" s="153"/>
      <c r="AF1191" s="153"/>
      <c r="AG1191" s="153"/>
      <c r="AH1191" s="153"/>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c r="BF1191" s="153"/>
      <c r="BG1191" s="153"/>
      <c r="BH1191" s="153"/>
      <c r="BI1191" s="153"/>
      <c r="BJ1191" s="153"/>
      <c r="BK1191" s="153"/>
      <c r="BL1191" s="153"/>
      <c r="BM1191" s="153"/>
      <c r="BN1191" s="153"/>
      <c r="BO1191" s="153"/>
      <c r="BP1191" s="153"/>
      <c r="BQ1191" s="153"/>
      <c r="BR1191" s="153"/>
      <c r="BS1191" s="153"/>
      <c r="BT1191" s="153"/>
      <c r="BU1191" s="153"/>
      <c r="BV1191" s="153"/>
      <c r="BW1191" s="153"/>
      <c r="BX1191" s="153"/>
      <c r="BY1191" s="153"/>
      <c r="BZ1191" s="153"/>
      <c r="CA1191" s="153"/>
      <c r="CB1191" s="153"/>
      <c r="CC1191" s="153"/>
      <c r="CD1191" s="155"/>
      <c r="CE1191" s="156"/>
      <c r="CF1191" s="155"/>
      <c r="CG1191" s="156"/>
      <c r="CH1191" s="155"/>
      <c r="CI1191" s="156"/>
      <c r="CJ1191" s="157">
        <f t="shared" si="158"/>
        <v>0</v>
      </c>
      <c r="CK1191" s="158"/>
      <c r="CL1191" s="159"/>
      <c r="CM1191" s="160"/>
      <c r="CN1191" s="161"/>
      <c r="CO1191" s="162"/>
      <c r="CP1191" s="161"/>
      <c r="CQ1191" s="158"/>
      <c r="CR1191" s="159"/>
      <c r="CS1191" s="68"/>
      <c r="CT1191" s="163"/>
      <c r="EC1191" s="344" t="str">
        <f t="shared" si="162"/>
        <v>ANTIOQUIA_MACEO</v>
      </c>
      <c r="ED1191" s="341"/>
      <c r="EE1191" s="341"/>
      <c r="EF1191" s="348"/>
      <c r="EG1191" s="341"/>
      <c r="EH1191" s="341"/>
      <c r="EI1191" s="341"/>
    </row>
    <row r="1192" spans="1:139" s="164" customFormat="1" ht="38.25">
      <c r="A1192" s="235">
        <v>40447</v>
      </c>
      <c r="B1192" s="269" t="s">
        <v>1972</v>
      </c>
      <c r="C1192" s="269" t="s">
        <v>2160</v>
      </c>
      <c r="D1192" s="270" t="s">
        <v>2606</v>
      </c>
      <c r="E1192" s="327" t="s">
        <v>3326</v>
      </c>
      <c r="F1192" s="327"/>
      <c r="G1192" s="204"/>
      <c r="H1192" s="151"/>
      <c r="I1192" s="151"/>
      <c r="J1192" s="151"/>
      <c r="K1192" s="151"/>
      <c r="L1192" s="1"/>
      <c r="M1192" s="73">
        <f t="shared" si="156"/>
        <v>0</v>
      </c>
      <c r="N1192" s="73">
        <f t="shared" si="160"/>
        <v>0</v>
      </c>
      <c r="O1192" s="73">
        <f t="shared" si="161"/>
        <v>0</v>
      </c>
      <c r="P1192" s="73">
        <f t="shared" si="157"/>
        <v>0</v>
      </c>
      <c r="Q1192" s="73"/>
      <c r="R1192" s="73">
        <v>0</v>
      </c>
      <c r="S1192" s="75">
        <f t="shared" si="159"/>
        <v>0</v>
      </c>
      <c r="T1192" s="77">
        <v>0</v>
      </c>
      <c r="U1192" s="66">
        <v>40448</v>
      </c>
      <c r="V1192" s="79"/>
      <c r="W1192" s="66" t="s">
        <v>1585</v>
      </c>
      <c r="X1192" s="24" t="s">
        <v>1586</v>
      </c>
      <c r="Y1192" s="62"/>
      <c r="Z1192" s="169" t="s">
        <v>894</v>
      </c>
      <c r="AA1192" s="166" t="s">
        <v>2161</v>
      </c>
      <c r="AB1192" s="152"/>
      <c r="AC1192" s="153"/>
      <c r="AD1192" s="154"/>
      <c r="AE1192" s="153"/>
      <c r="AF1192" s="153"/>
      <c r="AG1192" s="153"/>
      <c r="AH1192" s="153"/>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c r="BF1192" s="153"/>
      <c r="BG1192" s="153"/>
      <c r="BH1192" s="153"/>
      <c r="BI1192" s="153"/>
      <c r="BJ1192" s="153"/>
      <c r="BK1192" s="153"/>
      <c r="BL1192" s="153"/>
      <c r="BM1192" s="153"/>
      <c r="BN1192" s="153"/>
      <c r="BO1192" s="153"/>
      <c r="BP1192" s="153"/>
      <c r="BQ1192" s="153"/>
      <c r="BR1192" s="153"/>
      <c r="BS1192" s="153"/>
      <c r="BT1192" s="153"/>
      <c r="BU1192" s="153"/>
      <c r="BV1192" s="153"/>
      <c r="BW1192" s="153"/>
      <c r="BX1192" s="153"/>
      <c r="BY1192" s="153"/>
      <c r="BZ1192" s="153"/>
      <c r="CA1192" s="153"/>
      <c r="CB1192" s="153"/>
      <c r="CC1192" s="153"/>
      <c r="CD1192" s="155"/>
      <c r="CE1192" s="156"/>
      <c r="CF1192" s="155"/>
      <c r="CG1192" s="156"/>
      <c r="CH1192" s="155"/>
      <c r="CI1192" s="156"/>
      <c r="CJ1192" s="157">
        <f t="shared" si="158"/>
        <v>0</v>
      </c>
      <c r="CK1192" s="158"/>
      <c r="CL1192" s="159"/>
      <c r="CM1192" s="160"/>
      <c r="CN1192" s="161"/>
      <c r="CO1192" s="162"/>
      <c r="CP1192" s="161"/>
      <c r="CQ1192" s="158"/>
      <c r="CR1192" s="159"/>
      <c r="CS1192" s="68"/>
      <c r="CT1192" s="163"/>
      <c r="EC1192" s="344" t="str">
        <f t="shared" si="162"/>
        <v>ANTIOQUIA_SAN VICENTE</v>
      </c>
      <c r="ED1192" s="341"/>
      <c r="EE1192" s="341"/>
      <c r="EF1192" s="348"/>
      <c r="EG1192" s="341"/>
      <c r="EH1192" s="341"/>
      <c r="EI1192" s="341"/>
    </row>
    <row r="1193" spans="1:139" s="164" customFormat="1" ht="38.25">
      <c r="A1193" s="235">
        <v>40447</v>
      </c>
      <c r="B1193" s="269" t="s">
        <v>1972</v>
      </c>
      <c r="C1193" s="269" t="s">
        <v>1159</v>
      </c>
      <c r="D1193" s="236" t="s">
        <v>1878</v>
      </c>
      <c r="E1193" s="324" t="s">
        <v>3327</v>
      </c>
      <c r="F1193" s="324"/>
      <c r="G1193" s="204"/>
      <c r="H1193" s="151"/>
      <c r="I1193" s="151"/>
      <c r="J1193" s="151">
        <v>3</v>
      </c>
      <c r="K1193" s="151">
        <v>1</v>
      </c>
      <c r="L1193" s="1"/>
      <c r="M1193" s="73">
        <f t="shared" si="156"/>
        <v>0</v>
      </c>
      <c r="N1193" s="73">
        <f t="shared" si="160"/>
        <v>0</v>
      </c>
      <c r="O1193" s="73">
        <f t="shared" si="161"/>
        <v>0</v>
      </c>
      <c r="P1193" s="73">
        <f t="shared" si="157"/>
        <v>0</v>
      </c>
      <c r="Q1193" s="73"/>
      <c r="R1193" s="73">
        <v>0</v>
      </c>
      <c r="S1193" s="75">
        <f t="shared" si="159"/>
        <v>0</v>
      </c>
      <c r="T1193" s="77">
        <v>0</v>
      </c>
      <c r="U1193" s="66">
        <v>40448</v>
      </c>
      <c r="V1193" s="79"/>
      <c r="W1193" s="66" t="s">
        <v>1585</v>
      </c>
      <c r="X1193" s="24" t="s">
        <v>1586</v>
      </c>
      <c r="Y1193" s="62"/>
      <c r="Z1193" s="169" t="s">
        <v>894</v>
      </c>
      <c r="AA1193" s="166" t="s">
        <v>2159</v>
      </c>
      <c r="AB1193" s="152"/>
      <c r="AC1193" s="153"/>
      <c r="AD1193" s="154"/>
      <c r="AE1193" s="153"/>
      <c r="AF1193" s="153"/>
      <c r="AG1193" s="153"/>
      <c r="AH1193" s="153"/>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c r="BF1193" s="153"/>
      <c r="BG1193" s="153"/>
      <c r="BH1193" s="153"/>
      <c r="BI1193" s="153"/>
      <c r="BJ1193" s="153"/>
      <c r="BK1193" s="153"/>
      <c r="BL1193" s="153"/>
      <c r="BM1193" s="153"/>
      <c r="BN1193" s="153"/>
      <c r="BO1193" s="153"/>
      <c r="BP1193" s="153"/>
      <c r="BQ1193" s="153"/>
      <c r="BR1193" s="153"/>
      <c r="BS1193" s="153"/>
      <c r="BT1193" s="153"/>
      <c r="BU1193" s="153"/>
      <c r="BV1193" s="153"/>
      <c r="BW1193" s="153"/>
      <c r="BX1193" s="153"/>
      <c r="BY1193" s="153"/>
      <c r="BZ1193" s="153"/>
      <c r="CA1193" s="153"/>
      <c r="CB1193" s="153"/>
      <c r="CC1193" s="153"/>
      <c r="CD1193" s="155"/>
      <c r="CE1193" s="156"/>
      <c r="CF1193" s="155"/>
      <c r="CG1193" s="156"/>
      <c r="CH1193" s="155"/>
      <c r="CI1193" s="156"/>
      <c r="CJ1193" s="157">
        <f t="shared" si="158"/>
        <v>0</v>
      </c>
      <c r="CK1193" s="158"/>
      <c r="CL1193" s="159"/>
      <c r="CM1193" s="160"/>
      <c r="CN1193" s="161"/>
      <c r="CO1193" s="162"/>
      <c r="CP1193" s="161"/>
      <c r="CQ1193" s="158"/>
      <c r="CR1193" s="159"/>
      <c r="CS1193" s="68"/>
      <c r="CT1193" s="163"/>
      <c r="EC1193" s="344" t="str">
        <f t="shared" si="162"/>
        <v>ANTIOQUIA_SANTA BARBARA</v>
      </c>
      <c r="ED1193" s="341"/>
      <c r="EE1193" s="341"/>
      <c r="EF1193" s="348"/>
      <c r="EG1193" s="341"/>
      <c r="EH1193" s="341"/>
      <c r="EI1193" s="341"/>
    </row>
    <row r="1194" spans="1:139" s="164" customFormat="1" ht="25.5">
      <c r="A1194" s="235">
        <v>40447</v>
      </c>
      <c r="B1194" s="269" t="s">
        <v>1972</v>
      </c>
      <c r="C1194" s="269" t="s">
        <v>1629</v>
      </c>
      <c r="D1194" s="270" t="s">
        <v>1201</v>
      </c>
      <c r="E1194" s="327" t="s">
        <v>3344</v>
      </c>
      <c r="F1194" s="327"/>
      <c r="G1194" s="204"/>
      <c r="H1194" s="151"/>
      <c r="I1194" s="151"/>
      <c r="J1194" s="151">
        <v>200</v>
      </c>
      <c r="K1194" s="151">
        <v>40</v>
      </c>
      <c r="L1194" s="1"/>
      <c r="M1194" s="73">
        <f t="shared" si="156"/>
        <v>0</v>
      </c>
      <c r="N1194" s="73">
        <f t="shared" si="160"/>
        <v>0</v>
      </c>
      <c r="O1194" s="73">
        <f t="shared" si="161"/>
        <v>0</v>
      </c>
      <c r="P1194" s="73">
        <f t="shared" si="157"/>
        <v>0</v>
      </c>
      <c r="Q1194" s="73"/>
      <c r="R1194" s="73">
        <v>0</v>
      </c>
      <c r="S1194" s="75">
        <f t="shared" si="159"/>
        <v>0</v>
      </c>
      <c r="T1194" s="77">
        <v>0</v>
      </c>
      <c r="U1194" s="66">
        <v>40448</v>
      </c>
      <c r="V1194" s="79"/>
      <c r="W1194" s="66" t="s">
        <v>1585</v>
      </c>
      <c r="X1194" s="24" t="s">
        <v>1586</v>
      </c>
      <c r="Y1194" s="62"/>
      <c r="Z1194" s="169" t="s">
        <v>894</v>
      </c>
      <c r="AA1194" s="166" t="s">
        <v>2157</v>
      </c>
      <c r="AB1194" s="152"/>
      <c r="AC1194" s="153"/>
      <c r="AD1194" s="154"/>
      <c r="AE1194" s="153"/>
      <c r="AF1194" s="153"/>
      <c r="AG1194" s="153"/>
      <c r="AH1194" s="153"/>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c r="BF1194" s="153"/>
      <c r="BG1194" s="153"/>
      <c r="BH1194" s="153"/>
      <c r="BI1194" s="153"/>
      <c r="BJ1194" s="153"/>
      <c r="BK1194" s="153"/>
      <c r="BL1194" s="153"/>
      <c r="BM1194" s="153"/>
      <c r="BN1194" s="153"/>
      <c r="BO1194" s="153"/>
      <c r="BP1194" s="153"/>
      <c r="BQ1194" s="153"/>
      <c r="BR1194" s="153"/>
      <c r="BS1194" s="153"/>
      <c r="BT1194" s="153"/>
      <c r="BU1194" s="153"/>
      <c r="BV1194" s="153"/>
      <c r="BW1194" s="153"/>
      <c r="BX1194" s="153"/>
      <c r="BY1194" s="153"/>
      <c r="BZ1194" s="153"/>
      <c r="CA1194" s="153"/>
      <c r="CB1194" s="153"/>
      <c r="CC1194" s="153"/>
      <c r="CD1194" s="155"/>
      <c r="CE1194" s="156"/>
      <c r="CF1194" s="155"/>
      <c r="CG1194" s="156"/>
      <c r="CH1194" s="155"/>
      <c r="CI1194" s="156"/>
      <c r="CJ1194" s="157">
        <f t="shared" si="158"/>
        <v>0</v>
      </c>
      <c r="CK1194" s="158"/>
      <c r="CL1194" s="159"/>
      <c r="CM1194" s="160"/>
      <c r="CN1194" s="161"/>
      <c r="CO1194" s="162"/>
      <c r="CP1194" s="161"/>
      <c r="CQ1194" s="158"/>
      <c r="CR1194" s="159"/>
      <c r="CS1194" s="68"/>
      <c r="CT1194" s="163"/>
      <c r="EC1194" s="344" t="str">
        <f t="shared" si="162"/>
        <v>ANTIOQUIA_VEGACHI</v>
      </c>
      <c r="ED1194" s="341"/>
      <c r="EE1194" s="341"/>
      <c r="EF1194" s="348"/>
      <c r="EG1194" s="341"/>
      <c r="EH1194" s="341"/>
      <c r="EI1194" s="341"/>
    </row>
    <row r="1195" spans="1:139" s="164" customFormat="1" ht="48">
      <c r="A1195" s="228">
        <v>40447</v>
      </c>
      <c r="B1195" s="205" t="s">
        <v>1551</v>
      </c>
      <c r="C1195" s="205" t="s">
        <v>1590</v>
      </c>
      <c r="D1195" s="206" t="s">
        <v>1878</v>
      </c>
      <c r="E1195" s="320" t="s">
        <v>3352</v>
      </c>
      <c r="F1195" s="320"/>
      <c r="G1195" s="204"/>
      <c r="H1195" s="151"/>
      <c r="I1195" s="151"/>
      <c r="J1195" s="151">
        <f>116*5</f>
        <v>580</v>
      </c>
      <c r="K1195" s="151">
        <f>84+32</f>
        <v>116</v>
      </c>
      <c r="L1195" s="1"/>
      <c r="M1195" s="73">
        <f t="shared" si="156"/>
        <v>0</v>
      </c>
      <c r="N1195" s="73">
        <f t="shared" si="160"/>
        <v>0</v>
      </c>
      <c r="O1195" s="73">
        <f t="shared" si="161"/>
        <v>0</v>
      </c>
      <c r="P1195" s="73">
        <f t="shared" si="157"/>
        <v>0</v>
      </c>
      <c r="Q1195" s="73"/>
      <c r="R1195" s="73">
        <v>0</v>
      </c>
      <c r="S1195" s="75">
        <f t="shared" si="159"/>
        <v>0</v>
      </c>
      <c r="T1195" s="77">
        <v>0</v>
      </c>
      <c r="U1195" s="66">
        <v>40448</v>
      </c>
      <c r="V1195" s="79"/>
      <c r="W1195" s="66" t="s">
        <v>1585</v>
      </c>
      <c r="X1195" s="24" t="s">
        <v>1586</v>
      </c>
      <c r="Y1195" s="62"/>
      <c r="Z1195" s="169" t="s">
        <v>894</v>
      </c>
      <c r="AA1195" s="166" t="s">
        <v>2765</v>
      </c>
      <c r="AB1195" s="152"/>
      <c r="AC1195" s="153"/>
      <c r="AD1195" s="154"/>
      <c r="AE1195" s="153"/>
      <c r="AF1195" s="153"/>
      <c r="AG1195" s="153"/>
      <c r="AH1195" s="153"/>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c r="BF1195" s="153"/>
      <c r="BG1195" s="153"/>
      <c r="BH1195" s="153"/>
      <c r="BI1195" s="153"/>
      <c r="BJ1195" s="153"/>
      <c r="BK1195" s="153"/>
      <c r="BL1195" s="153"/>
      <c r="BM1195" s="153"/>
      <c r="BN1195" s="153"/>
      <c r="BO1195" s="153"/>
      <c r="BP1195" s="153"/>
      <c r="BQ1195" s="153"/>
      <c r="BR1195" s="153"/>
      <c r="BS1195" s="153"/>
      <c r="BT1195" s="153"/>
      <c r="BU1195" s="153"/>
      <c r="BV1195" s="153"/>
      <c r="BW1195" s="153"/>
      <c r="BX1195" s="153"/>
      <c r="BY1195" s="153"/>
      <c r="BZ1195" s="153"/>
      <c r="CA1195" s="153"/>
      <c r="CB1195" s="153"/>
      <c r="CC1195" s="153"/>
      <c r="CD1195" s="155"/>
      <c r="CE1195" s="156"/>
      <c r="CF1195" s="155"/>
      <c r="CG1195" s="156"/>
      <c r="CH1195" s="155"/>
      <c r="CI1195" s="156"/>
      <c r="CJ1195" s="157">
        <f t="shared" si="158"/>
        <v>0</v>
      </c>
      <c r="CK1195" s="158"/>
      <c r="CL1195" s="159"/>
      <c r="CM1195" s="160"/>
      <c r="CN1195" s="161"/>
      <c r="CO1195" s="162"/>
      <c r="CP1195" s="161"/>
      <c r="CQ1195" s="158"/>
      <c r="CR1195" s="159"/>
      <c r="CS1195" s="68"/>
      <c r="CT1195" s="163"/>
      <c r="EC1195" s="344" t="str">
        <f t="shared" si="162"/>
        <v>ATLANTICO_BARRANQUILLA</v>
      </c>
      <c r="ED1195" s="341"/>
      <c r="EE1195" s="341"/>
      <c r="EF1195" s="348"/>
      <c r="EG1195" s="341"/>
      <c r="EH1195" s="341"/>
      <c r="EI1195" s="341"/>
    </row>
    <row r="1196" spans="1:139" s="164" customFormat="1" ht="25.5">
      <c r="A1196" s="228">
        <v>40447</v>
      </c>
      <c r="B1196" s="205" t="s">
        <v>2704</v>
      </c>
      <c r="C1196" s="205" t="s">
        <v>296</v>
      </c>
      <c r="D1196" s="207" t="s">
        <v>2606</v>
      </c>
      <c r="E1196" s="323" t="s">
        <v>3571</v>
      </c>
      <c r="F1196" s="323"/>
      <c r="G1196" s="204"/>
      <c r="H1196" s="151"/>
      <c r="I1196" s="151"/>
      <c r="J1196" s="151">
        <f>62*5</f>
        <v>310</v>
      </c>
      <c r="K1196" s="151">
        <v>62</v>
      </c>
      <c r="L1196" s="1"/>
      <c r="M1196" s="73">
        <f t="shared" si="156"/>
        <v>0</v>
      </c>
      <c r="N1196" s="73">
        <f t="shared" si="160"/>
        <v>0</v>
      </c>
      <c r="O1196" s="73">
        <f t="shared" si="161"/>
        <v>13224000</v>
      </c>
      <c r="P1196" s="73">
        <f t="shared" si="157"/>
        <v>0</v>
      </c>
      <c r="Q1196" s="73"/>
      <c r="R1196" s="73">
        <v>0</v>
      </c>
      <c r="S1196" s="75">
        <f t="shared" si="159"/>
        <v>13224000</v>
      </c>
      <c r="T1196" s="77">
        <v>0</v>
      </c>
      <c r="U1196" s="66">
        <v>40494</v>
      </c>
      <c r="V1196" s="79"/>
      <c r="W1196" s="66" t="s">
        <v>1606</v>
      </c>
      <c r="X1196" s="24" t="s">
        <v>1607</v>
      </c>
      <c r="Y1196" s="62"/>
      <c r="Z1196" s="169" t="s">
        <v>1435</v>
      </c>
      <c r="AA1196" s="166"/>
      <c r="AB1196" s="152"/>
      <c r="AC1196" s="153"/>
      <c r="AD1196" s="154"/>
      <c r="AE1196" s="153"/>
      <c r="AF1196" s="153"/>
      <c r="AG1196" s="153"/>
      <c r="AH1196" s="153"/>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c r="BF1196" s="153"/>
      <c r="BG1196" s="153"/>
      <c r="BH1196" s="153"/>
      <c r="BI1196" s="153"/>
      <c r="BJ1196" s="153"/>
      <c r="BK1196" s="153"/>
      <c r="BL1196" s="153"/>
      <c r="BM1196" s="153"/>
      <c r="BN1196" s="153"/>
      <c r="BO1196" s="153"/>
      <c r="BP1196" s="153"/>
      <c r="BQ1196" s="153"/>
      <c r="BR1196" s="153"/>
      <c r="BS1196" s="153"/>
      <c r="BT1196" s="153"/>
      <c r="BU1196" s="153"/>
      <c r="BV1196" s="153"/>
      <c r="BW1196" s="153"/>
      <c r="BX1196" s="153"/>
      <c r="BY1196" s="153"/>
      <c r="BZ1196" s="153"/>
      <c r="CA1196" s="153"/>
      <c r="CB1196" s="153"/>
      <c r="CC1196" s="153"/>
      <c r="CD1196" s="155"/>
      <c r="CE1196" s="156"/>
      <c r="CF1196" s="155"/>
      <c r="CG1196" s="156"/>
      <c r="CH1196" s="155"/>
      <c r="CI1196" s="156"/>
      <c r="CJ1196" s="157">
        <f t="shared" si="158"/>
        <v>0</v>
      </c>
      <c r="CK1196" s="158"/>
      <c r="CL1196" s="159"/>
      <c r="CM1196" s="160"/>
      <c r="CN1196" s="161"/>
      <c r="CO1196" s="162">
        <v>150</v>
      </c>
      <c r="CP1196" s="161">
        <f>150*23432</f>
        <v>3514800</v>
      </c>
      <c r="CQ1196" s="158">
        <v>540</v>
      </c>
      <c r="CR1196" s="159">
        <f>540*17980</f>
        <v>9709200</v>
      </c>
      <c r="CS1196" s="68"/>
      <c r="CT1196" s="163"/>
      <c r="EC1196" s="344" t="str">
        <f t="shared" si="162"/>
        <v>CAQUETA_ALBANIA</v>
      </c>
      <c r="ED1196" s="341"/>
      <c r="EE1196" s="341"/>
      <c r="EF1196" s="348"/>
      <c r="EG1196" s="341"/>
      <c r="EH1196" s="341"/>
      <c r="EI1196" s="341"/>
    </row>
    <row r="1197" spans="1:139" s="164" customFormat="1" ht="60">
      <c r="A1197" s="228">
        <v>40447</v>
      </c>
      <c r="B1197" s="205" t="s">
        <v>2704</v>
      </c>
      <c r="C1197" s="205" t="s">
        <v>2061</v>
      </c>
      <c r="D1197" s="207" t="s">
        <v>2606</v>
      </c>
      <c r="E1197" s="323" t="s">
        <v>3584</v>
      </c>
      <c r="F1197" s="323"/>
      <c r="G1197" s="204"/>
      <c r="H1197" s="151">
        <v>1</v>
      </c>
      <c r="I1197" s="151"/>
      <c r="J1197" s="151">
        <f>121*5</f>
        <v>605</v>
      </c>
      <c r="K1197" s="151">
        <f>146-25</f>
        <v>121</v>
      </c>
      <c r="L1197" s="1">
        <v>40508</v>
      </c>
      <c r="M1197" s="73">
        <f t="shared" si="156"/>
        <v>3920000</v>
      </c>
      <c r="N1197" s="73">
        <f t="shared" si="160"/>
        <v>0</v>
      </c>
      <c r="O1197" s="73">
        <f>620*18096+2500*104.4+6*110571.2+570*22500</f>
        <v>24968947.199999999</v>
      </c>
      <c r="P1197" s="73">
        <f t="shared" si="157"/>
        <v>0</v>
      </c>
      <c r="Q1197" s="73"/>
      <c r="R1197" s="73">
        <v>0</v>
      </c>
      <c r="S1197" s="75">
        <f t="shared" si="159"/>
        <v>28888947.199999999</v>
      </c>
      <c r="T1197" s="77">
        <v>0</v>
      </c>
      <c r="U1197" s="66">
        <v>40441</v>
      </c>
      <c r="V1197" s="79">
        <v>52825</v>
      </c>
      <c r="W1197" s="66" t="s">
        <v>1606</v>
      </c>
      <c r="X1197" s="24" t="s">
        <v>1607</v>
      </c>
      <c r="Y1197" s="83" t="s">
        <v>658</v>
      </c>
      <c r="Z1197" s="177" t="s">
        <v>2580</v>
      </c>
      <c r="AA1197" s="166" t="s">
        <v>659</v>
      </c>
      <c r="AB1197" s="152"/>
      <c r="AC1197" s="153"/>
      <c r="AD1197" s="154"/>
      <c r="AE1197" s="153"/>
      <c r="AF1197" s="153"/>
      <c r="AG1197" s="153"/>
      <c r="AH1197" s="153"/>
      <c r="AI1197" s="153"/>
      <c r="AJ1197" s="153"/>
      <c r="AK1197" s="153"/>
      <c r="AL1197" s="153"/>
      <c r="AM1197" s="153"/>
      <c r="AN1197" s="153">
        <v>70</v>
      </c>
      <c r="AO1197" s="153">
        <f>70*56000</f>
        <v>3920000</v>
      </c>
      <c r="AP1197" s="153"/>
      <c r="AQ1197" s="153"/>
      <c r="AR1197" s="153"/>
      <c r="AS1197" s="153"/>
      <c r="AT1197" s="153"/>
      <c r="AU1197" s="153"/>
      <c r="AV1197" s="153"/>
      <c r="AW1197" s="153"/>
      <c r="AX1197" s="153"/>
      <c r="AY1197" s="153"/>
      <c r="AZ1197" s="153"/>
      <c r="BA1197" s="153"/>
      <c r="BB1197" s="153"/>
      <c r="BC1197" s="153"/>
      <c r="BD1197" s="153"/>
      <c r="BE1197" s="153"/>
      <c r="BF1197" s="153"/>
      <c r="BG1197" s="153"/>
      <c r="BH1197" s="153"/>
      <c r="BI1197" s="153"/>
      <c r="BJ1197" s="153"/>
      <c r="BK1197" s="153"/>
      <c r="BL1197" s="153"/>
      <c r="BM1197" s="153"/>
      <c r="BN1197" s="153"/>
      <c r="BO1197" s="153"/>
      <c r="BP1197" s="153"/>
      <c r="BQ1197" s="153"/>
      <c r="BR1197" s="153"/>
      <c r="BS1197" s="153"/>
      <c r="BT1197" s="153"/>
      <c r="BU1197" s="153"/>
      <c r="BV1197" s="153"/>
      <c r="BW1197" s="153"/>
      <c r="BX1197" s="153"/>
      <c r="BY1197" s="153"/>
      <c r="BZ1197" s="153"/>
      <c r="CA1197" s="153"/>
      <c r="CB1197" s="153"/>
      <c r="CC1197" s="153"/>
      <c r="CD1197" s="155"/>
      <c r="CE1197" s="156"/>
      <c r="CF1197" s="155"/>
      <c r="CG1197" s="156"/>
      <c r="CH1197" s="155"/>
      <c r="CI1197" s="156"/>
      <c r="CJ1197" s="157">
        <f t="shared" si="158"/>
        <v>3920000</v>
      </c>
      <c r="CK1197" s="158"/>
      <c r="CL1197" s="159"/>
      <c r="CM1197" s="160"/>
      <c r="CN1197" s="161"/>
      <c r="CO1197" s="162"/>
      <c r="CP1197" s="161"/>
      <c r="CQ1197" s="158">
        <v>570</v>
      </c>
      <c r="CR1197" s="159">
        <f>570*17980</f>
        <v>10248600</v>
      </c>
      <c r="CS1197" s="68"/>
      <c r="CT1197" s="163"/>
      <c r="EC1197" s="344" t="str">
        <f t="shared" si="162"/>
        <v>CAQUETA_SOLITA</v>
      </c>
      <c r="ED1197" s="341"/>
      <c r="EE1197" s="341"/>
      <c r="EF1197" s="348"/>
      <c r="EG1197" s="341"/>
      <c r="EH1197" s="341"/>
      <c r="EI1197" s="341"/>
    </row>
    <row r="1198" spans="1:139" s="164" customFormat="1" ht="63.75">
      <c r="A1198" s="228">
        <v>40447</v>
      </c>
      <c r="B1198" s="102" t="s">
        <v>4321</v>
      </c>
      <c r="C1198" s="205" t="s">
        <v>2463</v>
      </c>
      <c r="D1198" s="207" t="s">
        <v>1201</v>
      </c>
      <c r="E1198" s="323" t="s">
        <v>3871</v>
      </c>
      <c r="F1198" s="323"/>
      <c r="G1198" s="204"/>
      <c r="H1198" s="151"/>
      <c r="I1198" s="151"/>
      <c r="J1198" s="151">
        <f>43*5</f>
        <v>215</v>
      </c>
      <c r="K1198" s="151">
        <v>43</v>
      </c>
      <c r="L1198" s="1">
        <v>40508</v>
      </c>
      <c r="M1198" s="73">
        <f t="shared" si="156"/>
        <v>5746500</v>
      </c>
      <c r="N1198" s="73">
        <f t="shared" si="160"/>
        <v>3825000</v>
      </c>
      <c r="O1198" s="73">
        <f t="shared" ref="O1198:O1229" si="163">CP1198+CR1198</f>
        <v>0</v>
      </c>
      <c r="P1198" s="73">
        <f t="shared" si="157"/>
        <v>0</v>
      </c>
      <c r="Q1198" s="73"/>
      <c r="R1198" s="73">
        <v>0</v>
      </c>
      <c r="S1198" s="75">
        <f t="shared" si="159"/>
        <v>9571500</v>
      </c>
      <c r="T1198" s="77">
        <v>0</v>
      </c>
      <c r="U1198" s="66">
        <v>40484</v>
      </c>
      <c r="V1198" s="79">
        <v>59457</v>
      </c>
      <c r="W1198" s="66" t="s">
        <v>1606</v>
      </c>
      <c r="X1198" s="24" t="s">
        <v>1607</v>
      </c>
      <c r="Y1198" s="104">
        <v>24642</v>
      </c>
      <c r="Z1198" s="177" t="s">
        <v>2580</v>
      </c>
      <c r="AA1198" s="166" t="s">
        <v>2464</v>
      </c>
      <c r="AB1198" s="152"/>
      <c r="AC1198" s="153"/>
      <c r="AD1198" s="154"/>
      <c r="AE1198" s="153"/>
      <c r="AF1198" s="153"/>
      <c r="AG1198" s="153"/>
      <c r="AH1198" s="153"/>
      <c r="AI1198" s="153"/>
      <c r="AJ1198" s="153"/>
      <c r="AK1198" s="153"/>
      <c r="AL1198" s="153"/>
      <c r="AM1198" s="153"/>
      <c r="AN1198" s="153"/>
      <c r="AO1198" s="153"/>
      <c r="AP1198" s="153"/>
      <c r="AQ1198" s="153"/>
      <c r="AR1198" s="153"/>
      <c r="AS1198" s="153"/>
      <c r="AT1198" s="153"/>
      <c r="AU1198" s="153"/>
      <c r="AV1198" s="153"/>
      <c r="AW1198" s="153"/>
      <c r="AX1198" s="153"/>
      <c r="AY1198" s="153"/>
      <c r="AZ1198" s="153">
        <v>90</v>
      </c>
      <c r="BA1198" s="153">
        <f>90*25500</f>
        <v>2295000</v>
      </c>
      <c r="BB1198" s="153"/>
      <c r="BC1198" s="153"/>
      <c r="BD1198" s="153"/>
      <c r="BE1198" s="153"/>
      <c r="BF1198" s="153"/>
      <c r="BG1198" s="153"/>
      <c r="BH1198" s="153"/>
      <c r="BI1198" s="153"/>
      <c r="BJ1198" s="153"/>
      <c r="BK1198" s="153"/>
      <c r="BL1198" s="153"/>
      <c r="BM1198" s="153"/>
      <c r="BN1198" s="153"/>
      <c r="BO1198" s="153"/>
      <c r="BP1198" s="153"/>
      <c r="BQ1198" s="153"/>
      <c r="BR1198" s="153"/>
      <c r="BS1198" s="153"/>
      <c r="BT1198" s="153"/>
      <c r="BU1198" s="153"/>
      <c r="BV1198" s="153"/>
      <c r="BW1198" s="153"/>
      <c r="BX1198" s="153"/>
      <c r="BY1198" s="153"/>
      <c r="BZ1198" s="153"/>
      <c r="CA1198" s="153"/>
      <c r="CB1198" s="153"/>
      <c r="CC1198" s="153"/>
      <c r="CD1198" s="155">
        <v>45</v>
      </c>
      <c r="CE1198" s="156">
        <f>45*37000</f>
        <v>1665000</v>
      </c>
      <c r="CF1198" s="155">
        <v>45</v>
      </c>
      <c r="CG1198" s="156">
        <f>45*39700</f>
        <v>1786500</v>
      </c>
      <c r="CH1198" s="155"/>
      <c r="CI1198" s="156"/>
      <c r="CJ1198" s="157">
        <f t="shared" si="158"/>
        <v>5746500</v>
      </c>
      <c r="CK1198" s="158"/>
      <c r="CL1198" s="159"/>
      <c r="CM1198" s="160">
        <v>45</v>
      </c>
      <c r="CN1198" s="161">
        <f>45*85000</f>
        <v>3825000</v>
      </c>
      <c r="CO1198" s="162"/>
      <c r="CP1198" s="161"/>
      <c r="CQ1198" s="158"/>
      <c r="CR1198" s="159"/>
      <c r="CS1198" s="68"/>
      <c r="CT1198" s="163"/>
      <c r="EC1198" s="344" t="str">
        <f t="shared" si="162"/>
        <v>LA GUAJIRA_SAN JUAN DEL CESAR</v>
      </c>
      <c r="ED1198" s="341"/>
      <c r="EE1198" s="341"/>
      <c r="EF1198" s="348"/>
      <c r="EG1198" s="341"/>
      <c r="EH1198" s="341"/>
      <c r="EI1198" s="341"/>
    </row>
    <row r="1199" spans="1:139" s="164" customFormat="1" ht="84">
      <c r="A1199" s="228">
        <v>40447</v>
      </c>
      <c r="B1199" s="205" t="s">
        <v>1440</v>
      </c>
      <c r="C1199" s="205" t="s">
        <v>1418</v>
      </c>
      <c r="D1199" s="207" t="s">
        <v>1201</v>
      </c>
      <c r="E1199" s="323" t="s">
        <v>3875</v>
      </c>
      <c r="F1199" s="323"/>
      <c r="G1199" s="204"/>
      <c r="H1199" s="151"/>
      <c r="I1199" s="151"/>
      <c r="J1199" s="151"/>
      <c r="K1199" s="151"/>
      <c r="L1199" s="1"/>
      <c r="M1199" s="73">
        <f t="shared" si="156"/>
        <v>0</v>
      </c>
      <c r="N1199" s="73">
        <f t="shared" si="160"/>
        <v>0</v>
      </c>
      <c r="O1199" s="73">
        <f t="shared" si="163"/>
        <v>0</v>
      </c>
      <c r="P1199" s="73">
        <f t="shared" si="157"/>
        <v>0</v>
      </c>
      <c r="Q1199" s="73"/>
      <c r="R1199" s="73">
        <v>0</v>
      </c>
      <c r="S1199" s="75">
        <f t="shared" si="159"/>
        <v>0</v>
      </c>
      <c r="T1199" s="77">
        <v>0</v>
      </c>
      <c r="U1199" s="66">
        <v>40448</v>
      </c>
      <c r="V1199" s="79"/>
      <c r="W1199" s="66" t="s">
        <v>1585</v>
      </c>
      <c r="X1199" s="24" t="s">
        <v>1586</v>
      </c>
      <c r="Y1199" s="62"/>
      <c r="Z1199" s="169" t="s">
        <v>894</v>
      </c>
      <c r="AA1199" s="166" t="s">
        <v>2166</v>
      </c>
      <c r="AB1199" s="152"/>
      <c r="AC1199" s="153"/>
      <c r="AD1199" s="154"/>
      <c r="AE1199" s="153"/>
      <c r="AF1199" s="153"/>
      <c r="AG1199" s="153"/>
      <c r="AH1199" s="153"/>
      <c r="AI1199" s="153"/>
      <c r="AJ1199" s="153"/>
      <c r="AK1199" s="153"/>
      <c r="AL1199" s="153"/>
      <c r="AM1199" s="153"/>
      <c r="AN1199" s="153"/>
      <c r="AO1199" s="153"/>
      <c r="AP1199" s="153"/>
      <c r="AQ1199" s="153"/>
      <c r="AR1199" s="153"/>
      <c r="AS1199" s="153"/>
      <c r="AT1199" s="153"/>
      <c r="AU1199" s="153"/>
      <c r="AV1199" s="153"/>
      <c r="AW1199" s="153"/>
      <c r="AX1199" s="153"/>
      <c r="AY1199" s="153"/>
      <c r="AZ1199" s="153"/>
      <c r="BA1199" s="153"/>
      <c r="BB1199" s="153"/>
      <c r="BC1199" s="153"/>
      <c r="BD1199" s="153"/>
      <c r="BE1199" s="153"/>
      <c r="BF1199" s="153"/>
      <c r="BG1199" s="153"/>
      <c r="BH1199" s="153"/>
      <c r="BI1199" s="153"/>
      <c r="BJ1199" s="153"/>
      <c r="BK1199" s="153"/>
      <c r="BL1199" s="153"/>
      <c r="BM1199" s="153"/>
      <c r="BN1199" s="153"/>
      <c r="BO1199" s="153"/>
      <c r="BP1199" s="153"/>
      <c r="BQ1199" s="153"/>
      <c r="BR1199" s="153"/>
      <c r="BS1199" s="153"/>
      <c r="BT1199" s="153"/>
      <c r="BU1199" s="153"/>
      <c r="BV1199" s="153"/>
      <c r="BW1199" s="153"/>
      <c r="BX1199" s="153"/>
      <c r="BY1199" s="153"/>
      <c r="BZ1199" s="153"/>
      <c r="CA1199" s="153"/>
      <c r="CB1199" s="153"/>
      <c r="CC1199" s="153"/>
      <c r="CD1199" s="155"/>
      <c r="CE1199" s="156"/>
      <c r="CF1199" s="155"/>
      <c r="CG1199" s="156"/>
      <c r="CH1199" s="155"/>
      <c r="CI1199" s="156"/>
      <c r="CJ1199" s="157">
        <f t="shared" si="158"/>
        <v>0</v>
      </c>
      <c r="CK1199" s="158"/>
      <c r="CL1199" s="159"/>
      <c r="CM1199" s="160"/>
      <c r="CN1199" s="161"/>
      <c r="CO1199" s="162"/>
      <c r="CP1199" s="161"/>
      <c r="CQ1199" s="158"/>
      <c r="CR1199" s="159"/>
      <c r="CS1199" s="68"/>
      <c r="CT1199" s="163"/>
      <c r="EC1199" s="344" t="str">
        <f t="shared" si="162"/>
        <v>MAGDALENA_SANTA MARTA</v>
      </c>
      <c r="ED1199" s="341"/>
      <c r="EE1199" s="341"/>
      <c r="EF1199" s="348"/>
      <c r="EG1199" s="341"/>
      <c r="EH1199" s="341"/>
      <c r="EI1199" s="341"/>
    </row>
    <row r="1200" spans="1:139" s="164" customFormat="1" ht="51">
      <c r="A1200" s="228">
        <v>40447</v>
      </c>
      <c r="B1200" s="205" t="s">
        <v>965</v>
      </c>
      <c r="C1200" s="205" t="s">
        <v>988</v>
      </c>
      <c r="D1200" s="206" t="s">
        <v>1878</v>
      </c>
      <c r="E1200" s="320" t="s">
        <v>4001</v>
      </c>
      <c r="F1200" s="320"/>
      <c r="G1200" s="204"/>
      <c r="H1200" s="151"/>
      <c r="I1200" s="151"/>
      <c r="J1200" s="151">
        <f>680-16</f>
        <v>664</v>
      </c>
      <c r="K1200" s="151">
        <v>180</v>
      </c>
      <c r="L1200" s="1"/>
      <c r="M1200" s="73">
        <f t="shared" si="156"/>
        <v>0</v>
      </c>
      <c r="N1200" s="73">
        <f t="shared" si="160"/>
        <v>0</v>
      </c>
      <c r="O1200" s="73">
        <f t="shared" si="163"/>
        <v>0</v>
      </c>
      <c r="P1200" s="73">
        <f t="shared" si="157"/>
        <v>0</v>
      </c>
      <c r="Q1200" s="73"/>
      <c r="R1200" s="73">
        <v>0</v>
      </c>
      <c r="S1200" s="75">
        <f t="shared" si="159"/>
        <v>0</v>
      </c>
      <c r="T1200" s="77">
        <v>0</v>
      </c>
      <c r="U1200" s="66">
        <v>40448</v>
      </c>
      <c r="V1200" s="79"/>
      <c r="W1200" s="66" t="s">
        <v>1585</v>
      </c>
      <c r="X1200" s="24" t="s">
        <v>1586</v>
      </c>
      <c r="Y1200" s="62"/>
      <c r="Z1200" s="169" t="s">
        <v>894</v>
      </c>
      <c r="AA1200" s="166" t="s">
        <v>2154</v>
      </c>
      <c r="AB1200" s="152"/>
      <c r="AC1200" s="153"/>
      <c r="AD1200" s="154"/>
      <c r="AE1200" s="153"/>
      <c r="AF1200" s="153"/>
      <c r="AG1200" s="153"/>
      <c r="AH1200" s="153"/>
      <c r="AI1200" s="153"/>
      <c r="AJ1200" s="153"/>
      <c r="AK1200" s="153"/>
      <c r="AL1200" s="153"/>
      <c r="AM1200" s="153"/>
      <c r="AN1200" s="153"/>
      <c r="AO1200" s="153"/>
      <c r="AP1200" s="153"/>
      <c r="AQ1200" s="153"/>
      <c r="AR1200" s="153"/>
      <c r="AS1200" s="153"/>
      <c r="AT1200" s="153"/>
      <c r="AU1200" s="153"/>
      <c r="AV1200" s="153"/>
      <c r="AW1200" s="153"/>
      <c r="AX1200" s="153"/>
      <c r="AY1200" s="153"/>
      <c r="AZ1200" s="153"/>
      <c r="BA1200" s="153"/>
      <c r="BB1200" s="153"/>
      <c r="BC1200" s="153"/>
      <c r="BD1200" s="153"/>
      <c r="BE1200" s="153"/>
      <c r="BF1200" s="153"/>
      <c r="BG1200" s="153"/>
      <c r="BH1200" s="153"/>
      <c r="BI1200" s="153"/>
      <c r="BJ1200" s="153"/>
      <c r="BK1200" s="153"/>
      <c r="BL1200" s="153"/>
      <c r="BM1200" s="153"/>
      <c r="BN1200" s="153"/>
      <c r="BO1200" s="153"/>
      <c r="BP1200" s="153"/>
      <c r="BQ1200" s="153"/>
      <c r="BR1200" s="153"/>
      <c r="BS1200" s="153"/>
      <c r="BT1200" s="153"/>
      <c r="BU1200" s="153"/>
      <c r="BV1200" s="153"/>
      <c r="BW1200" s="153"/>
      <c r="BX1200" s="153"/>
      <c r="BY1200" s="153"/>
      <c r="BZ1200" s="153"/>
      <c r="CA1200" s="153"/>
      <c r="CB1200" s="153"/>
      <c r="CC1200" s="153"/>
      <c r="CD1200" s="155"/>
      <c r="CE1200" s="156"/>
      <c r="CF1200" s="155"/>
      <c r="CG1200" s="156"/>
      <c r="CH1200" s="155"/>
      <c r="CI1200" s="156"/>
      <c r="CJ1200" s="157">
        <f t="shared" si="158"/>
        <v>0</v>
      </c>
      <c r="CK1200" s="158"/>
      <c r="CL1200" s="159"/>
      <c r="CM1200" s="160"/>
      <c r="CN1200" s="161"/>
      <c r="CO1200" s="162"/>
      <c r="CP1200" s="161"/>
      <c r="CQ1200" s="158"/>
      <c r="CR1200" s="159"/>
      <c r="CS1200" s="68"/>
      <c r="CT1200" s="163"/>
      <c r="EC1200" s="344" t="str">
        <f t="shared" si="162"/>
        <v>NORTE DE SANTANDER_BOCHALEMA</v>
      </c>
      <c r="ED1200" s="341"/>
      <c r="EE1200" s="341"/>
      <c r="EF1200" s="348"/>
      <c r="EG1200" s="341"/>
      <c r="EH1200" s="341"/>
      <c r="EI1200" s="341"/>
    </row>
    <row r="1201" spans="1:139" s="164" customFormat="1" ht="84">
      <c r="A1201" s="228">
        <v>40447</v>
      </c>
      <c r="B1201" s="205" t="s">
        <v>965</v>
      </c>
      <c r="C1201" s="205" t="s">
        <v>978</v>
      </c>
      <c r="D1201" s="207" t="s">
        <v>1201</v>
      </c>
      <c r="E1201" s="323" t="s">
        <v>4008</v>
      </c>
      <c r="F1201" s="323"/>
      <c r="G1201" s="204"/>
      <c r="H1201" s="151"/>
      <c r="I1201" s="151"/>
      <c r="J1201" s="151">
        <v>130</v>
      </c>
      <c r="K1201" s="151">
        <v>26</v>
      </c>
      <c r="L1201" s="1">
        <v>40509</v>
      </c>
      <c r="M1201" s="73">
        <f t="shared" si="156"/>
        <v>0</v>
      </c>
      <c r="N1201" s="73">
        <f t="shared" si="160"/>
        <v>0</v>
      </c>
      <c r="O1201" s="73">
        <f t="shared" si="163"/>
        <v>0</v>
      </c>
      <c r="P1201" s="73">
        <f t="shared" si="157"/>
        <v>0</v>
      </c>
      <c r="Q1201" s="73">
        <f>600*17980+10000*994.12+600*21460+140*51968</f>
        <v>40880720</v>
      </c>
      <c r="R1201" s="73">
        <v>0</v>
      </c>
      <c r="S1201" s="75">
        <f t="shared" si="159"/>
        <v>40880720</v>
      </c>
      <c r="T1201" s="77">
        <v>0</v>
      </c>
      <c r="U1201" s="66">
        <v>40448</v>
      </c>
      <c r="V1201" s="79">
        <v>59205</v>
      </c>
      <c r="W1201" s="66" t="s">
        <v>1606</v>
      </c>
      <c r="X1201" s="24" t="s">
        <v>1607</v>
      </c>
      <c r="Y1201" s="62">
        <v>24573</v>
      </c>
      <c r="Z1201" s="169" t="s">
        <v>824</v>
      </c>
      <c r="AA1201" s="166" t="s">
        <v>2518</v>
      </c>
      <c r="AB1201" s="152"/>
      <c r="AC1201" s="153"/>
      <c r="AD1201" s="154"/>
      <c r="AE1201" s="153"/>
      <c r="AF1201" s="153"/>
      <c r="AG1201" s="153"/>
      <c r="AH1201" s="153"/>
      <c r="AI1201" s="153"/>
      <c r="AJ1201" s="153"/>
      <c r="AK1201" s="153"/>
      <c r="AL1201" s="153"/>
      <c r="AM1201" s="153"/>
      <c r="AN1201" s="153"/>
      <c r="AO1201" s="153"/>
      <c r="AP1201" s="153"/>
      <c r="AQ1201" s="153"/>
      <c r="AR1201" s="153"/>
      <c r="AS1201" s="153"/>
      <c r="AT1201" s="153"/>
      <c r="AU1201" s="153"/>
      <c r="AV1201" s="153"/>
      <c r="AW1201" s="153"/>
      <c r="AX1201" s="153"/>
      <c r="AY1201" s="153"/>
      <c r="AZ1201" s="153"/>
      <c r="BA1201" s="153"/>
      <c r="BB1201" s="153"/>
      <c r="BC1201" s="153"/>
      <c r="BD1201" s="153"/>
      <c r="BE1201" s="153"/>
      <c r="BF1201" s="153"/>
      <c r="BG1201" s="153"/>
      <c r="BH1201" s="153"/>
      <c r="BI1201" s="153"/>
      <c r="BJ1201" s="153"/>
      <c r="BK1201" s="153"/>
      <c r="BL1201" s="153"/>
      <c r="BM1201" s="153"/>
      <c r="BN1201" s="153"/>
      <c r="BO1201" s="153"/>
      <c r="BP1201" s="153"/>
      <c r="BQ1201" s="153"/>
      <c r="BR1201" s="153"/>
      <c r="BS1201" s="153"/>
      <c r="BT1201" s="153"/>
      <c r="BU1201" s="153"/>
      <c r="BV1201" s="153"/>
      <c r="BW1201" s="153"/>
      <c r="BX1201" s="153"/>
      <c r="BY1201" s="153"/>
      <c r="BZ1201" s="153"/>
      <c r="CA1201" s="153"/>
      <c r="CB1201" s="153"/>
      <c r="CC1201" s="153"/>
      <c r="CD1201" s="155"/>
      <c r="CE1201" s="156"/>
      <c r="CF1201" s="155"/>
      <c r="CG1201" s="156"/>
      <c r="CH1201" s="155"/>
      <c r="CI1201" s="156"/>
      <c r="CJ1201" s="157">
        <f t="shared" si="158"/>
        <v>0</v>
      </c>
      <c r="CK1201" s="158"/>
      <c r="CL1201" s="159"/>
      <c r="CM1201" s="160"/>
      <c r="CN1201" s="161"/>
      <c r="CO1201" s="162"/>
      <c r="CP1201" s="161"/>
      <c r="CQ1201" s="158"/>
      <c r="CR1201" s="159"/>
      <c r="CS1201" s="68"/>
      <c r="CT1201" s="163"/>
      <c r="EC1201" s="344" t="str">
        <f t="shared" si="162"/>
        <v>NORTE DE SANTANDER_CUCUTILLA</v>
      </c>
      <c r="ED1201" s="341"/>
      <c r="EE1201" s="341"/>
      <c r="EF1201" s="348"/>
      <c r="EG1201" s="341"/>
      <c r="EH1201" s="341"/>
      <c r="EI1201" s="341"/>
    </row>
    <row r="1202" spans="1:139" s="164" customFormat="1" ht="38.25">
      <c r="A1202" s="228">
        <v>40447</v>
      </c>
      <c r="B1202" s="205" t="s">
        <v>965</v>
      </c>
      <c r="C1202" s="205" t="s">
        <v>2083</v>
      </c>
      <c r="D1202" s="207" t="s">
        <v>1201</v>
      </c>
      <c r="E1202" s="323" t="s">
        <v>4012</v>
      </c>
      <c r="F1202" s="323"/>
      <c r="G1202" s="204"/>
      <c r="H1202" s="151"/>
      <c r="I1202" s="151"/>
      <c r="J1202" s="151">
        <v>15</v>
      </c>
      <c r="K1202" s="151">
        <v>3</v>
      </c>
      <c r="L1202" s="1"/>
      <c r="M1202" s="73">
        <f t="shared" si="156"/>
        <v>0</v>
      </c>
      <c r="N1202" s="73">
        <f t="shared" si="160"/>
        <v>0</v>
      </c>
      <c r="O1202" s="73">
        <f t="shared" si="163"/>
        <v>0</v>
      </c>
      <c r="P1202" s="73">
        <f t="shared" si="157"/>
        <v>0</v>
      </c>
      <c r="Q1202" s="73"/>
      <c r="R1202" s="73">
        <v>0</v>
      </c>
      <c r="S1202" s="75">
        <f t="shared" si="159"/>
        <v>0</v>
      </c>
      <c r="T1202" s="77">
        <v>0</v>
      </c>
      <c r="U1202" s="66">
        <v>40448</v>
      </c>
      <c r="V1202" s="79"/>
      <c r="W1202" s="66" t="s">
        <v>1585</v>
      </c>
      <c r="X1202" s="24" t="s">
        <v>1586</v>
      </c>
      <c r="Y1202" s="62"/>
      <c r="Z1202" s="169" t="s">
        <v>894</v>
      </c>
      <c r="AA1202" s="166" t="s">
        <v>1292</v>
      </c>
      <c r="AB1202" s="152"/>
      <c r="AC1202" s="153"/>
      <c r="AD1202" s="154"/>
      <c r="AE1202" s="153"/>
      <c r="AF1202" s="153"/>
      <c r="AG1202" s="153"/>
      <c r="AH1202" s="153"/>
      <c r="AI1202" s="153"/>
      <c r="AJ1202" s="153"/>
      <c r="AK1202" s="153"/>
      <c r="AL1202" s="153"/>
      <c r="AM1202" s="153"/>
      <c r="AN1202" s="153"/>
      <c r="AO1202" s="153"/>
      <c r="AP1202" s="153"/>
      <c r="AQ1202" s="153"/>
      <c r="AR1202" s="153"/>
      <c r="AS1202" s="153"/>
      <c r="AT1202" s="153"/>
      <c r="AU1202" s="153"/>
      <c r="AV1202" s="153"/>
      <c r="AW1202" s="153"/>
      <c r="AX1202" s="153"/>
      <c r="AY1202" s="153"/>
      <c r="AZ1202" s="153"/>
      <c r="BA1202" s="153"/>
      <c r="BB1202" s="153"/>
      <c r="BC1202" s="153"/>
      <c r="BD1202" s="153"/>
      <c r="BE1202" s="153"/>
      <c r="BF1202" s="153"/>
      <c r="BG1202" s="153"/>
      <c r="BH1202" s="153"/>
      <c r="BI1202" s="153"/>
      <c r="BJ1202" s="153"/>
      <c r="BK1202" s="153"/>
      <c r="BL1202" s="153"/>
      <c r="BM1202" s="153"/>
      <c r="BN1202" s="153"/>
      <c r="BO1202" s="153"/>
      <c r="BP1202" s="153"/>
      <c r="BQ1202" s="153"/>
      <c r="BR1202" s="153"/>
      <c r="BS1202" s="153"/>
      <c r="BT1202" s="153"/>
      <c r="BU1202" s="153"/>
      <c r="BV1202" s="153"/>
      <c r="BW1202" s="153"/>
      <c r="BX1202" s="153"/>
      <c r="BY1202" s="153"/>
      <c r="BZ1202" s="153"/>
      <c r="CA1202" s="153"/>
      <c r="CB1202" s="153"/>
      <c r="CC1202" s="153"/>
      <c r="CD1202" s="155"/>
      <c r="CE1202" s="156"/>
      <c r="CF1202" s="155"/>
      <c r="CG1202" s="156"/>
      <c r="CH1202" s="155"/>
      <c r="CI1202" s="156"/>
      <c r="CJ1202" s="157">
        <f t="shared" si="158"/>
        <v>0</v>
      </c>
      <c r="CK1202" s="158"/>
      <c r="CL1202" s="159"/>
      <c r="CM1202" s="160"/>
      <c r="CN1202" s="161"/>
      <c r="CO1202" s="162"/>
      <c r="CP1202" s="161"/>
      <c r="CQ1202" s="158"/>
      <c r="CR1202" s="159"/>
      <c r="CS1202" s="68"/>
      <c r="CT1202" s="163"/>
      <c r="EC1202" s="344" t="str">
        <f t="shared" si="162"/>
        <v>NORTE DE SANTANDER_EL ZULIA</v>
      </c>
      <c r="ED1202" s="341"/>
      <c r="EE1202" s="341"/>
      <c r="EF1202" s="348"/>
      <c r="EG1202" s="341"/>
      <c r="EH1202" s="341"/>
      <c r="EI1202" s="341"/>
    </row>
    <row r="1203" spans="1:139" s="164" customFormat="1" ht="51">
      <c r="A1203" s="228">
        <v>40447</v>
      </c>
      <c r="B1203" s="205" t="s">
        <v>965</v>
      </c>
      <c r="C1203" s="205" t="s">
        <v>2355</v>
      </c>
      <c r="D1203" s="207" t="s">
        <v>2606</v>
      </c>
      <c r="E1203" s="323" t="s">
        <v>4029</v>
      </c>
      <c r="F1203" s="323"/>
      <c r="G1203" s="204"/>
      <c r="H1203" s="151"/>
      <c r="I1203" s="151"/>
      <c r="J1203" s="151">
        <v>344</v>
      </c>
      <c r="K1203" s="151">
        <v>100</v>
      </c>
      <c r="L1203" s="1"/>
      <c r="M1203" s="73">
        <f t="shared" si="156"/>
        <v>0</v>
      </c>
      <c r="N1203" s="73">
        <f t="shared" si="160"/>
        <v>0</v>
      </c>
      <c r="O1203" s="73">
        <f t="shared" si="163"/>
        <v>0</v>
      </c>
      <c r="P1203" s="73">
        <f t="shared" si="157"/>
        <v>0</v>
      </c>
      <c r="Q1203" s="73"/>
      <c r="R1203" s="73">
        <v>0</v>
      </c>
      <c r="S1203" s="75">
        <f t="shared" si="159"/>
        <v>0</v>
      </c>
      <c r="T1203" s="77">
        <v>0</v>
      </c>
      <c r="U1203" s="66">
        <v>40448</v>
      </c>
      <c r="V1203" s="79"/>
      <c r="W1203" s="66" t="s">
        <v>1585</v>
      </c>
      <c r="X1203" s="24" t="s">
        <v>1586</v>
      </c>
      <c r="Y1203" s="62"/>
      <c r="Z1203" s="169" t="s">
        <v>894</v>
      </c>
      <c r="AA1203" s="166" t="s">
        <v>1291</v>
      </c>
      <c r="AB1203" s="152"/>
      <c r="AC1203" s="153"/>
      <c r="AD1203" s="154"/>
      <c r="AE1203" s="153"/>
      <c r="AF1203" s="153"/>
      <c r="AG1203" s="153"/>
      <c r="AH1203" s="153"/>
      <c r="AI1203" s="153"/>
      <c r="AJ1203" s="153"/>
      <c r="AK1203" s="153"/>
      <c r="AL1203" s="153"/>
      <c r="AM1203" s="153"/>
      <c r="AN1203" s="153"/>
      <c r="AO1203" s="153"/>
      <c r="AP1203" s="153"/>
      <c r="AQ1203" s="153"/>
      <c r="AR1203" s="153"/>
      <c r="AS1203" s="153"/>
      <c r="AT1203" s="153"/>
      <c r="AU1203" s="153"/>
      <c r="AV1203" s="153"/>
      <c r="AW1203" s="153"/>
      <c r="AX1203" s="153"/>
      <c r="AY1203" s="153"/>
      <c r="AZ1203" s="153"/>
      <c r="BA1203" s="153"/>
      <c r="BB1203" s="153"/>
      <c r="BC1203" s="153"/>
      <c r="BD1203" s="153"/>
      <c r="BE1203" s="153"/>
      <c r="BF1203" s="153"/>
      <c r="BG1203" s="153"/>
      <c r="BH1203" s="153"/>
      <c r="BI1203" s="153"/>
      <c r="BJ1203" s="153"/>
      <c r="BK1203" s="153"/>
      <c r="BL1203" s="153"/>
      <c r="BM1203" s="153"/>
      <c r="BN1203" s="153"/>
      <c r="BO1203" s="153"/>
      <c r="BP1203" s="153"/>
      <c r="BQ1203" s="153"/>
      <c r="BR1203" s="153"/>
      <c r="BS1203" s="153"/>
      <c r="BT1203" s="153"/>
      <c r="BU1203" s="153"/>
      <c r="BV1203" s="153"/>
      <c r="BW1203" s="153"/>
      <c r="BX1203" s="153"/>
      <c r="BY1203" s="153"/>
      <c r="BZ1203" s="153"/>
      <c r="CA1203" s="153"/>
      <c r="CB1203" s="153"/>
      <c r="CC1203" s="153"/>
      <c r="CD1203" s="155"/>
      <c r="CE1203" s="156"/>
      <c r="CF1203" s="155"/>
      <c r="CG1203" s="156"/>
      <c r="CH1203" s="155"/>
      <c r="CI1203" s="156"/>
      <c r="CJ1203" s="157">
        <f t="shared" si="158"/>
        <v>0</v>
      </c>
      <c r="CK1203" s="158"/>
      <c r="CL1203" s="159"/>
      <c r="CM1203" s="160"/>
      <c r="CN1203" s="161"/>
      <c r="CO1203" s="162"/>
      <c r="CP1203" s="161"/>
      <c r="CQ1203" s="158"/>
      <c r="CR1203" s="159"/>
      <c r="CS1203" s="68"/>
      <c r="CT1203" s="163"/>
      <c r="EC1203" s="344" t="str">
        <f t="shared" si="162"/>
        <v>NORTE DE SANTANDER_SAN CAYETANO</v>
      </c>
      <c r="ED1203" s="341"/>
      <c r="EE1203" s="341"/>
      <c r="EF1203" s="348"/>
      <c r="EG1203" s="341"/>
      <c r="EH1203" s="341"/>
      <c r="EI1203" s="341"/>
    </row>
    <row r="1204" spans="1:139" s="164" customFormat="1" ht="96">
      <c r="A1204" s="235">
        <v>40448</v>
      </c>
      <c r="B1204" s="269" t="s">
        <v>1972</v>
      </c>
      <c r="C1204" s="269" t="s">
        <v>2167</v>
      </c>
      <c r="D1204" s="236" t="s">
        <v>1878</v>
      </c>
      <c r="E1204" s="324" t="s">
        <v>3276</v>
      </c>
      <c r="F1204" s="324"/>
      <c r="G1204" s="204">
        <v>9</v>
      </c>
      <c r="H1204" s="151"/>
      <c r="I1204" s="151">
        <v>1</v>
      </c>
      <c r="J1204" s="151">
        <v>99</v>
      </c>
      <c r="K1204" s="151">
        <v>25</v>
      </c>
      <c r="L1204" s="1">
        <v>40452</v>
      </c>
      <c r="M1204" s="73">
        <f t="shared" si="156"/>
        <v>0</v>
      </c>
      <c r="N1204" s="73">
        <f t="shared" si="160"/>
        <v>0</v>
      </c>
      <c r="O1204" s="73">
        <f t="shared" si="163"/>
        <v>0</v>
      </c>
      <c r="P1204" s="73">
        <f t="shared" si="157"/>
        <v>0</v>
      </c>
      <c r="Q1204" s="73">
        <f>200*24800</f>
        <v>4960000</v>
      </c>
      <c r="R1204" s="73">
        <v>20000000</v>
      </c>
      <c r="S1204" s="75">
        <f t="shared" si="159"/>
        <v>24960000</v>
      </c>
      <c r="T1204" s="77">
        <v>0</v>
      </c>
      <c r="U1204" s="66">
        <v>40449</v>
      </c>
      <c r="V1204" s="79">
        <v>53574</v>
      </c>
      <c r="W1204" s="66" t="s">
        <v>1606</v>
      </c>
      <c r="X1204" s="24" t="s">
        <v>1607</v>
      </c>
      <c r="Y1204" s="83" t="s">
        <v>2563</v>
      </c>
      <c r="Z1204" s="169" t="s">
        <v>1435</v>
      </c>
      <c r="AA1204" s="166" t="s">
        <v>2564</v>
      </c>
      <c r="AB1204" s="152"/>
      <c r="AC1204" s="153"/>
      <c r="AD1204" s="154"/>
      <c r="AE1204" s="153"/>
      <c r="AF1204" s="153"/>
      <c r="AG1204" s="153"/>
      <c r="AH1204" s="153"/>
      <c r="AI1204" s="153"/>
      <c r="AJ1204" s="153"/>
      <c r="AK1204" s="153"/>
      <c r="AL1204" s="153"/>
      <c r="AM1204" s="153"/>
      <c r="AN1204" s="153"/>
      <c r="AO1204" s="153"/>
      <c r="AP1204" s="153"/>
      <c r="AQ1204" s="153"/>
      <c r="AR1204" s="153"/>
      <c r="AS1204" s="153"/>
      <c r="AT1204" s="153"/>
      <c r="AU1204" s="153"/>
      <c r="AV1204" s="153"/>
      <c r="AW1204" s="153"/>
      <c r="AX1204" s="153"/>
      <c r="AY1204" s="153"/>
      <c r="AZ1204" s="153"/>
      <c r="BA1204" s="153"/>
      <c r="BB1204" s="153"/>
      <c r="BC1204" s="153"/>
      <c r="BD1204" s="153"/>
      <c r="BE1204" s="153"/>
      <c r="BF1204" s="153"/>
      <c r="BG1204" s="153"/>
      <c r="BH1204" s="153"/>
      <c r="BI1204" s="153"/>
      <c r="BJ1204" s="153"/>
      <c r="BK1204" s="153"/>
      <c r="BL1204" s="153"/>
      <c r="BM1204" s="153"/>
      <c r="BN1204" s="153"/>
      <c r="BO1204" s="153"/>
      <c r="BP1204" s="153"/>
      <c r="BQ1204" s="153"/>
      <c r="BR1204" s="153"/>
      <c r="BS1204" s="153"/>
      <c r="BT1204" s="153"/>
      <c r="BU1204" s="153"/>
      <c r="BV1204" s="153"/>
      <c r="BW1204" s="153"/>
      <c r="BX1204" s="153"/>
      <c r="BY1204" s="153"/>
      <c r="BZ1204" s="153"/>
      <c r="CA1204" s="153"/>
      <c r="CB1204" s="153"/>
      <c r="CC1204" s="153"/>
      <c r="CD1204" s="155"/>
      <c r="CE1204" s="156"/>
      <c r="CF1204" s="155"/>
      <c r="CG1204" s="156"/>
      <c r="CH1204" s="155"/>
      <c r="CI1204" s="156"/>
      <c r="CJ1204" s="157">
        <f t="shared" si="158"/>
        <v>0</v>
      </c>
      <c r="CK1204" s="158"/>
      <c r="CL1204" s="159"/>
      <c r="CM1204" s="160"/>
      <c r="CN1204" s="161"/>
      <c r="CO1204" s="162"/>
      <c r="CP1204" s="161"/>
      <c r="CQ1204" s="158"/>
      <c r="CR1204" s="159"/>
      <c r="CS1204" s="68"/>
      <c r="CT1204" s="163">
        <v>1304</v>
      </c>
      <c r="EC1204" s="344" t="str">
        <f t="shared" si="162"/>
        <v>ANTIOQUIA_GIRALDO</v>
      </c>
      <c r="ED1204" s="341"/>
      <c r="EE1204" s="341"/>
      <c r="EF1204" s="348"/>
      <c r="EG1204" s="341"/>
      <c r="EH1204" s="341"/>
      <c r="EI1204" s="341"/>
    </row>
    <row r="1205" spans="1:139" s="164" customFormat="1" ht="25.5">
      <c r="A1205" s="228">
        <v>40448</v>
      </c>
      <c r="B1205" s="205" t="s">
        <v>653</v>
      </c>
      <c r="C1205" s="205" t="s">
        <v>2164</v>
      </c>
      <c r="D1205" s="206" t="s">
        <v>1878</v>
      </c>
      <c r="E1205" s="320" t="s">
        <v>3545</v>
      </c>
      <c r="F1205" s="320"/>
      <c r="G1205" s="204">
        <v>4</v>
      </c>
      <c r="H1205" s="151"/>
      <c r="I1205" s="151"/>
      <c r="J1205" s="151">
        <f>272*5</f>
        <v>1360</v>
      </c>
      <c r="K1205" s="151">
        <f>322-50</f>
        <v>272</v>
      </c>
      <c r="L1205" s="1"/>
      <c r="M1205" s="73">
        <f t="shared" si="156"/>
        <v>0</v>
      </c>
      <c r="N1205" s="73">
        <f t="shared" si="160"/>
        <v>0</v>
      </c>
      <c r="O1205" s="73">
        <f t="shared" si="163"/>
        <v>0</v>
      </c>
      <c r="P1205" s="73">
        <f t="shared" si="157"/>
        <v>0</v>
      </c>
      <c r="Q1205" s="73"/>
      <c r="R1205" s="73">
        <v>0</v>
      </c>
      <c r="S1205" s="75">
        <f t="shared" si="159"/>
        <v>0</v>
      </c>
      <c r="T1205" s="77">
        <v>0</v>
      </c>
      <c r="U1205" s="66">
        <v>40449</v>
      </c>
      <c r="V1205" s="79"/>
      <c r="W1205" s="66" t="s">
        <v>1606</v>
      </c>
      <c r="X1205" s="24" t="s">
        <v>1607</v>
      </c>
      <c r="Y1205" s="62"/>
      <c r="Z1205" s="176" t="s">
        <v>3056</v>
      </c>
      <c r="AA1205" s="166" t="s">
        <v>2165</v>
      </c>
      <c r="AB1205" s="152"/>
      <c r="AC1205" s="153"/>
      <c r="AD1205" s="154"/>
      <c r="AE1205" s="153"/>
      <c r="AF1205" s="153"/>
      <c r="AG1205" s="153"/>
      <c r="AH1205" s="153"/>
      <c r="AI1205" s="153"/>
      <c r="AJ1205" s="153"/>
      <c r="AK1205" s="153"/>
      <c r="AL1205" s="153"/>
      <c r="AM1205" s="153"/>
      <c r="AN1205" s="153"/>
      <c r="AO1205" s="153"/>
      <c r="AP1205" s="153"/>
      <c r="AQ1205" s="153"/>
      <c r="AR1205" s="153"/>
      <c r="AS1205" s="153"/>
      <c r="AT1205" s="153"/>
      <c r="AU1205" s="153"/>
      <c r="AV1205" s="153"/>
      <c r="AW1205" s="153"/>
      <c r="AX1205" s="153"/>
      <c r="AY1205" s="153"/>
      <c r="AZ1205" s="153"/>
      <c r="BA1205" s="153"/>
      <c r="BB1205" s="153"/>
      <c r="BC1205" s="153"/>
      <c r="BD1205" s="153"/>
      <c r="BE1205" s="153"/>
      <c r="BF1205" s="153"/>
      <c r="BG1205" s="153"/>
      <c r="BH1205" s="153"/>
      <c r="BI1205" s="153"/>
      <c r="BJ1205" s="153"/>
      <c r="BK1205" s="153"/>
      <c r="BL1205" s="153"/>
      <c r="BM1205" s="153"/>
      <c r="BN1205" s="153"/>
      <c r="BO1205" s="153"/>
      <c r="BP1205" s="153"/>
      <c r="BQ1205" s="153"/>
      <c r="BR1205" s="153"/>
      <c r="BS1205" s="153"/>
      <c r="BT1205" s="153"/>
      <c r="BU1205" s="153"/>
      <c r="BV1205" s="153"/>
      <c r="BW1205" s="153"/>
      <c r="BX1205" s="153"/>
      <c r="BY1205" s="153"/>
      <c r="BZ1205" s="153"/>
      <c r="CA1205" s="153"/>
      <c r="CB1205" s="153"/>
      <c r="CC1205" s="153"/>
      <c r="CD1205" s="155"/>
      <c r="CE1205" s="156"/>
      <c r="CF1205" s="155"/>
      <c r="CG1205" s="156"/>
      <c r="CH1205" s="155"/>
      <c r="CI1205" s="156"/>
      <c r="CJ1205" s="157">
        <f t="shared" si="158"/>
        <v>0</v>
      </c>
      <c r="CK1205" s="158"/>
      <c r="CL1205" s="159"/>
      <c r="CM1205" s="160"/>
      <c r="CN1205" s="161"/>
      <c r="CO1205" s="162"/>
      <c r="CP1205" s="161"/>
      <c r="CQ1205" s="158"/>
      <c r="CR1205" s="159"/>
      <c r="CS1205" s="68"/>
      <c r="CT1205" s="163"/>
      <c r="EC1205" s="344" t="str">
        <f t="shared" si="162"/>
        <v>CALDAS_ANSERMA</v>
      </c>
      <c r="ED1205" s="341"/>
      <c r="EE1205" s="341"/>
      <c r="EF1205" s="348"/>
      <c r="EG1205" s="341"/>
      <c r="EH1205" s="341"/>
      <c r="EI1205" s="341"/>
    </row>
    <row r="1206" spans="1:139" s="164" customFormat="1" ht="45">
      <c r="A1206" s="228">
        <v>40448</v>
      </c>
      <c r="B1206" s="222" t="s">
        <v>1821</v>
      </c>
      <c r="C1206" s="222" t="s">
        <v>355</v>
      </c>
      <c r="D1206" s="233" t="s">
        <v>1201</v>
      </c>
      <c r="E1206" s="325" t="s">
        <v>3638</v>
      </c>
      <c r="F1206" s="325"/>
      <c r="G1206" s="204"/>
      <c r="H1206" s="151"/>
      <c r="I1206" s="151"/>
      <c r="J1206" s="151">
        <f>236*5</f>
        <v>1180</v>
      </c>
      <c r="K1206" s="151">
        <v>236</v>
      </c>
      <c r="L1206" s="1">
        <v>40452</v>
      </c>
      <c r="M1206" s="73">
        <f t="shared" si="156"/>
        <v>33788000</v>
      </c>
      <c r="N1206" s="73">
        <f t="shared" si="160"/>
        <v>31960000</v>
      </c>
      <c r="O1206" s="73">
        <f t="shared" si="163"/>
        <v>0</v>
      </c>
      <c r="P1206" s="73">
        <f t="shared" si="157"/>
        <v>0</v>
      </c>
      <c r="Q1206" s="73"/>
      <c r="R1206" s="73">
        <v>0</v>
      </c>
      <c r="S1206" s="75">
        <f t="shared" si="159"/>
        <v>65748000</v>
      </c>
      <c r="T1206" s="77">
        <v>0</v>
      </c>
      <c r="U1206" s="66">
        <v>40422</v>
      </c>
      <c r="V1206" s="89" t="s">
        <v>873</v>
      </c>
      <c r="W1206" s="66" t="s">
        <v>1606</v>
      </c>
      <c r="X1206" s="24" t="s">
        <v>1607</v>
      </c>
      <c r="Y1206" s="83" t="s">
        <v>874</v>
      </c>
      <c r="Z1206" s="169" t="s">
        <v>1668</v>
      </c>
      <c r="AA1206" s="166" t="s">
        <v>1667</v>
      </c>
      <c r="AB1206" s="152"/>
      <c r="AC1206" s="153"/>
      <c r="AD1206" s="154"/>
      <c r="AE1206" s="153"/>
      <c r="AF1206" s="153"/>
      <c r="AG1206" s="153"/>
      <c r="AH1206" s="153"/>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c r="BI1206" s="153"/>
      <c r="BJ1206" s="153"/>
      <c r="BK1206" s="153"/>
      <c r="BL1206" s="153"/>
      <c r="BM1206" s="153"/>
      <c r="BN1206" s="153"/>
      <c r="BO1206" s="153"/>
      <c r="BP1206" s="153"/>
      <c r="BQ1206" s="153"/>
      <c r="BR1206" s="153"/>
      <c r="BS1206" s="153"/>
      <c r="BT1206" s="153"/>
      <c r="BU1206" s="153"/>
      <c r="BV1206" s="153"/>
      <c r="BW1206" s="153"/>
      <c r="BX1206" s="153"/>
      <c r="BY1206" s="153"/>
      <c r="BZ1206" s="153"/>
      <c r="CA1206" s="153"/>
      <c r="CB1206" s="153">
        <f>140+500</f>
        <v>640</v>
      </c>
      <c r="CC1206" s="153">
        <f>140*18000+500*18000</f>
        <v>11520000</v>
      </c>
      <c r="CD1206" s="155">
        <v>236</v>
      </c>
      <c r="CE1206" s="156">
        <f>236*37000</f>
        <v>8732000</v>
      </c>
      <c r="CF1206" s="155">
        <f>140+236</f>
        <v>376</v>
      </c>
      <c r="CG1206" s="156">
        <f>140*36000+236*36000</f>
        <v>13536000</v>
      </c>
      <c r="CH1206" s="155"/>
      <c r="CI1206" s="156"/>
      <c r="CJ1206" s="157">
        <f t="shared" si="158"/>
        <v>33788000</v>
      </c>
      <c r="CK1206" s="158"/>
      <c r="CL1206" s="159"/>
      <c r="CM1206" s="160">
        <f>140+236</f>
        <v>376</v>
      </c>
      <c r="CN1206" s="161">
        <f>140*85000+236*85000</f>
        <v>31960000</v>
      </c>
      <c r="CO1206" s="162"/>
      <c r="CP1206" s="161"/>
      <c r="CQ1206" s="158"/>
      <c r="CR1206" s="159"/>
      <c r="CS1206" s="68"/>
      <c r="CT1206" s="163"/>
      <c r="EC1206" s="344" t="str">
        <f t="shared" si="162"/>
        <v>CESAR_EL PASO</v>
      </c>
      <c r="ED1206" s="341"/>
      <c r="EE1206" s="341"/>
      <c r="EF1206" s="348"/>
      <c r="EG1206" s="341"/>
      <c r="EH1206" s="341"/>
      <c r="EI1206" s="341"/>
    </row>
    <row r="1207" spans="1:139" s="164" customFormat="1" ht="25.5">
      <c r="A1207" s="228">
        <v>40448</v>
      </c>
      <c r="B1207" s="205" t="s">
        <v>1612</v>
      </c>
      <c r="C1207" s="205" t="s">
        <v>1613</v>
      </c>
      <c r="D1207" s="207" t="s">
        <v>1316</v>
      </c>
      <c r="E1207" s="323" t="s">
        <v>4038</v>
      </c>
      <c r="F1207" s="323"/>
      <c r="G1207" s="204"/>
      <c r="H1207" s="151"/>
      <c r="I1207" s="151"/>
      <c r="J1207" s="151">
        <v>5</v>
      </c>
      <c r="K1207" s="151">
        <v>1</v>
      </c>
      <c r="L1207" s="1"/>
      <c r="M1207" s="73">
        <f t="shared" si="156"/>
        <v>0</v>
      </c>
      <c r="N1207" s="73">
        <f t="shared" si="160"/>
        <v>0</v>
      </c>
      <c r="O1207" s="73">
        <f t="shared" si="163"/>
        <v>0</v>
      </c>
      <c r="P1207" s="73">
        <f t="shared" si="157"/>
        <v>0</v>
      </c>
      <c r="Q1207" s="73"/>
      <c r="R1207" s="73">
        <v>0</v>
      </c>
      <c r="S1207" s="75">
        <f t="shared" si="159"/>
        <v>0</v>
      </c>
      <c r="T1207" s="77">
        <v>0</v>
      </c>
      <c r="U1207" s="66">
        <v>40451</v>
      </c>
      <c r="V1207" s="79"/>
      <c r="W1207" s="66" t="s">
        <v>1585</v>
      </c>
      <c r="X1207" s="24" t="s">
        <v>1586</v>
      </c>
      <c r="Y1207" s="62"/>
      <c r="Z1207" s="169" t="s">
        <v>894</v>
      </c>
      <c r="AA1207" s="166" t="s">
        <v>2172</v>
      </c>
      <c r="AB1207" s="152"/>
      <c r="AC1207" s="153"/>
      <c r="AD1207" s="154"/>
      <c r="AE1207" s="153"/>
      <c r="AF1207" s="153"/>
      <c r="AG1207" s="153"/>
      <c r="AH1207" s="153"/>
      <c r="AI1207" s="153"/>
      <c r="AJ1207" s="153"/>
      <c r="AK1207" s="153"/>
      <c r="AL1207" s="153"/>
      <c r="AM1207" s="153"/>
      <c r="AN1207" s="153"/>
      <c r="AO1207" s="153"/>
      <c r="AP1207" s="153"/>
      <c r="AQ1207" s="153"/>
      <c r="AR1207" s="153"/>
      <c r="AS1207" s="153"/>
      <c r="AT1207" s="153"/>
      <c r="AU1207" s="153"/>
      <c r="AV1207" s="153"/>
      <c r="AW1207" s="153"/>
      <c r="AX1207" s="153"/>
      <c r="AY1207" s="153"/>
      <c r="AZ1207" s="153"/>
      <c r="BA1207" s="153"/>
      <c r="BB1207" s="153"/>
      <c r="BC1207" s="153"/>
      <c r="BD1207" s="153"/>
      <c r="BE1207" s="153"/>
      <c r="BF1207" s="153"/>
      <c r="BG1207" s="153"/>
      <c r="BH1207" s="153"/>
      <c r="BI1207" s="153"/>
      <c r="BJ1207" s="153"/>
      <c r="BK1207" s="153"/>
      <c r="BL1207" s="153"/>
      <c r="BM1207" s="153"/>
      <c r="BN1207" s="153"/>
      <c r="BO1207" s="153"/>
      <c r="BP1207" s="153"/>
      <c r="BQ1207" s="153"/>
      <c r="BR1207" s="153"/>
      <c r="BS1207" s="153"/>
      <c r="BT1207" s="153"/>
      <c r="BU1207" s="153"/>
      <c r="BV1207" s="153"/>
      <c r="BW1207" s="153"/>
      <c r="BX1207" s="153"/>
      <c r="BY1207" s="153"/>
      <c r="BZ1207" s="153"/>
      <c r="CA1207" s="153"/>
      <c r="CB1207" s="153"/>
      <c r="CC1207" s="153"/>
      <c r="CD1207" s="155"/>
      <c r="CE1207" s="156"/>
      <c r="CF1207" s="155"/>
      <c r="CG1207" s="156"/>
      <c r="CH1207" s="155"/>
      <c r="CI1207" s="156"/>
      <c r="CJ1207" s="157">
        <f t="shared" si="158"/>
        <v>0</v>
      </c>
      <c r="CK1207" s="158"/>
      <c r="CL1207" s="159"/>
      <c r="CM1207" s="160"/>
      <c r="CN1207" s="161"/>
      <c r="CO1207" s="162"/>
      <c r="CP1207" s="161"/>
      <c r="CQ1207" s="158"/>
      <c r="CR1207" s="159"/>
      <c r="CS1207" s="68"/>
      <c r="CT1207" s="163"/>
      <c r="EC1207" s="344" t="str">
        <f t="shared" si="162"/>
        <v>QUINDIO_ARMENIA</v>
      </c>
      <c r="ED1207" s="341"/>
      <c r="EE1207" s="341"/>
      <c r="EF1207" s="348"/>
      <c r="EG1207" s="341"/>
      <c r="EH1207" s="341"/>
      <c r="EI1207" s="341"/>
    </row>
    <row r="1208" spans="1:139" s="164" customFormat="1" ht="38.25">
      <c r="A1208" s="228">
        <v>40448</v>
      </c>
      <c r="B1208" s="205" t="s">
        <v>1998</v>
      </c>
      <c r="C1208" s="205" t="s">
        <v>1011</v>
      </c>
      <c r="D1208" s="206" t="s">
        <v>1878</v>
      </c>
      <c r="E1208" s="320" t="s">
        <v>4064</v>
      </c>
      <c r="F1208" s="320"/>
      <c r="G1208" s="263"/>
      <c r="H1208" s="151"/>
      <c r="I1208" s="151"/>
      <c r="J1208" s="151">
        <f>33*5</f>
        <v>165</v>
      </c>
      <c r="K1208" s="151">
        <v>33</v>
      </c>
      <c r="L1208" s="1"/>
      <c r="M1208" s="73">
        <f t="shared" si="156"/>
        <v>0</v>
      </c>
      <c r="N1208" s="73">
        <f t="shared" si="160"/>
        <v>0</v>
      </c>
      <c r="O1208" s="73">
        <f t="shared" si="163"/>
        <v>0</v>
      </c>
      <c r="P1208" s="73">
        <f t="shared" si="157"/>
        <v>0</v>
      </c>
      <c r="Q1208" s="73"/>
      <c r="R1208" s="73">
        <v>0</v>
      </c>
      <c r="S1208" s="75">
        <f t="shared" si="159"/>
        <v>0</v>
      </c>
      <c r="T1208" s="77">
        <v>0</v>
      </c>
      <c r="U1208" s="66">
        <v>40451</v>
      </c>
      <c r="V1208" s="79"/>
      <c r="W1208" s="66" t="s">
        <v>1606</v>
      </c>
      <c r="X1208" s="24" t="s">
        <v>1607</v>
      </c>
      <c r="Y1208" s="62"/>
      <c r="Z1208" s="176" t="s">
        <v>2279</v>
      </c>
      <c r="AA1208" s="166" t="s">
        <v>2177</v>
      </c>
      <c r="AB1208" s="152"/>
      <c r="AC1208" s="153"/>
      <c r="AD1208" s="154"/>
      <c r="AE1208" s="153"/>
      <c r="AF1208" s="153"/>
      <c r="AG1208" s="153"/>
      <c r="AH1208" s="153"/>
      <c r="AI1208" s="153"/>
      <c r="AJ1208" s="153"/>
      <c r="AK1208" s="153"/>
      <c r="AL1208" s="153"/>
      <c r="AM1208" s="153"/>
      <c r="AN1208" s="153"/>
      <c r="AO1208" s="153"/>
      <c r="AP1208" s="153"/>
      <c r="AQ1208" s="153"/>
      <c r="AR1208" s="153"/>
      <c r="AS1208" s="153"/>
      <c r="AT1208" s="153"/>
      <c r="AU1208" s="153"/>
      <c r="AV1208" s="153"/>
      <c r="AW1208" s="153"/>
      <c r="AX1208" s="153"/>
      <c r="AY1208" s="153"/>
      <c r="AZ1208" s="153"/>
      <c r="BA1208" s="153"/>
      <c r="BB1208" s="153"/>
      <c r="BC1208" s="153"/>
      <c r="BD1208" s="153"/>
      <c r="BE1208" s="153"/>
      <c r="BF1208" s="153"/>
      <c r="BG1208" s="153"/>
      <c r="BH1208" s="153"/>
      <c r="BI1208" s="153"/>
      <c r="BJ1208" s="153"/>
      <c r="BK1208" s="153"/>
      <c r="BL1208" s="153"/>
      <c r="BM1208" s="153"/>
      <c r="BN1208" s="153"/>
      <c r="BO1208" s="153"/>
      <c r="BP1208" s="153"/>
      <c r="BQ1208" s="153"/>
      <c r="BR1208" s="153"/>
      <c r="BS1208" s="153"/>
      <c r="BT1208" s="153"/>
      <c r="BU1208" s="153"/>
      <c r="BV1208" s="153"/>
      <c r="BW1208" s="153"/>
      <c r="BX1208" s="153"/>
      <c r="BY1208" s="153"/>
      <c r="BZ1208" s="153"/>
      <c r="CA1208" s="153"/>
      <c r="CB1208" s="153"/>
      <c r="CC1208" s="153"/>
      <c r="CD1208" s="155"/>
      <c r="CE1208" s="156"/>
      <c r="CF1208" s="155"/>
      <c r="CG1208" s="156"/>
      <c r="CH1208" s="155"/>
      <c r="CI1208" s="156"/>
      <c r="CJ1208" s="157">
        <f t="shared" si="158"/>
        <v>0</v>
      </c>
      <c r="CK1208" s="158"/>
      <c r="CL1208" s="159"/>
      <c r="CM1208" s="160"/>
      <c r="CN1208" s="161"/>
      <c r="CO1208" s="162"/>
      <c r="CP1208" s="161"/>
      <c r="CQ1208" s="158"/>
      <c r="CR1208" s="159"/>
      <c r="CS1208" s="68"/>
      <c r="CT1208" s="163"/>
      <c r="EC1208" s="344" t="str">
        <f t="shared" si="162"/>
        <v>SANTANDER_BUCARAMANGA</v>
      </c>
      <c r="ED1208" s="341"/>
      <c r="EE1208" s="341"/>
      <c r="EF1208" s="348"/>
      <c r="EG1208" s="341"/>
      <c r="EH1208" s="341"/>
      <c r="EI1208" s="341"/>
    </row>
    <row r="1209" spans="1:139" s="164" customFormat="1" ht="25.5">
      <c r="A1209" s="235">
        <v>40449</v>
      </c>
      <c r="B1209" s="269" t="s">
        <v>1972</v>
      </c>
      <c r="C1209" s="269" t="s">
        <v>2049</v>
      </c>
      <c r="D1209" s="270" t="s">
        <v>1201</v>
      </c>
      <c r="E1209" s="327" t="s">
        <v>3261</v>
      </c>
      <c r="F1209" s="327"/>
      <c r="G1209" s="204"/>
      <c r="H1209" s="151"/>
      <c r="I1209" s="151"/>
      <c r="J1209" s="151"/>
      <c r="K1209" s="151"/>
      <c r="L1209" s="1"/>
      <c r="M1209" s="73">
        <f t="shared" si="156"/>
        <v>0</v>
      </c>
      <c r="N1209" s="73">
        <f t="shared" si="160"/>
        <v>0</v>
      </c>
      <c r="O1209" s="73">
        <f t="shared" si="163"/>
        <v>0</v>
      </c>
      <c r="P1209" s="73">
        <f t="shared" si="157"/>
        <v>0</v>
      </c>
      <c r="Q1209" s="73"/>
      <c r="R1209" s="73">
        <v>0</v>
      </c>
      <c r="S1209" s="75">
        <f t="shared" si="159"/>
        <v>0</v>
      </c>
      <c r="T1209" s="77">
        <v>0</v>
      </c>
      <c r="U1209" s="66">
        <v>40451</v>
      </c>
      <c r="V1209" s="79"/>
      <c r="W1209" s="66" t="s">
        <v>1585</v>
      </c>
      <c r="X1209" s="24" t="s">
        <v>1586</v>
      </c>
      <c r="Y1209" s="62"/>
      <c r="Z1209" s="169" t="s">
        <v>894</v>
      </c>
      <c r="AA1209" s="166" t="s">
        <v>2173</v>
      </c>
      <c r="AB1209" s="152"/>
      <c r="AC1209" s="153"/>
      <c r="AD1209" s="154"/>
      <c r="AE1209" s="153"/>
      <c r="AF1209" s="153"/>
      <c r="AG1209" s="153"/>
      <c r="AH1209" s="153"/>
      <c r="AI1209" s="153"/>
      <c r="AJ1209" s="153"/>
      <c r="AK1209" s="153"/>
      <c r="AL1209" s="153"/>
      <c r="AM1209" s="153"/>
      <c r="AN1209" s="153"/>
      <c r="AO1209" s="153"/>
      <c r="AP1209" s="153"/>
      <c r="AQ1209" s="153"/>
      <c r="AR1209" s="153"/>
      <c r="AS1209" s="153"/>
      <c r="AT1209" s="153"/>
      <c r="AU1209" s="153"/>
      <c r="AV1209" s="153"/>
      <c r="AW1209" s="153"/>
      <c r="AX1209" s="153"/>
      <c r="AY1209" s="153"/>
      <c r="AZ1209" s="153"/>
      <c r="BA1209" s="153"/>
      <c r="BB1209" s="153"/>
      <c r="BC1209" s="153"/>
      <c r="BD1209" s="153"/>
      <c r="BE1209" s="153"/>
      <c r="BF1209" s="153"/>
      <c r="BG1209" s="153"/>
      <c r="BH1209" s="153"/>
      <c r="BI1209" s="153"/>
      <c r="BJ1209" s="153"/>
      <c r="BK1209" s="153"/>
      <c r="BL1209" s="153"/>
      <c r="BM1209" s="153"/>
      <c r="BN1209" s="153"/>
      <c r="BO1209" s="153"/>
      <c r="BP1209" s="153"/>
      <c r="BQ1209" s="153"/>
      <c r="BR1209" s="153"/>
      <c r="BS1209" s="153"/>
      <c r="BT1209" s="153"/>
      <c r="BU1209" s="153"/>
      <c r="BV1209" s="153"/>
      <c r="BW1209" s="153"/>
      <c r="BX1209" s="153"/>
      <c r="BY1209" s="153"/>
      <c r="BZ1209" s="153"/>
      <c r="CA1209" s="153"/>
      <c r="CB1209" s="153"/>
      <c r="CC1209" s="153"/>
      <c r="CD1209" s="155"/>
      <c r="CE1209" s="156"/>
      <c r="CF1209" s="155"/>
      <c r="CG1209" s="156"/>
      <c r="CH1209" s="155"/>
      <c r="CI1209" s="156"/>
      <c r="CJ1209" s="157">
        <f t="shared" si="158"/>
        <v>0</v>
      </c>
      <c r="CK1209" s="158"/>
      <c r="CL1209" s="159"/>
      <c r="CM1209" s="160"/>
      <c r="CN1209" s="161"/>
      <c r="CO1209" s="162"/>
      <c r="CP1209" s="161"/>
      <c r="CQ1209" s="158"/>
      <c r="CR1209" s="159"/>
      <c r="CS1209" s="68"/>
      <c r="CT1209" s="163"/>
      <c r="EC1209" s="344" t="str">
        <f t="shared" si="162"/>
        <v>ANTIOQUIA_CAUCASIA</v>
      </c>
      <c r="ED1209" s="341"/>
      <c r="EE1209" s="341"/>
      <c r="EF1209" s="348"/>
      <c r="EG1209" s="341"/>
      <c r="EH1209" s="341"/>
      <c r="EI1209" s="341"/>
    </row>
    <row r="1210" spans="1:139" s="164" customFormat="1" ht="25.5">
      <c r="A1210" s="228">
        <v>40449</v>
      </c>
      <c r="B1210" s="205" t="s">
        <v>1192</v>
      </c>
      <c r="C1210" s="205" t="s">
        <v>2174</v>
      </c>
      <c r="D1210" s="206" t="s">
        <v>1878</v>
      </c>
      <c r="E1210" s="320" t="s">
        <v>3463</v>
      </c>
      <c r="F1210" s="320"/>
      <c r="G1210" s="204"/>
      <c r="H1210" s="151"/>
      <c r="I1210" s="151"/>
      <c r="J1210" s="151"/>
      <c r="K1210" s="151"/>
      <c r="L1210" s="1"/>
      <c r="M1210" s="73">
        <f t="shared" si="156"/>
        <v>0</v>
      </c>
      <c r="N1210" s="73">
        <f t="shared" si="160"/>
        <v>0</v>
      </c>
      <c r="O1210" s="73">
        <f t="shared" si="163"/>
        <v>0</v>
      </c>
      <c r="P1210" s="73">
        <f t="shared" si="157"/>
        <v>0</v>
      </c>
      <c r="Q1210" s="73"/>
      <c r="R1210" s="73">
        <v>0</v>
      </c>
      <c r="S1210" s="75">
        <f t="shared" si="159"/>
        <v>0</v>
      </c>
      <c r="T1210" s="77">
        <v>0</v>
      </c>
      <c r="U1210" s="66">
        <v>40451</v>
      </c>
      <c r="V1210" s="79"/>
      <c r="W1210" s="66" t="s">
        <v>1585</v>
      </c>
      <c r="X1210" s="24" t="s">
        <v>1586</v>
      </c>
      <c r="Y1210" s="62"/>
      <c r="Z1210" s="169" t="s">
        <v>894</v>
      </c>
      <c r="AA1210" s="166" t="s">
        <v>2175</v>
      </c>
      <c r="AB1210" s="152"/>
      <c r="AC1210" s="153"/>
      <c r="AD1210" s="154"/>
      <c r="AE1210" s="153"/>
      <c r="AF1210" s="153"/>
      <c r="AG1210" s="153"/>
      <c r="AH1210" s="153"/>
      <c r="AI1210" s="153"/>
      <c r="AJ1210" s="153"/>
      <c r="AK1210" s="153"/>
      <c r="AL1210" s="153"/>
      <c r="AM1210" s="153"/>
      <c r="AN1210" s="153"/>
      <c r="AO1210" s="153"/>
      <c r="AP1210" s="153"/>
      <c r="AQ1210" s="153"/>
      <c r="AR1210" s="153"/>
      <c r="AS1210" s="153"/>
      <c r="AT1210" s="153"/>
      <c r="AU1210" s="153"/>
      <c r="AV1210" s="153"/>
      <c r="AW1210" s="153"/>
      <c r="AX1210" s="153"/>
      <c r="AY1210" s="153"/>
      <c r="AZ1210" s="153"/>
      <c r="BA1210" s="153"/>
      <c r="BB1210" s="153"/>
      <c r="BC1210" s="153"/>
      <c r="BD1210" s="153"/>
      <c r="BE1210" s="153"/>
      <c r="BF1210" s="153"/>
      <c r="BG1210" s="153"/>
      <c r="BH1210" s="153"/>
      <c r="BI1210" s="153"/>
      <c r="BJ1210" s="153"/>
      <c r="BK1210" s="153"/>
      <c r="BL1210" s="153"/>
      <c r="BM1210" s="153"/>
      <c r="BN1210" s="153"/>
      <c r="BO1210" s="153"/>
      <c r="BP1210" s="153"/>
      <c r="BQ1210" s="153"/>
      <c r="BR1210" s="153"/>
      <c r="BS1210" s="153"/>
      <c r="BT1210" s="153"/>
      <c r="BU1210" s="153"/>
      <c r="BV1210" s="153"/>
      <c r="BW1210" s="153"/>
      <c r="BX1210" s="153"/>
      <c r="BY1210" s="153"/>
      <c r="BZ1210" s="153"/>
      <c r="CA1210" s="153"/>
      <c r="CB1210" s="153"/>
      <c r="CC1210" s="153"/>
      <c r="CD1210" s="155"/>
      <c r="CE1210" s="156"/>
      <c r="CF1210" s="155"/>
      <c r="CG1210" s="156"/>
      <c r="CH1210" s="155"/>
      <c r="CI1210" s="156"/>
      <c r="CJ1210" s="157">
        <f t="shared" si="158"/>
        <v>0</v>
      </c>
      <c r="CK1210" s="158"/>
      <c r="CL1210" s="159"/>
      <c r="CM1210" s="160"/>
      <c r="CN1210" s="161"/>
      <c r="CO1210" s="162"/>
      <c r="CP1210" s="161"/>
      <c r="CQ1210" s="158"/>
      <c r="CR1210" s="159"/>
      <c r="CS1210" s="68"/>
      <c r="CT1210" s="163"/>
      <c r="EC1210" s="344" t="str">
        <f t="shared" si="162"/>
        <v>BOYACA_GUICAN</v>
      </c>
      <c r="ED1210" s="341"/>
      <c r="EE1210" s="341"/>
      <c r="EF1210" s="348"/>
      <c r="EG1210" s="341"/>
      <c r="EH1210" s="341"/>
      <c r="EI1210" s="341"/>
    </row>
    <row r="1211" spans="1:139" s="164" customFormat="1" ht="60">
      <c r="A1211" s="228">
        <v>40449</v>
      </c>
      <c r="B1211" s="205" t="s">
        <v>1892</v>
      </c>
      <c r="C1211" s="205" t="s">
        <v>1893</v>
      </c>
      <c r="D1211" s="207" t="s">
        <v>2606</v>
      </c>
      <c r="E1211" s="323" t="s">
        <v>4310</v>
      </c>
      <c r="F1211" s="323"/>
      <c r="G1211" s="204"/>
      <c r="H1211" s="151"/>
      <c r="I1211" s="151"/>
      <c r="J1211" s="151">
        <v>35</v>
      </c>
      <c r="K1211" s="151">
        <v>7</v>
      </c>
      <c r="L1211" s="1">
        <v>40533</v>
      </c>
      <c r="M1211" s="73">
        <f t="shared" si="156"/>
        <v>0</v>
      </c>
      <c r="N1211" s="73">
        <f t="shared" si="160"/>
        <v>0</v>
      </c>
      <c r="O1211" s="73">
        <f t="shared" si="163"/>
        <v>0</v>
      </c>
      <c r="P1211" s="73">
        <f t="shared" si="157"/>
        <v>0</v>
      </c>
      <c r="Q1211" s="73"/>
      <c r="R1211" s="73">
        <v>193698217.93000001</v>
      </c>
      <c r="S1211" s="75">
        <f t="shared" si="159"/>
        <v>193698217.93000001</v>
      </c>
      <c r="T1211" s="77">
        <v>0</v>
      </c>
      <c r="U1211" s="66">
        <v>40451</v>
      </c>
      <c r="V1211" s="79">
        <v>71910</v>
      </c>
      <c r="W1211" s="66" t="s">
        <v>1606</v>
      </c>
      <c r="X1211" s="24" t="s">
        <v>1607</v>
      </c>
      <c r="Y1211" s="62">
        <v>516</v>
      </c>
      <c r="Z1211" s="169" t="s">
        <v>3031</v>
      </c>
      <c r="AA1211" s="190" t="s">
        <v>3032</v>
      </c>
      <c r="AB1211" s="152"/>
      <c r="AC1211" s="153"/>
      <c r="AD1211" s="154"/>
      <c r="AE1211" s="153"/>
      <c r="AF1211" s="153"/>
      <c r="AG1211" s="153"/>
      <c r="AH1211" s="153"/>
      <c r="AI1211" s="153"/>
      <c r="AJ1211" s="153"/>
      <c r="AK1211" s="153"/>
      <c r="AL1211" s="153"/>
      <c r="AM1211" s="153"/>
      <c r="AN1211" s="153"/>
      <c r="AO1211" s="153"/>
      <c r="AP1211" s="153"/>
      <c r="AQ1211" s="153"/>
      <c r="AR1211" s="153"/>
      <c r="AS1211" s="153"/>
      <c r="AT1211" s="153"/>
      <c r="AU1211" s="153"/>
      <c r="AV1211" s="153"/>
      <c r="AW1211" s="153"/>
      <c r="AX1211" s="153"/>
      <c r="AY1211" s="153"/>
      <c r="AZ1211" s="153"/>
      <c r="BA1211" s="153"/>
      <c r="BB1211" s="153"/>
      <c r="BC1211" s="153"/>
      <c r="BD1211" s="153"/>
      <c r="BE1211" s="153"/>
      <c r="BF1211" s="153"/>
      <c r="BG1211" s="153"/>
      <c r="BH1211" s="153"/>
      <c r="BI1211" s="153"/>
      <c r="BJ1211" s="153"/>
      <c r="BK1211" s="153"/>
      <c r="BL1211" s="153"/>
      <c r="BM1211" s="153"/>
      <c r="BN1211" s="153"/>
      <c r="BO1211" s="153"/>
      <c r="BP1211" s="153"/>
      <c r="BQ1211" s="153"/>
      <c r="BR1211" s="153"/>
      <c r="BS1211" s="153"/>
      <c r="BT1211" s="153"/>
      <c r="BU1211" s="153"/>
      <c r="BV1211" s="153"/>
      <c r="BW1211" s="153"/>
      <c r="BX1211" s="153"/>
      <c r="BY1211" s="153"/>
      <c r="BZ1211" s="153"/>
      <c r="CA1211" s="153"/>
      <c r="CB1211" s="153"/>
      <c r="CC1211" s="153"/>
      <c r="CD1211" s="155"/>
      <c r="CE1211" s="156"/>
      <c r="CF1211" s="155"/>
      <c r="CG1211" s="156"/>
      <c r="CH1211" s="155"/>
      <c r="CI1211" s="156"/>
      <c r="CJ1211" s="157">
        <f t="shared" si="158"/>
        <v>0</v>
      </c>
      <c r="CK1211" s="158"/>
      <c r="CL1211" s="159"/>
      <c r="CM1211" s="160"/>
      <c r="CN1211" s="161"/>
      <c r="CO1211" s="162"/>
      <c r="CP1211" s="161"/>
      <c r="CQ1211" s="158"/>
      <c r="CR1211" s="159"/>
      <c r="CS1211" s="68">
        <v>4</v>
      </c>
      <c r="CT1211" s="163"/>
      <c r="EC1211" s="344" t="str">
        <f t="shared" si="162"/>
        <v>GUAVIARE_SAN JOSE DEL GUAVIARE</v>
      </c>
      <c r="ED1211" s="341"/>
      <c r="EE1211" s="341"/>
      <c r="EF1211" s="348"/>
      <c r="EG1211" s="341"/>
      <c r="EH1211" s="341"/>
      <c r="EI1211" s="341"/>
    </row>
    <row r="1212" spans="1:139" s="164" customFormat="1" ht="84">
      <c r="A1212" s="228">
        <v>40449</v>
      </c>
      <c r="B1212" s="102" t="s">
        <v>4321</v>
      </c>
      <c r="C1212" s="205" t="s">
        <v>1553</v>
      </c>
      <c r="D1212" s="206" t="s">
        <v>1878</v>
      </c>
      <c r="E1212" s="320" t="s">
        <v>3874</v>
      </c>
      <c r="F1212" s="320"/>
      <c r="G1212" s="204"/>
      <c r="H1212" s="151"/>
      <c r="I1212" s="151"/>
      <c r="J1212" s="151"/>
      <c r="K1212" s="151"/>
      <c r="L1212" s="1"/>
      <c r="M1212" s="73">
        <f t="shared" si="156"/>
        <v>0</v>
      </c>
      <c r="N1212" s="73">
        <f t="shared" si="160"/>
        <v>0</v>
      </c>
      <c r="O1212" s="73">
        <f t="shared" si="163"/>
        <v>0</v>
      </c>
      <c r="P1212" s="73">
        <f t="shared" si="157"/>
        <v>0</v>
      </c>
      <c r="Q1212" s="73"/>
      <c r="R1212" s="73">
        <v>0</v>
      </c>
      <c r="S1212" s="75">
        <f t="shared" si="159"/>
        <v>0</v>
      </c>
      <c r="T1212" s="77">
        <v>0</v>
      </c>
      <c r="U1212" s="66">
        <v>40464</v>
      </c>
      <c r="V1212" s="79">
        <v>55685</v>
      </c>
      <c r="W1212" s="66" t="s">
        <v>1585</v>
      </c>
      <c r="X1212" s="24" t="s">
        <v>1586</v>
      </c>
      <c r="Y1212" s="62"/>
      <c r="Z1212" s="169" t="s">
        <v>894</v>
      </c>
      <c r="AA1212" s="166" t="s">
        <v>1869</v>
      </c>
      <c r="AB1212" s="152"/>
      <c r="AC1212" s="153"/>
      <c r="AD1212" s="154"/>
      <c r="AE1212" s="153"/>
      <c r="AF1212" s="153"/>
      <c r="AG1212" s="153"/>
      <c r="AH1212" s="153"/>
      <c r="AI1212" s="153"/>
      <c r="AJ1212" s="153"/>
      <c r="AK1212" s="153"/>
      <c r="AL1212" s="153"/>
      <c r="AM1212" s="153"/>
      <c r="AN1212" s="153"/>
      <c r="AO1212" s="153"/>
      <c r="AP1212" s="153"/>
      <c r="AQ1212" s="153"/>
      <c r="AR1212" s="153"/>
      <c r="AS1212" s="153"/>
      <c r="AT1212" s="153"/>
      <c r="AU1212" s="153"/>
      <c r="AV1212" s="153"/>
      <c r="AW1212" s="153"/>
      <c r="AX1212" s="153"/>
      <c r="AY1212" s="153"/>
      <c r="AZ1212" s="153"/>
      <c r="BA1212" s="153"/>
      <c r="BB1212" s="153"/>
      <c r="BC1212" s="153"/>
      <c r="BD1212" s="153"/>
      <c r="BE1212" s="153"/>
      <c r="BF1212" s="153"/>
      <c r="BG1212" s="153"/>
      <c r="BH1212" s="153"/>
      <c r="BI1212" s="153"/>
      <c r="BJ1212" s="153"/>
      <c r="BK1212" s="153"/>
      <c r="BL1212" s="153"/>
      <c r="BM1212" s="153"/>
      <c r="BN1212" s="153"/>
      <c r="BO1212" s="153"/>
      <c r="BP1212" s="153"/>
      <c r="BQ1212" s="153"/>
      <c r="BR1212" s="153"/>
      <c r="BS1212" s="153"/>
      <c r="BT1212" s="153"/>
      <c r="BU1212" s="153"/>
      <c r="BV1212" s="153"/>
      <c r="BW1212" s="153"/>
      <c r="BX1212" s="153"/>
      <c r="BY1212" s="153"/>
      <c r="BZ1212" s="153"/>
      <c r="CA1212" s="153"/>
      <c r="CB1212" s="153"/>
      <c r="CC1212" s="153"/>
      <c r="CD1212" s="155"/>
      <c r="CE1212" s="156"/>
      <c r="CF1212" s="155"/>
      <c r="CG1212" s="156"/>
      <c r="CH1212" s="155"/>
      <c r="CI1212" s="156"/>
      <c r="CJ1212" s="157">
        <f t="shared" si="158"/>
        <v>0</v>
      </c>
      <c r="CK1212" s="158"/>
      <c r="CL1212" s="159"/>
      <c r="CM1212" s="160"/>
      <c r="CN1212" s="161"/>
      <c r="CO1212" s="162"/>
      <c r="CP1212" s="161"/>
      <c r="CQ1212" s="158"/>
      <c r="CR1212" s="159"/>
      <c r="CS1212" s="68"/>
      <c r="CT1212" s="163"/>
      <c r="EC1212" s="344" t="str">
        <f t="shared" si="162"/>
        <v>LA GUAJIRA_VILLANUEVA</v>
      </c>
      <c r="ED1212" s="341"/>
      <c r="EE1212" s="341"/>
      <c r="EF1212" s="348"/>
      <c r="EG1212" s="341"/>
      <c r="EH1212" s="341"/>
      <c r="EI1212" s="341"/>
    </row>
    <row r="1213" spans="1:139" s="164" customFormat="1" ht="90">
      <c r="A1213" s="228">
        <v>40449</v>
      </c>
      <c r="B1213" s="205" t="s">
        <v>1440</v>
      </c>
      <c r="C1213" s="205" t="s">
        <v>1394</v>
      </c>
      <c r="D1213" s="207" t="s">
        <v>1201</v>
      </c>
      <c r="E1213" s="323" t="s">
        <v>3892</v>
      </c>
      <c r="F1213" s="323"/>
      <c r="G1213" s="204"/>
      <c r="H1213" s="151"/>
      <c r="I1213" s="151"/>
      <c r="J1213" s="151">
        <f>35*5</f>
        <v>175</v>
      </c>
      <c r="K1213" s="151">
        <v>35</v>
      </c>
      <c r="L1213" s="1"/>
      <c r="M1213" s="73">
        <f t="shared" si="156"/>
        <v>0</v>
      </c>
      <c r="N1213" s="73">
        <f t="shared" si="160"/>
        <v>0</v>
      </c>
      <c r="O1213" s="73">
        <f t="shared" si="163"/>
        <v>0</v>
      </c>
      <c r="P1213" s="73">
        <f t="shared" si="157"/>
        <v>0</v>
      </c>
      <c r="Q1213" s="73"/>
      <c r="R1213" s="73">
        <v>0</v>
      </c>
      <c r="S1213" s="75">
        <f t="shared" si="159"/>
        <v>0</v>
      </c>
      <c r="T1213" s="77">
        <v>0</v>
      </c>
      <c r="U1213" s="66">
        <v>40451</v>
      </c>
      <c r="V1213" s="79"/>
      <c r="W1213" s="66" t="s">
        <v>1606</v>
      </c>
      <c r="X1213" s="24" t="s">
        <v>1607</v>
      </c>
      <c r="Y1213" s="62"/>
      <c r="Z1213" s="198" t="s">
        <v>432</v>
      </c>
      <c r="AA1213" s="166" t="s">
        <v>2176</v>
      </c>
      <c r="AB1213" s="152"/>
      <c r="AC1213" s="153"/>
      <c r="AD1213" s="154"/>
      <c r="AE1213" s="153"/>
      <c r="AF1213" s="153"/>
      <c r="AG1213" s="153"/>
      <c r="AH1213" s="153"/>
      <c r="AI1213" s="153"/>
      <c r="AJ1213" s="153"/>
      <c r="AK1213" s="153"/>
      <c r="AL1213" s="153"/>
      <c r="AM1213" s="153"/>
      <c r="AN1213" s="153"/>
      <c r="AO1213" s="153"/>
      <c r="AP1213" s="153"/>
      <c r="AQ1213" s="153"/>
      <c r="AR1213" s="153"/>
      <c r="AS1213" s="153"/>
      <c r="AT1213" s="153"/>
      <c r="AU1213" s="153"/>
      <c r="AV1213" s="153"/>
      <c r="AW1213" s="153"/>
      <c r="AX1213" s="153"/>
      <c r="AY1213" s="153"/>
      <c r="AZ1213" s="153"/>
      <c r="BA1213" s="153"/>
      <c r="BB1213" s="153"/>
      <c r="BC1213" s="153"/>
      <c r="BD1213" s="153"/>
      <c r="BE1213" s="153"/>
      <c r="BF1213" s="153"/>
      <c r="BG1213" s="153"/>
      <c r="BH1213" s="153"/>
      <c r="BI1213" s="153"/>
      <c r="BJ1213" s="153"/>
      <c r="BK1213" s="153"/>
      <c r="BL1213" s="153"/>
      <c r="BM1213" s="153"/>
      <c r="BN1213" s="153"/>
      <c r="BO1213" s="153"/>
      <c r="BP1213" s="153"/>
      <c r="BQ1213" s="153"/>
      <c r="BR1213" s="153"/>
      <c r="BS1213" s="153"/>
      <c r="BT1213" s="153"/>
      <c r="BU1213" s="153"/>
      <c r="BV1213" s="153"/>
      <c r="BW1213" s="153"/>
      <c r="BX1213" s="153"/>
      <c r="BY1213" s="153"/>
      <c r="BZ1213" s="153"/>
      <c r="CA1213" s="153"/>
      <c r="CB1213" s="153"/>
      <c r="CC1213" s="153"/>
      <c r="CD1213" s="155"/>
      <c r="CE1213" s="156"/>
      <c r="CF1213" s="155"/>
      <c r="CG1213" s="156"/>
      <c r="CH1213" s="155"/>
      <c r="CI1213" s="156"/>
      <c r="CJ1213" s="157">
        <f t="shared" si="158"/>
        <v>0</v>
      </c>
      <c r="CK1213" s="158"/>
      <c r="CL1213" s="159"/>
      <c r="CM1213" s="160"/>
      <c r="CN1213" s="161"/>
      <c r="CO1213" s="162"/>
      <c r="CP1213" s="161"/>
      <c r="CQ1213" s="158"/>
      <c r="CR1213" s="159"/>
      <c r="CS1213" s="68"/>
      <c r="CT1213" s="163"/>
      <c r="EC1213" s="344" t="str">
        <f t="shared" si="162"/>
        <v>MAGDALENA_PLATO</v>
      </c>
      <c r="ED1213" s="341"/>
      <c r="EE1213" s="341"/>
      <c r="EF1213" s="348"/>
      <c r="EG1213" s="341"/>
      <c r="EH1213" s="341"/>
      <c r="EI1213" s="341"/>
    </row>
    <row r="1214" spans="1:139" s="164" customFormat="1" ht="25.5">
      <c r="A1214" s="235">
        <v>40450</v>
      </c>
      <c r="B1214" s="269" t="s">
        <v>1972</v>
      </c>
      <c r="C1214" s="269" t="s">
        <v>1218</v>
      </c>
      <c r="D1214" s="236" t="s">
        <v>1878</v>
      </c>
      <c r="E1214" s="324" t="s">
        <v>3245</v>
      </c>
      <c r="F1214" s="324"/>
      <c r="G1214" s="204"/>
      <c r="H1214" s="151"/>
      <c r="I1214" s="151"/>
      <c r="J1214" s="151">
        <v>10</v>
      </c>
      <c r="K1214" s="151">
        <v>2</v>
      </c>
      <c r="L1214" s="1"/>
      <c r="M1214" s="73">
        <f t="shared" si="156"/>
        <v>0</v>
      </c>
      <c r="N1214" s="73">
        <f t="shared" si="160"/>
        <v>0</v>
      </c>
      <c r="O1214" s="73">
        <f t="shared" si="163"/>
        <v>0</v>
      </c>
      <c r="P1214" s="73">
        <f t="shared" si="157"/>
        <v>0</v>
      </c>
      <c r="Q1214" s="73"/>
      <c r="R1214" s="73">
        <v>0</v>
      </c>
      <c r="S1214" s="75">
        <f t="shared" si="159"/>
        <v>0</v>
      </c>
      <c r="T1214" s="77">
        <v>0</v>
      </c>
      <c r="U1214" s="66">
        <v>40451</v>
      </c>
      <c r="V1214" s="79"/>
      <c r="W1214" s="66" t="s">
        <v>1585</v>
      </c>
      <c r="X1214" s="24" t="s">
        <v>1586</v>
      </c>
      <c r="Y1214" s="62"/>
      <c r="Z1214" s="169" t="s">
        <v>894</v>
      </c>
      <c r="AA1214" s="166" t="s">
        <v>2178</v>
      </c>
      <c r="AB1214" s="152"/>
      <c r="AC1214" s="153"/>
      <c r="AD1214" s="154"/>
      <c r="AE1214" s="153"/>
      <c r="AF1214" s="153"/>
      <c r="AG1214" s="153"/>
      <c r="AH1214" s="153"/>
      <c r="AI1214" s="153"/>
      <c r="AJ1214" s="153"/>
      <c r="AK1214" s="153"/>
      <c r="AL1214" s="153"/>
      <c r="AM1214" s="153"/>
      <c r="AN1214" s="153"/>
      <c r="AO1214" s="153"/>
      <c r="AP1214" s="153"/>
      <c r="AQ1214" s="153"/>
      <c r="AR1214" s="153"/>
      <c r="AS1214" s="153"/>
      <c r="AT1214" s="153"/>
      <c r="AU1214" s="153"/>
      <c r="AV1214" s="153"/>
      <c r="AW1214" s="153"/>
      <c r="AX1214" s="153"/>
      <c r="AY1214" s="153"/>
      <c r="AZ1214" s="153"/>
      <c r="BA1214" s="153"/>
      <c r="BB1214" s="153"/>
      <c r="BC1214" s="153"/>
      <c r="BD1214" s="153"/>
      <c r="BE1214" s="153"/>
      <c r="BF1214" s="153"/>
      <c r="BG1214" s="153"/>
      <c r="BH1214" s="153"/>
      <c r="BI1214" s="153"/>
      <c r="BJ1214" s="153"/>
      <c r="BK1214" s="153"/>
      <c r="BL1214" s="153"/>
      <c r="BM1214" s="153"/>
      <c r="BN1214" s="153"/>
      <c r="BO1214" s="153"/>
      <c r="BP1214" s="153"/>
      <c r="BQ1214" s="153"/>
      <c r="BR1214" s="153"/>
      <c r="BS1214" s="153"/>
      <c r="BT1214" s="153"/>
      <c r="BU1214" s="153"/>
      <c r="BV1214" s="153"/>
      <c r="BW1214" s="153"/>
      <c r="BX1214" s="153"/>
      <c r="BY1214" s="153"/>
      <c r="BZ1214" s="153"/>
      <c r="CA1214" s="153"/>
      <c r="CB1214" s="153"/>
      <c r="CC1214" s="153"/>
      <c r="CD1214" s="155"/>
      <c r="CE1214" s="156"/>
      <c r="CF1214" s="155"/>
      <c r="CG1214" s="156"/>
      <c r="CH1214" s="155"/>
      <c r="CI1214" s="156"/>
      <c r="CJ1214" s="157">
        <f t="shared" si="158"/>
        <v>0</v>
      </c>
      <c r="CK1214" s="158"/>
      <c r="CL1214" s="159"/>
      <c r="CM1214" s="160"/>
      <c r="CN1214" s="161"/>
      <c r="CO1214" s="162"/>
      <c r="CP1214" s="161"/>
      <c r="CQ1214" s="158"/>
      <c r="CR1214" s="159"/>
      <c r="CS1214" s="68"/>
      <c r="CT1214" s="163"/>
      <c r="EC1214" s="344" t="str">
        <f t="shared" si="162"/>
        <v>ANTIOQUIA_BELLO</v>
      </c>
      <c r="ED1214" s="341"/>
      <c r="EE1214" s="341"/>
      <c r="EF1214" s="348"/>
      <c r="EG1214" s="341"/>
      <c r="EH1214" s="341"/>
      <c r="EI1214" s="341"/>
    </row>
    <row r="1215" spans="1:139" s="164" customFormat="1" ht="48">
      <c r="A1215" s="228">
        <v>40450</v>
      </c>
      <c r="B1215" s="205" t="s">
        <v>1996</v>
      </c>
      <c r="C1215" s="205" t="s">
        <v>941</v>
      </c>
      <c r="D1215" s="207" t="s">
        <v>2606</v>
      </c>
      <c r="E1215" s="323" t="s">
        <v>3815</v>
      </c>
      <c r="F1215" s="323"/>
      <c r="G1215" s="204"/>
      <c r="H1215" s="151"/>
      <c r="I1215" s="151"/>
      <c r="J1215" s="151">
        <v>225</v>
      </c>
      <c r="K1215" s="151">
        <v>45</v>
      </c>
      <c r="L1215" s="1"/>
      <c r="M1215" s="73">
        <f t="shared" si="156"/>
        <v>0</v>
      </c>
      <c r="N1215" s="73">
        <f t="shared" si="160"/>
        <v>0</v>
      </c>
      <c r="O1215" s="73">
        <f t="shared" si="163"/>
        <v>0</v>
      </c>
      <c r="P1215" s="73">
        <f t="shared" si="157"/>
        <v>0</v>
      </c>
      <c r="Q1215" s="73"/>
      <c r="R1215" s="73">
        <v>0</v>
      </c>
      <c r="S1215" s="75">
        <f t="shared" si="159"/>
        <v>0</v>
      </c>
      <c r="T1215" s="77">
        <v>0</v>
      </c>
      <c r="U1215" s="66">
        <v>40484</v>
      </c>
      <c r="V1215" s="79"/>
      <c r="W1215" s="66" t="s">
        <v>1585</v>
      </c>
      <c r="X1215" s="24" t="s">
        <v>1586</v>
      </c>
      <c r="Y1215" s="104"/>
      <c r="Z1215" s="169" t="s">
        <v>894</v>
      </c>
      <c r="AA1215" s="166" t="s">
        <v>1683</v>
      </c>
      <c r="AB1215" s="152"/>
      <c r="AC1215" s="153"/>
      <c r="AD1215" s="154"/>
      <c r="AE1215" s="153"/>
      <c r="AF1215" s="153"/>
      <c r="AG1215" s="153"/>
      <c r="AH1215" s="153"/>
      <c r="AI1215" s="153"/>
      <c r="AJ1215" s="153"/>
      <c r="AK1215" s="153"/>
      <c r="AL1215" s="153"/>
      <c r="AM1215" s="153"/>
      <c r="AN1215" s="153"/>
      <c r="AO1215" s="153"/>
      <c r="AP1215" s="153"/>
      <c r="AQ1215" s="153"/>
      <c r="AR1215" s="153"/>
      <c r="AS1215" s="153"/>
      <c r="AT1215" s="153"/>
      <c r="AU1215" s="153"/>
      <c r="AV1215" s="153"/>
      <c r="AW1215" s="153"/>
      <c r="AX1215" s="153"/>
      <c r="AY1215" s="153"/>
      <c r="AZ1215" s="153"/>
      <c r="BA1215" s="153"/>
      <c r="BB1215" s="153"/>
      <c r="BC1215" s="153"/>
      <c r="BD1215" s="153"/>
      <c r="BE1215" s="153"/>
      <c r="BF1215" s="153"/>
      <c r="BG1215" s="153"/>
      <c r="BH1215" s="153"/>
      <c r="BI1215" s="153"/>
      <c r="BJ1215" s="153"/>
      <c r="BK1215" s="153"/>
      <c r="BL1215" s="153"/>
      <c r="BM1215" s="153"/>
      <c r="BN1215" s="153"/>
      <c r="BO1215" s="153"/>
      <c r="BP1215" s="153"/>
      <c r="BQ1215" s="153"/>
      <c r="BR1215" s="153"/>
      <c r="BS1215" s="153"/>
      <c r="BT1215" s="153"/>
      <c r="BU1215" s="153"/>
      <c r="BV1215" s="153"/>
      <c r="BW1215" s="153"/>
      <c r="BX1215" s="153"/>
      <c r="BY1215" s="153"/>
      <c r="BZ1215" s="153"/>
      <c r="CA1215" s="153"/>
      <c r="CB1215" s="153"/>
      <c r="CC1215" s="153"/>
      <c r="CD1215" s="155"/>
      <c r="CE1215" s="156"/>
      <c r="CF1215" s="155"/>
      <c r="CG1215" s="156"/>
      <c r="CH1215" s="155"/>
      <c r="CI1215" s="156"/>
      <c r="CJ1215" s="157">
        <f t="shared" si="158"/>
        <v>0</v>
      </c>
      <c r="CK1215" s="158"/>
      <c r="CL1215" s="159"/>
      <c r="CM1215" s="160"/>
      <c r="CN1215" s="161"/>
      <c r="CO1215" s="162"/>
      <c r="CP1215" s="161"/>
      <c r="CQ1215" s="158"/>
      <c r="CR1215" s="159"/>
      <c r="CS1215" s="68"/>
      <c r="CT1215" s="163"/>
      <c r="EC1215" s="344" t="str">
        <f t="shared" si="162"/>
        <v>CHOCO_RIO IRO</v>
      </c>
      <c r="ED1215" s="341"/>
      <c r="EE1215" s="341"/>
      <c r="EF1215" s="348"/>
      <c r="EG1215" s="341"/>
      <c r="EH1215" s="341"/>
      <c r="EI1215" s="341"/>
    </row>
    <row r="1216" spans="1:139" s="164" customFormat="1" ht="38.25">
      <c r="A1216" s="228">
        <v>40450</v>
      </c>
      <c r="B1216" s="205" t="s">
        <v>1604</v>
      </c>
      <c r="C1216" s="205" t="s">
        <v>628</v>
      </c>
      <c r="D1216" s="207" t="s">
        <v>1201</v>
      </c>
      <c r="E1216" s="323" t="s">
        <v>3691</v>
      </c>
      <c r="F1216" s="323"/>
      <c r="G1216" s="204"/>
      <c r="H1216" s="151"/>
      <c r="I1216" s="151"/>
      <c r="J1216" s="151">
        <v>102</v>
      </c>
      <c r="K1216" s="151">
        <v>20</v>
      </c>
      <c r="L1216" s="1"/>
      <c r="M1216" s="73">
        <f t="shared" si="156"/>
        <v>0</v>
      </c>
      <c r="N1216" s="73">
        <f t="shared" si="160"/>
        <v>0</v>
      </c>
      <c r="O1216" s="73">
        <f t="shared" si="163"/>
        <v>0</v>
      </c>
      <c r="P1216" s="73">
        <f t="shared" si="157"/>
        <v>0</v>
      </c>
      <c r="Q1216" s="73"/>
      <c r="R1216" s="73">
        <v>0</v>
      </c>
      <c r="S1216" s="75">
        <f t="shared" si="159"/>
        <v>0</v>
      </c>
      <c r="T1216" s="77">
        <v>0</v>
      </c>
      <c r="U1216" s="66">
        <v>40455</v>
      </c>
      <c r="V1216" s="79"/>
      <c r="W1216" s="66" t="s">
        <v>1585</v>
      </c>
      <c r="X1216" s="24" t="s">
        <v>1586</v>
      </c>
      <c r="Y1216" s="62"/>
      <c r="Z1216" s="169" t="s">
        <v>894</v>
      </c>
      <c r="AA1216" s="166" t="s">
        <v>2212</v>
      </c>
      <c r="AB1216" s="152"/>
      <c r="AC1216" s="153"/>
      <c r="AD1216" s="154"/>
      <c r="AE1216" s="153"/>
      <c r="AF1216" s="153"/>
      <c r="AG1216" s="153"/>
      <c r="AH1216" s="153"/>
      <c r="AI1216" s="153"/>
      <c r="AJ1216" s="153"/>
      <c r="AK1216" s="153"/>
      <c r="AL1216" s="153"/>
      <c r="AM1216" s="153"/>
      <c r="AN1216" s="153"/>
      <c r="AO1216" s="153"/>
      <c r="AP1216" s="153"/>
      <c r="AQ1216" s="153"/>
      <c r="AR1216" s="153"/>
      <c r="AS1216" s="153"/>
      <c r="AT1216" s="153"/>
      <c r="AU1216" s="153"/>
      <c r="AV1216" s="153"/>
      <c r="AW1216" s="153"/>
      <c r="AX1216" s="153"/>
      <c r="AY1216" s="153"/>
      <c r="AZ1216" s="153"/>
      <c r="BA1216" s="153"/>
      <c r="BB1216" s="153"/>
      <c r="BC1216" s="153"/>
      <c r="BD1216" s="153"/>
      <c r="BE1216" s="153"/>
      <c r="BF1216" s="153"/>
      <c r="BG1216" s="153"/>
      <c r="BH1216" s="153"/>
      <c r="BI1216" s="153"/>
      <c r="BJ1216" s="153"/>
      <c r="BK1216" s="153"/>
      <c r="BL1216" s="153"/>
      <c r="BM1216" s="153"/>
      <c r="BN1216" s="153"/>
      <c r="BO1216" s="153"/>
      <c r="BP1216" s="153"/>
      <c r="BQ1216" s="153"/>
      <c r="BR1216" s="153"/>
      <c r="BS1216" s="153"/>
      <c r="BT1216" s="153"/>
      <c r="BU1216" s="153"/>
      <c r="BV1216" s="153"/>
      <c r="BW1216" s="153"/>
      <c r="BX1216" s="153"/>
      <c r="BY1216" s="153"/>
      <c r="BZ1216" s="153"/>
      <c r="CA1216" s="153"/>
      <c r="CB1216" s="153"/>
      <c r="CC1216" s="153"/>
      <c r="CD1216" s="155"/>
      <c r="CE1216" s="156"/>
      <c r="CF1216" s="155"/>
      <c r="CG1216" s="156"/>
      <c r="CH1216" s="155"/>
      <c r="CI1216" s="156"/>
      <c r="CJ1216" s="157">
        <f t="shared" si="158"/>
        <v>0</v>
      </c>
      <c r="CK1216" s="158"/>
      <c r="CL1216" s="159"/>
      <c r="CM1216" s="160"/>
      <c r="CN1216" s="161"/>
      <c r="CO1216" s="162"/>
      <c r="CP1216" s="161"/>
      <c r="CQ1216" s="158"/>
      <c r="CR1216" s="159"/>
      <c r="CS1216" s="68"/>
      <c r="CT1216" s="163"/>
      <c r="EC1216" s="344" t="str">
        <f t="shared" si="162"/>
        <v>CUNDINAMARCA_CAPARRAPI</v>
      </c>
      <c r="ED1216" s="341"/>
      <c r="EE1216" s="341"/>
      <c r="EF1216" s="348"/>
      <c r="EG1216" s="341"/>
      <c r="EH1216" s="341"/>
      <c r="EI1216" s="341"/>
    </row>
    <row r="1217" spans="1:139" s="164" customFormat="1" ht="25.5">
      <c r="A1217" s="228">
        <v>40450</v>
      </c>
      <c r="B1217" s="205" t="s">
        <v>962</v>
      </c>
      <c r="C1217" s="205" t="s">
        <v>1797</v>
      </c>
      <c r="D1217" s="207" t="s">
        <v>2606</v>
      </c>
      <c r="E1217" s="323" t="s">
        <v>3838</v>
      </c>
      <c r="F1217" s="323"/>
      <c r="G1217" s="204"/>
      <c r="H1217" s="151"/>
      <c r="I1217" s="151"/>
      <c r="J1217" s="151">
        <v>5</v>
      </c>
      <c r="K1217" s="151">
        <v>1</v>
      </c>
      <c r="L1217" s="1"/>
      <c r="M1217" s="73">
        <f t="shared" si="156"/>
        <v>0</v>
      </c>
      <c r="N1217" s="73">
        <f t="shared" si="160"/>
        <v>0</v>
      </c>
      <c r="O1217" s="73">
        <f t="shared" si="163"/>
        <v>0</v>
      </c>
      <c r="P1217" s="73">
        <f t="shared" si="157"/>
        <v>0</v>
      </c>
      <c r="Q1217" s="73"/>
      <c r="R1217" s="73">
        <v>0</v>
      </c>
      <c r="S1217" s="75">
        <f t="shared" si="159"/>
        <v>0</v>
      </c>
      <c r="T1217" s="77">
        <v>0</v>
      </c>
      <c r="U1217" s="66">
        <v>40451</v>
      </c>
      <c r="V1217" s="79"/>
      <c r="W1217" s="66" t="s">
        <v>1585</v>
      </c>
      <c r="X1217" s="24" t="s">
        <v>1586</v>
      </c>
      <c r="Y1217" s="62"/>
      <c r="Z1217" s="169" t="s">
        <v>894</v>
      </c>
      <c r="AA1217" s="166" t="s">
        <v>2180</v>
      </c>
      <c r="AB1217" s="152"/>
      <c r="AC1217" s="153"/>
      <c r="AD1217" s="154"/>
      <c r="AE1217" s="153"/>
      <c r="AF1217" s="153"/>
      <c r="AG1217" s="153"/>
      <c r="AH1217" s="153"/>
      <c r="AI1217" s="153"/>
      <c r="AJ1217" s="153"/>
      <c r="AK1217" s="153"/>
      <c r="AL1217" s="153"/>
      <c r="AM1217" s="153"/>
      <c r="AN1217" s="153"/>
      <c r="AO1217" s="153"/>
      <c r="AP1217" s="153"/>
      <c r="AQ1217" s="153"/>
      <c r="AR1217" s="153"/>
      <c r="AS1217" s="153"/>
      <c r="AT1217" s="153"/>
      <c r="AU1217" s="153"/>
      <c r="AV1217" s="153"/>
      <c r="AW1217" s="153"/>
      <c r="AX1217" s="153"/>
      <c r="AY1217" s="153"/>
      <c r="AZ1217" s="153"/>
      <c r="BA1217" s="153"/>
      <c r="BB1217" s="153"/>
      <c r="BC1217" s="153"/>
      <c r="BD1217" s="153"/>
      <c r="BE1217" s="153"/>
      <c r="BF1217" s="153"/>
      <c r="BG1217" s="153"/>
      <c r="BH1217" s="153"/>
      <c r="BI1217" s="153"/>
      <c r="BJ1217" s="153"/>
      <c r="BK1217" s="153"/>
      <c r="BL1217" s="153"/>
      <c r="BM1217" s="153"/>
      <c r="BN1217" s="153"/>
      <c r="BO1217" s="153"/>
      <c r="BP1217" s="153"/>
      <c r="BQ1217" s="153"/>
      <c r="BR1217" s="153"/>
      <c r="BS1217" s="153"/>
      <c r="BT1217" s="153"/>
      <c r="BU1217" s="153"/>
      <c r="BV1217" s="153"/>
      <c r="BW1217" s="153"/>
      <c r="BX1217" s="153"/>
      <c r="BY1217" s="153"/>
      <c r="BZ1217" s="153"/>
      <c r="CA1217" s="153"/>
      <c r="CB1217" s="153"/>
      <c r="CC1217" s="153"/>
      <c r="CD1217" s="155"/>
      <c r="CE1217" s="156"/>
      <c r="CF1217" s="155"/>
      <c r="CG1217" s="156"/>
      <c r="CH1217" s="155"/>
      <c r="CI1217" s="156"/>
      <c r="CJ1217" s="157">
        <f t="shared" si="158"/>
        <v>0</v>
      </c>
      <c r="CK1217" s="158"/>
      <c r="CL1217" s="159"/>
      <c r="CM1217" s="160"/>
      <c r="CN1217" s="161"/>
      <c r="CO1217" s="162"/>
      <c r="CP1217" s="161"/>
      <c r="CQ1217" s="158"/>
      <c r="CR1217" s="159"/>
      <c r="CS1217" s="68"/>
      <c r="CT1217" s="163"/>
      <c r="EC1217" s="344" t="str">
        <f t="shared" si="162"/>
        <v>HUILA_ISNOS</v>
      </c>
      <c r="ED1217" s="341"/>
      <c r="EE1217" s="341"/>
      <c r="EF1217" s="348"/>
      <c r="EG1217" s="341"/>
      <c r="EH1217" s="341"/>
      <c r="EI1217" s="341"/>
    </row>
    <row r="1218" spans="1:139" s="164" customFormat="1" ht="38.25">
      <c r="A1218" s="228">
        <v>40450</v>
      </c>
      <c r="B1218" s="205" t="s">
        <v>962</v>
      </c>
      <c r="C1218" s="205" t="s">
        <v>2179</v>
      </c>
      <c r="D1218" s="207" t="s">
        <v>1316</v>
      </c>
      <c r="E1218" s="323" t="s">
        <v>3839</v>
      </c>
      <c r="F1218" s="323"/>
      <c r="G1218" s="204"/>
      <c r="H1218" s="151"/>
      <c r="I1218" s="151"/>
      <c r="J1218" s="151">
        <v>5</v>
      </c>
      <c r="K1218" s="151">
        <v>1</v>
      </c>
      <c r="L1218" s="1"/>
      <c r="M1218" s="73">
        <f t="shared" si="156"/>
        <v>0</v>
      </c>
      <c r="N1218" s="73">
        <f t="shared" si="160"/>
        <v>0</v>
      </c>
      <c r="O1218" s="73">
        <f t="shared" si="163"/>
        <v>0</v>
      </c>
      <c r="P1218" s="73">
        <f t="shared" si="157"/>
        <v>0</v>
      </c>
      <c r="Q1218" s="73"/>
      <c r="R1218" s="73">
        <v>0</v>
      </c>
      <c r="S1218" s="75">
        <f t="shared" si="159"/>
        <v>0</v>
      </c>
      <c r="T1218" s="77">
        <v>0</v>
      </c>
      <c r="U1218" s="66">
        <v>40451</v>
      </c>
      <c r="V1218" s="79"/>
      <c r="W1218" s="66" t="s">
        <v>1585</v>
      </c>
      <c r="X1218" s="24" t="s">
        <v>1586</v>
      </c>
      <c r="Y1218" s="62"/>
      <c r="Z1218" s="169" t="s">
        <v>894</v>
      </c>
      <c r="AA1218" s="166" t="s">
        <v>902</v>
      </c>
      <c r="AB1218" s="152"/>
      <c r="AC1218" s="153"/>
      <c r="AD1218" s="154"/>
      <c r="AE1218" s="153"/>
      <c r="AF1218" s="153"/>
      <c r="AG1218" s="153"/>
      <c r="AH1218" s="153"/>
      <c r="AI1218" s="153"/>
      <c r="AJ1218" s="153"/>
      <c r="AK1218" s="153"/>
      <c r="AL1218" s="153"/>
      <c r="AM1218" s="153"/>
      <c r="AN1218" s="153"/>
      <c r="AO1218" s="153"/>
      <c r="AP1218" s="153"/>
      <c r="AQ1218" s="153"/>
      <c r="AR1218" s="153"/>
      <c r="AS1218" s="153"/>
      <c r="AT1218" s="153"/>
      <c r="AU1218" s="153"/>
      <c r="AV1218" s="153"/>
      <c r="AW1218" s="153"/>
      <c r="AX1218" s="153"/>
      <c r="AY1218" s="153"/>
      <c r="AZ1218" s="153"/>
      <c r="BA1218" s="153"/>
      <c r="BB1218" s="153"/>
      <c r="BC1218" s="153"/>
      <c r="BD1218" s="153"/>
      <c r="BE1218" s="153"/>
      <c r="BF1218" s="153"/>
      <c r="BG1218" s="153"/>
      <c r="BH1218" s="153"/>
      <c r="BI1218" s="153"/>
      <c r="BJ1218" s="153"/>
      <c r="BK1218" s="153"/>
      <c r="BL1218" s="153"/>
      <c r="BM1218" s="153"/>
      <c r="BN1218" s="153"/>
      <c r="BO1218" s="153"/>
      <c r="BP1218" s="153"/>
      <c r="BQ1218" s="153"/>
      <c r="BR1218" s="153"/>
      <c r="BS1218" s="153"/>
      <c r="BT1218" s="153"/>
      <c r="BU1218" s="153"/>
      <c r="BV1218" s="153"/>
      <c r="BW1218" s="153"/>
      <c r="BX1218" s="153"/>
      <c r="BY1218" s="153"/>
      <c r="BZ1218" s="153"/>
      <c r="CA1218" s="153"/>
      <c r="CB1218" s="153"/>
      <c r="CC1218" s="153"/>
      <c r="CD1218" s="155"/>
      <c r="CE1218" s="156"/>
      <c r="CF1218" s="155"/>
      <c r="CG1218" s="156"/>
      <c r="CH1218" s="155"/>
      <c r="CI1218" s="156"/>
      <c r="CJ1218" s="157">
        <f t="shared" si="158"/>
        <v>0</v>
      </c>
      <c r="CK1218" s="158"/>
      <c r="CL1218" s="159"/>
      <c r="CM1218" s="160"/>
      <c r="CN1218" s="161"/>
      <c r="CO1218" s="162"/>
      <c r="CP1218" s="161"/>
      <c r="CQ1218" s="158"/>
      <c r="CR1218" s="159"/>
      <c r="CS1218" s="68"/>
      <c r="CT1218" s="163"/>
      <c r="EC1218" s="344" t="str">
        <f t="shared" si="162"/>
        <v>HUILA_LA ARGENTINA</v>
      </c>
      <c r="ED1218" s="341"/>
      <c r="EE1218" s="341"/>
      <c r="EF1218" s="348"/>
      <c r="EG1218" s="341"/>
      <c r="EH1218" s="341"/>
      <c r="EI1218" s="341"/>
    </row>
    <row r="1219" spans="1:139" s="164" customFormat="1" ht="25.5">
      <c r="A1219" s="228">
        <v>40450</v>
      </c>
      <c r="B1219" s="205" t="s">
        <v>962</v>
      </c>
      <c r="C1219" s="205" t="s">
        <v>2189</v>
      </c>
      <c r="D1219" s="207" t="s">
        <v>2606</v>
      </c>
      <c r="E1219" s="323" t="s">
        <v>3852</v>
      </c>
      <c r="F1219" s="323"/>
      <c r="G1219" s="204"/>
      <c r="H1219" s="151"/>
      <c r="I1219" s="151"/>
      <c r="J1219" s="151">
        <v>105</v>
      </c>
      <c r="K1219" s="151">
        <v>21</v>
      </c>
      <c r="L1219" s="1"/>
      <c r="M1219" s="73">
        <f t="shared" ref="M1219:M1282" si="164">CJ1219</f>
        <v>0</v>
      </c>
      <c r="N1219" s="73">
        <f t="shared" si="160"/>
        <v>0</v>
      </c>
      <c r="O1219" s="73">
        <f t="shared" si="163"/>
        <v>0</v>
      </c>
      <c r="P1219" s="73">
        <f t="shared" ref="P1219:P1282" si="165">CL1219</f>
        <v>0</v>
      </c>
      <c r="Q1219" s="73"/>
      <c r="R1219" s="73">
        <v>0</v>
      </c>
      <c r="S1219" s="75">
        <f t="shared" si="159"/>
        <v>0</v>
      </c>
      <c r="T1219" s="77">
        <v>0</v>
      </c>
      <c r="U1219" s="66">
        <v>40455</v>
      </c>
      <c r="V1219" s="79"/>
      <c r="W1219" s="66" t="s">
        <v>1585</v>
      </c>
      <c r="X1219" s="24" t="s">
        <v>1586</v>
      </c>
      <c r="Y1219" s="62"/>
      <c r="Z1219" s="169" t="s">
        <v>894</v>
      </c>
      <c r="AA1219" s="166" t="s">
        <v>2190</v>
      </c>
      <c r="AB1219" s="152"/>
      <c r="AC1219" s="153"/>
      <c r="AD1219" s="154"/>
      <c r="AE1219" s="153"/>
      <c r="AF1219" s="153"/>
      <c r="AG1219" s="153"/>
      <c r="AH1219" s="153"/>
      <c r="AI1219" s="153"/>
      <c r="AJ1219" s="153"/>
      <c r="AK1219" s="153"/>
      <c r="AL1219" s="153"/>
      <c r="AM1219" s="153"/>
      <c r="AN1219" s="153"/>
      <c r="AO1219" s="153"/>
      <c r="AP1219" s="153"/>
      <c r="AQ1219" s="153"/>
      <c r="AR1219" s="153"/>
      <c r="AS1219" s="153"/>
      <c r="AT1219" s="153"/>
      <c r="AU1219" s="153"/>
      <c r="AV1219" s="153"/>
      <c r="AW1219" s="153"/>
      <c r="AX1219" s="153"/>
      <c r="AY1219" s="153"/>
      <c r="AZ1219" s="153"/>
      <c r="BA1219" s="153"/>
      <c r="BB1219" s="153"/>
      <c r="BC1219" s="153"/>
      <c r="BD1219" s="153"/>
      <c r="BE1219" s="153"/>
      <c r="BF1219" s="153"/>
      <c r="BG1219" s="153"/>
      <c r="BH1219" s="153"/>
      <c r="BI1219" s="153"/>
      <c r="BJ1219" s="153"/>
      <c r="BK1219" s="153"/>
      <c r="BL1219" s="153"/>
      <c r="BM1219" s="153"/>
      <c r="BN1219" s="153"/>
      <c r="BO1219" s="153"/>
      <c r="BP1219" s="153"/>
      <c r="BQ1219" s="153"/>
      <c r="BR1219" s="153"/>
      <c r="BS1219" s="153"/>
      <c r="BT1219" s="153"/>
      <c r="BU1219" s="153"/>
      <c r="BV1219" s="153"/>
      <c r="BW1219" s="153"/>
      <c r="BX1219" s="153"/>
      <c r="BY1219" s="153"/>
      <c r="BZ1219" s="153"/>
      <c r="CA1219" s="153"/>
      <c r="CB1219" s="153"/>
      <c r="CC1219" s="153"/>
      <c r="CD1219" s="155"/>
      <c r="CE1219" s="156"/>
      <c r="CF1219" s="155"/>
      <c r="CG1219" s="156"/>
      <c r="CH1219" s="155"/>
      <c r="CI1219" s="156"/>
      <c r="CJ1219" s="157">
        <f t="shared" ref="CJ1219:CJ1282" si="166">AC1219+AE1219+AG1219+AI1219+AK1219+AM1219+AO1219+AQ1219+AS1219+AU1219+AW1219+AY1219+BA1219+BC1219+BE1219+BG1219+BI1219+BK1219+BM1219+BO1219+BQ1219+BS1219+BU1219+BW1219+BY1219+CA1219+CC1219+CE1219+CG1219+CI1219</f>
        <v>0</v>
      </c>
      <c r="CK1219" s="158"/>
      <c r="CL1219" s="159"/>
      <c r="CM1219" s="160"/>
      <c r="CN1219" s="161"/>
      <c r="CO1219" s="162"/>
      <c r="CP1219" s="161"/>
      <c r="CQ1219" s="158"/>
      <c r="CR1219" s="159"/>
      <c r="CS1219" s="68"/>
      <c r="CT1219" s="163"/>
      <c r="EC1219" s="344" t="str">
        <f t="shared" si="162"/>
        <v>HUILA_SUAZA</v>
      </c>
      <c r="ED1219" s="341"/>
      <c r="EE1219" s="341"/>
      <c r="EF1219" s="348"/>
      <c r="EG1219" s="341"/>
      <c r="EH1219" s="341"/>
      <c r="EI1219" s="341"/>
    </row>
    <row r="1220" spans="1:139" s="164" customFormat="1" ht="25.5">
      <c r="A1220" s="228">
        <v>40450</v>
      </c>
      <c r="B1220" s="205" t="s">
        <v>962</v>
      </c>
      <c r="C1220" s="205" t="s">
        <v>2191</v>
      </c>
      <c r="D1220" s="207" t="s">
        <v>1316</v>
      </c>
      <c r="E1220" s="323" t="s">
        <v>3854</v>
      </c>
      <c r="F1220" s="323"/>
      <c r="G1220" s="204"/>
      <c r="H1220" s="151"/>
      <c r="I1220" s="151"/>
      <c r="J1220" s="151">
        <v>6</v>
      </c>
      <c r="K1220" s="151">
        <v>1</v>
      </c>
      <c r="L1220" s="1"/>
      <c r="M1220" s="73">
        <f t="shared" si="164"/>
        <v>0</v>
      </c>
      <c r="N1220" s="73">
        <f t="shared" si="160"/>
        <v>0</v>
      </c>
      <c r="O1220" s="73">
        <f t="shared" si="163"/>
        <v>0</v>
      </c>
      <c r="P1220" s="73">
        <f t="shared" si="165"/>
        <v>0</v>
      </c>
      <c r="Q1220" s="73"/>
      <c r="R1220" s="73">
        <v>0</v>
      </c>
      <c r="S1220" s="75">
        <f t="shared" si="159"/>
        <v>0</v>
      </c>
      <c r="T1220" s="77">
        <v>0</v>
      </c>
      <c r="U1220" s="66">
        <v>40455</v>
      </c>
      <c r="V1220" s="79"/>
      <c r="W1220" s="66" t="s">
        <v>1585</v>
      </c>
      <c r="X1220" s="24" t="s">
        <v>1586</v>
      </c>
      <c r="Y1220" s="62"/>
      <c r="Z1220" s="169" t="s">
        <v>894</v>
      </c>
      <c r="AA1220" s="166" t="s">
        <v>2192</v>
      </c>
      <c r="AB1220" s="152"/>
      <c r="AC1220" s="153"/>
      <c r="AD1220" s="154"/>
      <c r="AE1220" s="153"/>
      <c r="AF1220" s="153"/>
      <c r="AG1220" s="153"/>
      <c r="AH1220" s="153"/>
      <c r="AI1220" s="153"/>
      <c r="AJ1220" s="153"/>
      <c r="AK1220" s="153"/>
      <c r="AL1220" s="153"/>
      <c r="AM1220" s="153"/>
      <c r="AN1220" s="153"/>
      <c r="AO1220" s="153"/>
      <c r="AP1220" s="153"/>
      <c r="AQ1220" s="153"/>
      <c r="AR1220" s="153"/>
      <c r="AS1220" s="153"/>
      <c r="AT1220" s="153"/>
      <c r="AU1220" s="153"/>
      <c r="AV1220" s="153"/>
      <c r="AW1220" s="153"/>
      <c r="AX1220" s="153"/>
      <c r="AY1220" s="153"/>
      <c r="AZ1220" s="153"/>
      <c r="BA1220" s="153"/>
      <c r="BB1220" s="153"/>
      <c r="BC1220" s="153"/>
      <c r="BD1220" s="153"/>
      <c r="BE1220" s="153"/>
      <c r="BF1220" s="153"/>
      <c r="BG1220" s="153"/>
      <c r="BH1220" s="153"/>
      <c r="BI1220" s="153"/>
      <c r="BJ1220" s="153"/>
      <c r="BK1220" s="153"/>
      <c r="BL1220" s="153"/>
      <c r="BM1220" s="153"/>
      <c r="BN1220" s="153"/>
      <c r="BO1220" s="153"/>
      <c r="BP1220" s="153"/>
      <c r="BQ1220" s="153"/>
      <c r="BR1220" s="153"/>
      <c r="BS1220" s="153"/>
      <c r="BT1220" s="153"/>
      <c r="BU1220" s="153"/>
      <c r="BV1220" s="153"/>
      <c r="BW1220" s="153"/>
      <c r="BX1220" s="153"/>
      <c r="BY1220" s="153"/>
      <c r="BZ1220" s="153"/>
      <c r="CA1220" s="153"/>
      <c r="CB1220" s="153"/>
      <c r="CC1220" s="153"/>
      <c r="CD1220" s="155"/>
      <c r="CE1220" s="156"/>
      <c r="CF1220" s="155"/>
      <c r="CG1220" s="156"/>
      <c r="CH1220" s="155"/>
      <c r="CI1220" s="156"/>
      <c r="CJ1220" s="157">
        <f t="shared" si="166"/>
        <v>0</v>
      </c>
      <c r="CK1220" s="158"/>
      <c r="CL1220" s="159"/>
      <c r="CM1220" s="160"/>
      <c r="CN1220" s="161"/>
      <c r="CO1220" s="162"/>
      <c r="CP1220" s="161"/>
      <c r="CQ1220" s="158"/>
      <c r="CR1220" s="159"/>
      <c r="CS1220" s="68"/>
      <c r="CT1220" s="163"/>
      <c r="EC1220" s="344" t="str">
        <f t="shared" si="162"/>
        <v>HUILA_TESALIA</v>
      </c>
      <c r="ED1220" s="341"/>
      <c r="EE1220" s="341"/>
      <c r="EF1220" s="348"/>
      <c r="EG1220" s="341"/>
      <c r="EH1220" s="341"/>
      <c r="EI1220" s="341"/>
    </row>
    <row r="1221" spans="1:139" s="164" customFormat="1" ht="38.25">
      <c r="A1221" s="228">
        <v>40450</v>
      </c>
      <c r="B1221" s="205" t="s">
        <v>965</v>
      </c>
      <c r="C1221" s="205" t="s">
        <v>2077</v>
      </c>
      <c r="D1221" s="206" t="s">
        <v>1878</v>
      </c>
      <c r="E1221" s="320" t="s">
        <v>4034</v>
      </c>
      <c r="F1221" s="320"/>
      <c r="G1221" s="204"/>
      <c r="H1221" s="151"/>
      <c r="I1221" s="151"/>
      <c r="J1221" s="151"/>
      <c r="K1221" s="151"/>
      <c r="L1221" s="1"/>
      <c r="M1221" s="73">
        <f t="shared" si="164"/>
        <v>0</v>
      </c>
      <c r="N1221" s="73">
        <f t="shared" si="160"/>
        <v>0</v>
      </c>
      <c r="O1221" s="73">
        <f t="shared" si="163"/>
        <v>0</v>
      </c>
      <c r="P1221" s="73">
        <f t="shared" si="165"/>
        <v>0</v>
      </c>
      <c r="Q1221" s="73"/>
      <c r="R1221" s="73">
        <v>0</v>
      </c>
      <c r="S1221" s="75">
        <f t="shared" si="159"/>
        <v>0</v>
      </c>
      <c r="T1221" s="77">
        <v>0</v>
      </c>
      <c r="U1221" s="66">
        <v>40451</v>
      </c>
      <c r="V1221" s="79"/>
      <c r="W1221" s="66" t="s">
        <v>1585</v>
      </c>
      <c r="X1221" s="24" t="s">
        <v>1586</v>
      </c>
      <c r="Y1221" s="62"/>
      <c r="Z1221" s="169" t="s">
        <v>894</v>
      </c>
      <c r="AA1221" s="166" t="s">
        <v>2182</v>
      </c>
      <c r="AB1221" s="152"/>
      <c r="AC1221" s="153"/>
      <c r="AD1221" s="154"/>
      <c r="AE1221" s="153"/>
      <c r="AF1221" s="153"/>
      <c r="AG1221" s="153"/>
      <c r="AH1221" s="153"/>
      <c r="AI1221" s="153"/>
      <c r="AJ1221" s="153"/>
      <c r="AK1221" s="153"/>
      <c r="AL1221" s="153"/>
      <c r="AM1221" s="153"/>
      <c r="AN1221" s="153"/>
      <c r="AO1221" s="153"/>
      <c r="AP1221" s="153"/>
      <c r="AQ1221" s="153"/>
      <c r="AR1221" s="153"/>
      <c r="AS1221" s="153"/>
      <c r="AT1221" s="153"/>
      <c r="AU1221" s="153"/>
      <c r="AV1221" s="153"/>
      <c r="AW1221" s="153"/>
      <c r="AX1221" s="153"/>
      <c r="AY1221" s="153"/>
      <c r="AZ1221" s="153"/>
      <c r="BA1221" s="153"/>
      <c r="BB1221" s="153"/>
      <c r="BC1221" s="153"/>
      <c r="BD1221" s="153"/>
      <c r="BE1221" s="153"/>
      <c r="BF1221" s="153"/>
      <c r="BG1221" s="153"/>
      <c r="BH1221" s="153"/>
      <c r="BI1221" s="153"/>
      <c r="BJ1221" s="153"/>
      <c r="BK1221" s="153"/>
      <c r="BL1221" s="153"/>
      <c r="BM1221" s="153"/>
      <c r="BN1221" s="153"/>
      <c r="BO1221" s="153"/>
      <c r="BP1221" s="153"/>
      <c r="BQ1221" s="153"/>
      <c r="BR1221" s="153"/>
      <c r="BS1221" s="153"/>
      <c r="BT1221" s="153"/>
      <c r="BU1221" s="153"/>
      <c r="BV1221" s="153"/>
      <c r="BW1221" s="153"/>
      <c r="BX1221" s="153"/>
      <c r="BY1221" s="153"/>
      <c r="BZ1221" s="153"/>
      <c r="CA1221" s="153"/>
      <c r="CB1221" s="153"/>
      <c r="CC1221" s="153"/>
      <c r="CD1221" s="155"/>
      <c r="CE1221" s="156"/>
      <c r="CF1221" s="155"/>
      <c r="CG1221" s="156"/>
      <c r="CH1221" s="155"/>
      <c r="CI1221" s="156"/>
      <c r="CJ1221" s="157">
        <f t="shared" si="166"/>
        <v>0</v>
      </c>
      <c r="CK1221" s="158"/>
      <c r="CL1221" s="159"/>
      <c r="CM1221" s="160"/>
      <c r="CN1221" s="161"/>
      <c r="CO1221" s="162"/>
      <c r="CP1221" s="161"/>
      <c r="CQ1221" s="158"/>
      <c r="CR1221" s="159"/>
      <c r="CS1221" s="68"/>
      <c r="CT1221" s="163"/>
      <c r="EC1221" s="344" t="str">
        <f t="shared" si="162"/>
        <v>NORTE DE SANTANDER_TIBU</v>
      </c>
      <c r="ED1221" s="341"/>
      <c r="EE1221" s="341"/>
      <c r="EF1221" s="348"/>
      <c r="EG1221" s="341"/>
      <c r="EH1221" s="341"/>
      <c r="EI1221" s="341"/>
    </row>
    <row r="1222" spans="1:139" s="164" customFormat="1" ht="38.25">
      <c r="A1222" s="228">
        <v>40450</v>
      </c>
      <c r="B1222" s="205" t="s">
        <v>1998</v>
      </c>
      <c r="C1222" s="205" t="s">
        <v>2797</v>
      </c>
      <c r="D1222" s="207" t="s">
        <v>1201</v>
      </c>
      <c r="E1222" s="323" t="s">
        <v>4128</v>
      </c>
      <c r="F1222" s="323"/>
      <c r="G1222" s="263"/>
      <c r="H1222" s="151"/>
      <c r="I1222" s="151"/>
      <c r="J1222" s="151">
        <f>508*5</f>
        <v>2540</v>
      </c>
      <c r="K1222" s="151">
        <f>800-250-13-29</f>
        <v>508</v>
      </c>
      <c r="L1222" s="1"/>
      <c r="M1222" s="73">
        <f t="shared" si="164"/>
        <v>39810000</v>
      </c>
      <c r="N1222" s="73">
        <f t="shared" si="160"/>
        <v>25500000</v>
      </c>
      <c r="O1222" s="73">
        <f t="shared" si="163"/>
        <v>0</v>
      </c>
      <c r="P1222" s="73">
        <f t="shared" si="165"/>
        <v>0</v>
      </c>
      <c r="Q1222" s="73"/>
      <c r="R1222" s="73">
        <v>0</v>
      </c>
      <c r="S1222" s="75">
        <f t="shared" si="159"/>
        <v>65310000</v>
      </c>
      <c r="T1222" s="77">
        <v>0</v>
      </c>
      <c r="U1222" s="66">
        <v>40451</v>
      </c>
      <c r="V1222" s="79"/>
      <c r="W1222" s="66" t="s">
        <v>1606</v>
      </c>
      <c r="X1222" s="24" t="s">
        <v>1607</v>
      </c>
      <c r="Y1222" s="62"/>
      <c r="Z1222" s="169" t="s">
        <v>2279</v>
      </c>
      <c r="AA1222" s="166" t="s">
        <v>2181</v>
      </c>
      <c r="AB1222" s="152"/>
      <c r="AC1222" s="153"/>
      <c r="AD1222" s="154"/>
      <c r="AE1222" s="153"/>
      <c r="AF1222" s="153"/>
      <c r="AG1222" s="153"/>
      <c r="AH1222" s="153"/>
      <c r="AI1222" s="153"/>
      <c r="AJ1222" s="153"/>
      <c r="AK1222" s="153"/>
      <c r="AL1222" s="153"/>
      <c r="AM1222" s="153"/>
      <c r="AN1222" s="153"/>
      <c r="AO1222" s="153"/>
      <c r="AP1222" s="153">
        <v>300</v>
      </c>
      <c r="AQ1222" s="153">
        <f>300*56000</f>
        <v>16800000</v>
      </c>
      <c r="AR1222" s="153"/>
      <c r="AS1222" s="153"/>
      <c r="AT1222" s="153"/>
      <c r="AU1222" s="153"/>
      <c r="AV1222" s="153"/>
      <c r="AW1222" s="153"/>
      <c r="AX1222" s="153"/>
      <c r="AY1222" s="153"/>
      <c r="AZ1222" s="153"/>
      <c r="BA1222" s="153"/>
      <c r="BB1222" s="153"/>
      <c r="BC1222" s="153"/>
      <c r="BD1222" s="153"/>
      <c r="BE1222" s="153"/>
      <c r="BF1222" s="153"/>
      <c r="BG1222" s="153"/>
      <c r="BH1222" s="153"/>
      <c r="BI1222" s="153"/>
      <c r="BJ1222" s="153"/>
      <c r="BK1222" s="153"/>
      <c r="BL1222" s="153"/>
      <c r="BM1222" s="153"/>
      <c r="BN1222" s="153"/>
      <c r="BO1222" s="153"/>
      <c r="BP1222" s="153"/>
      <c r="BQ1222" s="153"/>
      <c r="BR1222" s="153"/>
      <c r="BS1222" s="153"/>
      <c r="BT1222" s="153"/>
      <c r="BU1222" s="153"/>
      <c r="BV1222" s="153"/>
      <c r="BW1222" s="153"/>
      <c r="BX1222" s="153"/>
      <c r="BY1222" s="153"/>
      <c r="BZ1222" s="153"/>
      <c r="CA1222" s="153"/>
      <c r="CB1222" s="153"/>
      <c r="CC1222" s="153"/>
      <c r="CD1222" s="155">
        <v>300</v>
      </c>
      <c r="CE1222" s="156">
        <f>300*37000</f>
        <v>11100000</v>
      </c>
      <c r="CF1222" s="155">
        <v>300</v>
      </c>
      <c r="CG1222" s="156">
        <f>300*39700</f>
        <v>11910000</v>
      </c>
      <c r="CH1222" s="155"/>
      <c r="CI1222" s="156"/>
      <c r="CJ1222" s="157">
        <f t="shared" si="166"/>
        <v>39810000</v>
      </c>
      <c r="CK1222" s="158"/>
      <c r="CL1222" s="159"/>
      <c r="CM1222" s="160">
        <v>300</v>
      </c>
      <c r="CN1222" s="161">
        <f>300*85000</f>
        <v>25500000</v>
      </c>
      <c r="CO1222" s="162"/>
      <c r="CP1222" s="161"/>
      <c r="CQ1222" s="158"/>
      <c r="CR1222" s="159"/>
      <c r="CS1222" s="68"/>
      <c r="CT1222" s="163"/>
      <c r="EC1222" s="344" t="str">
        <f t="shared" si="162"/>
        <v>SANTANDER_PUERTO WILCHES</v>
      </c>
      <c r="ED1222" s="341"/>
      <c r="EE1222" s="341"/>
      <c r="EF1222" s="348"/>
      <c r="EG1222" s="341"/>
      <c r="EH1222" s="341"/>
      <c r="EI1222" s="341"/>
    </row>
    <row r="1223" spans="1:139" s="164" customFormat="1" ht="48">
      <c r="A1223" s="228">
        <v>40450</v>
      </c>
      <c r="B1223" s="205" t="s">
        <v>1088</v>
      </c>
      <c r="C1223" s="205" t="s">
        <v>2183</v>
      </c>
      <c r="D1223" s="207" t="s">
        <v>1201</v>
      </c>
      <c r="E1223" s="323" t="s">
        <v>4254</v>
      </c>
      <c r="F1223" s="323"/>
      <c r="G1223" s="204"/>
      <c r="H1223" s="151"/>
      <c r="I1223" s="151"/>
      <c r="J1223" s="151">
        <v>350</v>
      </c>
      <c r="K1223" s="151">
        <v>110</v>
      </c>
      <c r="L1223" s="1">
        <v>40476</v>
      </c>
      <c r="M1223" s="73">
        <f t="shared" si="164"/>
        <v>23099370</v>
      </c>
      <c r="N1223" s="73">
        <f t="shared" si="160"/>
        <v>8499846</v>
      </c>
      <c r="O1223" s="73">
        <f t="shared" si="163"/>
        <v>0</v>
      </c>
      <c r="P1223" s="73">
        <f t="shared" si="165"/>
        <v>0</v>
      </c>
      <c r="Q1223" s="73"/>
      <c r="R1223" s="73">
        <v>0</v>
      </c>
      <c r="S1223" s="75">
        <f t="shared" si="159"/>
        <v>31599216</v>
      </c>
      <c r="T1223" s="77">
        <v>0</v>
      </c>
      <c r="U1223" s="66">
        <v>40451</v>
      </c>
      <c r="V1223" s="79">
        <v>53132</v>
      </c>
      <c r="W1223" s="66" t="s">
        <v>1606</v>
      </c>
      <c r="X1223" s="24" t="s">
        <v>1607</v>
      </c>
      <c r="Y1223" s="62">
        <v>22606</v>
      </c>
      <c r="Z1223" s="177" t="s">
        <v>2580</v>
      </c>
      <c r="AA1223" s="166" t="s">
        <v>2184</v>
      </c>
      <c r="AB1223" s="152"/>
      <c r="AC1223" s="153"/>
      <c r="AD1223" s="154"/>
      <c r="AE1223" s="153"/>
      <c r="AF1223" s="153"/>
      <c r="AG1223" s="153"/>
      <c r="AH1223" s="153"/>
      <c r="AI1223" s="153"/>
      <c r="AJ1223" s="153">
        <v>300</v>
      </c>
      <c r="AK1223" s="153">
        <f>300*20998.32</f>
        <v>6299496</v>
      </c>
      <c r="AL1223" s="153"/>
      <c r="AM1223" s="153"/>
      <c r="AN1223" s="153">
        <v>300</v>
      </c>
      <c r="AO1223" s="153">
        <f>300*55999.58</f>
        <v>16799874</v>
      </c>
      <c r="AP1223" s="153"/>
      <c r="AQ1223" s="153"/>
      <c r="AR1223" s="153"/>
      <c r="AS1223" s="153"/>
      <c r="AT1223" s="153"/>
      <c r="AU1223" s="153"/>
      <c r="AV1223" s="153"/>
      <c r="AW1223" s="153"/>
      <c r="AX1223" s="153"/>
      <c r="AY1223" s="153"/>
      <c r="AZ1223" s="153"/>
      <c r="BA1223" s="153"/>
      <c r="BB1223" s="153"/>
      <c r="BC1223" s="153"/>
      <c r="BD1223" s="153"/>
      <c r="BE1223" s="153"/>
      <c r="BF1223" s="153"/>
      <c r="BG1223" s="153"/>
      <c r="BH1223" s="153"/>
      <c r="BI1223" s="153"/>
      <c r="BJ1223" s="153"/>
      <c r="BK1223" s="153"/>
      <c r="BL1223" s="153"/>
      <c r="BM1223" s="153"/>
      <c r="BN1223" s="153"/>
      <c r="BO1223" s="153"/>
      <c r="BP1223" s="153"/>
      <c r="BQ1223" s="153"/>
      <c r="BR1223" s="153"/>
      <c r="BS1223" s="153"/>
      <c r="BT1223" s="153"/>
      <c r="BU1223" s="153"/>
      <c r="BV1223" s="153"/>
      <c r="BW1223" s="153"/>
      <c r="BX1223" s="153"/>
      <c r="BY1223" s="153"/>
      <c r="BZ1223" s="153"/>
      <c r="CA1223" s="153"/>
      <c r="CB1223" s="153"/>
      <c r="CC1223" s="153"/>
      <c r="CD1223" s="155"/>
      <c r="CE1223" s="156"/>
      <c r="CF1223" s="155"/>
      <c r="CG1223" s="156"/>
      <c r="CH1223" s="155"/>
      <c r="CI1223" s="156"/>
      <c r="CJ1223" s="157">
        <f t="shared" si="166"/>
        <v>23099370</v>
      </c>
      <c r="CK1223" s="158"/>
      <c r="CL1223" s="159"/>
      <c r="CM1223" s="160">
        <v>100</v>
      </c>
      <c r="CN1223" s="161">
        <f>100*84998.46</f>
        <v>8499846</v>
      </c>
      <c r="CO1223" s="162"/>
      <c r="CP1223" s="161"/>
      <c r="CQ1223" s="158"/>
      <c r="CR1223" s="159"/>
      <c r="CS1223" s="68"/>
      <c r="CT1223" s="163"/>
      <c r="EC1223" s="344" t="str">
        <f t="shared" si="162"/>
        <v>VALLE DEL CAUCA_ROLDANILLO</v>
      </c>
      <c r="ED1223" s="341"/>
      <c r="EE1223" s="341"/>
      <c r="EF1223" s="348"/>
      <c r="EG1223" s="341"/>
      <c r="EH1223" s="341"/>
      <c r="EI1223" s="341"/>
    </row>
    <row r="1224" spans="1:139" s="164" customFormat="1" ht="38.25">
      <c r="A1224" s="228">
        <v>40451</v>
      </c>
      <c r="B1224" s="205" t="s">
        <v>1440</v>
      </c>
      <c r="C1224" s="205" t="s">
        <v>2188</v>
      </c>
      <c r="D1224" s="207" t="s">
        <v>1201</v>
      </c>
      <c r="E1224" s="323" t="s">
        <v>3896</v>
      </c>
      <c r="F1224" s="323"/>
      <c r="G1224" s="204"/>
      <c r="H1224" s="151"/>
      <c r="I1224" s="151"/>
      <c r="J1224" s="416">
        <f>1559*3.7</f>
        <v>5768.3</v>
      </c>
      <c r="K1224" s="151">
        <v>1559</v>
      </c>
      <c r="L1224" s="1"/>
      <c r="M1224" s="73">
        <f t="shared" si="164"/>
        <v>15821200</v>
      </c>
      <c r="N1224" s="73">
        <f t="shared" si="160"/>
        <v>99450000</v>
      </c>
      <c r="O1224" s="73">
        <f t="shared" si="163"/>
        <v>0</v>
      </c>
      <c r="P1224" s="73">
        <f t="shared" si="165"/>
        <v>2700480</v>
      </c>
      <c r="Q1224" s="73"/>
      <c r="R1224" s="73">
        <v>0</v>
      </c>
      <c r="S1224" s="75">
        <f t="shared" si="159"/>
        <v>117971680</v>
      </c>
      <c r="T1224" s="77">
        <v>0</v>
      </c>
      <c r="U1224" s="66">
        <v>40454</v>
      </c>
      <c r="V1224" s="79">
        <v>52364</v>
      </c>
      <c r="W1224" s="66" t="s">
        <v>1606</v>
      </c>
      <c r="X1224" s="24" t="s">
        <v>1607</v>
      </c>
      <c r="Y1224" s="62"/>
      <c r="Z1224" s="169" t="s">
        <v>1795</v>
      </c>
      <c r="AA1224" s="166"/>
      <c r="AB1224" s="152"/>
      <c r="AC1224" s="153"/>
      <c r="AD1224" s="154"/>
      <c r="AE1224" s="153"/>
      <c r="AF1224" s="153"/>
      <c r="AG1224" s="153"/>
      <c r="AH1224" s="153"/>
      <c r="AI1224" s="153"/>
      <c r="AJ1224" s="153"/>
      <c r="AK1224" s="153"/>
      <c r="AL1224" s="153"/>
      <c r="AM1224" s="153"/>
      <c r="AN1224" s="153"/>
      <c r="AO1224" s="153"/>
      <c r="AP1224" s="153"/>
      <c r="AQ1224" s="153"/>
      <c r="AR1224" s="153"/>
      <c r="AS1224" s="153"/>
      <c r="AT1224" s="153"/>
      <c r="AU1224" s="153"/>
      <c r="AV1224" s="153"/>
      <c r="AW1224" s="153"/>
      <c r="AX1224" s="153"/>
      <c r="AY1224" s="153"/>
      <c r="AZ1224" s="153">
        <v>100</v>
      </c>
      <c r="BA1224" s="153">
        <f>100*25500</f>
        <v>2550000</v>
      </c>
      <c r="BB1224" s="153"/>
      <c r="BC1224" s="153"/>
      <c r="BD1224" s="153"/>
      <c r="BE1224" s="153"/>
      <c r="BF1224" s="153"/>
      <c r="BG1224" s="153"/>
      <c r="BH1224" s="153"/>
      <c r="BI1224" s="153"/>
      <c r="BJ1224" s="153"/>
      <c r="BK1224" s="153"/>
      <c r="BL1224" s="153"/>
      <c r="BM1224" s="153"/>
      <c r="BN1224" s="153">
        <f>3+2</f>
        <v>5</v>
      </c>
      <c r="BO1224" s="153">
        <f>3*510400+2*470000</f>
        <v>2471200</v>
      </c>
      <c r="BP1224" s="153"/>
      <c r="BQ1224" s="153"/>
      <c r="BR1224" s="153"/>
      <c r="BS1224" s="153"/>
      <c r="BT1224" s="153"/>
      <c r="BU1224" s="153"/>
      <c r="BV1224" s="153"/>
      <c r="BW1224" s="153"/>
      <c r="BX1224" s="153"/>
      <c r="BY1224" s="153"/>
      <c r="BZ1224" s="153"/>
      <c r="CA1224" s="153"/>
      <c r="CB1224" s="153">
        <f>300+300</f>
        <v>600</v>
      </c>
      <c r="CC1224" s="153">
        <f>300*18000+300*18000</f>
        <v>10800000</v>
      </c>
      <c r="CD1224" s="155"/>
      <c r="CE1224" s="156"/>
      <c r="CF1224" s="155"/>
      <c r="CG1224" s="156"/>
      <c r="CH1224" s="155"/>
      <c r="CI1224" s="156"/>
      <c r="CJ1224" s="157">
        <f t="shared" si="166"/>
        <v>15821200</v>
      </c>
      <c r="CK1224" s="158">
        <v>3000</v>
      </c>
      <c r="CL1224" s="159">
        <f>3000*900.16</f>
        <v>2700480</v>
      </c>
      <c r="CM1224" s="160">
        <f>300+300+570</f>
        <v>1170</v>
      </c>
      <c r="CN1224" s="161">
        <f>300*85000+300*85000+570*85000</f>
        <v>99450000</v>
      </c>
      <c r="CO1224" s="162"/>
      <c r="CP1224" s="161"/>
      <c r="CQ1224" s="158"/>
      <c r="CR1224" s="159"/>
      <c r="CS1224" s="68"/>
      <c r="CT1224" s="163">
        <v>1311</v>
      </c>
      <c r="EC1224" s="344" t="str">
        <f t="shared" si="162"/>
        <v>MAGDALENA_SALAMINA</v>
      </c>
      <c r="ED1224" s="341"/>
      <c r="EE1224" s="341"/>
      <c r="EF1224" s="348"/>
      <c r="EG1224" s="341"/>
      <c r="EH1224" s="341"/>
      <c r="EI1224" s="341"/>
    </row>
    <row r="1225" spans="1:139" s="164" customFormat="1" ht="72">
      <c r="A1225" s="228">
        <v>40451</v>
      </c>
      <c r="B1225" s="205" t="s">
        <v>1612</v>
      </c>
      <c r="C1225" s="205" t="s">
        <v>673</v>
      </c>
      <c r="D1225" s="207" t="s">
        <v>1201</v>
      </c>
      <c r="E1225" s="323" t="s">
        <v>4040</v>
      </c>
      <c r="F1225" s="323"/>
      <c r="G1225" s="204"/>
      <c r="H1225" s="151"/>
      <c r="I1225" s="151"/>
      <c r="J1225" s="151">
        <v>25</v>
      </c>
      <c r="K1225" s="151">
        <v>5</v>
      </c>
      <c r="L1225" s="1"/>
      <c r="M1225" s="73">
        <f t="shared" si="164"/>
        <v>0</v>
      </c>
      <c r="N1225" s="73">
        <f t="shared" si="160"/>
        <v>0</v>
      </c>
      <c r="O1225" s="73">
        <f t="shared" si="163"/>
        <v>0</v>
      </c>
      <c r="P1225" s="73">
        <f t="shared" si="165"/>
        <v>0</v>
      </c>
      <c r="Q1225" s="73"/>
      <c r="R1225" s="73">
        <v>0</v>
      </c>
      <c r="S1225" s="75">
        <f t="shared" ref="S1225:S1288" si="167">M1225+N1225+O1225+P1225+Q1225+R1225</f>
        <v>0</v>
      </c>
      <c r="T1225" s="77">
        <v>0</v>
      </c>
      <c r="U1225" s="66">
        <v>40455</v>
      </c>
      <c r="V1225" s="79"/>
      <c r="W1225" s="66" t="s">
        <v>1585</v>
      </c>
      <c r="X1225" s="24" t="s">
        <v>1586</v>
      </c>
      <c r="Y1225" s="62"/>
      <c r="Z1225" s="169" t="s">
        <v>894</v>
      </c>
      <c r="AA1225" s="166" t="s">
        <v>2203</v>
      </c>
      <c r="AB1225" s="152"/>
      <c r="AC1225" s="153"/>
      <c r="AD1225" s="154"/>
      <c r="AE1225" s="153"/>
      <c r="AF1225" s="153"/>
      <c r="AG1225" s="153"/>
      <c r="AH1225" s="153"/>
      <c r="AI1225" s="153"/>
      <c r="AJ1225" s="153"/>
      <c r="AK1225" s="153"/>
      <c r="AL1225" s="153"/>
      <c r="AM1225" s="153"/>
      <c r="AN1225" s="153"/>
      <c r="AO1225" s="153"/>
      <c r="AP1225" s="153"/>
      <c r="AQ1225" s="153"/>
      <c r="AR1225" s="153"/>
      <c r="AS1225" s="153"/>
      <c r="AT1225" s="153"/>
      <c r="AU1225" s="153"/>
      <c r="AV1225" s="153"/>
      <c r="AW1225" s="153"/>
      <c r="AX1225" s="153"/>
      <c r="AY1225" s="153"/>
      <c r="AZ1225" s="153"/>
      <c r="BA1225" s="153"/>
      <c r="BB1225" s="153"/>
      <c r="BC1225" s="153"/>
      <c r="BD1225" s="153"/>
      <c r="BE1225" s="153"/>
      <c r="BF1225" s="153"/>
      <c r="BG1225" s="153"/>
      <c r="BH1225" s="153"/>
      <c r="BI1225" s="153"/>
      <c r="BJ1225" s="153"/>
      <c r="BK1225" s="153"/>
      <c r="BL1225" s="153"/>
      <c r="BM1225" s="153"/>
      <c r="BN1225" s="153"/>
      <c r="BO1225" s="153"/>
      <c r="BP1225" s="153"/>
      <c r="BQ1225" s="153"/>
      <c r="BR1225" s="153"/>
      <c r="BS1225" s="153"/>
      <c r="BT1225" s="153"/>
      <c r="BU1225" s="153"/>
      <c r="BV1225" s="153"/>
      <c r="BW1225" s="153"/>
      <c r="BX1225" s="153"/>
      <c r="BY1225" s="153"/>
      <c r="BZ1225" s="153"/>
      <c r="CA1225" s="153"/>
      <c r="CB1225" s="153"/>
      <c r="CC1225" s="153"/>
      <c r="CD1225" s="155"/>
      <c r="CE1225" s="156"/>
      <c r="CF1225" s="155"/>
      <c r="CG1225" s="156"/>
      <c r="CH1225" s="155"/>
      <c r="CI1225" s="156"/>
      <c r="CJ1225" s="157">
        <f t="shared" si="166"/>
        <v>0</v>
      </c>
      <c r="CK1225" s="158"/>
      <c r="CL1225" s="159"/>
      <c r="CM1225" s="160"/>
      <c r="CN1225" s="161"/>
      <c r="CO1225" s="162"/>
      <c r="CP1225" s="161"/>
      <c r="CQ1225" s="158"/>
      <c r="CR1225" s="159"/>
      <c r="CS1225" s="68"/>
      <c r="CT1225" s="163"/>
      <c r="EC1225" s="344" t="str">
        <f t="shared" si="162"/>
        <v>QUINDIO_CALARCA</v>
      </c>
      <c r="ED1225" s="341"/>
      <c r="EE1225" s="341"/>
      <c r="EF1225" s="348"/>
      <c r="EG1225" s="341"/>
      <c r="EH1225" s="341"/>
      <c r="EI1225" s="341"/>
    </row>
    <row r="1226" spans="1:139" s="164" customFormat="1" ht="72">
      <c r="A1226" s="228">
        <v>40451</v>
      </c>
      <c r="B1226" s="205" t="s">
        <v>2400</v>
      </c>
      <c r="C1226" s="205" t="s">
        <v>1597</v>
      </c>
      <c r="D1226" s="207" t="s">
        <v>1308</v>
      </c>
      <c r="E1226" s="323" t="s">
        <v>4212</v>
      </c>
      <c r="F1226" s="323"/>
      <c r="G1226" s="204"/>
      <c r="H1226" s="151"/>
      <c r="I1226" s="151"/>
      <c r="J1226" s="151">
        <v>20</v>
      </c>
      <c r="K1226" s="151">
        <v>4</v>
      </c>
      <c r="L1226" s="1"/>
      <c r="M1226" s="73">
        <f t="shared" si="164"/>
        <v>0</v>
      </c>
      <c r="N1226" s="73">
        <f t="shared" si="160"/>
        <v>0</v>
      </c>
      <c r="O1226" s="73">
        <f t="shared" si="163"/>
        <v>0</v>
      </c>
      <c r="P1226" s="73">
        <f t="shared" si="165"/>
        <v>0</v>
      </c>
      <c r="Q1226" s="73"/>
      <c r="R1226" s="73">
        <v>0</v>
      </c>
      <c r="S1226" s="75">
        <f t="shared" si="167"/>
        <v>0</v>
      </c>
      <c r="T1226" s="77">
        <v>0</v>
      </c>
      <c r="U1226" s="66">
        <v>40455</v>
      </c>
      <c r="V1226" s="79"/>
      <c r="W1226" s="66" t="s">
        <v>1585</v>
      </c>
      <c r="X1226" s="24" t="s">
        <v>1586</v>
      </c>
      <c r="Y1226" s="62"/>
      <c r="Z1226" s="169" t="s">
        <v>894</v>
      </c>
      <c r="AA1226" s="166" t="s">
        <v>2199</v>
      </c>
      <c r="AB1226" s="152"/>
      <c r="AC1226" s="153"/>
      <c r="AD1226" s="154"/>
      <c r="AE1226" s="153"/>
      <c r="AF1226" s="153"/>
      <c r="AG1226" s="153"/>
      <c r="AH1226" s="153"/>
      <c r="AI1226" s="153"/>
      <c r="AJ1226" s="153"/>
      <c r="AK1226" s="153"/>
      <c r="AL1226" s="153"/>
      <c r="AM1226" s="153"/>
      <c r="AN1226" s="153"/>
      <c r="AO1226" s="153"/>
      <c r="AP1226" s="153"/>
      <c r="AQ1226" s="153"/>
      <c r="AR1226" s="153"/>
      <c r="AS1226" s="153"/>
      <c r="AT1226" s="153"/>
      <c r="AU1226" s="153"/>
      <c r="AV1226" s="153"/>
      <c r="AW1226" s="153"/>
      <c r="AX1226" s="153"/>
      <c r="AY1226" s="153"/>
      <c r="AZ1226" s="153"/>
      <c r="BA1226" s="153"/>
      <c r="BB1226" s="153"/>
      <c r="BC1226" s="153"/>
      <c r="BD1226" s="153"/>
      <c r="BE1226" s="153"/>
      <c r="BF1226" s="153"/>
      <c r="BG1226" s="153"/>
      <c r="BH1226" s="153"/>
      <c r="BI1226" s="153"/>
      <c r="BJ1226" s="153"/>
      <c r="BK1226" s="153"/>
      <c r="BL1226" s="153"/>
      <c r="BM1226" s="153"/>
      <c r="BN1226" s="153"/>
      <c r="BO1226" s="153"/>
      <c r="BP1226" s="153"/>
      <c r="BQ1226" s="153"/>
      <c r="BR1226" s="153"/>
      <c r="BS1226" s="153"/>
      <c r="BT1226" s="153"/>
      <c r="BU1226" s="153"/>
      <c r="BV1226" s="153"/>
      <c r="BW1226" s="153"/>
      <c r="BX1226" s="153"/>
      <c r="BY1226" s="153"/>
      <c r="BZ1226" s="153"/>
      <c r="CA1226" s="153"/>
      <c r="CB1226" s="153"/>
      <c r="CC1226" s="153"/>
      <c r="CD1226" s="155"/>
      <c r="CE1226" s="156"/>
      <c r="CF1226" s="155"/>
      <c r="CG1226" s="156"/>
      <c r="CH1226" s="155"/>
      <c r="CI1226" s="156"/>
      <c r="CJ1226" s="157">
        <f t="shared" si="166"/>
        <v>0</v>
      </c>
      <c r="CK1226" s="158"/>
      <c r="CL1226" s="159"/>
      <c r="CM1226" s="160"/>
      <c r="CN1226" s="161"/>
      <c r="CO1226" s="162"/>
      <c r="CP1226" s="161"/>
      <c r="CQ1226" s="158"/>
      <c r="CR1226" s="159"/>
      <c r="CS1226" s="68"/>
      <c r="CT1226" s="163"/>
      <c r="EC1226" s="344" t="str">
        <f t="shared" si="162"/>
        <v>TOLIMA_RIOBLANCO</v>
      </c>
      <c r="ED1226" s="341"/>
      <c r="EE1226" s="341"/>
      <c r="EF1226" s="348"/>
      <c r="EG1226" s="341"/>
      <c r="EH1226" s="341"/>
      <c r="EI1226" s="341"/>
    </row>
    <row r="1227" spans="1:139" s="164" customFormat="1" ht="38.25">
      <c r="A1227" s="228">
        <v>40452</v>
      </c>
      <c r="B1227" s="205" t="s">
        <v>1551</v>
      </c>
      <c r="C1227" s="205" t="s">
        <v>1590</v>
      </c>
      <c r="D1227" s="206" t="s">
        <v>1878</v>
      </c>
      <c r="E1227" s="320" t="s">
        <v>3352</v>
      </c>
      <c r="F1227" s="320"/>
      <c r="G1227" s="204"/>
      <c r="H1227" s="151"/>
      <c r="I1227" s="151"/>
      <c r="J1227" s="151">
        <f>2119*5</f>
        <v>10595</v>
      </c>
      <c r="K1227" s="151">
        <f>2109+10</f>
        <v>2119</v>
      </c>
      <c r="L1227" s="1"/>
      <c r="M1227" s="73">
        <f t="shared" si="164"/>
        <v>0</v>
      </c>
      <c r="N1227" s="73">
        <f t="shared" si="160"/>
        <v>0</v>
      </c>
      <c r="O1227" s="73">
        <f t="shared" si="163"/>
        <v>0</v>
      </c>
      <c r="P1227" s="73">
        <f t="shared" si="165"/>
        <v>0</v>
      </c>
      <c r="Q1227" s="73"/>
      <c r="R1227" s="73">
        <v>0</v>
      </c>
      <c r="S1227" s="75">
        <f t="shared" si="167"/>
        <v>0</v>
      </c>
      <c r="T1227" s="77">
        <v>0</v>
      </c>
      <c r="U1227" s="66">
        <v>40455</v>
      </c>
      <c r="V1227" s="79"/>
      <c r="W1227" s="66" t="s">
        <v>1585</v>
      </c>
      <c r="X1227" s="24" t="s">
        <v>1586</v>
      </c>
      <c r="Y1227" s="62"/>
      <c r="Z1227" s="169" t="s">
        <v>894</v>
      </c>
      <c r="AA1227" s="166" t="s">
        <v>2205</v>
      </c>
      <c r="AB1227" s="152"/>
      <c r="AC1227" s="153"/>
      <c r="AD1227" s="154"/>
      <c r="AE1227" s="153"/>
      <c r="AF1227" s="153"/>
      <c r="AG1227" s="153"/>
      <c r="AH1227" s="153"/>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c r="BF1227" s="153"/>
      <c r="BG1227" s="153"/>
      <c r="BH1227" s="153"/>
      <c r="BI1227" s="153"/>
      <c r="BJ1227" s="153"/>
      <c r="BK1227" s="153"/>
      <c r="BL1227" s="153"/>
      <c r="BM1227" s="153"/>
      <c r="BN1227" s="153"/>
      <c r="BO1227" s="153"/>
      <c r="BP1227" s="153"/>
      <c r="BQ1227" s="153"/>
      <c r="BR1227" s="153"/>
      <c r="BS1227" s="153"/>
      <c r="BT1227" s="153"/>
      <c r="BU1227" s="153"/>
      <c r="BV1227" s="153"/>
      <c r="BW1227" s="153"/>
      <c r="BX1227" s="153"/>
      <c r="BY1227" s="153"/>
      <c r="BZ1227" s="153"/>
      <c r="CA1227" s="153"/>
      <c r="CB1227" s="153"/>
      <c r="CC1227" s="153"/>
      <c r="CD1227" s="155"/>
      <c r="CE1227" s="156"/>
      <c r="CF1227" s="155"/>
      <c r="CG1227" s="156"/>
      <c r="CH1227" s="155"/>
      <c r="CI1227" s="156"/>
      <c r="CJ1227" s="157">
        <f t="shared" si="166"/>
        <v>0</v>
      </c>
      <c r="CK1227" s="158"/>
      <c r="CL1227" s="159"/>
      <c r="CM1227" s="160"/>
      <c r="CN1227" s="161"/>
      <c r="CO1227" s="162"/>
      <c r="CP1227" s="161"/>
      <c r="CQ1227" s="158"/>
      <c r="CR1227" s="159"/>
      <c r="CS1227" s="68"/>
      <c r="CT1227" s="163"/>
      <c r="EC1227" s="344" t="str">
        <f t="shared" si="162"/>
        <v>ATLANTICO_BARRANQUILLA</v>
      </c>
      <c r="ED1227" s="341"/>
      <c r="EE1227" s="341"/>
      <c r="EF1227" s="348"/>
      <c r="EG1227" s="341"/>
      <c r="EH1227" s="341"/>
      <c r="EI1227" s="341"/>
    </row>
    <row r="1228" spans="1:139" s="164" customFormat="1" ht="38.25">
      <c r="A1228" s="228">
        <v>40452</v>
      </c>
      <c r="B1228" s="205" t="s">
        <v>1551</v>
      </c>
      <c r="C1228" s="205" t="s">
        <v>1605</v>
      </c>
      <c r="D1228" s="207" t="s">
        <v>1201</v>
      </c>
      <c r="E1228" s="323" t="s">
        <v>3110</v>
      </c>
      <c r="F1228" s="323"/>
      <c r="G1228" s="204"/>
      <c r="H1228" s="151"/>
      <c r="I1228" s="151"/>
      <c r="J1228" s="151"/>
      <c r="K1228" s="151"/>
      <c r="L1228" s="1">
        <v>40509</v>
      </c>
      <c r="M1228" s="73">
        <f t="shared" si="164"/>
        <v>0</v>
      </c>
      <c r="N1228" s="73">
        <f t="shared" si="160"/>
        <v>0</v>
      </c>
      <c r="O1228" s="73">
        <f t="shared" si="163"/>
        <v>0</v>
      </c>
      <c r="P1228" s="73">
        <f t="shared" si="165"/>
        <v>90016000</v>
      </c>
      <c r="Q1228" s="73"/>
      <c r="R1228" s="73">
        <v>0</v>
      </c>
      <c r="S1228" s="75">
        <f t="shared" si="167"/>
        <v>90016000</v>
      </c>
      <c r="T1228" s="77">
        <v>0</v>
      </c>
      <c r="U1228" s="66">
        <v>40454</v>
      </c>
      <c r="V1228" s="79">
        <v>59556</v>
      </c>
      <c r="W1228" s="66" t="s">
        <v>1606</v>
      </c>
      <c r="X1228" s="24" t="s">
        <v>1607</v>
      </c>
      <c r="Y1228" s="62">
        <v>24573</v>
      </c>
      <c r="Z1228" s="169" t="s">
        <v>1795</v>
      </c>
      <c r="AA1228" s="166" t="s">
        <v>2723</v>
      </c>
      <c r="AB1228" s="152"/>
      <c r="AC1228" s="153"/>
      <c r="AD1228" s="154"/>
      <c r="AE1228" s="153"/>
      <c r="AF1228" s="153"/>
      <c r="AG1228" s="153"/>
      <c r="AH1228" s="153"/>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c r="BF1228" s="153"/>
      <c r="BG1228" s="153"/>
      <c r="BH1228" s="153"/>
      <c r="BI1228" s="153"/>
      <c r="BJ1228" s="153"/>
      <c r="BK1228" s="153"/>
      <c r="BL1228" s="153"/>
      <c r="BM1228" s="153"/>
      <c r="BN1228" s="153"/>
      <c r="BO1228" s="153"/>
      <c r="BP1228" s="153"/>
      <c r="BQ1228" s="153"/>
      <c r="BR1228" s="153"/>
      <c r="BS1228" s="153"/>
      <c r="BT1228" s="153"/>
      <c r="BU1228" s="153"/>
      <c r="BV1228" s="153"/>
      <c r="BW1228" s="153"/>
      <c r="BX1228" s="153"/>
      <c r="BY1228" s="153"/>
      <c r="BZ1228" s="153"/>
      <c r="CA1228" s="153"/>
      <c r="CB1228" s="153"/>
      <c r="CC1228" s="153"/>
      <c r="CD1228" s="155"/>
      <c r="CE1228" s="156"/>
      <c r="CF1228" s="155"/>
      <c r="CG1228" s="156"/>
      <c r="CH1228" s="155"/>
      <c r="CI1228" s="156"/>
      <c r="CJ1228" s="157">
        <f t="shared" si="166"/>
        <v>0</v>
      </c>
      <c r="CK1228" s="158">
        <v>100000</v>
      </c>
      <c r="CL1228" s="159">
        <f>100000*900.16</f>
        <v>90016000</v>
      </c>
      <c r="CM1228" s="160"/>
      <c r="CN1228" s="161"/>
      <c r="CO1228" s="162"/>
      <c r="CP1228" s="161"/>
      <c r="CQ1228" s="158"/>
      <c r="CR1228" s="159"/>
      <c r="CS1228" s="68"/>
      <c r="CT1228" s="163">
        <v>1327</v>
      </c>
      <c r="EC1228" s="344" t="str">
        <f t="shared" si="162"/>
        <v>ATLANTICO_DEPARTAMENTO</v>
      </c>
      <c r="ED1228" s="341"/>
      <c r="EE1228" s="341"/>
      <c r="EF1228" s="348"/>
      <c r="EG1228" s="341"/>
      <c r="EH1228" s="341"/>
      <c r="EI1228" s="341"/>
    </row>
    <row r="1229" spans="1:139" s="164" customFormat="1" ht="45">
      <c r="A1229" s="228">
        <v>40452</v>
      </c>
      <c r="B1229" s="205" t="s">
        <v>1314</v>
      </c>
      <c r="C1229" s="205" t="s">
        <v>2204</v>
      </c>
      <c r="D1229" s="207" t="s">
        <v>2606</v>
      </c>
      <c r="E1229" s="323" t="s">
        <v>3608</v>
      </c>
      <c r="F1229" s="323"/>
      <c r="G1229" s="204"/>
      <c r="H1229" s="151"/>
      <c r="I1229" s="151"/>
      <c r="J1229" s="151">
        <v>535</v>
      </c>
      <c r="K1229" s="151">
        <v>107</v>
      </c>
      <c r="L1229" s="1">
        <v>40514</v>
      </c>
      <c r="M1229" s="73">
        <f t="shared" si="164"/>
        <v>7845926.2200000007</v>
      </c>
      <c r="N1229" s="73">
        <f t="shared" si="160"/>
        <v>9094835.2200000007</v>
      </c>
      <c r="O1229" s="73">
        <f t="shared" si="163"/>
        <v>14999860</v>
      </c>
      <c r="P1229" s="73">
        <f t="shared" si="165"/>
        <v>0</v>
      </c>
      <c r="Q1229" s="73"/>
      <c r="R1229" s="73">
        <v>0</v>
      </c>
      <c r="S1229" s="75">
        <f t="shared" si="167"/>
        <v>31940621.440000001</v>
      </c>
      <c r="T1229" s="77">
        <v>0</v>
      </c>
      <c r="U1229" s="66">
        <v>40455</v>
      </c>
      <c r="V1229" s="79">
        <v>57277</v>
      </c>
      <c r="W1229" s="66" t="s">
        <v>1606</v>
      </c>
      <c r="X1229" s="24" t="s">
        <v>1607</v>
      </c>
      <c r="Y1229" s="62">
        <v>25682</v>
      </c>
      <c r="Z1229" s="169" t="s">
        <v>2580</v>
      </c>
      <c r="AA1229" s="166" t="s">
        <v>647</v>
      </c>
      <c r="AB1229" s="152"/>
      <c r="AC1229" s="153"/>
      <c r="AD1229" s="154"/>
      <c r="AE1229" s="153"/>
      <c r="AF1229" s="153"/>
      <c r="AG1229" s="153"/>
      <c r="AH1229" s="153"/>
      <c r="AI1229" s="153"/>
      <c r="AJ1229" s="153"/>
      <c r="AK1229" s="153"/>
      <c r="AL1229" s="153"/>
      <c r="AM1229" s="153"/>
      <c r="AN1229" s="153"/>
      <c r="AO1229" s="153"/>
      <c r="AP1229" s="153"/>
      <c r="AQ1229" s="153"/>
      <c r="AR1229" s="153"/>
      <c r="AS1229" s="153"/>
      <c r="AT1229" s="153"/>
      <c r="AU1229" s="153"/>
      <c r="AV1229" s="153"/>
      <c r="AW1229" s="153"/>
      <c r="AX1229" s="153"/>
      <c r="AY1229" s="153"/>
      <c r="AZ1229" s="153"/>
      <c r="BA1229" s="153"/>
      <c r="BB1229" s="153"/>
      <c r="BC1229" s="153"/>
      <c r="BD1229" s="153"/>
      <c r="BE1229" s="153"/>
      <c r="BF1229" s="153"/>
      <c r="BG1229" s="153"/>
      <c r="BH1229" s="153"/>
      <c r="BI1229" s="153"/>
      <c r="BJ1229" s="153"/>
      <c r="BK1229" s="153"/>
      <c r="BL1229" s="153"/>
      <c r="BM1229" s="153"/>
      <c r="BN1229" s="153"/>
      <c r="BO1229" s="153"/>
      <c r="BP1229" s="153"/>
      <c r="BQ1229" s="153"/>
      <c r="BR1229" s="153"/>
      <c r="BS1229" s="153"/>
      <c r="BT1229" s="153"/>
      <c r="BU1229" s="153"/>
      <c r="BV1229" s="153"/>
      <c r="BW1229" s="153"/>
      <c r="BX1229" s="153"/>
      <c r="BY1229" s="153"/>
      <c r="BZ1229" s="153"/>
      <c r="CA1229" s="153"/>
      <c r="CB1229" s="153"/>
      <c r="CC1229" s="153"/>
      <c r="CD1229" s="155">
        <v>107</v>
      </c>
      <c r="CE1229" s="156">
        <f>107*37999.86</f>
        <v>4065985.02</v>
      </c>
      <c r="CF1229" s="155">
        <v>105</v>
      </c>
      <c r="CG1229" s="156">
        <f>105*35999.44</f>
        <v>3779941.2</v>
      </c>
      <c r="CH1229" s="155"/>
      <c r="CI1229" s="156"/>
      <c r="CJ1229" s="157">
        <f t="shared" si="166"/>
        <v>7845926.2200000007</v>
      </c>
      <c r="CK1229" s="158"/>
      <c r="CL1229" s="159"/>
      <c r="CM1229" s="160">
        <v>107</v>
      </c>
      <c r="CN1229" s="161">
        <f>107*84998.46</f>
        <v>9094835.2200000007</v>
      </c>
      <c r="CO1229" s="162">
        <v>250</v>
      </c>
      <c r="CP1229" s="161">
        <f>250*19999.56</f>
        <v>4999890</v>
      </c>
      <c r="CQ1229" s="158">
        <v>500</v>
      </c>
      <c r="CR1229" s="159">
        <f>500*18999.98+2000*249.99</f>
        <v>9999970</v>
      </c>
      <c r="CS1229" s="68"/>
      <c r="CT1229" s="163"/>
      <c r="EC1229" s="344" t="str">
        <f t="shared" si="162"/>
        <v>CAUCA_PADILLA</v>
      </c>
      <c r="ED1229" s="341"/>
      <c r="EE1229" s="341"/>
      <c r="EF1229" s="348"/>
      <c r="EG1229" s="341"/>
      <c r="EH1229" s="341"/>
      <c r="EI1229" s="341"/>
    </row>
    <row r="1230" spans="1:139" s="164" customFormat="1" ht="45">
      <c r="A1230" s="228">
        <v>40452</v>
      </c>
      <c r="B1230" s="205" t="s">
        <v>1821</v>
      </c>
      <c r="C1230" s="205" t="s">
        <v>2246</v>
      </c>
      <c r="D1230" s="207" t="s">
        <v>1201</v>
      </c>
      <c r="E1230" s="323" t="s">
        <v>3636</v>
      </c>
      <c r="F1230" s="323"/>
      <c r="G1230" s="204"/>
      <c r="H1230" s="151"/>
      <c r="I1230" s="151"/>
      <c r="J1230" s="151">
        <v>420</v>
      </c>
      <c r="K1230" s="151">
        <v>84</v>
      </c>
      <c r="L1230" s="1">
        <v>40514</v>
      </c>
      <c r="M1230" s="73">
        <f t="shared" si="164"/>
        <v>9810000</v>
      </c>
      <c r="N1230" s="73">
        <f t="shared" ref="N1230:N1293" si="168">CN1230</f>
        <v>7650000</v>
      </c>
      <c r="O1230" s="73">
        <f t="shared" ref="O1230:O1261" si="169">CP1230+CR1230</f>
        <v>0</v>
      </c>
      <c r="P1230" s="73">
        <f t="shared" si="165"/>
        <v>0</v>
      </c>
      <c r="Q1230" s="73"/>
      <c r="R1230" s="73">
        <v>0</v>
      </c>
      <c r="S1230" s="75">
        <f t="shared" si="167"/>
        <v>17460000</v>
      </c>
      <c r="T1230" s="77">
        <v>0</v>
      </c>
      <c r="U1230" s="66">
        <v>40455</v>
      </c>
      <c r="V1230" s="79">
        <v>58953</v>
      </c>
      <c r="W1230" s="66" t="s">
        <v>1606</v>
      </c>
      <c r="X1230" s="24" t="s">
        <v>1607</v>
      </c>
      <c r="Y1230" s="62">
        <v>25690</v>
      </c>
      <c r="Z1230" s="177" t="s">
        <v>2580</v>
      </c>
      <c r="AA1230" s="166" t="s">
        <v>1657</v>
      </c>
      <c r="AB1230" s="152"/>
      <c r="AC1230" s="153"/>
      <c r="AD1230" s="154"/>
      <c r="AE1230" s="153"/>
      <c r="AF1230" s="153"/>
      <c r="AG1230" s="153"/>
      <c r="AH1230" s="153"/>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c r="BF1230" s="153"/>
      <c r="BG1230" s="153"/>
      <c r="BH1230" s="153"/>
      <c r="BI1230" s="153"/>
      <c r="BJ1230" s="153"/>
      <c r="BK1230" s="153"/>
      <c r="BL1230" s="153"/>
      <c r="BM1230" s="153"/>
      <c r="BN1230" s="153"/>
      <c r="BO1230" s="153"/>
      <c r="BP1230" s="153"/>
      <c r="BQ1230" s="153"/>
      <c r="BR1230" s="153"/>
      <c r="BS1230" s="153"/>
      <c r="BT1230" s="153"/>
      <c r="BU1230" s="153"/>
      <c r="BV1230" s="153"/>
      <c r="BW1230" s="153"/>
      <c r="BX1230" s="153"/>
      <c r="BY1230" s="153"/>
      <c r="BZ1230" s="153"/>
      <c r="CA1230" s="153"/>
      <c r="CB1230" s="153">
        <v>180</v>
      </c>
      <c r="CC1230" s="153">
        <f>+CB1230*18000</f>
        <v>3240000</v>
      </c>
      <c r="CD1230" s="155">
        <v>90</v>
      </c>
      <c r="CE1230" s="156">
        <f>90*37000</f>
        <v>3330000</v>
      </c>
      <c r="CF1230" s="155">
        <v>90</v>
      </c>
      <c r="CG1230" s="156">
        <f>90*36000</f>
        <v>3240000</v>
      </c>
      <c r="CH1230" s="155"/>
      <c r="CI1230" s="156"/>
      <c r="CJ1230" s="157">
        <f t="shared" si="166"/>
        <v>9810000</v>
      </c>
      <c r="CK1230" s="158"/>
      <c r="CL1230" s="159"/>
      <c r="CM1230" s="160">
        <v>90</v>
      </c>
      <c r="CN1230" s="161">
        <f>+CM1230*85000</f>
        <v>7650000</v>
      </c>
      <c r="CO1230" s="162"/>
      <c r="CP1230" s="161"/>
      <c r="CQ1230" s="158"/>
      <c r="CR1230" s="159"/>
      <c r="CS1230" s="68"/>
      <c r="CT1230" s="163"/>
      <c r="EC1230" s="344" t="str">
        <f t="shared" si="162"/>
        <v>CESAR_CURUMANI</v>
      </c>
      <c r="ED1230" s="341"/>
      <c r="EE1230" s="341"/>
      <c r="EF1230" s="348"/>
      <c r="EG1230" s="341"/>
      <c r="EH1230" s="341"/>
      <c r="EI1230" s="341"/>
    </row>
    <row r="1231" spans="1:139" s="164" customFormat="1" ht="38.25">
      <c r="A1231" s="228">
        <v>40452</v>
      </c>
      <c r="B1231" s="205" t="s">
        <v>1821</v>
      </c>
      <c r="C1231" s="205" t="s">
        <v>1605</v>
      </c>
      <c r="D1231" s="207" t="s">
        <v>1201</v>
      </c>
      <c r="E1231" s="323" t="s">
        <v>3134</v>
      </c>
      <c r="F1231" s="323"/>
      <c r="G1231" s="204"/>
      <c r="H1231" s="151"/>
      <c r="I1231" s="151"/>
      <c r="J1231" s="151"/>
      <c r="K1231" s="151"/>
      <c r="L1231" s="1">
        <v>40477</v>
      </c>
      <c r="M1231" s="73">
        <f t="shared" si="164"/>
        <v>0</v>
      </c>
      <c r="N1231" s="73">
        <f t="shared" si="168"/>
        <v>0</v>
      </c>
      <c r="O1231" s="73">
        <f t="shared" si="169"/>
        <v>0</v>
      </c>
      <c r="P1231" s="73">
        <f t="shared" si="165"/>
        <v>180032000</v>
      </c>
      <c r="Q1231" s="73"/>
      <c r="R1231" s="73">
        <v>0</v>
      </c>
      <c r="S1231" s="75">
        <f t="shared" si="167"/>
        <v>180032000</v>
      </c>
      <c r="T1231" s="77">
        <v>0</v>
      </c>
      <c r="U1231" s="66">
        <v>40452</v>
      </c>
      <c r="V1231" s="79">
        <v>56724</v>
      </c>
      <c r="W1231" s="66" t="s">
        <v>1606</v>
      </c>
      <c r="X1231" s="24" t="s">
        <v>1607</v>
      </c>
      <c r="Y1231" s="62">
        <v>22823</v>
      </c>
      <c r="Z1231" s="169" t="s">
        <v>1134</v>
      </c>
      <c r="AA1231" s="166" t="s">
        <v>1863</v>
      </c>
      <c r="AB1231" s="152"/>
      <c r="AC1231" s="153"/>
      <c r="AD1231" s="154"/>
      <c r="AE1231" s="153"/>
      <c r="AF1231" s="153"/>
      <c r="AG1231" s="153"/>
      <c r="AH1231" s="153"/>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c r="BF1231" s="153"/>
      <c r="BG1231" s="153"/>
      <c r="BH1231" s="153"/>
      <c r="BI1231" s="153"/>
      <c r="BJ1231" s="153"/>
      <c r="BK1231" s="153"/>
      <c r="BL1231" s="153"/>
      <c r="BM1231" s="153"/>
      <c r="BN1231" s="153"/>
      <c r="BO1231" s="153"/>
      <c r="BP1231" s="153"/>
      <c r="BQ1231" s="153"/>
      <c r="BR1231" s="153"/>
      <c r="BS1231" s="153"/>
      <c r="BT1231" s="153"/>
      <c r="BU1231" s="153"/>
      <c r="BV1231" s="153"/>
      <c r="BW1231" s="153"/>
      <c r="BX1231" s="153"/>
      <c r="BY1231" s="153"/>
      <c r="BZ1231" s="153"/>
      <c r="CA1231" s="153"/>
      <c r="CB1231" s="153"/>
      <c r="CC1231" s="153"/>
      <c r="CD1231" s="155"/>
      <c r="CE1231" s="156"/>
      <c r="CF1231" s="155"/>
      <c r="CG1231" s="156"/>
      <c r="CH1231" s="155"/>
      <c r="CI1231" s="156"/>
      <c r="CJ1231" s="157">
        <f t="shared" si="166"/>
        <v>0</v>
      </c>
      <c r="CK1231" s="158">
        <f>100000+100000</f>
        <v>200000</v>
      </c>
      <c r="CL1231" s="159">
        <f>100000*900.16+100000*900.16</f>
        <v>180032000</v>
      </c>
      <c r="CM1231" s="160"/>
      <c r="CN1231" s="161">
        <f>+CM1231*85000</f>
        <v>0</v>
      </c>
      <c r="CO1231" s="162"/>
      <c r="CP1231" s="161"/>
      <c r="CQ1231" s="158"/>
      <c r="CR1231" s="159"/>
      <c r="CS1231" s="68"/>
      <c r="CT1231" s="163"/>
      <c r="EC1231" s="344" t="str">
        <f t="shared" si="162"/>
        <v>CESAR_DEPARTAMENTO</v>
      </c>
      <c r="ED1231" s="341"/>
      <c r="EE1231" s="341"/>
      <c r="EF1231" s="348"/>
      <c r="EG1231" s="341"/>
      <c r="EH1231" s="341"/>
      <c r="EI1231" s="341"/>
    </row>
    <row r="1232" spans="1:139" s="164" customFormat="1" ht="36">
      <c r="A1232" s="228">
        <v>40452</v>
      </c>
      <c r="B1232" s="205" t="s">
        <v>1821</v>
      </c>
      <c r="C1232" s="205" t="s">
        <v>338</v>
      </c>
      <c r="D1232" s="206" t="s">
        <v>1878</v>
      </c>
      <c r="E1232" s="320" t="s">
        <v>3640</v>
      </c>
      <c r="F1232" s="320"/>
      <c r="G1232" s="204"/>
      <c r="H1232" s="151"/>
      <c r="I1232" s="151"/>
      <c r="J1232" s="151"/>
      <c r="K1232" s="151"/>
      <c r="L1232" s="1"/>
      <c r="M1232" s="73">
        <f t="shared" si="164"/>
        <v>0</v>
      </c>
      <c r="N1232" s="73">
        <f t="shared" si="168"/>
        <v>0</v>
      </c>
      <c r="O1232" s="73">
        <f t="shared" si="169"/>
        <v>0</v>
      </c>
      <c r="P1232" s="73">
        <f t="shared" si="165"/>
        <v>0</v>
      </c>
      <c r="Q1232" s="73"/>
      <c r="R1232" s="73">
        <v>0</v>
      </c>
      <c r="S1232" s="75">
        <f t="shared" si="167"/>
        <v>0</v>
      </c>
      <c r="T1232" s="77">
        <v>0</v>
      </c>
      <c r="U1232" s="66">
        <v>40455</v>
      </c>
      <c r="V1232" s="79"/>
      <c r="W1232" s="66" t="s">
        <v>1585</v>
      </c>
      <c r="X1232" s="24" t="s">
        <v>1586</v>
      </c>
      <c r="Y1232" s="62"/>
      <c r="Z1232" s="169" t="s">
        <v>894</v>
      </c>
      <c r="AA1232" s="166" t="s">
        <v>2194</v>
      </c>
      <c r="AB1232" s="152"/>
      <c r="AC1232" s="153"/>
      <c r="AD1232" s="154"/>
      <c r="AE1232" s="153"/>
      <c r="AF1232" s="153"/>
      <c r="AG1232" s="153"/>
      <c r="AH1232" s="153"/>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c r="BF1232" s="153"/>
      <c r="BG1232" s="153"/>
      <c r="BH1232" s="153"/>
      <c r="BI1232" s="153"/>
      <c r="BJ1232" s="153"/>
      <c r="BK1232" s="153"/>
      <c r="BL1232" s="153"/>
      <c r="BM1232" s="153"/>
      <c r="BN1232" s="153"/>
      <c r="BO1232" s="153"/>
      <c r="BP1232" s="153"/>
      <c r="BQ1232" s="153"/>
      <c r="BR1232" s="153"/>
      <c r="BS1232" s="153"/>
      <c r="BT1232" s="153"/>
      <c r="BU1232" s="153"/>
      <c r="BV1232" s="153"/>
      <c r="BW1232" s="153"/>
      <c r="BX1232" s="153"/>
      <c r="BY1232" s="153"/>
      <c r="BZ1232" s="153"/>
      <c r="CA1232" s="153"/>
      <c r="CB1232" s="153"/>
      <c r="CC1232" s="153"/>
      <c r="CD1232" s="155"/>
      <c r="CE1232" s="156"/>
      <c r="CF1232" s="155"/>
      <c r="CG1232" s="156"/>
      <c r="CH1232" s="155"/>
      <c r="CI1232" s="156"/>
      <c r="CJ1232" s="157">
        <f t="shared" si="166"/>
        <v>0</v>
      </c>
      <c r="CK1232" s="158"/>
      <c r="CL1232" s="159"/>
      <c r="CM1232" s="160"/>
      <c r="CN1232" s="161"/>
      <c r="CO1232" s="162"/>
      <c r="CP1232" s="161"/>
      <c r="CQ1232" s="158"/>
      <c r="CR1232" s="159"/>
      <c r="CS1232" s="68"/>
      <c r="CT1232" s="163"/>
      <c r="EC1232" s="344" t="str">
        <f t="shared" si="162"/>
        <v>CESAR_GONZALEZ</v>
      </c>
      <c r="ED1232" s="341"/>
      <c r="EE1232" s="341"/>
      <c r="EF1232" s="348"/>
      <c r="EG1232" s="341"/>
      <c r="EH1232" s="341"/>
      <c r="EI1232" s="341"/>
    </row>
    <row r="1233" spans="1:139" s="164" customFormat="1" ht="38.25">
      <c r="A1233" s="228">
        <v>40452</v>
      </c>
      <c r="B1233" s="205" t="s">
        <v>1821</v>
      </c>
      <c r="C1233" s="205" t="s">
        <v>1640</v>
      </c>
      <c r="D1233" s="207" t="s">
        <v>1201</v>
      </c>
      <c r="E1233" s="323" t="s">
        <v>3652</v>
      </c>
      <c r="F1233" s="323"/>
      <c r="G1233" s="204"/>
      <c r="H1233" s="151"/>
      <c r="I1233" s="151"/>
      <c r="J1233" s="151"/>
      <c r="K1233" s="151"/>
      <c r="L1233" s="1"/>
      <c r="M1233" s="73">
        <f t="shared" si="164"/>
        <v>0</v>
      </c>
      <c r="N1233" s="73">
        <f t="shared" si="168"/>
        <v>0</v>
      </c>
      <c r="O1233" s="73">
        <f t="shared" si="169"/>
        <v>0</v>
      </c>
      <c r="P1233" s="73">
        <f t="shared" si="165"/>
        <v>0</v>
      </c>
      <c r="Q1233" s="73"/>
      <c r="R1233" s="73">
        <v>0</v>
      </c>
      <c r="S1233" s="75">
        <f t="shared" si="167"/>
        <v>0</v>
      </c>
      <c r="T1233" s="77">
        <v>0</v>
      </c>
      <c r="U1233" s="66">
        <v>40455</v>
      </c>
      <c r="V1233" s="79"/>
      <c r="W1233" s="66" t="s">
        <v>1585</v>
      </c>
      <c r="X1233" s="24" t="s">
        <v>1586</v>
      </c>
      <c r="Y1233" s="62"/>
      <c r="Z1233" s="169" t="s">
        <v>894</v>
      </c>
      <c r="AA1233" s="166" t="s">
        <v>2193</v>
      </c>
      <c r="AB1233" s="152"/>
      <c r="AC1233" s="153"/>
      <c r="AD1233" s="154"/>
      <c r="AE1233" s="153"/>
      <c r="AF1233" s="153"/>
      <c r="AG1233" s="153"/>
      <c r="AH1233" s="153"/>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c r="BF1233" s="153"/>
      <c r="BG1233" s="153"/>
      <c r="BH1233" s="153"/>
      <c r="BI1233" s="153"/>
      <c r="BJ1233" s="153"/>
      <c r="BK1233" s="153"/>
      <c r="BL1233" s="153"/>
      <c r="BM1233" s="153"/>
      <c r="BN1233" s="153"/>
      <c r="BO1233" s="153"/>
      <c r="BP1233" s="153"/>
      <c r="BQ1233" s="153"/>
      <c r="BR1233" s="153"/>
      <c r="BS1233" s="153"/>
      <c r="BT1233" s="153"/>
      <c r="BU1233" s="153"/>
      <c r="BV1233" s="153"/>
      <c r="BW1233" s="153"/>
      <c r="BX1233" s="153"/>
      <c r="BY1233" s="153"/>
      <c r="BZ1233" s="153"/>
      <c r="CA1233" s="153"/>
      <c r="CB1233" s="153"/>
      <c r="CC1233" s="153"/>
      <c r="CD1233" s="155"/>
      <c r="CE1233" s="156"/>
      <c r="CF1233" s="155"/>
      <c r="CG1233" s="156"/>
      <c r="CH1233" s="155"/>
      <c r="CI1233" s="156"/>
      <c r="CJ1233" s="157">
        <f t="shared" si="166"/>
        <v>0</v>
      </c>
      <c r="CK1233" s="158"/>
      <c r="CL1233" s="159"/>
      <c r="CM1233" s="160"/>
      <c r="CN1233" s="161"/>
      <c r="CO1233" s="162"/>
      <c r="CP1233" s="161"/>
      <c r="CQ1233" s="158"/>
      <c r="CR1233" s="159"/>
      <c r="CS1233" s="68"/>
      <c r="CT1233" s="163"/>
      <c r="EC1233" s="344" t="str">
        <f t="shared" si="162"/>
        <v>CESAR_TAMALAMEQUE</v>
      </c>
      <c r="ED1233" s="341"/>
      <c r="EE1233" s="341"/>
      <c r="EF1233" s="348"/>
      <c r="EG1233" s="341"/>
      <c r="EH1233" s="341"/>
      <c r="EI1233" s="341"/>
    </row>
    <row r="1234" spans="1:139" s="164" customFormat="1" ht="38.25">
      <c r="A1234" s="228">
        <v>40452</v>
      </c>
      <c r="B1234" s="205" t="s">
        <v>1604</v>
      </c>
      <c r="C1234" s="205" t="s">
        <v>594</v>
      </c>
      <c r="D1234" s="207" t="s">
        <v>618</v>
      </c>
      <c r="E1234" s="323" t="s">
        <v>3725</v>
      </c>
      <c r="F1234" s="323"/>
      <c r="G1234" s="204"/>
      <c r="H1234" s="151"/>
      <c r="I1234" s="151"/>
      <c r="J1234" s="151">
        <v>70</v>
      </c>
      <c r="K1234" s="151">
        <f>27-13</f>
        <v>14</v>
      </c>
      <c r="L1234" s="1"/>
      <c r="M1234" s="73">
        <f t="shared" si="164"/>
        <v>0</v>
      </c>
      <c r="N1234" s="73">
        <f t="shared" si="168"/>
        <v>0</v>
      </c>
      <c r="O1234" s="73">
        <f t="shared" si="169"/>
        <v>0</v>
      </c>
      <c r="P1234" s="73">
        <f t="shared" si="165"/>
        <v>0</v>
      </c>
      <c r="Q1234" s="73"/>
      <c r="R1234" s="73">
        <v>0</v>
      </c>
      <c r="S1234" s="75">
        <f t="shared" si="167"/>
        <v>0</v>
      </c>
      <c r="T1234" s="77">
        <v>0</v>
      </c>
      <c r="U1234" s="66">
        <v>40455</v>
      </c>
      <c r="V1234" s="79"/>
      <c r="W1234" s="66" t="s">
        <v>1585</v>
      </c>
      <c r="X1234" s="24" t="s">
        <v>1586</v>
      </c>
      <c r="Y1234" s="62"/>
      <c r="Z1234" s="169" t="s">
        <v>894</v>
      </c>
      <c r="AA1234" s="166" t="s">
        <v>2202</v>
      </c>
      <c r="AB1234" s="152"/>
      <c r="AC1234" s="153"/>
      <c r="AD1234" s="154"/>
      <c r="AE1234" s="153"/>
      <c r="AF1234" s="153"/>
      <c r="AG1234" s="153"/>
      <c r="AH1234" s="153"/>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c r="BF1234" s="153"/>
      <c r="BG1234" s="153"/>
      <c r="BH1234" s="153"/>
      <c r="BI1234" s="153"/>
      <c r="BJ1234" s="153"/>
      <c r="BK1234" s="153"/>
      <c r="BL1234" s="153"/>
      <c r="BM1234" s="153"/>
      <c r="BN1234" s="153"/>
      <c r="BO1234" s="153"/>
      <c r="BP1234" s="153"/>
      <c r="BQ1234" s="153"/>
      <c r="BR1234" s="153"/>
      <c r="BS1234" s="153"/>
      <c r="BT1234" s="153"/>
      <c r="BU1234" s="153"/>
      <c r="BV1234" s="153"/>
      <c r="BW1234" s="153"/>
      <c r="BX1234" s="153"/>
      <c r="BY1234" s="153"/>
      <c r="BZ1234" s="153"/>
      <c r="CA1234" s="153"/>
      <c r="CB1234" s="153"/>
      <c r="CC1234" s="153"/>
      <c r="CD1234" s="155"/>
      <c r="CE1234" s="156"/>
      <c r="CF1234" s="155"/>
      <c r="CG1234" s="156"/>
      <c r="CH1234" s="155"/>
      <c r="CI1234" s="156"/>
      <c r="CJ1234" s="157">
        <f t="shared" si="166"/>
        <v>0</v>
      </c>
      <c r="CK1234" s="158"/>
      <c r="CL1234" s="159"/>
      <c r="CM1234" s="160"/>
      <c r="CN1234" s="161"/>
      <c r="CO1234" s="162"/>
      <c r="CP1234" s="161"/>
      <c r="CQ1234" s="158"/>
      <c r="CR1234" s="159"/>
      <c r="CS1234" s="68"/>
      <c r="CT1234" s="163"/>
      <c r="EC1234" s="344" t="str">
        <f t="shared" si="162"/>
        <v>CUNDINAMARCA_LA CALERA</v>
      </c>
      <c r="ED1234" s="341"/>
      <c r="EE1234" s="341"/>
      <c r="EF1234" s="348"/>
      <c r="EG1234" s="341"/>
      <c r="EH1234" s="341"/>
      <c r="EI1234" s="341"/>
    </row>
    <row r="1235" spans="1:139" s="164" customFormat="1" ht="38.25">
      <c r="A1235" s="228">
        <v>40452</v>
      </c>
      <c r="B1235" s="205" t="s">
        <v>1604</v>
      </c>
      <c r="C1235" s="205" t="s">
        <v>2210</v>
      </c>
      <c r="D1235" s="207" t="s">
        <v>1201</v>
      </c>
      <c r="E1235" s="323" t="s">
        <v>3778</v>
      </c>
      <c r="F1235" s="323"/>
      <c r="G1235" s="204"/>
      <c r="H1235" s="151"/>
      <c r="I1235" s="151"/>
      <c r="J1235" s="151">
        <v>5</v>
      </c>
      <c r="K1235" s="151">
        <v>1</v>
      </c>
      <c r="L1235" s="1"/>
      <c r="M1235" s="73">
        <f t="shared" si="164"/>
        <v>0</v>
      </c>
      <c r="N1235" s="73">
        <f t="shared" si="168"/>
        <v>0</v>
      </c>
      <c r="O1235" s="73">
        <f t="shared" si="169"/>
        <v>0</v>
      </c>
      <c r="P1235" s="73">
        <f t="shared" si="165"/>
        <v>0</v>
      </c>
      <c r="Q1235" s="73"/>
      <c r="R1235" s="73">
        <v>0</v>
      </c>
      <c r="S1235" s="75">
        <f t="shared" si="167"/>
        <v>0</v>
      </c>
      <c r="T1235" s="77">
        <v>0</v>
      </c>
      <c r="U1235" s="66">
        <v>40455</v>
      </c>
      <c r="V1235" s="79"/>
      <c r="W1235" s="66" t="s">
        <v>1585</v>
      </c>
      <c r="X1235" s="24" t="s">
        <v>1586</v>
      </c>
      <c r="Y1235" s="62"/>
      <c r="Z1235" s="169" t="s">
        <v>894</v>
      </c>
      <c r="AA1235" s="166" t="s">
        <v>2211</v>
      </c>
      <c r="AB1235" s="152"/>
      <c r="AC1235" s="153"/>
      <c r="AD1235" s="154"/>
      <c r="AE1235" s="153"/>
      <c r="AF1235" s="153"/>
      <c r="AG1235" s="153"/>
      <c r="AH1235" s="153"/>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c r="BF1235" s="153"/>
      <c r="BG1235" s="153"/>
      <c r="BH1235" s="153"/>
      <c r="BI1235" s="153"/>
      <c r="BJ1235" s="153"/>
      <c r="BK1235" s="153"/>
      <c r="BL1235" s="153"/>
      <c r="BM1235" s="153"/>
      <c r="BN1235" s="153"/>
      <c r="BO1235" s="153"/>
      <c r="BP1235" s="153"/>
      <c r="BQ1235" s="153"/>
      <c r="BR1235" s="153"/>
      <c r="BS1235" s="153"/>
      <c r="BT1235" s="153"/>
      <c r="BU1235" s="153"/>
      <c r="BV1235" s="153"/>
      <c r="BW1235" s="153"/>
      <c r="BX1235" s="153"/>
      <c r="BY1235" s="153"/>
      <c r="BZ1235" s="153"/>
      <c r="CA1235" s="153"/>
      <c r="CB1235" s="153"/>
      <c r="CC1235" s="153"/>
      <c r="CD1235" s="155"/>
      <c r="CE1235" s="156"/>
      <c r="CF1235" s="155"/>
      <c r="CG1235" s="156"/>
      <c r="CH1235" s="155"/>
      <c r="CI1235" s="156"/>
      <c r="CJ1235" s="157">
        <f t="shared" si="166"/>
        <v>0</v>
      </c>
      <c r="CK1235" s="158"/>
      <c r="CL1235" s="159"/>
      <c r="CM1235" s="160"/>
      <c r="CN1235" s="161"/>
      <c r="CO1235" s="162"/>
      <c r="CP1235" s="161"/>
      <c r="CQ1235" s="158"/>
      <c r="CR1235" s="159"/>
      <c r="CS1235" s="68"/>
      <c r="CT1235" s="163"/>
      <c r="EC1235" s="344" t="str">
        <f t="shared" si="162"/>
        <v>CUNDINAMARCA_TOCANCIPA</v>
      </c>
      <c r="ED1235" s="341"/>
      <c r="EE1235" s="341"/>
      <c r="EF1235" s="348"/>
      <c r="EG1235" s="341"/>
      <c r="EH1235" s="341"/>
      <c r="EI1235" s="341"/>
    </row>
    <row r="1236" spans="1:139" s="164" customFormat="1" ht="25.5">
      <c r="A1236" s="228">
        <v>40452</v>
      </c>
      <c r="B1236" s="205" t="s">
        <v>1611</v>
      </c>
      <c r="C1236" s="205" t="s">
        <v>1611</v>
      </c>
      <c r="D1236" s="207" t="s">
        <v>1201</v>
      </c>
      <c r="E1236" s="323" t="e">
        <v>#N/A</v>
      </c>
      <c r="F1236" s="323"/>
      <c r="G1236" s="204"/>
      <c r="H1236" s="151"/>
      <c r="I1236" s="151"/>
      <c r="J1236" s="151"/>
      <c r="K1236" s="151"/>
      <c r="L1236" s="1"/>
      <c r="M1236" s="73">
        <f t="shared" si="164"/>
        <v>0</v>
      </c>
      <c r="N1236" s="73">
        <f t="shared" si="168"/>
        <v>0</v>
      </c>
      <c r="O1236" s="73">
        <f t="shared" si="169"/>
        <v>0</v>
      </c>
      <c r="P1236" s="73">
        <f t="shared" si="165"/>
        <v>0</v>
      </c>
      <c r="Q1236" s="73">
        <f>500*24800</f>
        <v>12400000</v>
      </c>
      <c r="R1236" s="73">
        <v>0</v>
      </c>
      <c r="S1236" s="75">
        <f t="shared" si="167"/>
        <v>12400000</v>
      </c>
      <c r="T1236" s="77">
        <v>0</v>
      </c>
      <c r="U1236" s="66">
        <v>40454</v>
      </c>
      <c r="V1236" s="79">
        <v>51970</v>
      </c>
      <c r="W1236" s="66" t="s">
        <v>1606</v>
      </c>
      <c r="X1236" s="24" t="s">
        <v>1607</v>
      </c>
      <c r="Y1236" s="62">
        <v>23530</v>
      </c>
      <c r="Z1236" s="169" t="s">
        <v>1795</v>
      </c>
      <c r="AA1236" s="170" t="s">
        <v>2562</v>
      </c>
      <c r="AB1236" s="152"/>
      <c r="AC1236" s="153"/>
      <c r="AD1236" s="154"/>
      <c r="AE1236" s="153"/>
      <c r="AF1236" s="153"/>
      <c r="AG1236" s="153"/>
      <c r="AH1236" s="153"/>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c r="BF1236" s="153"/>
      <c r="BG1236" s="153"/>
      <c r="BH1236" s="153"/>
      <c r="BI1236" s="153"/>
      <c r="BJ1236" s="153"/>
      <c r="BK1236" s="153"/>
      <c r="BL1236" s="153"/>
      <c r="BM1236" s="153"/>
      <c r="BN1236" s="153"/>
      <c r="BO1236" s="153"/>
      <c r="BP1236" s="153"/>
      <c r="BQ1236" s="153"/>
      <c r="BR1236" s="153"/>
      <c r="BS1236" s="153"/>
      <c r="BT1236" s="153"/>
      <c r="BU1236" s="153"/>
      <c r="BV1236" s="153"/>
      <c r="BW1236" s="153"/>
      <c r="BX1236" s="153"/>
      <c r="BY1236" s="153"/>
      <c r="BZ1236" s="153"/>
      <c r="CA1236" s="153"/>
      <c r="CB1236" s="153"/>
      <c r="CC1236" s="153"/>
      <c r="CD1236" s="155"/>
      <c r="CE1236" s="156"/>
      <c r="CF1236" s="155"/>
      <c r="CG1236" s="156"/>
      <c r="CH1236" s="155"/>
      <c r="CI1236" s="156"/>
      <c r="CJ1236" s="157">
        <f t="shared" si="166"/>
        <v>0</v>
      </c>
      <c r="CK1236" s="158"/>
      <c r="CL1236" s="159"/>
      <c r="CM1236" s="160"/>
      <c r="CN1236" s="161"/>
      <c r="CO1236" s="162"/>
      <c r="CP1236" s="161"/>
      <c r="CQ1236" s="158"/>
      <c r="CR1236" s="159"/>
      <c r="CS1236" s="68"/>
      <c r="CT1236" s="163"/>
      <c r="EC1236" s="344" t="str">
        <f t="shared" si="162"/>
        <v>NACION_NACION</v>
      </c>
      <c r="ED1236" s="341"/>
      <c r="EE1236" s="341"/>
      <c r="EF1236" s="348"/>
      <c r="EG1236" s="341"/>
      <c r="EH1236" s="341"/>
      <c r="EI1236" s="341"/>
    </row>
    <row r="1237" spans="1:139" s="164" customFormat="1" ht="38.25">
      <c r="A1237" s="228">
        <v>40452</v>
      </c>
      <c r="B1237" s="205" t="s">
        <v>965</v>
      </c>
      <c r="C1237" s="205" t="s">
        <v>1327</v>
      </c>
      <c r="D1237" s="207" t="s">
        <v>1316</v>
      </c>
      <c r="E1237" s="323" t="s">
        <v>3998</v>
      </c>
      <c r="F1237" s="323"/>
      <c r="G1237" s="204"/>
      <c r="H1237" s="151"/>
      <c r="I1237" s="151"/>
      <c r="J1237" s="151">
        <v>10</v>
      </c>
      <c r="K1237" s="151">
        <v>2</v>
      </c>
      <c r="L1237" s="1"/>
      <c r="M1237" s="73">
        <f t="shared" si="164"/>
        <v>0</v>
      </c>
      <c r="N1237" s="73">
        <f t="shared" si="168"/>
        <v>0</v>
      </c>
      <c r="O1237" s="73">
        <f t="shared" si="169"/>
        <v>0</v>
      </c>
      <c r="P1237" s="73">
        <f t="shared" si="165"/>
        <v>0</v>
      </c>
      <c r="Q1237" s="73"/>
      <c r="R1237" s="73">
        <v>0</v>
      </c>
      <c r="S1237" s="75">
        <f t="shared" si="167"/>
        <v>0</v>
      </c>
      <c r="T1237" s="77">
        <v>0</v>
      </c>
      <c r="U1237" s="66">
        <v>40455</v>
      </c>
      <c r="V1237" s="79"/>
      <c r="W1237" s="66" t="s">
        <v>1585</v>
      </c>
      <c r="X1237" s="24" t="s">
        <v>1586</v>
      </c>
      <c r="Y1237" s="62"/>
      <c r="Z1237" s="169" t="s">
        <v>894</v>
      </c>
      <c r="AA1237" s="166" t="s">
        <v>2200</v>
      </c>
      <c r="AB1237" s="152"/>
      <c r="AC1237" s="153"/>
      <c r="AD1237" s="154"/>
      <c r="AE1237" s="153"/>
      <c r="AF1237" s="153"/>
      <c r="AG1237" s="153"/>
      <c r="AH1237" s="153"/>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c r="BF1237" s="153"/>
      <c r="BG1237" s="153"/>
      <c r="BH1237" s="153"/>
      <c r="BI1237" s="153"/>
      <c r="BJ1237" s="153"/>
      <c r="BK1237" s="153"/>
      <c r="BL1237" s="153"/>
      <c r="BM1237" s="153"/>
      <c r="BN1237" s="153"/>
      <c r="BO1237" s="153"/>
      <c r="BP1237" s="153"/>
      <c r="BQ1237" s="153"/>
      <c r="BR1237" s="153"/>
      <c r="BS1237" s="153"/>
      <c r="BT1237" s="153"/>
      <c r="BU1237" s="153"/>
      <c r="BV1237" s="153"/>
      <c r="BW1237" s="153"/>
      <c r="BX1237" s="153"/>
      <c r="BY1237" s="153"/>
      <c r="BZ1237" s="153"/>
      <c r="CA1237" s="153"/>
      <c r="CB1237" s="153"/>
      <c r="CC1237" s="153"/>
      <c r="CD1237" s="155"/>
      <c r="CE1237" s="156"/>
      <c r="CF1237" s="155"/>
      <c r="CG1237" s="156"/>
      <c r="CH1237" s="155"/>
      <c r="CI1237" s="156"/>
      <c r="CJ1237" s="157">
        <f t="shared" si="166"/>
        <v>0</v>
      </c>
      <c r="CK1237" s="158"/>
      <c r="CL1237" s="159"/>
      <c r="CM1237" s="160"/>
      <c r="CN1237" s="161"/>
      <c r="CO1237" s="162"/>
      <c r="CP1237" s="161"/>
      <c r="CQ1237" s="158"/>
      <c r="CR1237" s="159"/>
      <c r="CS1237" s="68"/>
      <c r="CT1237" s="163"/>
      <c r="EC1237" s="344" t="str">
        <f t="shared" si="162"/>
        <v>NORTE DE SANTANDER_CUCUTA</v>
      </c>
      <c r="ED1237" s="341"/>
      <c r="EE1237" s="341"/>
      <c r="EF1237" s="348"/>
      <c r="EG1237" s="341"/>
      <c r="EH1237" s="341"/>
      <c r="EI1237" s="341"/>
    </row>
    <row r="1238" spans="1:139" s="164" customFormat="1" ht="38.25">
      <c r="A1238" s="228">
        <v>40452</v>
      </c>
      <c r="B1238" s="205" t="s">
        <v>965</v>
      </c>
      <c r="C1238" s="205" t="s">
        <v>1787</v>
      </c>
      <c r="D1238" s="206" t="s">
        <v>1878</v>
      </c>
      <c r="E1238" s="320" t="s">
        <v>4015</v>
      </c>
      <c r="F1238" s="320"/>
      <c r="G1238" s="204"/>
      <c r="H1238" s="151"/>
      <c r="I1238" s="151"/>
      <c r="J1238" s="151">
        <v>20</v>
      </c>
      <c r="K1238" s="151">
        <v>4</v>
      </c>
      <c r="L1238" s="1"/>
      <c r="M1238" s="73">
        <f t="shared" si="164"/>
        <v>0</v>
      </c>
      <c r="N1238" s="73">
        <f t="shared" si="168"/>
        <v>0</v>
      </c>
      <c r="O1238" s="73">
        <f t="shared" si="169"/>
        <v>0</v>
      </c>
      <c r="P1238" s="73">
        <f t="shared" si="165"/>
        <v>0</v>
      </c>
      <c r="Q1238" s="73"/>
      <c r="R1238" s="73">
        <v>0</v>
      </c>
      <c r="S1238" s="75">
        <f t="shared" si="167"/>
        <v>0</v>
      </c>
      <c r="T1238" s="77">
        <v>0</v>
      </c>
      <c r="U1238" s="66">
        <v>40455</v>
      </c>
      <c r="V1238" s="79"/>
      <c r="W1238" s="66" t="s">
        <v>1585</v>
      </c>
      <c r="X1238" s="24" t="s">
        <v>1586</v>
      </c>
      <c r="Y1238" s="62"/>
      <c r="Z1238" s="169" t="s">
        <v>894</v>
      </c>
      <c r="AA1238" s="166" t="s">
        <v>2201</v>
      </c>
      <c r="AB1238" s="152"/>
      <c r="AC1238" s="153"/>
      <c r="AD1238" s="154"/>
      <c r="AE1238" s="153"/>
      <c r="AF1238" s="153"/>
      <c r="AG1238" s="153"/>
      <c r="AH1238" s="153"/>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c r="BF1238" s="153"/>
      <c r="BG1238" s="153"/>
      <c r="BH1238" s="153"/>
      <c r="BI1238" s="153"/>
      <c r="BJ1238" s="153"/>
      <c r="BK1238" s="153"/>
      <c r="BL1238" s="153"/>
      <c r="BM1238" s="153"/>
      <c r="BN1238" s="153"/>
      <c r="BO1238" s="153"/>
      <c r="BP1238" s="153"/>
      <c r="BQ1238" s="153"/>
      <c r="BR1238" s="153"/>
      <c r="BS1238" s="153"/>
      <c r="BT1238" s="153"/>
      <c r="BU1238" s="153"/>
      <c r="BV1238" s="153"/>
      <c r="BW1238" s="153"/>
      <c r="BX1238" s="153"/>
      <c r="BY1238" s="153"/>
      <c r="BZ1238" s="153"/>
      <c r="CA1238" s="153"/>
      <c r="CB1238" s="153"/>
      <c r="CC1238" s="153"/>
      <c r="CD1238" s="155"/>
      <c r="CE1238" s="156"/>
      <c r="CF1238" s="155"/>
      <c r="CG1238" s="156"/>
      <c r="CH1238" s="155"/>
      <c r="CI1238" s="156"/>
      <c r="CJ1238" s="157">
        <f t="shared" si="166"/>
        <v>0</v>
      </c>
      <c r="CK1238" s="158"/>
      <c r="CL1238" s="159"/>
      <c r="CM1238" s="160"/>
      <c r="CN1238" s="161"/>
      <c r="CO1238" s="162"/>
      <c r="CP1238" s="161"/>
      <c r="CQ1238" s="158"/>
      <c r="CR1238" s="159"/>
      <c r="CS1238" s="68"/>
      <c r="CT1238" s="163"/>
      <c r="EC1238" s="344" t="str">
        <f t="shared" ref="EC1238:EC1301" si="170">B1238&amp;"_"&amp;C1238</f>
        <v>NORTE DE SANTANDER_HERRAN</v>
      </c>
      <c r="ED1238" s="341"/>
      <c r="EE1238" s="341"/>
      <c r="EF1238" s="348"/>
      <c r="EG1238" s="341"/>
      <c r="EH1238" s="341"/>
      <c r="EI1238" s="341"/>
    </row>
    <row r="1239" spans="1:139" s="164" customFormat="1" ht="25.5">
      <c r="A1239" s="228">
        <v>40452</v>
      </c>
      <c r="B1239" s="205" t="s">
        <v>1998</v>
      </c>
      <c r="C1239" s="205" t="s">
        <v>296</v>
      </c>
      <c r="D1239" s="207" t="s">
        <v>1878</v>
      </c>
      <c r="E1239" s="323" t="s">
        <v>4066</v>
      </c>
      <c r="F1239" s="323"/>
      <c r="G1239" s="263"/>
      <c r="H1239" s="151"/>
      <c r="I1239" s="151"/>
      <c r="J1239" s="151">
        <v>510</v>
      </c>
      <c r="K1239" s="151">
        <v>162</v>
      </c>
      <c r="L1239" s="1"/>
      <c r="M1239" s="73">
        <f t="shared" si="164"/>
        <v>0</v>
      </c>
      <c r="N1239" s="73">
        <f t="shared" si="168"/>
        <v>0</v>
      </c>
      <c r="O1239" s="73">
        <f t="shared" si="169"/>
        <v>0</v>
      </c>
      <c r="P1239" s="73">
        <f t="shared" si="165"/>
        <v>0</v>
      </c>
      <c r="Q1239" s="73"/>
      <c r="R1239" s="73">
        <v>0</v>
      </c>
      <c r="S1239" s="75">
        <f t="shared" si="167"/>
        <v>0</v>
      </c>
      <c r="T1239" s="77">
        <v>0</v>
      </c>
      <c r="U1239" s="66">
        <v>40465</v>
      </c>
      <c r="V1239" s="79"/>
      <c r="W1239" s="66" t="s">
        <v>1606</v>
      </c>
      <c r="X1239" s="24" t="s">
        <v>1607</v>
      </c>
      <c r="Y1239" s="62"/>
      <c r="Z1239" s="176" t="s">
        <v>2279</v>
      </c>
      <c r="AA1239" s="166" t="s">
        <v>2255</v>
      </c>
      <c r="AB1239" s="152"/>
      <c r="AC1239" s="153"/>
      <c r="AD1239" s="154"/>
      <c r="AE1239" s="153"/>
      <c r="AF1239" s="153"/>
      <c r="AG1239" s="153"/>
      <c r="AH1239" s="153"/>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c r="BF1239" s="153"/>
      <c r="BG1239" s="153"/>
      <c r="BH1239" s="153"/>
      <c r="BI1239" s="153"/>
      <c r="BJ1239" s="153"/>
      <c r="BK1239" s="153"/>
      <c r="BL1239" s="153"/>
      <c r="BM1239" s="153"/>
      <c r="BN1239" s="153"/>
      <c r="BO1239" s="153"/>
      <c r="BP1239" s="153"/>
      <c r="BQ1239" s="153"/>
      <c r="BR1239" s="153"/>
      <c r="BS1239" s="153"/>
      <c r="BT1239" s="153"/>
      <c r="BU1239" s="153"/>
      <c r="BV1239" s="153"/>
      <c r="BW1239" s="153"/>
      <c r="BX1239" s="153"/>
      <c r="BY1239" s="153"/>
      <c r="BZ1239" s="153"/>
      <c r="CA1239" s="153"/>
      <c r="CB1239" s="153"/>
      <c r="CC1239" s="153"/>
      <c r="CD1239" s="155"/>
      <c r="CE1239" s="156"/>
      <c r="CF1239" s="155"/>
      <c r="CG1239" s="156"/>
      <c r="CH1239" s="155"/>
      <c r="CI1239" s="156"/>
      <c r="CJ1239" s="157">
        <f t="shared" si="166"/>
        <v>0</v>
      </c>
      <c r="CK1239" s="158"/>
      <c r="CL1239" s="159"/>
      <c r="CM1239" s="160"/>
      <c r="CN1239" s="161"/>
      <c r="CO1239" s="162"/>
      <c r="CP1239" s="161"/>
      <c r="CQ1239" s="158"/>
      <c r="CR1239" s="159"/>
      <c r="CS1239" s="68"/>
      <c r="CT1239" s="163"/>
      <c r="EC1239" s="344" t="str">
        <f t="shared" si="170"/>
        <v>SANTANDER_ALBANIA</v>
      </c>
      <c r="ED1239" s="341"/>
      <c r="EE1239" s="341"/>
      <c r="EF1239" s="348"/>
      <c r="EG1239" s="341"/>
      <c r="EH1239" s="341"/>
      <c r="EI1239" s="341"/>
    </row>
    <row r="1240" spans="1:139" s="164" customFormat="1" ht="38.25">
      <c r="A1240" s="228">
        <v>40452</v>
      </c>
      <c r="B1240" s="205" t="s">
        <v>1998</v>
      </c>
      <c r="C1240" s="205" t="s">
        <v>1387</v>
      </c>
      <c r="D1240" s="207" t="s">
        <v>1878</v>
      </c>
      <c r="E1240" s="323" t="s">
        <v>4067</v>
      </c>
      <c r="F1240" s="323"/>
      <c r="G1240" s="263"/>
      <c r="H1240" s="151"/>
      <c r="I1240" s="151"/>
      <c r="J1240" s="151">
        <f>25*5</f>
        <v>125</v>
      </c>
      <c r="K1240" s="151">
        <v>25</v>
      </c>
      <c r="L1240" s="1"/>
      <c r="M1240" s="73">
        <f t="shared" si="164"/>
        <v>0</v>
      </c>
      <c r="N1240" s="73">
        <f t="shared" si="168"/>
        <v>0</v>
      </c>
      <c r="O1240" s="73">
        <f t="shared" si="169"/>
        <v>0</v>
      </c>
      <c r="P1240" s="73">
        <f t="shared" si="165"/>
        <v>0</v>
      </c>
      <c r="Q1240" s="73"/>
      <c r="R1240" s="73">
        <v>0</v>
      </c>
      <c r="S1240" s="75">
        <f t="shared" si="167"/>
        <v>0</v>
      </c>
      <c r="T1240" s="77">
        <v>0</v>
      </c>
      <c r="U1240" s="66"/>
      <c r="V1240" s="79"/>
      <c r="W1240" s="66" t="s">
        <v>1606</v>
      </c>
      <c r="X1240" s="24" t="s">
        <v>1607</v>
      </c>
      <c r="Y1240" s="62"/>
      <c r="Z1240" s="176" t="s">
        <v>2279</v>
      </c>
      <c r="AA1240" s="166" t="s">
        <v>647</v>
      </c>
      <c r="AB1240" s="152"/>
      <c r="AC1240" s="153"/>
      <c r="AD1240" s="154"/>
      <c r="AE1240" s="153"/>
      <c r="AF1240" s="153"/>
      <c r="AG1240" s="153"/>
      <c r="AH1240" s="153"/>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c r="BF1240" s="153"/>
      <c r="BG1240" s="153"/>
      <c r="BH1240" s="153"/>
      <c r="BI1240" s="153"/>
      <c r="BJ1240" s="153"/>
      <c r="BK1240" s="153"/>
      <c r="BL1240" s="153"/>
      <c r="BM1240" s="153"/>
      <c r="BN1240" s="153"/>
      <c r="BO1240" s="153"/>
      <c r="BP1240" s="153"/>
      <c r="BQ1240" s="153"/>
      <c r="BR1240" s="153"/>
      <c r="BS1240" s="153"/>
      <c r="BT1240" s="153"/>
      <c r="BU1240" s="153"/>
      <c r="BV1240" s="153"/>
      <c r="BW1240" s="153"/>
      <c r="BX1240" s="153"/>
      <c r="BY1240" s="153"/>
      <c r="BZ1240" s="153"/>
      <c r="CA1240" s="153"/>
      <c r="CB1240" s="153"/>
      <c r="CC1240" s="153"/>
      <c r="CD1240" s="155"/>
      <c r="CE1240" s="156"/>
      <c r="CF1240" s="155"/>
      <c r="CG1240" s="156"/>
      <c r="CH1240" s="155"/>
      <c r="CI1240" s="156"/>
      <c r="CJ1240" s="157">
        <f t="shared" si="166"/>
        <v>0</v>
      </c>
      <c r="CK1240" s="158"/>
      <c r="CL1240" s="159"/>
      <c r="CM1240" s="160"/>
      <c r="CN1240" s="161"/>
      <c r="CO1240" s="162"/>
      <c r="CP1240" s="161"/>
      <c r="CQ1240" s="158"/>
      <c r="CR1240" s="159"/>
      <c r="CS1240" s="68"/>
      <c r="CT1240" s="163"/>
      <c r="EC1240" s="344" t="str">
        <f t="shared" si="170"/>
        <v>SANTANDER_ARATOCA</v>
      </c>
      <c r="ED1240" s="341"/>
      <c r="EE1240" s="341"/>
      <c r="EF1240" s="348"/>
      <c r="EG1240" s="341"/>
      <c r="EH1240" s="341"/>
      <c r="EI1240" s="341"/>
    </row>
    <row r="1241" spans="1:139" s="164" customFormat="1" ht="38.25">
      <c r="A1241" s="228">
        <v>40452</v>
      </c>
      <c r="B1241" s="205" t="s">
        <v>1998</v>
      </c>
      <c r="C1241" s="205" t="s">
        <v>2251</v>
      </c>
      <c r="D1241" s="207" t="s">
        <v>1878</v>
      </c>
      <c r="E1241" s="323" t="s">
        <v>4068</v>
      </c>
      <c r="F1241" s="323"/>
      <c r="G1241" s="263"/>
      <c r="H1241" s="151"/>
      <c r="I1241" s="151"/>
      <c r="J1241" s="151">
        <v>384</v>
      </c>
      <c r="K1241" s="151">
        <v>96</v>
      </c>
      <c r="L1241" s="1"/>
      <c r="M1241" s="73">
        <f t="shared" si="164"/>
        <v>0</v>
      </c>
      <c r="N1241" s="73">
        <f t="shared" si="168"/>
        <v>0</v>
      </c>
      <c r="O1241" s="73">
        <f t="shared" si="169"/>
        <v>0</v>
      </c>
      <c r="P1241" s="73">
        <f t="shared" si="165"/>
        <v>0</v>
      </c>
      <c r="Q1241" s="73"/>
      <c r="R1241" s="73">
        <v>0</v>
      </c>
      <c r="S1241" s="75">
        <f t="shared" si="167"/>
        <v>0</v>
      </c>
      <c r="T1241" s="77">
        <v>0</v>
      </c>
      <c r="U1241" s="66"/>
      <c r="V1241" s="79"/>
      <c r="W1241" s="66" t="s">
        <v>1606</v>
      </c>
      <c r="X1241" s="24" t="s">
        <v>1607</v>
      </c>
      <c r="Y1241" s="62"/>
      <c r="Z1241" s="176" t="s">
        <v>2279</v>
      </c>
      <c r="AA1241" s="166" t="s">
        <v>647</v>
      </c>
      <c r="AB1241" s="152"/>
      <c r="AC1241" s="153"/>
      <c r="AD1241" s="154"/>
      <c r="AE1241" s="153"/>
      <c r="AF1241" s="153"/>
      <c r="AG1241" s="153"/>
      <c r="AH1241" s="153"/>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c r="BF1241" s="153"/>
      <c r="BG1241" s="153"/>
      <c r="BH1241" s="153"/>
      <c r="BI1241" s="153"/>
      <c r="BJ1241" s="153"/>
      <c r="BK1241" s="153"/>
      <c r="BL1241" s="153"/>
      <c r="BM1241" s="153"/>
      <c r="BN1241" s="153"/>
      <c r="BO1241" s="153"/>
      <c r="BP1241" s="153"/>
      <c r="BQ1241" s="153"/>
      <c r="BR1241" s="153"/>
      <c r="BS1241" s="153"/>
      <c r="BT1241" s="153"/>
      <c r="BU1241" s="153"/>
      <c r="BV1241" s="153"/>
      <c r="BW1241" s="153"/>
      <c r="BX1241" s="153"/>
      <c r="BY1241" s="153"/>
      <c r="BZ1241" s="153"/>
      <c r="CA1241" s="153"/>
      <c r="CB1241" s="153"/>
      <c r="CC1241" s="153"/>
      <c r="CD1241" s="155"/>
      <c r="CE1241" s="156"/>
      <c r="CF1241" s="155"/>
      <c r="CG1241" s="156"/>
      <c r="CH1241" s="155"/>
      <c r="CI1241" s="156"/>
      <c r="CJ1241" s="157">
        <f t="shared" si="166"/>
        <v>0</v>
      </c>
      <c r="CK1241" s="158"/>
      <c r="CL1241" s="159"/>
      <c r="CM1241" s="160"/>
      <c r="CN1241" s="161"/>
      <c r="CO1241" s="162"/>
      <c r="CP1241" s="161"/>
      <c r="CQ1241" s="158"/>
      <c r="CR1241" s="159"/>
      <c r="CS1241" s="68"/>
      <c r="CT1241" s="163"/>
      <c r="EC1241" s="344" t="str">
        <f t="shared" si="170"/>
        <v>SANTANDER_BARBOSA</v>
      </c>
      <c r="ED1241" s="341"/>
      <c r="EE1241" s="341"/>
      <c r="EF1241" s="348"/>
      <c r="EG1241" s="341"/>
      <c r="EH1241" s="341"/>
      <c r="EI1241" s="341"/>
    </row>
    <row r="1242" spans="1:139" s="164" customFormat="1" ht="72">
      <c r="A1242" s="228">
        <v>40452</v>
      </c>
      <c r="B1242" s="205" t="s">
        <v>1998</v>
      </c>
      <c r="C1242" s="205" t="s">
        <v>2252</v>
      </c>
      <c r="D1242" s="207" t="s">
        <v>1878</v>
      </c>
      <c r="E1242" s="323" t="s">
        <v>4077</v>
      </c>
      <c r="F1242" s="323"/>
      <c r="G1242" s="263"/>
      <c r="H1242" s="151"/>
      <c r="I1242" s="151"/>
      <c r="J1242" s="151">
        <v>444</v>
      </c>
      <c r="K1242" s="151">
        <v>110</v>
      </c>
      <c r="L1242" s="1"/>
      <c r="M1242" s="73">
        <f t="shared" si="164"/>
        <v>0</v>
      </c>
      <c r="N1242" s="73">
        <f t="shared" si="168"/>
        <v>0</v>
      </c>
      <c r="O1242" s="73">
        <f t="shared" si="169"/>
        <v>0</v>
      </c>
      <c r="P1242" s="73">
        <f t="shared" si="165"/>
        <v>0</v>
      </c>
      <c r="Q1242" s="73"/>
      <c r="R1242" s="73">
        <v>0</v>
      </c>
      <c r="S1242" s="75">
        <f t="shared" si="167"/>
        <v>0</v>
      </c>
      <c r="T1242" s="77">
        <v>0</v>
      </c>
      <c r="U1242" s="66"/>
      <c r="V1242" s="79"/>
      <c r="W1242" s="66" t="s">
        <v>1606</v>
      </c>
      <c r="X1242" s="24" t="s">
        <v>1607</v>
      </c>
      <c r="Y1242" s="62"/>
      <c r="Z1242" s="176" t="s">
        <v>2279</v>
      </c>
      <c r="AA1242" s="166" t="s">
        <v>482</v>
      </c>
      <c r="AB1242" s="152"/>
      <c r="AC1242" s="153"/>
      <c r="AD1242" s="154"/>
      <c r="AE1242" s="153"/>
      <c r="AF1242" s="153"/>
      <c r="AG1242" s="153"/>
      <c r="AH1242" s="153"/>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c r="BF1242" s="153"/>
      <c r="BG1242" s="153"/>
      <c r="BH1242" s="153"/>
      <c r="BI1242" s="153"/>
      <c r="BJ1242" s="153"/>
      <c r="BK1242" s="153"/>
      <c r="BL1242" s="153"/>
      <c r="BM1242" s="153"/>
      <c r="BN1242" s="153"/>
      <c r="BO1242" s="153"/>
      <c r="BP1242" s="153"/>
      <c r="BQ1242" s="153"/>
      <c r="BR1242" s="153"/>
      <c r="BS1242" s="153"/>
      <c r="BT1242" s="153"/>
      <c r="BU1242" s="153"/>
      <c r="BV1242" s="153"/>
      <c r="BW1242" s="153"/>
      <c r="BX1242" s="153"/>
      <c r="BY1242" s="153"/>
      <c r="BZ1242" s="153"/>
      <c r="CA1242" s="153"/>
      <c r="CB1242" s="153"/>
      <c r="CC1242" s="153"/>
      <c r="CD1242" s="155"/>
      <c r="CE1242" s="156"/>
      <c r="CF1242" s="155"/>
      <c r="CG1242" s="156"/>
      <c r="CH1242" s="155"/>
      <c r="CI1242" s="156"/>
      <c r="CJ1242" s="157">
        <f t="shared" si="166"/>
        <v>0</v>
      </c>
      <c r="CK1242" s="158"/>
      <c r="CL1242" s="159"/>
      <c r="CM1242" s="160"/>
      <c r="CN1242" s="161"/>
      <c r="CO1242" s="162"/>
      <c r="CP1242" s="161"/>
      <c r="CQ1242" s="158"/>
      <c r="CR1242" s="159"/>
      <c r="CS1242" s="68"/>
      <c r="CT1242" s="163"/>
      <c r="EC1242" s="344" t="str">
        <f t="shared" si="170"/>
        <v>SANTANDER_CEPITA</v>
      </c>
      <c r="ED1242" s="341"/>
      <c r="EE1242" s="341"/>
      <c r="EF1242" s="348"/>
      <c r="EG1242" s="341"/>
      <c r="EH1242" s="341"/>
      <c r="EI1242" s="341"/>
    </row>
    <row r="1243" spans="1:139" s="164" customFormat="1" ht="38.25">
      <c r="A1243" s="228">
        <v>40452</v>
      </c>
      <c r="B1243" s="205" t="s">
        <v>1998</v>
      </c>
      <c r="C1243" s="205" t="s">
        <v>2253</v>
      </c>
      <c r="D1243" s="207" t="s">
        <v>1878</v>
      </c>
      <c r="E1243" s="323" t="s">
        <v>4084</v>
      </c>
      <c r="F1243" s="323"/>
      <c r="G1243" s="263"/>
      <c r="H1243" s="151"/>
      <c r="I1243" s="151"/>
      <c r="J1243" s="151">
        <v>903</v>
      </c>
      <c r="K1243" s="151">
        <v>315</v>
      </c>
      <c r="L1243" s="1"/>
      <c r="M1243" s="73">
        <f t="shared" si="164"/>
        <v>0</v>
      </c>
      <c r="N1243" s="73">
        <f t="shared" si="168"/>
        <v>0</v>
      </c>
      <c r="O1243" s="73">
        <f t="shared" si="169"/>
        <v>0</v>
      </c>
      <c r="P1243" s="73">
        <f t="shared" si="165"/>
        <v>0</v>
      </c>
      <c r="Q1243" s="73"/>
      <c r="R1243" s="73">
        <v>0</v>
      </c>
      <c r="S1243" s="75">
        <f t="shared" si="167"/>
        <v>0</v>
      </c>
      <c r="T1243" s="77">
        <v>0</v>
      </c>
      <c r="U1243" s="66"/>
      <c r="V1243" s="79"/>
      <c r="W1243" s="66" t="s">
        <v>1606</v>
      </c>
      <c r="X1243" s="24" t="s">
        <v>1607</v>
      </c>
      <c r="Y1243" s="62"/>
      <c r="Z1243" s="176" t="s">
        <v>2279</v>
      </c>
      <c r="AA1243" s="166" t="s">
        <v>2655</v>
      </c>
      <c r="AB1243" s="152"/>
      <c r="AC1243" s="153"/>
      <c r="AD1243" s="154"/>
      <c r="AE1243" s="153"/>
      <c r="AF1243" s="153"/>
      <c r="AG1243" s="153"/>
      <c r="AH1243" s="153"/>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c r="BF1243" s="153"/>
      <c r="BG1243" s="153"/>
      <c r="BH1243" s="153"/>
      <c r="BI1243" s="153"/>
      <c r="BJ1243" s="153"/>
      <c r="BK1243" s="153"/>
      <c r="BL1243" s="153"/>
      <c r="BM1243" s="153"/>
      <c r="BN1243" s="153"/>
      <c r="BO1243" s="153"/>
      <c r="BP1243" s="153"/>
      <c r="BQ1243" s="153"/>
      <c r="BR1243" s="153"/>
      <c r="BS1243" s="153"/>
      <c r="BT1243" s="153"/>
      <c r="BU1243" s="153"/>
      <c r="BV1243" s="153"/>
      <c r="BW1243" s="153"/>
      <c r="BX1243" s="153"/>
      <c r="BY1243" s="153"/>
      <c r="BZ1243" s="153"/>
      <c r="CA1243" s="153"/>
      <c r="CB1243" s="153"/>
      <c r="CC1243" s="153"/>
      <c r="CD1243" s="155"/>
      <c r="CE1243" s="156"/>
      <c r="CF1243" s="155"/>
      <c r="CG1243" s="156"/>
      <c r="CH1243" s="155"/>
      <c r="CI1243" s="156"/>
      <c r="CJ1243" s="157">
        <f t="shared" si="166"/>
        <v>0</v>
      </c>
      <c r="CK1243" s="158"/>
      <c r="CL1243" s="159"/>
      <c r="CM1243" s="160"/>
      <c r="CN1243" s="161"/>
      <c r="CO1243" s="162"/>
      <c r="CP1243" s="161"/>
      <c r="CQ1243" s="158"/>
      <c r="CR1243" s="159"/>
      <c r="CS1243" s="68"/>
      <c r="CT1243" s="163"/>
      <c r="EC1243" s="344" t="str">
        <f t="shared" si="170"/>
        <v>SANTANDER_CONCEPCION</v>
      </c>
      <c r="ED1243" s="341"/>
      <c r="EE1243" s="341"/>
      <c r="EF1243" s="348"/>
      <c r="EG1243" s="341"/>
      <c r="EH1243" s="341"/>
      <c r="EI1243" s="341"/>
    </row>
    <row r="1244" spans="1:139" s="164" customFormat="1" ht="38.25">
      <c r="A1244" s="228">
        <v>40452</v>
      </c>
      <c r="B1244" s="205" t="s">
        <v>1998</v>
      </c>
      <c r="C1244" s="205" t="s">
        <v>2254</v>
      </c>
      <c r="D1244" s="207" t="s">
        <v>1201</v>
      </c>
      <c r="E1244" s="323" t="s">
        <v>4087</v>
      </c>
      <c r="F1244" s="323"/>
      <c r="G1244" s="263"/>
      <c r="H1244" s="151"/>
      <c r="I1244" s="151"/>
      <c r="J1244" s="151">
        <f>80*5</f>
        <v>400</v>
      </c>
      <c r="K1244" s="151">
        <v>80</v>
      </c>
      <c r="L1244" s="1"/>
      <c r="M1244" s="73">
        <f t="shared" si="164"/>
        <v>0</v>
      </c>
      <c r="N1244" s="73">
        <f t="shared" si="168"/>
        <v>0</v>
      </c>
      <c r="O1244" s="73">
        <f t="shared" si="169"/>
        <v>0</v>
      </c>
      <c r="P1244" s="73">
        <f t="shared" si="165"/>
        <v>0</v>
      </c>
      <c r="Q1244" s="73"/>
      <c r="R1244" s="73">
        <v>0</v>
      </c>
      <c r="S1244" s="75">
        <f t="shared" si="167"/>
        <v>0</v>
      </c>
      <c r="T1244" s="77">
        <v>0</v>
      </c>
      <c r="U1244" s="66"/>
      <c r="V1244" s="79"/>
      <c r="W1244" s="66" t="s">
        <v>1606</v>
      </c>
      <c r="X1244" s="24" t="s">
        <v>1607</v>
      </c>
      <c r="Y1244" s="62"/>
      <c r="Z1244" s="176" t="s">
        <v>2279</v>
      </c>
      <c r="AA1244" s="166" t="s">
        <v>647</v>
      </c>
      <c r="AB1244" s="152"/>
      <c r="AC1244" s="153"/>
      <c r="AD1244" s="154"/>
      <c r="AE1244" s="153"/>
      <c r="AF1244" s="153"/>
      <c r="AG1244" s="153"/>
      <c r="AH1244" s="153"/>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c r="BF1244" s="153"/>
      <c r="BG1244" s="153"/>
      <c r="BH1244" s="153"/>
      <c r="BI1244" s="153"/>
      <c r="BJ1244" s="153"/>
      <c r="BK1244" s="153"/>
      <c r="BL1244" s="153"/>
      <c r="BM1244" s="153"/>
      <c r="BN1244" s="153"/>
      <c r="BO1244" s="153"/>
      <c r="BP1244" s="153"/>
      <c r="BQ1244" s="153"/>
      <c r="BR1244" s="153"/>
      <c r="BS1244" s="153"/>
      <c r="BT1244" s="153"/>
      <c r="BU1244" s="153"/>
      <c r="BV1244" s="153"/>
      <c r="BW1244" s="153"/>
      <c r="BX1244" s="153"/>
      <c r="BY1244" s="153"/>
      <c r="BZ1244" s="153"/>
      <c r="CA1244" s="153"/>
      <c r="CB1244" s="153"/>
      <c r="CC1244" s="153"/>
      <c r="CD1244" s="155"/>
      <c r="CE1244" s="156"/>
      <c r="CF1244" s="155"/>
      <c r="CG1244" s="156"/>
      <c r="CH1244" s="155"/>
      <c r="CI1244" s="156"/>
      <c r="CJ1244" s="157">
        <f t="shared" si="166"/>
        <v>0</v>
      </c>
      <c r="CK1244" s="158"/>
      <c r="CL1244" s="159"/>
      <c r="CM1244" s="160"/>
      <c r="CN1244" s="161"/>
      <c r="CO1244" s="162"/>
      <c r="CP1244" s="161"/>
      <c r="CQ1244" s="158"/>
      <c r="CR1244" s="159"/>
      <c r="CS1244" s="68"/>
      <c r="CT1244" s="163"/>
      <c r="EC1244" s="344" t="str">
        <f t="shared" si="170"/>
        <v>SANTANDER_COROMORO</v>
      </c>
      <c r="ED1244" s="341"/>
      <c r="EE1244" s="341"/>
      <c r="EF1244" s="348"/>
      <c r="EG1244" s="341"/>
      <c r="EH1244" s="341"/>
      <c r="EI1244" s="341"/>
    </row>
    <row r="1245" spans="1:139" s="164" customFormat="1" ht="63.75">
      <c r="A1245" s="228">
        <v>40452</v>
      </c>
      <c r="B1245" s="205" t="s">
        <v>1998</v>
      </c>
      <c r="C1245" s="205" t="s">
        <v>1732</v>
      </c>
      <c r="D1245" s="207" t="s">
        <v>1201</v>
      </c>
      <c r="E1245" s="323" t="s">
        <v>4089</v>
      </c>
      <c r="F1245" s="323"/>
      <c r="G1245" s="263"/>
      <c r="H1245" s="151"/>
      <c r="I1245" s="151"/>
      <c r="J1245" s="151">
        <f>1544-125</f>
        <v>1419</v>
      </c>
      <c r="K1245" s="151">
        <f>460-25</f>
        <v>435</v>
      </c>
      <c r="L1245" s="1"/>
      <c r="M1245" s="73">
        <f t="shared" si="164"/>
        <v>0</v>
      </c>
      <c r="N1245" s="73">
        <f t="shared" si="168"/>
        <v>0</v>
      </c>
      <c r="O1245" s="73">
        <f t="shared" si="169"/>
        <v>0</v>
      </c>
      <c r="P1245" s="73">
        <f t="shared" si="165"/>
        <v>0</v>
      </c>
      <c r="Q1245" s="73"/>
      <c r="R1245" s="73">
        <v>0</v>
      </c>
      <c r="S1245" s="75">
        <f t="shared" si="167"/>
        <v>0</v>
      </c>
      <c r="T1245" s="77">
        <v>0</v>
      </c>
      <c r="U1245" s="66"/>
      <c r="V1245" s="79"/>
      <c r="W1245" s="66" t="s">
        <v>1606</v>
      </c>
      <c r="X1245" s="24" t="s">
        <v>1607</v>
      </c>
      <c r="Y1245" s="62"/>
      <c r="Z1245" s="176" t="s">
        <v>2279</v>
      </c>
      <c r="AA1245" s="166" t="s">
        <v>647</v>
      </c>
      <c r="AB1245" s="152"/>
      <c r="AC1245" s="153"/>
      <c r="AD1245" s="154"/>
      <c r="AE1245" s="153"/>
      <c r="AF1245" s="153"/>
      <c r="AG1245" s="153"/>
      <c r="AH1245" s="153"/>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c r="BF1245" s="153"/>
      <c r="BG1245" s="153"/>
      <c r="BH1245" s="153"/>
      <c r="BI1245" s="153"/>
      <c r="BJ1245" s="153"/>
      <c r="BK1245" s="153"/>
      <c r="BL1245" s="153"/>
      <c r="BM1245" s="153"/>
      <c r="BN1245" s="153"/>
      <c r="BO1245" s="153"/>
      <c r="BP1245" s="153"/>
      <c r="BQ1245" s="153"/>
      <c r="BR1245" s="153"/>
      <c r="BS1245" s="153"/>
      <c r="BT1245" s="153"/>
      <c r="BU1245" s="153"/>
      <c r="BV1245" s="153"/>
      <c r="BW1245" s="153"/>
      <c r="BX1245" s="153"/>
      <c r="BY1245" s="153"/>
      <c r="BZ1245" s="153"/>
      <c r="CA1245" s="153"/>
      <c r="CB1245" s="153"/>
      <c r="CC1245" s="153"/>
      <c r="CD1245" s="155"/>
      <c r="CE1245" s="156"/>
      <c r="CF1245" s="155"/>
      <c r="CG1245" s="156"/>
      <c r="CH1245" s="155"/>
      <c r="CI1245" s="156"/>
      <c r="CJ1245" s="157">
        <f t="shared" si="166"/>
        <v>0</v>
      </c>
      <c r="CK1245" s="158"/>
      <c r="CL1245" s="159"/>
      <c r="CM1245" s="160"/>
      <c r="CN1245" s="161"/>
      <c r="CO1245" s="162"/>
      <c r="CP1245" s="161"/>
      <c r="CQ1245" s="158"/>
      <c r="CR1245" s="159"/>
      <c r="CS1245" s="68"/>
      <c r="CT1245" s="163"/>
      <c r="EC1245" s="344" t="str">
        <f t="shared" si="170"/>
        <v>SANTANDER_EL CARMEN DE CHUCURI</v>
      </c>
      <c r="ED1245" s="341"/>
      <c r="EE1245" s="341"/>
      <c r="EF1245" s="348"/>
      <c r="EG1245" s="341"/>
      <c r="EH1245" s="341"/>
      <c r="EI1245" s="341"/>
    </row>
    <row r="1246" spans="1:139" s="164" customFormat="1" ht="51">
      <c r="A1246" s="228">
        <v>40452</v>
      </c>
      <c r="B1246" s="205" t="s">
        <v>1998</v>
      </c>
      <c r="C1246" s="205" t="s">
        <v>3187</v>
      </c>
      <c r="D1246" s="207" t="s">
        <v>1201</v>
      </c>
      <c r="E1246" s="323" t="s">
        <v>4090</v>
      </c>
      <c r="F1246" s="323"/>
      <c r="G1246" s="263"/>
      <c r="H1246" s="151"/>
      <c r="I1246" s="151"/>
      <c r="J1246" s="151">
        <v>50</v>
      </c>
      <c r="K1246" s="151">
        <v>10</v>
      </c>
      <c r="L1246" s="1"/>
      <c r="M1246" s="73">
        <f t="shared" si="164"/>
        <v>0</v>
      </c>
      <c r="N1246" s="73">
        <f t="shared" si="168"/>
        <v>0</v>
      </c>
      <c r="O1246" s="73">
        <f t="shared" si="169"/>
        <v>0</v>
      </c>
      <c r="P1246" s="73">
        <f t="shared" si="165"/>
        <v>0</v>
      </c>
      <c r="Q1246" s="73"/>
      <c r="R1246" s="73">
        <v>0</v>
      </c>
      <c r="S1246" s="75">
        <f t="shared" si="167"/>
        <v>0</v>
      </c>
      <c r="T1246" s="77">
        <v>0</v>
      </c>
      <c r="U1246" s="66"/>
      <c r="V1246" s="79"/>
      <c r="W1246" s="66" t="s">
        <v>1606</v>
      </c>
      <c r="X1246" s="24" t="s">
        <v>1607</v>
      </c>
      <c r="Y1246" s="62"/>
      <c r="Z1246" s="176" t="s">
        <v>2279</v>
      </c>
      <c r="AA1246" s="166" t="s">
        <v>647</v>
      </c>
      <c r="AB1246" s="152"/>
      <c r="AC1246" s="153"/>
      <c r="AD1246" s="154"/>
      <c r="AE1246" s="153"/>
      <c r="AF1246" s="153"/>
      <c r="AG1246" s="153"/>
      <c r="AH1246" s="153"/>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c r="BF1246" s="153"/>
      <c r="BG1246" s="153"/>
      <c r="BH1246" s="153"/>
      <c r="BI1246" s="153"/>
      <c r="BJ1246" s="153"/>
      <c r="BK1246" s="153"/>
      <c r="BL1246" s="153"/>
      <c r="BM1246" s="153"/>
      <c r="BN1246" s="153"/>
      <c r="BO1246" s="153"/>
      <c r="BP1246" s="153"/>
      <c r="BQ1246" s="153"/>
      <c r="BR1246" s="153"/>
      <c r="BS1246" s="153"/>
      <c r="BT1246" s="153"/>
      <c r="BU1246" s="153"/>
      <c r="BV1246" s="153"/>
      <c r="BW1246" s="153"/>
      <c r="BX1246" s="153"/>
      <c r="BY1246" s="153"/>
      <c r="BZ1246" s="153"/>
      <c r="CA1246" s="153"/>
      <c r="CB1246" s="153"/>
      <c r="CC1246" s="153"/>
      <c r="CD1246" s="155"/>
      <c r="CE1246" s="156"/>
      <c r="CF1246" s="155"/>
      <c r="CG1246" s="156"/>
      <c r="CH1246" s="155"/>
      <c r="CI1246" s="156"/>
      <c r="CJ1246" s="157">
        <f t="shared" si="166"/>
        <v>0</v>
      </c>
      <c r="CK1246" s="158"/>
      <c r="CL1246" s="159"/>
      <c r="CM1246" s="160"/>
      <c r="CN1246" s="161"/>
      <c r="CO1246" s="162"/>
      <c r="CP1246" s="161"/>
      <c r="CQ1246" s="158"/>
      <c r="CR1246" s="159"/>
      <c r="CS1246" s="68"/>
      <c r="CT1246" s="163"/>
      <c r="EC1246" s="344" t="str">
        <f t="shared" si="170"/>
        <v>SANTANDER_EL GUACAMAYO</v>
      </c>
      <c r="ED1246" s="341"/>
      <c r="EE1246" s="341"/>
      <c r="EF1246" s="348"/>
      <c r="EG1246" s="341"/>
      <c r="EH1246" s="341"/>
      <c r="EI1246" s="341"/>
    </row>
    <row r="1247" spans="1:139" s="164" customFormat="1" ht="25.5">
      <c r="A1247" s="228">
        <v>40452</v>
      </c>
      <c r="B1247" s="205" t="s">
        <v>1998</v>
      </c>
      <c r="C1247" s="205" t="s">
        <v>1491</v>
      </c>
      <c r="D1247" s="207" t="s">
        <v>1878</v>
      </c>
      <c r="E1247" s="323" t="s">
        <v>4097</v>
      </c>
      <c r="F1247" s="323"/>
      <c r="G1247" s="263"/>
      <c r="H1247" s="151"/>
      <c r="I1247" s="151"/>
      <c r="J1247" s="151">
        <f>89*5</f>
        <v>445</v>
      </c>
      <c r="K1247" s="151">
        <v>89</v>
      </c>
      <c r="L1247" s="1"/>
      <c r="M1247" s="73">
        <f t="shared" si="164"/>
        <v>0</v>
      </c>
      <c r="N1247" s="73">
        <f t="shared" si="168"/>
        <v>0</v>
      </c>
      <c r="O1247" s="73">
        <f t="shared" si="169"/>
        <v>0</v>
      </c>
      <c r="P1247" s="73">
        <f t="shared" si="165"/>
        <v>0</v>
      </c>
      <c r="Q1247" s="73"/>
      <c r="R1247" s="73">
        <v>0</v>
      </c>
      <c r="S1247" s="75">
        <f t="shared" si="167"/>
        <v>0</v>
      </c>
      <c r="T1247" s="77">
        <v>0</v>
      </c>
      <c r="U1247" s="66"/>
      <c r="V1247" s="79"/>
      <c r="W1247" s="66" t="s">
        <v>1606</v>
      </c>
      <c r="X1247" s="24" t="s">
        <v>1607</v>
      </c>
      <c r="Y1247" s="62"/>
      <c r="Z1247" s="176" t="s">
        <v>2279</v>
      </c>
      <c r="AA1247" s="166" t="s">
        <v>647</v>
      </c>
      <c r="AB1247" s="152"/>
      <c r="AC1247" s="153"/>
      <c r="AD1247" s="154"/>
      <c r="AE1247" s="153"/>
      <c r="AF1247" s="153"/>
      <c r="AG1247" s="153"/>
      <c r="AH1247" s="153"/>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c r="BF1247" s="153"/>
      <c r="BG1247" s="153"/>
      <c r="BH1247" s="153"/>
      <c r="BI1247" s="153"/>
      <c r="BJ1247" s="153"/>
      <c r="BK1247" s="153"/>
      <c r="BL1247" s="153"/>
      <c r="BM1247" s="153"/>
      <c r="BN1247" s="153"/>
      <c r="BO1247" s="153"/>
      <c r="BP1247" s="153"/>
      <c r="BQ1247" s="153"/>
      <c r="BR1247" s="153"/>
      <c r="BS1247" s="153"/>
      <c r="BT1247" s="153"/>
      <c r="BU1247" s="153"/>
      <c r="BV1247" s="153"/>
      <c r="BW1247" s="153"/>
      <c r="BX1247" s="153"/>
      <c r="BY1247" s="153"/>
      <c r="BZ1247" s="153"/>
      <c r="CA1247" s="153"/>
      <c r="CB1247" s="153"/>
      <c r="CC1247" s="153"/>
      <c r="CD1247" s="155"/>
      <c r="CE1247" s="156"/>
      <c r="CF1247" s="155"/>
      <c r="CG1247" s="156"/>
      <c r="CH1247" s="155"/>
      <c r="CI1247" s="156"/>
      <c r="CJ1247" s="157">
        <f t="shared" si="166"/>
        <v>0</v>
      </c>
      <c r="CK1247" s="158"/>
      <c r="CL1247" s="159"/>
      <c r="CM1247" s="160"/>
      <c r="CN1247" s="161"/>
      <c r="CO1247" s="162"/>
      <c r="CP1247" s="161"/>
      <c r="CQ1247" s="158"/>
      <c r="CR1247" s="159"/>
      <c r="CS1247" s="68"/>
      <c r="CT1247" s="163"/>
      <c r="EC1247" s="344" t="str">
        <f t="shared" si="170"/>
        <v>SANTANDER_GALAN</v>
      </c>
      <c r="ED1247" s="341"/>
      <c r="EE1247" s="341"/>
      <c r="EF1247" s="348"/>
      <c r="EG1247" s="341"/>
      <c r="EH1247" s="341"/>
      <c r="EI1247" s="341"/>
    </row>
    <row r="1248" spans="1:139" s="164" customFormat="1" ht="25.5">
      <c r="A1248" s="228">
        <v>40452</v>
      </c>
      <c r="B1248" s="205" t="s">
        <v>1998</v>
      </c>
      <c r="C1248" s="205" t="s">
        <v>2268</v>
      </c>
      <c r="D1248" s="207" t="s">
        <v>1878</v>
      </c>
      <c r="E1248" s="323" t="s">
        <v>4100</v>
      </c>
      <c r="F1248" s="323"/>
      <c r="G1248" s="263"/>
      <c r="H1248" s="151"/>
      <c r="I1248" s="151"/>
      <c r="J1248" s="151">
        <f>918*5</f>
        <v>4590</v>
      </c>
      <c r="K1248" s="151">
        <v>918</v>
      </c>
      <c r="L1248" s="1"/>
      <c r="M1248" s="73">
        <f t="shared" si="164"/>
        <v>0</v>
      </c>
      <c r="N1248" s="73">
        <f t="shared" si="168"/>
        <v>0</v>
      </c>
      <c r="O1248" s="73">
        <f t="shared" si="169"/>
        <v>0</v>
      </c>
      <c r="P1248" s="73">
        <f t="shared" si="165"/>
        <v>0</v>
      </c>
      <c r="Q1248" s="73"/>
      <c r="R1248" s="73">
        <v>0</v>
      </c>
      <c r="S1248" s="75">
        <f t="shared" si="167"/>
        <v>0</v>
      </c>
      <c r="T1248" s="77">
        <v>0</v>
      </c>
      <c r="U1248" s="66"/>
      <c r="V1248" s="79"/>
      <c r="W1248" s="66" t="s">
        <v>1606</v>
      </c>
      <c r="X1248" s="24" t="s">
        <v>1607</v>
      </c>
      <c r="Y1248" s="62"/>
      <c r="Z1248" s="176" t="s">
        <v>2279</v>
      </c>
      <c r="AA1248" s="166" t="s">
        <v>647</v>
      </c>
      <c r="AB1248" s="152"/>
      <c r="AC1248" s="153"/>
      <c r="AD1248" s="154"/>
      <c r="AE1248" s="153"/>
      <c r="AF1248" s="153"/>
      <c r="AG1248" s="153"/>
      <c r="AH1248" s="153"/>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c r="BF1248" s="153"/>
      <c r="BG1248" s="153"/>
      <c r="BH1248" s="153"/>
      <c r="BI1248" s="153"/>
      <c r="BJ1248" s="153"/>
      <c r="BK1248" s="153"/>
      <c r="BL1248" s="153"/>
      <c r="BM1248" s="153"/>
      <c r="BN1248" s="153"/>
      <c r="BO1248" s="153"/>
      <c r="BP1248" s="153"/>
      <c r="BQ1248" s="153"/>
      <c r="BR1248" s="153"/>
      <c r="BS1248" s="153"/>
      <c r="BT1248" s="153"/>
      <c r="BU1248" s="153"/>
      <c r="BV1248" s="153"/>
      <c r="BW1248" s="153"/>
      <c r="BX1248" s="153"/>
      <c r="BY1248" s="153"/>
      <c r="BZ1248" s="153"/>
      <c r="CA1248" s="153"/>
      <c r="CB1248" s="153"/>
      <c r="CC1248" s="153"/>
      <c r="CD1248" s="155"/>
      <c r="CE1248" s="156"/>
      <c r="CF1248" s="155"/>
      <c r="CG1248" s="156"/>
      <c r="CH1248" s="155"/>
      <c r="CI1248" s="156"/>
      <c r="CJ1248" s="157">
        <f t="shared" si="166"/>
        <v>0</v>
      </c>
      <c r="CK1248" s="158"/>
      <c r="CL1248" s="159"/>
      <c r="CM1248" s="160"/>
      <c r="CN1248" s="161"/>
      <c r="CO1248" s="162"/>
      <c r="CP1248" s="161"/>
      <c r="CQ1248" s="158"/>
      <c r="CR1248" s="159"/>
      <c r="CS1248" s="68"/>
      <c r="CT1248" s="163"/>
      <c r="EC1248" s="344" t="str">
        <f t="shared" si="170"/>
        <v>SANTANDER_GUACA</v>
      </c>
      <c r="ED1248" s="341"/>
      <c r="EE1248" s="341"/>
      <c r="EF1248" s="348"/>
      <c r="EG1248" s="341"/>
      <c r="EH1248" s="341"/>
      <c r="EI1248" s="341"/>
    </row>
    <row r="1249" spans="1:139" s="164" customFormat="1" ht="38.25">
      <c r="A1249" s="228">
        <v>40452</v>
      </c>
      <c r="B1249" s="205" t="s">
        <v>1998</v>
      </c>
      <c r="C1249" s="205" t="s">
        <v>2269</v>
      </c>
      <c r="D1249" s="207" t="s">
        <v>1878</v>
      </c>
      <c r="E1249" s="323" t="s">
        <v>4102</v>
      </c>
      <c r="F1249" s="323"/>
      <c r="G1249" s="263"/>
      <c r="H1249" s="151"/>
      <c r="I1249" s="151"/>
      <c r="J1249" s="151">
        <v>150</v>
      </c>
      <c r="K1249" s="151">
        <v>30</v>
      </c>
      <c r="L1249" s="1"/>
      <c r="M1249" s="73">
        <f t="shared" si="164"/>
        <v>0</v>
      </c>
      <c r="N1249" s="73">
        <f t="shared" si="168"/>
        <v>0</v>
      </c>
      <c r="O1249" s="73">
        <f t="shared" si="169"/>
        <v>0</v>
      </c>
      <c r="P1249" s="73">
        <f t="shared" si="165"/>
        <v>0</v>
      </c>
      <c r="Q1249" s="73"/>
      <c r="R1249" s="73">
        <v>0</v>
      </c>
      <c r="S1249" s="75">
        <f t="shared" si="167"/>
        <v>0</v>
      </c>
      <c r="T1249" s="77">
        <v>0</v>
      </c>
      <c r="U1249" s="66"/>
      <c r="V1249" s="79"/>
      <c r="W1249" s="66" t="s">
        <v>1606</v>
      </c>
      <c r="X1249" s="24" t="s">
        <v>1607</v>
      </c>
      <c r="Y1249" s="62"/>
      <c r="Z1249" s="176" t="s">
        <v>2279</v>
      </c>
      <c r="AA1249" s="166" t="s">
        <v>647</v>
      </c>
      <c r="AB1249" s="152"/>
      <c r="AC1249" s="153"/>
      <c r="AD1249" s="154"/>
      <c r="AE1249" s="153"/>
      <c r="AF1249" s="153"/>
      <c r="AG1249" s="153"/>
      <c r="AH1249" s="153"/>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c r="BF1249" s="153"/>
      <c r="BG1249" s="153"/>
      <c r="BH1249" s="153"/>
      <c r="BI1249" s="153"/>
      <c r="BJ1249" s="153"/>
      <c r="BK1249" s="153"/>
      <c r="BL1249" s="153"/>
      <c r="BM1249" s="153"/>
      <c r="BN1249" s="153"/>
      <c r="BO1249" s="153"/>
      <c r="BP1249" s="153"/>
      <c r="BQ1249" s="153"/>
      <c r="BR1249" s="153"/>
      <c r="BS1249" s="153"/>
      <c r="BT1249" s="153"/>
      <c r="BU1249" s="153"/>
      <c r="BV1249" s="153"/>
      <c r="BW1249" s="153"/>
      <c r="BX1249" s="153"/>
      <c r="BY1249" s="153"/>
      <c r="BZ1249" s="153"/>
      <c r="CA1249" s="153"/>
      <c r="CB1249" s="153"/>
      <c r="CC1249" s="153"/>
      <c r="CD1249" s="155"/>
      <c r="CE1249" s="156"/>
      <c r="CF1249" s="155"/>
      <c r="CG1249" s="156"/>
      <c r="CH1249" s="155"/>
      <c r="CI1249" s="156"/>
      <c r="CJ1249" s="157">
        <f t="shared" si="166"/>
        <v>0</v>
      </c>
      <c r="CK1249" s="158"/>
      <c r="CL1249" s="159"/>
      <c r="CM1249" s="160"/>
      <c r="CN1249" s="161"/>
      <c r="CO1249" s="162"/>
      <c r="CP1249" s="161"/>
      <c r="CQ1249" s="158"/>
      <c r="CR1249" s="159"/>
      <c r="CS1249" s="68"/>
      <c r="CT1249" s="163"/>
      <c r="EC1249" s="344" t="str">
        <f t="shared" si="170"/>
        <v>SANTANDER_GUAPOTA</v>
      </c>
      <c r="ED1249" s="341"/>
      <c r="EE1249" s="341"/>
      <c r="EF1249" s="348"/>
      <c r="EG1249" s="341"/>
      <c r="EH1249" s="341"/>
      <c r="EI1249" s="341"/>
    </row>
    <row r="1250" spans="1:139" s="164" customFormat="1" ht="25.5">
      <c r="A1250" s="228">
        <v>40452</v>
      </c>
      <c r="B1250" s="205" t="s">
        <v>1998</v>
      </c>
      <c r="C1250" s="205" t="s">
        <v>3188</v>
      </c>
      <c r="D1250" s="207" t="s">
        <v>1878</v>
      </c>
      <c r="E1250" s="323" t="s">
        <v>4105</v>
      </c>
      <c r="F1250" s="323"/>
      <c r="G1250" s="263"/>
      <c r="H1250" s="151"/>
      <c r="I1250" s="151"/>
      <c r="J1250" s="151">
        <f>114*5</f>
        <v>570</v>
      </c>
      <c r="K1250" s="151">
        <v>114</v>
      </c>
      <c r="L1250" s="1"/>
      <c r="M1250" s="73">
        <f t="shared" si="164"/>
        <v>0</v>
      </c>
      <c r="N1250" s="73">
        <f t="shared" si="168"/>
        <v>0</v>
      </c>
      <c r="O1250" s="73">
        <f t="shared" si="169"/>
        <v>0</v>
      </c>
      <c r="P1250" s="73">
        <f t="shared" si="165"/>
        <v>0</v>
      </c>
      <c r="Q1250" s="73"/>
      <c r="R1250" s="73">
        <v>0</v>
      </c>
      <c r="S1250" s="75">
        <f t="shared" si="167"/>
        <v>0</v>
      </c>
      <c r="T1250" s="77">
        <v>0</v>
      </c>
      <c r="U1250" s="66"/>
      <c r="V1250" s="79"/>
      <c r="W1250" s="66" t="s">
        <v>1606</v>
      </c>
      <c r="X1250" s="24" t="s">
        <v>1607</v>
      </c>
      <c r="Y1250" s="62"/>
      <c r="Z1250" s="176" t="s">
        <v>2279</v>
      </c>
      <c r="AA1250" s="166" t="s">
        <v>647</v>
      </c>
      <c r="AB1250" s="152"/>
      <c r="AC1250" s="153"/>
      <c r="AD1250" s="154"/>
      <c r="AE1250" s="153"/>
      <c r="AF1250" s="153"/>
      <c r="AG1250" s="153"/>
      <c r="AH1250" s="153"/>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c r="BF1250" s="153"/>
      <c r="BG1250" s="153"/>
      <c r="BH1250" s="153"/>
      <c r="BI1250" s="153"/>
      <c r="BJ1250" s="153"/>
      <c r="BK1250" s="153"/>
      <c r="BL1250" s="153"/>
      <c r="BM1250" s="153"/>
      <c r="BN1250" s="153"/>
      <c r="BO1250" s="153"/>
      <c r="BP1250" s="153"/>
      <c r="BQ1250" s="153"/>
      <c r="BR1250" s="153"/>
      <c r="BS1250" s="153"/>
      <c r="BT1250" s="153"/>
      <c r="BU1250" s="153"/>
      <c r="BV1250" s="153"/>
      <c r="BW1250" s="153"/>
      <c r="BX1250" s="153"/>
      <c r="BY1250" s="153"/>
      <c r="BZ1250" s="153"/>
      <c r="CA1250" s="153"/>
      <c r="CB1250" s="153"/>
      <c r="CC1250" s="153"/>
      <c r="CD1250" s="155"/>
      <c r="CE1250" s="156"/>
      <c r="CF1250" s="155"/>
      <c r="CG1250" s="156"/>
      <c r="CH1250" s="155"/>
      <c r="CI1250" s="156"/>
      <c r="CJ1250" s="157">
        <f t="shared" si="166"/>
        <v>0</v>
      </c>
      <c r="CK1250" s="158"/>
      <c r="CL1250" s="159"/>
      <c r="CM1250" s="160"/>
      <c r="CN1250" s="161"/>
      <c r="CO1250" s="162"/>
      <c r="CP1250" s="161"/>
      <c r="CQ1250" s="158"/>
      <c r="CR1250" s="159"/>
      <c r="CS1250" s="68"/>
      <c r="CT1250" s="163"/>
      <c r="EC1250" s="344" t="str">
        <f t="shared" si="170"/>
        <v>SANTANDER_HATO</v>
      </c>
      <c r="ED1250" s="341"/>
      <c r="EE1250" s="341"/>
      <c r="EF1250" s="348"/>
      <c r="EG1250" s="341"/>
      <c r="EH1250" s="341"/>
      <c r="EI1250" s="341"/>
    </row>
    <row r="1251" spans="1:139" s="164" customFormat="1" ht="38.25">
      <c r="A1251" s="228">
        <v>40452</v>
      </c>
      <c r="B1251" s="205" t="s">
        <v>1998</v>
      </c>
      <c r="C1251" s="205" t="s">
        <v>2270</v>
      </c>
      <c r="D1251" s="207" t="s">
        <v>1878</v>
      </c>
      <c r="E1251" s="323" t="s">
        <v>4113</v>
      </c>
      <c r="F1251" s="323"/>
      <c r="G1251" s="263">
        <v>1</v>
      </c>
      <c r="H1251" s="151"/>
      <c r="I1251" s="151"/>
      <c r="J1251" s="151">
        <v>598</v>
      </c>
      <c r="K1251" s="151">
        <v>292</v>
      </c>
      <c r="L1251" s="1"/>
      <c r="M1251" s="73">
        <f t="shared" si="164"/>
        <v>0</v>
      </c>
      <c r="N1251" s="73">
        <f t="shared" si="168"/>
        <v>0</v>
      </c>
      <c r="O1251" s="73">
        <f t="shared" si="169"/>
        <v>0</v>
      </c>
      <c r="P1251" s="73">
        <f t="shared" si="165"/>
        <v>0</v>
      </c>
      <c r="Q1251" s="73"/>
      <c r="R1251" s="73">
        <v>0</v>
      </c>
      <c r="S1251" s="75">
        <f t="shared" si="167"/>
        <v>0</v>
      </c>
      <c r="T1251" s="77">
        <v>0</v>
      </c>
      <c r="U1251" s="66"/>
      <c r="V1251" s="79"/>
      <c r="W1251" s="66" t="s">
        <v>1606</v>
      </c>
      <c r="X1251" s="24" t="s">
        <v>1607</v>
      </c>
      <c r="Y1251" s="62"/>
      <c r="Z1251" s="176" t="s">
        <v>2279</v>
      </c>
      <c r="AA1251" s="166" t="s">
        <v>647</v>
      </c>
      <c r="AB1251" s="152"/>
      <c r="AC1251" s="153"/>
      <c r="AD1251" s="154"/>
      <c r="AE1251" s="153"/>
      <c r="AF1251" s="153"/>
      <c r="AG1251" s="153"/>
      <c r="AH1251" s="153"/>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c r="BF1251" s="153"/>
      <c r="BG1251" s="153"/>
      <c r="BH1251" s="153"/>
      <c r="BI1251" s="153"/>
      <c r="BJ1251" s="153"/>
      <c r="BK1251" s="153"/>
      <c r="BL1251" s="153"/>
      <c r="BM1251" s="153"/>
      <c r="BN1251" s="153"/>
      <c r="BO1251" s="153"/>
      <c r="BP1251" s="153"/>
      <c r="BQ1251" s="153"/>
      <c r="BR1251" s="153"/>
      <c r="BS1251" s="153"/>
      <c r="BT1251" s="153"/>
      <c r="BU1251" s="153"/>
      <c r="BV1251" s="153"/>
      <c r="BW1251" s="153"/>
      <c r="BX1251" s="153"/>
      <c r="BY1251" s="153"/>
      <c r="BZ1251" s="153"/>
      <c r="CA1251" s="153"/>
      <c r="CB1251" s="153"/>
      <c r="CC1251" s="153"/>
      <c r="CD1251" s="155"/>
      <c r="CE1251" s="156"/>
      <c r="CF1251" s="155"/>
      <c r="CG1251" s="156"/>
      <c r="CH1251" s="155"/>
      <c r="CI1251" s="156"/>
      <c r="CJ1251" s="157">
        <f t="shared" si="166"/>
        <v>0</v>
      </c>
      <c r="CK1251" s="158"/>
      <c r="CL1251" s="159"/>
      <c r="CM1251" s="160"/>
      <c r="CN1251" s="161"/>
      <c r="CO1251" s="162"/>
      <c r="CP1251" s="161"/>
      <c r="CQ1251" s="158"/>
      <c r="CR1251" s="159"/>
      <c r="CS1251" s="68"/>
      <c r="CT1251" s="163"/>
      <c r="EC1251" s="344" t="str">
        <f t="shared" si="170"/>
        <v>SANTANDER_MACARAVITA</v>
      </c>
      <c r="ED1251" s="341"/>
      <c r="EE1251" s="341"/>
      <c r="EF1251" s="348"/>
      <c r="EG1251" s="341"/>
      <c r="EH1251" s="341"/>
      <c r="EI1251" s="341"/>
    </row>
    <row r="1252" spans="1:139" s="164" customFormat="1" ht="25.5">
      <c r="A1252" s="228">
        <v>40452</v>
      </c>
      <c r="B1252" s="205" t="s">
        <v>1998</v>
      </c>
      <c r="C1252" s="205" t="s">
        <v>3189</v>
      </c>
      <c r="D1252" s="207" t="s">
        <v>1878</v>
      </c>
      <c r="E1252" s="323" t="s">
        <v>4121</v>
      </c>
      <c r="F1252" s="323"/>
      <c r="G1252" s="263"/>
      <c r="H1252" s="151"/>
      <c r="I1252" s="151"/>
      <c r="J1252" s="151">
        <f>25*5</f>
        <v>125</v>
      </c>
      <c r="K1252" s="151">
        <v>25</v>
      </c>
      <c r="L1252" s="1"/>
      <c r="M1252" s="73">
        <f t="shared" si="164"/>
        <v>0</v>
      </c>
      <c r="N1252" s="73">
        <f t="shared" si="168"/>
        <v>0</v>
      </c>
      <c r="O1252" s="73">
        <f t="shared" si="169"/>
        <v>0</v>
      </c>
      <c r="P1252" s="73">
        <f t="shared" si="165"/>
        <v>0</v>
      </c>
      <c r="Q1252" s="73"/>
      <c r="R1252" s="73">
        <v>0</v>
      </c>
      <c r="S1252" s="75">
        <f t="shared" si="167"/>
        <v>0</v>
      </c>
      <c r="T1252" s="77">
        <v>0</v>
      </c>
      <c r="U1252" s="66"/>
      <c r="V1252" s="79"/>
      <c r="W1252" s="66" t="s">
        <v>1606</v>
      </c>
      <c r="X1252" s="24" t="s">
        <v>1607</v>
      </c>
      <c r="Y1252" s="62"/>
      <c r="Z1252" s="176" t="s">
        <v>2279</v>
      </c>
      <c r="AA1252" s="166" t="s">
        <v>647</v>
      </c>
      <c r="AB1252" s="152"/>
      <c r="AC1252" s="153"/>
      <c r="AD1252" s="154"/>
      <c r="AE1252" s="153"/>
      <c r="AF1252" s="153"/>
      <c r="AG1252" s="153"/>
      <c r="AH1252" s="153"/>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c r="BF1252" s="153"/>
      <c r="BG1252" s="153"/>
      <c r="BH1252" s="153"/>
      <c r="BI1252" s="153"/>
      <c r="BJ1252" s="153"/>
      <c r="BK1252" s="153"/>
      <c r="BL1252" s="153"/>
      <c r="BM1252" s="153"/>
      <c r="BN1252" s="153"/>
      <c r="BO1252" s="153"/>
      <c r="BP1252" s="153"/>
      <c r="BQ1252" s="153"/>
      <c r="BR1252" s="153"/>
      <c r="BS1252" s="153"/>
      <c r="BT1252" s="153"/>
      <c r="BU1252" s="153"/>
      <c r="BV1252" s="153"/>
      <c r="BW1252" s="153"/>
      <c r="BX1252" s="153"/>
      <c r="BY1252" s="153"/>
      <c r="BZ1252" s="153"/>
      <c r="CA1252" s="153"/>
      <c r="CB1252" s="153"/>
      <c r="CC1252" s="153"/>
      <c r="CD1252" s="155"/>
      <c r="CE1252" s="156"/>
      <c r="CF1252" s="155"/>
      <c r="CG1252" s="156"/>
      <c r="CH1252" s="155"/>
      <c r="CI1252" s="156"/>
      <c r="CJ1252" s="157">
        <f t="shared" si="166"/>
        <v>0</v>
      </c>
      <c r="CK1252" s="158"/>
      <c r="CL1252" s="159"/>
      <c r="CM1252" s="160"/>
      <c r="CN1252" s="161"/>
      <c r="CO1252" s="162"/>
      <c r="CP1252" s="161"/>
      <c r="CQ1252" s="158"/>
      <c r="CR1252" s="159"/>
      <c r="CS1252" s="68"/>
      <c r="CT1252" s="163"/>
      <c r="EC1252" s="344" t="str">
        <f t="shared" si="170"/>
        <v>SANTANDER_PALMAR</v>
      </c>
      <c r="ED1252" s="341"/>
      <c r="EE1252" s="341"/>
      <c r="EF1252" s="348"/>
      <c r="EG1252" s="341"/>
      <c r="EH1252" s="341"/>
      <c r="EI1252" s="341"/>
    </row>
    <row r="1253" spans="1:139" s="164" customFormat="1" ht="38.25">
      <c r="A1253" s="228">
        <v>40452</v>
      </c>
      <c r="B1253" s="205" t="s">
        <v>1998</v>
      </c>
      <c r="C1253" s="205" t="s">
        <v>1426</v>
      </c>
      <c r="D1253" s="207" t="s">
        <v>1201</v>
      </c>
      <c r="E1253" s="323" t="s">
        <v>4127</v>
      </c>
      <c r="F1253" s="323"/>
      <c r="G1253" s="263"/>
      <c r="H1253" s="151"/>
      <c r="I1253" s="151"/>
      <c r="J1253" s="151">
        <f>568*5</f>
        <v>2840</v>
      </c>
      <c r="K1253" s="151">
        <v>568</v>
      </c>
      <c r="L1253" s="1"/>
      <c r="M1253" s="73">
        <f t="shared" si="164"/>
        <v>0</v>
      </c>
      <c r="N1253" s="73">
        <f t="shared" si="168"/>
        <v>0</v>
      </c>
      <c r="O1253" s="73">
        <f t="shared" si="169"/>
        <v>0</v>
      </c>
      <c r="P1253" s="73">
        <f t="shared" si="165"/>
        <v>0</v>
      </c>
      <c r="Q1253" s="73"/>
      <c r="R1253" s="73">
        <v>0</v>
      </c>
      <c r="S1253" s="75">
        <f t="shared" si="167"/>
        <v>0</v>
      </c>
      <c r="T1253" s="77">
        <v>0</v>
      </c>
      <c r="U1253" s="66"/>
      <c r="V1253" s="79"/>
      <c r="W1253" s="66" t="s">
        <v>1606</v>
      </c>
      <c r="X1253" s="24" t="s">
        <v>1607</v>
      </c>
      <c r="Y1253" s="62"/>
      <c r="Z1253" s="176" t="s">
        <v>2279</v>
      </c>
      <c r="AA1253" s="166" t="s">
        <v>647</v>
      </c>
      <c r="AB1253" s="152"/>
      <c r="AC1253" s="153"/>
      <c r="AD1253" s="154"/>
      <c r="AE1253" s="153"/>
      <c r="AF1253" s="153"/>
      <c r="AG1253" s="153"/>
      <c r="AH1253" s="153"/>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c r="BF1253" s="153"/>
      <c r="BG1253" s="153"/>
      <c r="BH1253" s="153"/>
      <c r="BI1253" s="153"/>
      <c r="BJ1253" s="153"/>
      <c r="BK1253" s="153"/>
      <c r="BL1253" s="153"/>
      <c r="BM1253" s="153"/>
      <c r="BN1253" s="153"/>
      <c r="BO1253" s="153"/>
      <c r="BP1253" s="153"/>
      <c r="BQ1253" s="153"/>
      <c r="BR1253" s="153"/>
      <c r="BS1253" s="153"/>
      <c r="BT1253" s="153"/>
      <c r="BU1253" s="153"/>
      <c r="BV1253" s="153"/>
      <c r="BW1253" s="153"/>
      <c r="BX1253" s="153"/>
      <c r="BY1253" s="153"/>
      <c r="BZ1253" s="153"/>
      <c r="CA1253" s="153"/>
      <c r="CB1253" s="153"/>
      <c r="CC1253" s="153"/>
      <c r="CD1253" s="155"/>
      <c r="CE1253" s="156"/>
      <c r="CF1253" s="155"/>
      <c r="CG1253" s="156"/>
      <c r="CH1253" s="155"/>
      <c r="CI1253" s="156"/>
      <c r="CJ1253" s="157">
        <f t="shared" si="166"/>
        <v>0</v>
      </c>
      <c r="CK1253" s="158"/>
      <c r="CL1253" s="159"/>
      <c r="CM1253" s="160"/>
      <c r="CN1253" s="161"/>
      <c r="CO1253" s="162"/>
      <c r="CP1253" s="161"/>
      <c r="CQ1253" s="158"/>
      <c r="CR1253" s="159"/>
      <c r="CS1253" s="68"/>
      <c r="CT1253" s="163"/>
      <c r="EC1253" s="344" t="str">
        <f t="shared" si="170"/>
        <v>SANTANDER_PUERTO PARRA</v>
      </c>
      <c r="ED1253" s="341"/>
      <c r="EE1253" s="341"/>
      <c r="EF1253" s="348"/>
      <c r="EG1253" s="341"/>
      <c r="EH1253" s="341"/>
      <c r="EI1253" s="341"/>
    </row>
    <row r="1254" spans="1:139" s="164" customFormat="1" ht="38.25">
      <c r="A1254" s="228">
        <v>40452</v>
      </c>
      <c r="B1254" s="205" t="s">
        <v>1998</v>
      </c>
      <c r="C1254" s="205" t="s">
        <v>2271</v>
      </c>
      <c r="D1254" s="207" t="s">
        <v>1201</v>
      </c>
      <c r="E1254" s="323" t="s">
        <v>4129</v>
      </c>
      <c r="F1254" s="323"/>
      <c r="G1254" s="263"/>
      <c r="H1254" s="151"/>
      <c r="I1254" s="151"/>
      <c r="J1254" s="151">
        <f>80*5</f>
        <v>400</v>
      </c>
      <c r="K1254" s="151">
        <v>80</v>
      </c>
      <c r="L1254" s="1"/>
      <c r="M1254" s="73">
        <f t="shared" si="164"/>
        <v>0</v>
      </c>
      <c r="N1254" s="73">
        <f t="shared" si="168"/>
        <v>0</v>
      </c>
      <c r="O1254" s="73">
        <f t="shared" si="169"/>
        <v>0</v>
      </c>
      <c r="P1254" s="73">
        <f t="shared" si="165"/>
        <v>0</v>
      </c>
      <c r="Q1254" s="73"/>
      <c r="R1254" s="73">
        <v>0</v>
      </c>
      <c r="S1254" s="75">
        <f t="shared" si="167"/>
        <v>0</v>
      </c>
      <c r="T1254" s="77">
        <v>0</v>
      </c>
      <c r="U1254" s="66"/>
      <c r="V1254" s="79"/>
      <c r="W1254" s="66" t="s">
        <v>1606</v>
      </c>
      <c r="X1254" s="24" t="s">
        <v>1607</v>
      </c>
      <c r="Y1254" s="62"/>
      <c r="Z1254" s="176" t="s">
        <v>2279</v>
      </c>
      <c r="AA1254" s="166" t="s">
        <v>647</v>
      </c>
      <c r="AB1254" s="152"/>
      <c r="AC1254" s="153"/>
      <c r="AD1254" s="154"/>
      <c r="AE1254" s="153"/>
      <c r="AF1254" s="153"/>
      <c r="AG1254" s="153"/>
      <c r="AH1254" s="153"/>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c r="BF1254" s="153"/>
      <c r="BG1254" s="153"/>
      <c r="BH1254" s="153"/>
      <c r="BI1254" s="153"/>
      <c r="BJ1254" s="153"/>
      <c r="BK1254" s="153"/>
      <c r="BL1254" s="153"/>
      <c r="BM1254" s="153"/>
      <c r="BN1254" s="153"/>
      <c r="BO1254" s="153"/>
      <c r="BP1254" s="153"/>
      <c r="BQ1254" s="153"/>
      <c r="BR1254" s="153"/>
      <c r="BS1254" s="153"/>
      <c r="BT1254" s="153"/>
      <c r="BU1254" s="153"/>
      <c r="BV1254" s="153"/>
      <c r="BW1254" s="153"/>
      <c r="BX1254" s="153"/>
      <c r="BY1254" s="153"/>
      <c r="BZ1254" s="153"/>
      <c r="CA1254" s="153"/>
      <c r="CB1254" s="153"/>
      <c r="CC1254" s="153"/>
      <c r="CD1254" s="155"/>
      <c r="CE1254" s="156"/>
      <c r="CF1254" s="155"/>
      <c r="CG1254" s="156"/>
      <c r="CH1254" s="155"/>
      <c r="CI1254" s="156"/>
      <c r="CJ1254" s="157">
        <f t="shared" si="166"/>
        <v>0</v>
      </c>
      <c r="CK1254" s="158"/>
      <c r="CL1254" s="159"/>
      <c r="CM1254" s="160"/>
      <c r="CN1254" s="161"/>
      <c r="CO1254" s="162"/>
      <c r="CP1254" s="161"/>
      <c r="CQ1254" s="158"/>
      <c r="CR1254" s="159"/>
      <c r="CS1254" s="68"/>
      <c r="CT1254" s="163"/>
      <c r="EC1254" s="344" t="str">
        <f t="shared" si="170"/>
        <v>SANTANDER_RIONEGRO</v>
      </c>
      <c r="ED1254" s="341"/>
      <c r="EE1254" s="341"/>
      <c r="EF1254" s="348"/>
      <c r="EG1254" s="341"/>
      <c r="EH1254" s="341"/>
      <c r="EI1254" s="341"/>
    </row>
    <row r="1255" spans="1:139" s="164" customFormat="1" ht="51">
      <c r="A1255" s="228">
        <v>40452</v>
      </c>
      <c r="B1255" s="205" t="s">
        <v>1998</v>
      </c>
      <c r="C1255" s="205" t="s">
        <v>582</v>
      </c>
      <c r="D1255" s="207" t="s">
        <v>1201</v>
      </c>
      <c r="E1255" s="323" t="s">
        <v>4130</v>
      </c>
      <c r="F1255" s="323"/>
      <c r="G1255" s="263">
        <v>1</v>
      </c>
      <c r="H1255" s="151"/>
      <c r="I1255" s="151"/>
      <c r="J1255" s="151">
        <f>315*5</f>
        <v>1575</v>
      </c>
      <c r="K1255" s="151">
        <v>315</v>
      </c>
      <c r="L1255" s="1"/>
      <c r="M1255" s="73">
        <f t="shared" si="164"/>
        <v>0</v>
      </c>
      <c r="N1255" s="73">
        <f t="shared" si="168"/>
        <v>0</v>
      </c>
      <c r="O1255" s="73">
        <f t="shared" si="169"/>
        <v>0</v>
      </c>
      <c r="P1255" s="73">
        <f t="shared" si="165"/>
        <v>0</v>
      </c>
      <c r="Q1255" s="73"/>
      <c r="R1255" s="73">
        <v>0</v>
      </c>
      <c r="S1255" s="75">
        <f t="shared" si="167"/>
        <v>0</v>
      </c>
      <c r="T1255" s="77">
        <v>0</v>
      </c>
      <c r="U1255" s="66"/>
      <c r="V1255" s="79"/>
      <c r="W1255" s="66" t="s">
        <v>1606</v>
      </c>
      <c r="X1255" s="24" t="s">
        <v>1607</v>
      </c>
      <c r="Y1255" s="62"/>
      <c r="Z1255" s="176" t="s">
        <v>2279</v>
      </c>
      <c r="AA1255" s="166" t="s">
        <v>647</v>
      </c>
      <c r="AB1255" s="152"/>
      <c r="AC1255" s="153"/>
      <c r="AD1255" s="154"/>
      <c r="AE1255" s="153"/>
      <c r="AF1255" s="153"/>
      <c r="AG1255" s="153"/>
      <c r="AH1255" s="153"/>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c r="BF1255" s="153"/>
      <c r="BG1255" s="153"/>
      <c r="BH1255" s="153"/>
      <c r="BI1255" s="153"/>
      <c r="BJ1255" s="153"/>
      <c r="BK1255" s="153"/>
      <c r="BL1255" s="153"/>
      <c r="BM1255" s="153"/>
      <c r="BN1255" s="153"/>
      <c r="BO1255" s="153"/>
      <c r="BP1255" s="153"/>
      <c r="BQ1255" s="153"/>
      <c r="BR1255" s="153"/>
      <c r="BS1255" s="153"/>
      <c r="BT1255" s="153"/>
      <c r="BU1255" s="153"/>
      <c r="BV1255" s="153"/>
      <c r="BW1255" s="153"/>
      <c r="BX1255" s="153"/>
      <c r="BY1255" s="153"/>
      <c r="BZ1255" s="153"/>
      <c r="CA1255" s="153"/>
      <c r="CB1255" s="153"/>
      <c r="CC1255" s="153"/>
      <c r="CD1255" s="155"/>
      <c r="CE1255" s="156"/>
      <c r="CF1255" s="155"/>
      <c r="CG1255" s="156"/>
      <c r="CH1255" s="155"/>
      <c r="CI1255" s="156"/>
      <c r="CJ1255" s="157">
        <f t="shared" si="166"/>
        <v>0</v>
      </c>
      <c r="CK1255" s="158"/>
      <c r="CL1255" s="159"/>
      <c r="CM1255" s="160"/>
      <c r="CN1255" s="161"/>
      <c r="CO1255" s="162"/>
      <c r="CP1255" s="161"/>
      <c r="CQ1255" s="158"/>
      <c r="CR1255" s="159"/>
      <c r="CS1255" s="68"/>
      <c r="CT1255" s="163"/>
      <c r="EC1255" s="344" t="str">
        <f t="shared" si="170"/>
        <v>SANTANDER_SABANA DE TORRES</v>
      </c>
      <c r="ED1255" s="341"/>
      <c r="EE1255" s="341"/>
      <c r="EF1255" s="348"/>
      <c r="EG1255" s="341"/>
      <c r="EH1255" s="341"/>
      <c r="EI1255" s="341"/>
    </row>
    <row r="1256" spans="1:139" s="164" customFormat="1" ht="38.25">
      <c r="A1256" s="228">
        <v>40452</v>
      </c>
      <c r="B1256" s="205" t="s">
        <v>1998</v>
      </c>
      <c r="C1256" s="205" t="s">
        <v>2272</v>
      </c>
      <c r="D1256" s="207" t="s">
        <v>1201</v>
      </c>
      <c r="E1256" s="323" t="s">
        <v>4132</v>
      </c>
      <c r="F1256" s="323"/>
      <c r="G1256" s="263"/>
      <c r="H1256" s="151"/>
      <c r="I1256" s="151"/>
      <c r="J1256" s="151">
        <f>50*5</f>
        <v>250</v>
      </c>
      <c r="K1256" s="151">
        <v>50</v>
      </c>
      <c r="L1256" s="1"/>
      <c r="M1256" s="73">
        <f t="shared" si="164"/>
        <v>0</v>
      </c>
      <c r="N1256" s="73">
        <f t="shared" si="168"/>
        <v>0</v>
      </c>
      <c r="O1256" s="73">
        <f t="shared" si="169"/>
        <v>0</v>
      </c>
      <c r="P1256" s="73">
        <f t="shared" si="165"/>
        <v>0</v>
      </c>
      <c r="Q1256" s="73"/>
      <c r="R1256" s="73">
        <v>0</v>
      </c>
      <c r="S1256" s="75">
        <f t="shared" si="167"/>
        <v>0</v>
      </c>
      <c r="T1256" s="77">
        <v>0</v>
      </c>
      <c r="U1256" s="66"/>
      <c r="V1256" s="79"/>
      <c r="W1256" s="66" t="s">
        <v>1606</v>
      </c>
      <c r="X1256" s="24" t="s">
        <v>1607</v>
      </c>
      <c r="Y1256" s="62"/>
      <c r="Z1256" s="176" t="s">
        <v>2279</v>
      </c>
      <c r="AA1256" s="166" t="s">
        <v>647</v>
      </c>
      <c r="AB1256" s="152"/>
      <c r="AC1256" s="153"/>
      <c r="AD1256" s="154"/>
      <c r="AE1256" s="153"/>
      <c r="AF1256" s="153"/>
      <c r="AG1256" s="153"/>
      <c r="AH1256" s="153"/>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c r="BF1256" s="153"/>
      <c r="BG1256" s="153"/>
      <c r="BH1256" s="153"/>
      <c r="BI1256" s="153"/>
      <c r="BJ1256" s="153"/>
      <c r="BK1256" s="153"/>
      <c r="BL1256" s="153"/>
      <c r="BM1256" s="153"/>
      <c r="BN1256" s="153"/>
      <c r="BO1256" s="153"/>
      <c r="BP1256" s="153"/>
      <c r="BQ1256" s="153"/>
      <c r="BR1256" s="153"/>
      <c r="BS1256" s="153"/>
      <c r="BT1256" s="153"/>
      <c r="BU1256" s="153"/>
      <c r="BV1256" s="153"/>
      <c r="BW1256" s="153"/>
      <c r="BX1256" s="153"/>
      <c r="BY1256" s="153"/>
      <c r="BZ1256" s="153"/>
      <c r="CA1256" s="153"/>
      <c r="CB1256" s="153"/>
      <c r="CC1256" s="153"/>
      <c r="CD1256" s="155"/>
      <c r="CE1256" s="156"/>
      <c r="CF1256" s="155"/>
      <c r="CG1256" s="156"/>
      <c r="CH1256" s="155"/>
      <c r="CI1256" s="156"/>
      <c r="CJ1256" s="157">
        <f t="shared" si="166"/>
        <v>0</v>
      </c>
      <c r="CK1256" s="158"/>
      <c r="CL1256" s="159"/>
      <c r="CM1256" s="160"/>
      <c r="CN1256" s="161"/>
      <c r="CO1256" s="162"/>
      <c r="CP1256" s="161"/>
      <c r="CQ1256" s="158"/>
      <c r="CR1256" s="159"/>
      <c r="CS1256" s="68"/>
      <c r="CT1256" s="163"/>
      <c r="EC1256" s="344" t="str">
        <f t="shared" si="170"/>
        <v>SANTANDER_SAN BENITO</v>
      </c>
      <c r="ED1256" s="341"/>
      <c r="EE1256" s="341"/>
      <c r="EF1256" s="348"/>
      <c r="EG1256" s="341"/>
      <c r="EH1256" s="341"/>
      <c r="EI1256" s="341"/>
    </row>
    <row r="1257" spans="1:139" s="164" customFormat="1" ht="51">
      <c r="A1257" s="228">
        <v>40452</v>
      </c>
      <c r="B1257" s="205" t="s">
        <v>1998</v>
      </c>
      <c r="C1257" s="205" t="s">
        <v>2273</v>
      </c>
      <c r="D1257" s="207" t="s">
        <v>1201</v>
      </c>
      <c r="E1257" s="323" t="s">
        <v>4139</v>
      </c>
      <c r="F1257" s="323"/>
      <c r="G1257" s="263"/>
      <c r="H1257" s="151"/>
      <c r="I1257" s="151"/>
      <c r="J1257" s="151">
        <v>300</v>
      </c>
      <c r="K1257" s="151">
        <v>60</v>
      </c>
      <c r="L1257" s="1"/>
      <c r="M1257" s="73">
        <f t="shared" si="164"/>
        <v>0</v>
      </c>
      <c r="N1257" s="73">
        <f t="shared" si="168"/>
        <v>0</v>
      </c>
      <c r="O1257" s="73">
        <f t="shared" si="169"/>
        <v>0</v>
      </c>
      <c r="P1257" s="73">
        <f t="shared" si="165"/>
        <v>0</v>
      </c>
      <c r="Q1257" s="73"/>
      <c r="R1257" s="73">
        <v>0</v>
      </c>
      <c r="S1257" s="75">
        <f t="shared" si="167"/>
        <v>0</v>
      </c>
      <c r="T1257" s="77">
        <v>0</v>
      </c>
      <c r="U1257" s="66"/>
      <c r="V1257" s="79"/>
      <c r="W1257" s="66" t="s">
        <v>1606</v>
      </c>
      <c r="X1257" s="24" t="s">
        <v>1607</v>
      </c>
      <c r="Y1257" s="62"/>
      <c r="Z1257" s="176" t="s">
        <v>2279</v>
      </c>
      <c r="AA1257" s="166" t="s">
        <v>647</v>
      </c>
      <c r="AB1257" s="152"/>
      <c r="AC1257" s="153"/>
      <c r="AD1257" s="154"/>
      <c r="AE1257" s="153"/>
      <c r="AF1257" s="153"/>
      <c r="AG1257" s="153"/>
      <c r="AH1257" s="153"/>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c r="BF1257" s="153"/>
      <c r="BG1257" s="153"/>
      <c r="BH1257" s="153"/>
      <c r="BI1257" s="153"/>
      <c r="BJ1257" s="153"/>
      <c r="BK1257" s="153"/>
      <c r="BL1257" s="153"/>
      <c r="BM1257" s="153"/>
      <c r="BN1257" s="153"/>
      <c r="BO1257" s="153"/>
      <c r="BP1257" s="153"/>
      <c r="BQ1257" s="153"/>
      <c r="BR1257" s="153"/>
      <c r="BS1257" s="153"/>
      <c r="BT1257" s="153"/>
      <c r="BU1257" s="153"/>
      <c r="BV1257" s="153"/>
      <c r="BW1257" s="153"/>
      <c r="BX1257" s="153"/>
      <c r="BY1257" s="153"/>
      <c r="BZ1257" s="153"/>
      <c r="CA1257" s="153"/>
      <c r="CB1257" s="153"/>
      <c r="CC1257" s="153"/>
      <c r="CD1257" s="155"/>
      <c r="CE1257" s="156"/>
      <c r="CF1257" s="155"/>
      <c r="CG1257" s="156"/>
      <c r="CH1257" s="155"/>
      <c r="CI1257" s="156"/>
      <c r="CJ1257" s="157">
        <f t="shared" si="166"/>
        <v>0</v>
      </c>
      <c r="CK1257" s="158"/>
      <c r="CL1257" s="159"/>
      <c r="CM1257" s="160"/>
      <c r="CN1257" s="161"/>
      <c r="CO1257" s="162"/>
      <c r="CP1257" s="161"/>
      <c r="CQ1257" s="158"/>
      <c r="CR1257" s="159"/>
      <c r="CS1257" s="68"/>
      <c r="CT1257" s="163"/>
      <c r="EC1257" s="344" t="str">
        <f t="shared" si="170"/>
        <v>SANTANDER_SANTA HELENA DEL OPON</v>
      </c>
      <c r="ED1257" s="341"/>
      <c r="EE1257" s="341"/>
      <c r="EF1257" s="348"/>
      <c r="EG1257" s="341"/>
      <c r="EH1257" s="341"/>
      <c r="EI1257" s="341"/>
    </row>
    <row r="1258" spans="1:139" s="164" customFormat="1" ht="25.5">
      <c r="A1258" s="228">
        <v>40452</v>
      </c>
      <c r="B1258" s="205" t="s">
        <v>1998</v>
      </c>
      <c r="C1258" s="205" t="s">
        <v>2274</v>
      </c>
      <c r="D1258" s="207" t="s">
        <v>1201</v>
      </c>
      <c r="E1258" s="323" t="s">
        <v>4144</v>
      </c>
      <c r="F1258" s="323"/>
      <c r="G1258" s="263"/>
      <c r="H1258" s="151"/>
      <c r="I1258" s="151"/>
      <c r="J1258" s="151">
        <v>2138</v>
      </c>
      <c r="K1258" s="151">
        <f>295+295</f>
        <v>590</v>
      </c>
      <c r="L1258" s="1"/>
      <c r="M1258" s="73">
        <f t="shared" si="164"/>
        <v>0</v>
      </c>
      <c r="N1258" s="73">
        <f t="shared" si="168"/>
        <v>0</v>
      </c>
      <c r="O1258" s="73">
        <f t="shared" si="169"/>
        <v>0</v>
      </c>
      <c r="P1258" s="73">
        <f t="shared" si="165"/>
        <v>0</v>
      </c>
      <c r="Q1258" s="73"/>
      <c r="R1258" s="73">
        <v>0</v>
      </c>
      <c r="S1258" s="75">
        <f t="shared" si="167"/>
        <v>0</v>
      </c>
      <c r="T1258" s="77">
        <v>0</v>
      </c>
      <c r="U1258" s="66"/>
      <c r="V1258" s="79"/>
      <c r="W1258" s="66" t="s">
        <v>1606</v>
      </c>
      <c r="X1258" s="24" t="s">
        <v>1607</v>
      </c>
      <c r="Y1258" s="62"/>
      <c r="Z1258" s="176" t="s">
        <v>2279</v>
      </c>
      <c r="AA1258" s="166" t="s">
        <v>647</v>
      </c>
      <c r="AB1258" s="152"/>
      <c r="AC1258" s="153"/>
      <c r="AD1258" s="154"/>
      <c r="AE1258" s="153"/>
      <c r="AF1258" s="153"/>
      <c r="AG1258" s="153"/>
      <c r="AH1258" s="153"/>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c r="BF1258" s="153"/>
      <c r="BG1258" s="153"/>
      <c r="BH1258" s="153"/>
      <c r="BI1258" s="153"/>
      <c r="BJ1258" s="153"/>
      <c r="BK1258" s="153"/>
      <c r="BL1258" s="153"/>
      <c r="BM1258" s="153"/>
      <c r="BN1258" s="153"/>
      <c r="BO1258" s="153"/>
      <c r="BP1258" s="153"/>
      <c r="BQ1258" s="153"/>
      <c r="BR1258" s="153"/>
      <c r="BS1258" s="153"/>
      <c r="BT1258" s="153"/>
      <c r="BU1258" s="153"/>
      <c r="BV1258" s="153"/>
      <c r="BW1258" s="153"/>
      <c r="BX1258" s="153"/>
      <c r="BY1258" s="153"/>
      <c r="BZ1258" s="153"/>
      <c r="CA1258" s="153"/>
      <c r="CB1258" s="153"/>
      <c r="CC1258" s="153"/>
      <c r="CD1258" s="155"/>
      <c r="CE1258" s="156"/>
      <c r="CF1258" s="155"/>
      <c r="CG1258" s="156"/>
      <c r="CH1258" s="155"/>
      <c r="CI1258" s="156"/>
      <c r="CJ1258" s="157">
        <f t="shared" si="166"/>
        <v>0</v>
      </c>
      <c r="CK1258" s="158"/>
      <c r="CL1258" s="159"/>
      <c r="CM1258" s="160"/>
      <c r="CN1258" s="161"/>
      <c r="CO1258" s="162"/>
      <c r="CP1258" s="161"/>
      <c r="CQ1258" s="158"/>
      <c r="CR1258" s="159"/>
      <c r="CS1258" s="68"/>
      <c r="CT1258" s="163"/>
      <c r="EC1258" s="344" t="str">
        <f t="shared" si="170"/>
        <v>SANTANDER_SURATA</v>
      </c>
      <c r="ED1258" s="341"/>
      <c r="EE1258" s="341"/>
      <c r="EF1258" s="348"/>
      <c r="EG1258" s="341"/>
      <c r="EH1258" s="341"/>
      <c r="EI1258" s="341"/>
    </row>
    <row r="1259" spans="1:139" s="164" customFormat="1" ht="51">
      <c r="A1259" s="228">
        <v>40452</v>
      </c>
      <c r="B1259" s="205" t="s">
        <v>1998</v>
      </c>
      <c r="C1259" s="205" t="s">
        <v>2275</v>
      </c>
      <c r="D1259" s="207" t="s">
        <v>1201</v>
      </c>
      <c r="E1259" s="323" t="s">
        <v>4146</v>
      </c>
      <c r="F1259" s="323"/>
      <c r="G1259" s="263"/>
      <c r="H1259" s="151"/>
      <c r="I1259" s="151"/>
      <c r="J1259" s="151">
        <v>300</v>
      </c>
      <c r="K1259" s="151">
        <v>60</v>
      </c>
      <c r="L1259" s="1"/>
      <c r="M1259" s="73">
        <f t="shared" si="164"/>
        <v>0</v>
      </c>
      <c r="N1259" s="73">
        <f t="shared" si="168"/>
        <v>0</v>
      </c>
      <c r="O1259" s="73">
        <f t="shared" si="169"/>
        <v>0</v>
      </c>
      <c r="P1259" s="73">
        <f t="shared" si="165"/>
        <v>0</v>
      </c>
      <c r="Q1259" s="73"/>
      <c r="R1259" s="73">
        <v>0</v>
      </c>
      <c r="S1259" s="75">
        <f t="shared" si="167"/>
        <v>0</v>
      </c>
      <c r="T1259" s="77">
        <v>0</v>
      </c>
      <c r="U1259" s="66"/>
      <c r="V1259" s="79"/>
      <c r="W1259" s="66" t="s">
        <v>1606</v>
      </c>
      <c r="X1259" s="24" t="s">
        <v>1607</v>
      </c>
      <c r="Y1259" s="62"/>
      <c r="Z1259" s="176" t="s">
        <v>2279</v>
      </c>
      <c r="AA1259" s="166" t="s">
        <v>647</v>
      </c>
      <c r="AB1259" s="152"/>
      <c r="AC1259" s="153"/>
      <c r="AD1259" s="154"/>
      <c r="AE1259" s="153"/>
      <c r="AF1259" s="153"/>
      <c r="AG1259" s="153"/>
      <c r="AH1259" s="153"/>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c r="BF1259" s="153"/>
      <c r="BG1259" s="153"/>
      <c r="BH1259" s="153"/>
      <c r="BI1259" s="153"/>
      <c r="BJ1259" s="153"/>
      <c r="BK1259" s="153"/>
      <c r="BL1259" s="153"/>
      <c r="BM1259" s="153"/>
      <c r="BN1259" s="153"/>
      <c r="BO1259" s="153"/>
      <c r="BP1259" s="153"/>
      <c r="BQ1259" s="153"/>
      <c r="BR1259" s="153"/>
      <c r="BS1259" s="153"/>
      <c r="BT1259" s="153"/>
      <c r="BU1259" s="153"/>
      <c r="BV1259" s="153"/>
      <c r="BW1259" s="153"/>
      <c r="BX1259" s="153"/>
      <c r="BY1259" s="153"/>
      <c r="BZ1259" s="153"/>
      <c r="CA1259" s="153"/>
      <c r="CB1259" s="153"/>
      <c r="CC1259" s="153"/>
      <c r="CD1259" s="155"/>
      <c r="CE1259" s="156"/>
      <c r="CF1259" s="155"/>
      <c r="CG1259" s="156"/>
      <c r="CH1259" s="155"/>
      <c r="CI1259" s="156"/>
      <c r="CJ1259" s="157">
        <f t="shared" si="166"/>
        <v>0</v>
      </c>
      <c r="CK1259" s="158"/>
      <c r="CL1259" s="159"/>
      <c r="CM1259" s="160"/>
      <c r="CN1259" s="161"/>
      <c r="CO1259" s="162"/>
      <c r="CP1259" s="161"/>
      <c r="CQ1259" s="158"/>
      <c r="CR1259" s="159"/>
      <c r="CS1259" s="68"/>
      <c r="CT1259" s="163"/>
      <c r="EC1259" s="344" t="str">
        <f t="shared" si="170"/>
        <v>SANTANDER_VALLE DE SAN JOSE</v>
      </c>
      <c r="ED1259" s="341"/>
      <c r="EE1259" s="341"/>
      <c r="EF1259" s="348"/>
      <c r="EG1259" s="341"/>
      <c r="EH1259" s="341"/>
      <c r="EI1259" s="341"/>
    </row>
    <row r="1260" spans="1:139" s="164" customFormat="1" ht="38.25">
      <c r="A1260" s="228">
        <v>40452</v>
      </c>
      <c r="B1260" s="205" t="s">
        <v>1943</v>
      </c>
      <c r="C1260" s="205" t="s">
        <v>1605</v>
      </c>
      <c r="D1260" s="207" t="s">
        <v>1201</v>
      </c>
      <c r="E1260" s="323" t="s">
        <v>3191</v>
      </c>
      <c r="F1260" s="323"/>
      <c r="G1260" s="204"/>
      <c r="H1260" s="151"/>
      <c r="I1260" s="151"/>
      <c r="J1260" s="151"/>
      <c r="K1260" s="151"/>
      <c r="L1260" s="1">
        <v>40505</v>
      </c>
      <c r="M1260" s="73">
        <f t="shared" si="164"/>
        <v>0</v>
      </c>
      <c r="N1260" s="73">
        <f t="shared" si="168"/>
        <v>0</v>
      </c>
      <c r="O1260" s="73">
        <f t="shared" si="169"/>
        <v>0</v>
      </c>
      <c r="P1260" s="73">
        <f t="shared" si="165"/>
        <v>415106000</v>
      </c>
      <c r="Q1260" s="73"/>
      <c r="R1260" s="73">
        <v>0</v>
      </c>
      <c r="S1260" s="75">
        <f t="shared" si="167"/>
        <v>415106000</v>
      </c>
      <c r="T1260" s="77">
        <v>0</v>
      </c>
      <c r="U1260" s="66">
        <v>40452</v>
      </c>
      <c r="V1260" s="79">
        <v>52104</v>
      </c>
      <c r="W1260" s="66" t="s">
        <v>1606</v>
      </c>
      <c r="X1260" s="24" t="s">
        <v>1607</v>
      </c>
      <c r="Y1260" s="83">
        <v>26770</v>
      </c>
      <c r="Z1260" s="169" t="s">
        <v>1795</v>
      </c>
      <c r="AA1260" s="166" t="s">
        <v>1868</v>
      </c>
      <c r="AB1260" s="152"/>
      <c r="AC1260" s="153"/>
      <c r="AD1260" s="154"/>
      <c r="AE1260" s="153"/>
      <c r="AF1260" s="153"/>
      <c r="AG1260" s="153"/>
      <c r="AH1260" s="153"/>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c r="BI1260" s="153"/>
      <c r="BJ1260" s="153"/>
      <c r="BK1260" s="153"/>
      <c r="BL1260" s="153"/>
      <c r="BM1260" s="153"/>
      <c r="BN1260" s="153"/>
      <c r="BO1260" s="153"/>
      <c r="BP1260" s="153"/>
      <c r="BQ1260" s="153"/>
      <c r="BR1260" s="153"/>
      <c r="BS1260" s="153"/>
      <c r="BT1260" s="153"/>
      <c r="BU1260" s="153"/>
      <c r="BV1260" s="153"/>
      <c r="BW1260" s="153"/>
      <c r="BX1260" s="153"/>
      <c r="BY1260" s="153"/>
      <c r="BZ1260" s="153"/>
      <c r="CA1260" s="153"/>
      <c r="CB1260" s="153"/>
      <c r="CC1260" s="153"/>
      <c r="CD1260" s="155"/>
      <c r="CE1260" s="156"/>
      <c r="CF1260" s="155"/>
      <c r="CG1260" s="156"/>
      <c r="CH1260" s="155"/>
      <c r="CI1260" s="156"/>
      <c r="CJ1260" s="157">
        <f t="shared" si="166"/>
        <v>0</v>
      </c>
      <c r="CK1260" s="158">
        <f>100000+100000+150000+100000</f>
        <v>450000</v>
      </c>
      <c r="CL1260" s="159">
        <f>100000*900.16+100000*986+150000*910.6+100000*899</f>
        <v>415106000</v>
      </c>
      <c r="CM1260" s="160"/>
      <c r="CN1260" s="161"/>
      <c r="CO1260" s="162"/>
      <c r="CP1260" s="161"/>
      <c r="CQ1260" s="158"/>
      <c r="CR1260" s="159"/>
      <c r="CS1260" s="68"/>
      <c r="CT1260" s="163"/>
      <c r="EC1260" s="344" t="str">
        <f t="shared" si="170"/>
        <v>SUCRE_DEPARTAMENTO</v>
      </c>
      <c r="ED1260" s="341"/>
      <c r="EE1260" s="341"/>
      <c r="EF1260" s="348"/>
      <c r="EG1260" s="341"/>
      <c r="EH1260" s="341"/>
      <c r="EI1260" s="341"/>
    </row>
    <row r="1261" spans="1:139" s="164" customFormat="1" ht="38.25">
      <c r="A1261" s="228">
        <v>40452</v>
      </c>
      <c r="B1261" s="205" t="s">
        <v>1088</v>
      </c>
      <c r="C1261" s="205" t="s">
        <v>2348</v>
      </c>
      <c r="D1261" s="207" t="s">
        <v>1201</v>
      </c>
      <c r="E1261" s="323" t="s">
        <v>4252</v>
      </c>
      <c r="F1261" s="323"/>
      <c r="G1261" s="204"/>
      <c r="H1261" s="151"/>
      <c r="I1261" s="151"/>
      <c r="J1261" s="151">
        <f>127*5</f>
        <v>635</v>
      </c>
      <c r="K1261" s="151">
        <v>127</v>
      </c>
      <c r="L1261" s="1">
        <v>40520</v>
      </c>
      <c r="M1261" s="73">
        <f t="shared" si="164"/>
        <v>11811000</v>
      </c>
      <c r="N1261" s="73">
        <f t="shared" si="168"/>
        <v>10795000</v>
      </c>
      <c r="O1261" s="73">
        <f t="shared" si="169"/>
        <v>0</v>
      </c>
      <c r="P1261" s="73">
        <f t="shared" si="165"/>
        <v>0</v>
      </c>
      <c r="Q1261" s="73"/>
      <c r="R1261" s="73">
        <v>0</v>
      </c>
      <c r="S1261" s="75">
        <f t="shared" si="167"/>
        <v>22606000</v>
      </c>
      <c r="T1261" s="77">
        <v>0</v>
      </c>
      <c r="U1261" s="66">
        <v>40483</v>
      </c>
      <c r="V1261" s="79"/>
      <c r="W1261" s="66" t="s">
        <v>1606</v>
      </c>
      <c r="X1261" s="24" t="s">
        <v>1607</v>
      </c>
      <c r="Y1261" s="62">
        <v>26384</v>
      </c>
      <c r="Z1261" s="169" t="s">
        <v>1435</v>
      </c>
      <c r="AA1261" s="166" t="s">
        <v>647</v>
      </c>
      <c r="AB1261" s="152"/>
      <c r="AC1261" s="153"/>
      <c r="AD1261" s="154"/>
      <c r="AE1261" s="153"/>
      <c r="AF1261" s="153"/>
      <c r="AG1261" s="153"/>
      <c r="AH1261" s="153"/>
      <c r="AI1261" s="153"/>
      <c r="AJ1261" s="153"/>
      <c r="AK1261" s="153"/>
      <c r="AL1261" s="153"/>
      <c r="AM1261" s="153"/>
      <c r="AN1261" s="153">
        <v>127</v>
      </c>
      <c r="AO1261" s="153">
        <f>127*56000</f>
        <v>7112000</v>
      </c>
      <c r="AP1261" s="153"/>
      <c r="AQ1261" s="153"/>
      <c r="AR1261" s="153"/>
      <c r="AS1261" s="153"/>
      <c r="AT1261" s="153"/>
      <c r="AU1261" s="153"/>
      <c r="AV1261" s="153"/>
      <c r="AW1261" s="153"/>
      <c r="AX1261" s="153"/>
      <c r="AY1261" s="153"/>
      <c r="AZ1261" s="153"/>
      <c r="BA1261" s="153"/>
      <c r="BB1261" s="153"/>
      <c r="BC1261" s="153"/>
      <c r="BD1261" s="153"/>
      <c r="BE1261" s="153"/>
      <c r="BF1261" s="153"/>
      <c r="BG1261" s="153"/>
      <c r="BH1261" s="153"/>
      <c r="BI1261" s="153"/>
      <c r="BJ1261" s="153"/>
      <c r="BK1261" s="153"/>
      <c r="BL1261" s="153"/>
      <c r="BM1261" s="153"/>
      <c r="BN1261" s="153"/>
      <c r="BO1261" s="153"/>
      <c r="BP1261" s="153"/>
      <c r="BQ1261" s="153"/>
      <c r="BR1261" s="153"/>
      <c r="BS1261" s="153"/>
      <c r="BT1261" s="153"/>
      <c r="BU1261" s="153"/>
      <c r="BV1261" s="153"/>
      <c r="BW1261" s="153"/>
      <c r="BX1261" s="153"/>
      <c r="BY1261" s="153"/>
      <c r="BZ1261" s="153"/>
      <c r="CA1261" s="153"/>
      <c r="CB1261" s="153"/>
      <c r="CC1261" s="153"/>
      <c r="CD1261" s="155">
        <v>127</v>
      </c>
      <c r="CE1261" s="156">
        <f>127*37000</f>
        <v>4699000</v>
      </c>
      <c r="CF1261" s="155"/>
      <c r="CG1261" s="156"/>
      <c r="CH1261" s="155"/>
      <c r="CI1261" s="156"/>
      <c r="CJ1261" s="157">
        <f t="shared" si="166"/>
        <v>11811000</v>
      </c>
      <c r="CK1261" s="158"/>
      <c r="CL1261" s="159"/>
      <c r="CM1261" s="160">
        <v>127</v>
      </c>
      <c r="CN1261" s="161">
        <f>127*85000</f>
        <v>10795000</v>
      </c>
      <c r="CO1261" s="162"/>
      <c r="CP1261" s="161"/>
      <c r="CQ1261" s="158"/>
      <c r="CR1261" s="159"/>
      <c r="CS1261" s="68"/>
      <c r="CT1261" s="163"/>
      <c r="EC1261" s="344" t="str">
        <f t="shared" si="170"/>
        <v>VALLE DEL CAUCA_RESTREPO</v>
      </c>
      <c r="ED1261" s="341"/>
      <c r="EE1261" s="341"/>
      <c r="EF1261" s="348"/>
      <c r="EG1261" s="341"/>
      <c r="EH1261" s="341"/>
      <c r="EI1261" s="341"/>
    </row>
    <row r="1262" spans="1:139" s="164" customFormat="1" ht="38.25">
      <c r="A1262" s="228">
        <v>40452.736111111109</v>
      </c>
      <c r="B1262" s="205" t="s">
        <v>2298</v>
      </c>
      <c r="C1262" s="205" t="s">
        <v>1610</v>
      </c>
      <c r="D1262" s="207" t="s">
        <v>618</v>
      </c>
      <c r="E1262" s="323"/>
      <c r="F1262" s="323"/>
      <c r="G1262" s="204"/>
      <c r="H1262" s="151"/>
      <c r="I1262" s="151"/>
      <c r="J1262" s="151"/>
      <c r="K1262" s="409"/>
      <c r="L1262" s="1"/>
      <c r="M1262" s="73">
        <f t="shared" si="164"/>
        <v>0</v>
      </c>
      <c r="N1262" s="73">
        <f t="shared" si="168"/>
        <v>0</v>
      </c>
      <c r="O1262" s="73">
        <f t="shared" ref="O1262:O1293" si="171">CP1262+CR1262</f>
        <v>0</v>
      </c>
      <c r="P1262" s="73">
        <f t="shared" si="165"/>
        <v>0</v>
      </c>
      <c r="Q1262" s="73"/>
      <c r="R1262" s="73">
        <v>0</v>
      </c>
      <c r="S1262" s="75">
        <f t="shared" si="167"/>
        <v>0</v>
      </c>
      <c r="T1262" s="77">
        <v>0</v>
      </c>
      <c r="U1262" s="296">
        <v>40624</v>
      </c>
      <c r="V1262" s="297"/>
      <c r="W1262" s="296" t="s">
        <v>1585</v>
      </c>
      <c r="X1262" s="298" t="s">
        <v>1586</v>
      </c>
      <c r="Y1262" s="299"/>
      <c r="Z1262" s="300" t="s">
        <v>894</v>
      </c>
      <c r="AA1262" s="414" t="s">
        <v>5413</v>
      </c>
      <c r="AB1262" s="152"/>
      <c r="AC1262" s="153"/>
      <c r="AD1262" s="154"/>
      <c r="AE1262" s="153"/>
      <c r="AF1262" s="153"/>
      <c r="AG1262" s="153"/>
      <c r="AH1262" s="153"/>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c r="BF1262" s="153"/>
      <c r="BG1262" s="153"/>
      <c r="BH1262" s="153"/>
      <c r="BI1262" s="153"/>
      <c r="BJ1262" s="153"/>
      <c r="BK1262" s="153"/>
      <c r="BL1262" s="153"/>
      <c r="BM1262" s="153"/>
      <c r="BN1262" s="153"/>
      <c r="BO1262" s="153"/>
      <c r="BP1262" s="153"/>
      <c r="BQ1262" s="153"/>
      <c r="BR1262" s="153"/>
      <c r="BS1262" s="153"/>
      <c r="BT1262" s="153"/>
      <c r="BU1262" s="153"/>
      <c r="BV1262" s="153"/>
      <c r="BW1262" s="153"/>
      <c r="BX1262" s="153"/>
      <c r="BY1262" s="153"/>
      <c r="BZ1262" s="153"/>
      <c r="CA1262" s="153"/>
      <c r="CB1262" s="153"/>
      <c r="CC1262" s="153"/>
      <c r="CD1262" s="155"/>
      <c r="CE1262" s="156"/>
      <c r="CF1262" s="155"/>
      <c r="CG1262" s="156"/>
      <c r="CH1262" s="155"/>
      <c r="CI1262" s="156"/>
      <c r="CJ1262" s="157">
        <f t="shared" si="166"/>
        <v>0</v>
      </c>
      <c r="CK1262" s="158"/>
      <c r="CL1262" s="159"/>
      <c r="CM1262" s="160"/>
      <c r="CN1262" s="161"/>
      <c r="CO1262" s="162"/>
      <c r="CP1262" s="161"/>
      <c r="CQ1262" s="158"/>
      <c r="CR1262" s="159"/>
      <c r="CS1262" s="68"/>
      <c r="CT1262" s="163"/>
      <c r="EC1262" s="344" t="str">
        <f t="shared" si="170"/>
        <v>BOGOTA D.C._BOGOTA</v>
      </c>
      <c r="ED1262" s="341"/>
      <c r="EE1262" s="341"/>
      <c r="EF1262" s="348"/>
      <c r="EG1262" s="341"/>
      <c r="EH1262" s="341"/>
      <c r="EI1262" s="341"/>
    </row>
    <row r="1263" spans="1:139" s="164" customFormat="1" ht="120">
      <c r="A1263" s="228">
        <v>40453</v>
      </c>
      <c r="B1263" s="205" t="s">
        <v>1440</v>
      </c>
      <c r="C1263" s="205" t="s">
        <v>1418</v>
      </c>
      <c r="D1263" s="207" t="s">
        <v>1201</v>
      </c>
      <c r="E1263" s="323" t="s">
        <v>3875</v>
      </c>
      <c r="F1263" s="323"/>
      <c r="G1263" s="204"/>
      <c r="H1263" s="151"/>
      <c r="I1263" s="151"/>
      <c r="J1263" s="151">
        <v>2000</v>
      </c>
      <c r="K1263" s="151">
        <v>400</v>
      </c>
      <c r="L1263" s="1"/>
      <c r="M1263" s="73">
        <f t="shared" si="164"/>
        <v>0</v>
      </c>
      <c r="N1263" s="73">
        <f t="shared" si="168"/>
        <v>0</v>
      </c>
      <c r="O1263" s="73">
        <f t="shared" si="171"/>
        <v>0</v>
      </c>
      <c r="P1263" s="73">
        <f t="shared" si="165"/>
        <v>35960000</v>
      </c>
      <c r="Q1263" s="73">
        <f>5568000+26540800</f>
        <v>32108800</v>
      </c>
      <c r="R1263" s="73">
        <v>0</v>
      </c>
      <c r="S1263" s="75">
        <f t="shared" si="167"/>
        <v>68068800</v>
      </c>
      <c r="T1263" s="77">
        <v>0</v>
      </c>
      <c r="U1263" s="66">
        <v>40454</v>
      </c>
      <c r="V1263" s="79">
        <v>51729</v>
      </c>
      <c r="W1263" s="66" t="s">
        <v>1606</v>
      </c>
      <c r="X1263" s="24" t="s">
        <v>1607</v>
      </c>
      <c r="Y1263" s="62">
        <v>22145</v>
      </c>
      <c r="Z1263" s="169" t="s">
        <v>1795</v>
      </c>
      <c r="AA1263" s="166" t="s">
        <v>1141</v>
      </c>
      <c r="AB1263" s="152"/>
      <c r="AC1263" s="153"/>
      <c r="AD1263" s="154"/>
      <c r="AE1263" s="153"/>
      <c r="AF1263" s="153"/>
      <c r="AG1263" s="153"/>
      <c r="AH1263" s="153"/>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c r="BF1263" s="153"/>
      <c r="BG1263" s="153"/>
      <c r="BH1263" s="153"/>
      <c r="BI1263" s="153"/>
      <c r="BJ1263" s="153"/>
      <c r="BK1263" s="153"/>
      <c r="BL1263" s="153"/>
      <c r="BM1263" s="153"/>
      <c r="BN1263" s="153"/>
      <c r="BO1263" s="153"/>
      <c r="BP1263" s="153"/>
      <c r="BQ1263" s="153"/>
      <c r="BR1263" s="153"/>
      <c r="BS1263" s="153"/>
      <c r="BT1263" s="153"/>
      <c r="BU1263" s="153"/>
      <c r="BV1263" s="153"/>
      <c r="BW1263" s="153"/>
      <c r="BX1263" s="153"/>
      <c r="BY1263" s="153"/>
      <c r="BZ1263" s="153"/>
      <c r="CA1263" s="153"/>
      <c r="CB1263" s="153"/>
      <c r="CC1263" s="153"/>
      <c r="CD1263" s="155"/>
      <c r="CE1263" s="156"/>
      <c r="CF1263" s="155"/>
      <c r="CG1263" s="156"/>
      <c r="CH1263" s="155"/>
      <c r="CI1263" s="156"/>
      <c r="CJ1263" s="157">
        <f t="shared" si="166"/>
        <v>0</v>
      </c>
      <c r="CK1263" s="158">
        <v>40000</v>
      </c>
      <c r="CL1263" s="159">
        <f>40000*899</f>
        <v>35960000</v>
      </c>
      <c r="CM1263" s="160"/>
      <c r="CN1263" s="161"/>
      <c r="CO1263" s="162"/>
      <c r="CP1263" s="161"/>
      <c r="CQ1263" s="158"/>
      <c r="CR1263" s="159"/>
      <c r="CS1263" s="68"/>
      <c r="CT1263" s="163"/>
      <c r="EC1263" s="344" t="str">
        <f t="shared" si="170"/>
        <v>MAGDALENA_SANTA MARTA</v>
      </c>
      <c r="ED1263" s="341"/>
      <c r="EE1263" s="341"/>
      <c r="EF1263" s="348"/>
      <c r="EG1263" s="341"/>
      <c r="EH1263" s="341"/>
      <c r="EI1263" s="341"/>
    </row>
    <row r="1264" spans="1:139" s="164" customFormat="1" ht="25.5">
      <c r="A1264" s="235">
        <v>40454</v>
      </c>
      <c r="B1264" s="269" t="s">
        <v>1972</v>
      </c>
      <c r="C1264" s="269" t="s">
        <v>2716</v>
      </c>
      <c r="D1264" s="270" t="s">
        <v>2606</v>
      </c>
      <c r="E1264" s="327" t="s">
        <v>3338</v>
      </c>
      <c r="F1264" s="327"/>
      <c r="G1264" s="204"/>
      <c r="H1264" s="151"/>
      <c r="I1264" s="151"/>
      <c r="J1264" s="151">
        <v>100</v>
      </c>
      <c r="K1264" s="151">
        <v>32</v>
      </c>
      <c r="L1264" s="1"/>
      <c r="M1264" s="73">
        <f t="shared" si="164"/>
        <v>0</v>
      </c>
      <c r="N1264" s="73">
        <f t="shared" si="168"/>
        <v>0</v>
      </c>
      <c r="O1264" s="73">
        <f t="shared" si="171"/>
        <v>0</v>
      </c>
      <c r="P1264" s="73">
        <f t="shared" si="165"/>
        <v>0</v>
      </c>
      <c r="Q1264" s="73"/>
      <c r="R1264" s="73">
        <v>0</v>
      </c>
      <c r="S1264" s="75">
        <f t="shared" si="167"/>
        <v>0</v>
      </c>
      <c r="T1264" s="77">
        <v>0</v>
      </c>
      <c r="U1264" s="66">
        <v>40455</v>
      </c>
      <c r="V1264" s="79"/>
      <c r="W1264" s="66" t="s">
        <v>1585</v>
      </c>
      <c r="X1264" s="24" t="s">
        <v>1586</v>
      </c>
      <c r="Y1264" s="62"/>
      <c r="Z1264" s="66" t="s">
        <v>894</v>
      </c>
      <c r="AA1264" s="166" t="s">
        <v>2208</v>
      </c>
      <c r="AB1264" s="152"/>
      <c r="AC1264" s="153"/>
      <c r="AD1264" s="154"/>
      <c r="AE1264" s="153"/>
      <c r="AF1264" s="153"/>
      <c r="AG1264" s="153"/>
      <c r="AH1264" s="153"/>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c r="BF1264" s="153"/>
      <c r="BG1264" s="153"/>
      <c r="BH1264" s="153"/>
      <c r="BI1264" s="153"/>
      <c r="BJ1264" s="153"/>
      <c r="BK1264" s="153"/>
      <c r="BL1264" s="153"/>
      <c r="BM1264" s="153"/>
      <c r="BN1264" s="153"/>
      <c r="BO1264" s="153"/>
      <c r="BP1264" s="153"/>
      <c r="BQ1264" s="153"/>
      <c r="BR1264" s="153"/>
      <c r="BS1264" s="153"/>
      <c r="BT1264" s="153"/>
      <c r="BU1264" s="153"/>
      <c r="BV1264" s="153"/>
      <c r="BW1264" s="153"/>
      <c r="BX1264" s="153"/>
      <c r="BY1264" s="153"/>
      <c r="BZ1264" s="153"/>
      <c r="CA1264" s="153"/>
      <c r="CB1264" s="153"/>
      <c r="CC1264" s="153"/>
      <c r="CD1264" s="155"/>
      <c r="CE1264" s="156"/>
      <c r="CF1264" s="155"/>
      <c r="CG1264" s="156"/>
      <c r="CH1264" s="155"/>
      <c r="CI1264" s="156"/>
      <c r="CJ1264" s="157">
        <f t="shared" si="166"/>
        <v>0</v>
      </c>
      <c r="CK1264" s="158"/>
      <c r="CL1264" s="159"/>
      <c r="CM1264" s="160"/>
      <c r="CN1264" s="161"/>
      <c r="CO1264" s="162"/>
      <c r="CP1264" s="161"/>
      <c r="CQ1264" s="158"/>
      <c r="CR1264" s="159"/>
      <c r="CS1264" s="68"/>
      <c r="CT1264" s="163"/>
      <c r="EC1264" s="344" t="str">
        <f t="shared" si="170"/>
        <v>ANTIOQUIA_TOLEDO</v>
      </c>
      <c r="ED1264" s="341"/>
      <c r="EE1264" s="341"/>
      <c r="EF1264" s="348"/>
      <c r="EG1264" s="341"/>
      <c r="EH1264" s="341"/>
      <c r="EI1264" s="341"/>
    </row>
    <row r="1265" spans="1:139" s="164" customFormat="1" ht="25.5">
      <c r="A1265" s="228">
        <v>40454</v>
      </c>
      <c r="B1265" s="205" t="s">
        <v>1615</v>
      </c>
      <c r="C1265" s="205" t="s">
        <v>1553</v>
      </c>
      <c r="D1265" s="207" t="s">
        <v>1201</v>
      </c>
      <c r="E1265" s="323" t="s">
        <v>3419</v>
      </c>
      <c r="F1265" s="323"/>
      <c r="G1265" s="204"/>
      <c r="H1265" s="151"/>
      <c r="I1265" s="151"/>
      <c r="J1265" s="151">
        <f>478*5</f>
        <v>2390</v>
      </c>
      <c r="K1265" s="151">
        <v>478</v>
      </c>
      <c r="L1265" s="1"/>
      <c r="M1265" s="73">
        <f t="shared" si="164"/>
        <v>0</v>
      </c>
      <c r="N1265" s="73">
        <f t="shared" si="168"/>
        <v>0</v>
      </c>
      <c r="O1265" s="73">
        <f t="shared" si="171"/>
        <v>0</v>
      </c>
      <c r="P1265" s="73">
        <f t="shared" si="165"/>
        <v>0</v>
      </c>
      <c r="Q1265" s="73"/>
      <c r="R1265" s="73">
        <v>0</v>
      </c>
      <c r="S1265" s="75">
        <f t="shared" si="167"/>
        <v>0</v>
      </c>
      <c r="T1265" s="77">
        <v>0</v>
      </c>
      <c r="U1265" s="66">
        <v>40454</v>
      </c>
      <c r="V1265" s="79"/>
      <c r="W1265" s="66" t="s">
        <v>1585</v>
      </c>
      <c r="X1265" s="24" t="s">
        <v>1586</v>
      </c>
      <c r="Y1265" s="62"/>
      <c r="Z1265" s="169" t="s">
        <v>894</v>
      </c>
      <c r="AA1265" s="166" t="s">
        <v>2919</v>
      </c>
      <c r="AB1265" s="152"/>
      <c r="AC1265" s="153"/>
      <c r="AD1265" s="154"/>
      <c r="AE1265" s="153"/>
      <c r="AF1265" s="153"/>
      <c r="AG1265" s="153"/>
      <c r="AH1265" s="153"/>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c r="BF1265" s="153"/>
      <c r="BG1265" s="153"/>
      <c r="BH1265" s="153"/>
      <c r="BI1265" s="153"/>
      <c r="BJ1265" s="153"/>
      <c r="BK1265" s="153"/>
      <c r="BL1265" s="153"/>
      <c r="BM1265" s="153"/>
      <c r="BN1265" s="153"/>
      <c r="BO1265" s="153"/>
      <c r="BP1265" s="153"/>
      <c r="BQ1265" s="153"/>
      <c r="BR1265" s="153"/>
      <c r="BS1265" s="153"/>
      <c r="BT1265" s="153"/>
      <c r="BU1265" s="153"/>
      <c r="BV1265" s="153"/>
      <c r="BW1265" s="153"/>
      <c r="BX1265" s="153"/>
      <c r="BY1265" s="153"/>
      <c r="BZ1265" s="153"/>
      <c r="CA1265" s="153"/>
      <c r="CB1265" s="153"/>
      <c r="CC1265" s="153"/>
      <c r="CD1265" s="155"/>
      <c r="CE1265" s="156"/>
      <c r="CF1265" s="155"/>
      <c r="CG1265" s="156"/>
      <c r="CH1265" s="155"/>
      <c r="CI1265" s="156"/>
      <c r="CJ1265" s="157">
        <f t="shared" si="166"/>
        <v>0</v>
      </c>
      <c r="CK1265" s="158"/>
      <c r="CL1265" s="159"/>
      <c r="CM1265" s="160"/>
      <c r="CN1265" s="161"/>
      <c r="CO1265" s="162"/>
      <c r="CP1265" s="161"/>
      <c r="CQ1265" s="158"/>
      <c r="CR1265" s="159"/>
      <c r="CS1265" s="68"/>
      <c r="CT1265" s="163"/>
      <c r="EC1265" s="344" t="str">
        <f t="shared" si="170"/>
        <v>BOLIVAR_VILLANUEVA</v>
      </c>
      <c r="ED1265" s="341"/>
      <c r="EE1265" s="341"/>
      <c r="EF1265" s="348"/>
      <c r="EG1265" s="341"/>
      <c r="EH1265" s="341"/>
      <c r="EI1265" s="341"/>
    </row>
    <row r="1266" spans="1:139" s="164" customFormat="1" ht="96">
      <c r="A1266" s="228">
        <v>40454</v>
      </c>
      <c r="B1266" s="205" t="s">
        <v>1996</v>
      </c>
      <c r="C1266" s="205" t="s">
        <v>2206</v>
      </c>
      <c r="D1266" s="207" t="s">
        <v>1201</v>
      </c>
      <c r="E1266" s="323" t="s">
        <v>3808</v>
      </c>
      <c r="F1266" s="323"/>
      <c r="G1266" s="204"/>
      <c r="H1266" s="151"/>
      <c r="I1266" s="151"/>
      <c r="J1266" s="151">
        <v>1000</v>
      </c>
      <c r="K1266" s="151">
        <v>200</v>
      </c>
      <c r="L1266" s="1">
        <v>40533</v>
      </c>
      <c r="M1266" s="73">
        <f t="shared" si="164"/>
        <v>0</v>
      </c>
      <c r="N1266" s="73">
        <f t="shared" si="168"/>
        <v>29748761.000000004</v>
      </c>
      <c r="O1266" s="73">
        <f t="shared" si="171"/>
        <v>0</v>
      </c>
      <c r="P1266" s="73">
        <f t="shared" si="165"/>
        <v>0</v>
      </c>
      <c r="Q1266" s="73"/>
      <c r="R1266" s="73">
        <v>0</v>
      </c>
      <c r="S1266" s="75">
        <f t="shared" si="167"/>
        <v>29748761.000000004</v>
      </c>
      <c r="T1266" s="77">
        <v>0</v>
      </c>
      <c r="U1266" s="66">
        <v>40455</v>
      </c>
      <c r="V1266" s="79">
        <v>62735</v>
      </c>
      <c r="W1266" s="66" t="s">
        <v>1606</v>
      </c>
      <c r="X1266" s="24" t="s">
        <v>1607</v>
      </c>
      <c r="Y1266" s="62">
        <v>27398</v>
      </c>
      <c r="Z1266" s="169" t="s">
        <v>1435</v>
      </c>
      <c r="AA1266" s="166" t="s">
        <v>181</v>
      </c>
      <c r="AB1266" s="152"/>
      <c r="AC1266" s="153"/>
      <c r="AD1266" s="154"/>
      <c r="AE1266" s="153"/>
      <c r="AF1266" s="153"/>
      <c r="AG1266" s="153"/>
      <c r="AH1266" s="153"/>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c r="BF1266" s="153"/>
      <c r="BG1266" s="153"/>
      <c r="BH1266" s="153"/>
      <c r="BI1266" s="153"/>
      <c r="BJ1266" s="153"/>
      <c r="BK1266" s="153"/>
      <c r="BL1266" s="153"/>
      <c r="BM1266" s="153"/>
      <c r="BN1266" s="153"/>
      <c r="BO1266" s="153"/>
      <c r="BP1266" s="153"/>
      <c r="BQ1266" s="153"/>
      <c r="BR1266" s="153"/>
      <c r="BS1266" s="153"/>
      <c r="BT1266" s="153"/>
      <c r="BU1266" s="153"/>
      <c r="BV1266" s="153"/>
      <c r="BW1266" s="153"/>
      <c r="BX1266" s="153"/>
      <c r="BY1266" s="153"/>
      <c r="BZ1266" s="153"/>
      <c r="CA1266" s="153"/>
      <c r="CB1266" s="153"/>
      <c r="CC1266" s="153"/>
      <c r="CD1266" s="155"/>
      <c r="CE1266" s="156"/>
      <c r="CF1266" s="155"/>
      <c r="CG1266" s="156"/>
      <c r="CH1266" s="155"/>
      <c r="CI1266" s="156"/>
      <c r="CJ1266" s="157">
        <f t="shared" si="166"/>
        <v>0</v>
      </c>
      <c r="CK1266" s="158"/>
      <c r="CL1266" s="159"/>
      <c r="CM1266" s="160">
        <v>350</v>
      </c>
      <c r="CN1266" s="161">
        <f>350*84996.46</f>
        <v>29748761.000000004</v>
      </c>
      <c r="CO1266" s="162"/>
      <c r="CP1266" s="161"/>
      <c r="CQ1266" s="158"/>
      <c r="CR1266" s="159"/>
      <c r="CS1266" s="68"/>
      <c r="CT1266" s="163"/>
      <c r="EC1266" s="344" t="str">
        <f t="shared" si="170"/>
        <v>CHOCO_JURADO</v>
      </c>
      <c r="ED1266" s="341"/>
      <c r="EE1266" s="341"/>
      <c r="EF1266" s="348"/>
      <c r="EG1266" s="341"/>
      <c r="EH1266" s="341"/>
      <c r="EI1266" s="341"/>
    </row>
    <row r="1267" spans="1:139" s="164" customFormat="1" ht="51">
      <c r="A1267" s="228">
        <v>40454</v>
      </c>
      <c r="B1267" s="205" t="s">
        <v>965</v>
      </c>
      <c r="C1267" s="205" t="s">
        <v>1028</v>
      </c>
      <c r="D1267" s="206" t="s">
        <v>1878</v>
      </c>
      <c r="E1267" s="320" t="s">
        <v>4002</v>
      </c>
      <c r="F1267" s="320"/>
      <c r="G1267" s="204">
        <v>3</v>
      </c>
      <c r="H1267" s="151"/>
      <c r="I1267" s="151"/>
      <c r="J1267" s="151">
        <v>10</v>
      </c>
      <c r="K1267" s="151">
        <v>2</v>
      </c>
      <c r="L1267" s="1"/>
      <c r="M1267" s="73">
        <f t="shared" si="164"/>
        <v>0</v>
      </c>
      <c r="N1267" s="73">
        <f t="shared" si="168"/>
        <v>0</v>
      </c>
      <c r="O1267" s="73">
        <f t="shared" si="171"/>
        <v>0</v>
      </c>
      <c r="P1267" s="73">
        <f t="shared" si="165"/>
        <v>0</v>
      </c>
      <c r="Q1267" s="73"/>
      <c r="R1267" s="73">
        <v>0</v>
      </c>
      <c r="S1267" s="75">
        <f t="shared" si="167"/>
        <v>0</v>
      </c>
      <c r="T1267" s="77">
        <v>0</v>
      </c>
      <c r="U1267" s="66">
        <v>40455</v>
      </c>
      <c r="V1267" s="79"/>
      <c r="W1267" s="66" t="s">
        <v>1585</v>
      </c>
      <c r="X1267" s="24" t="s">
        <v>1586</v>
      </c>
      <c r="Y1267" s="62"/>
      <c r="Z1267" s="169" t="s">
        <v>894</v>
      </c>
      <c r="AA1267" s="166" t="s">
        <v>2209</v>
      </c>
      <c r="AB1267" s="152"/>
      <c r="AC1267" s="153"/>
      <c r="AD1267" s="154"/>
      <c r="AE1267" s="153"/>
      <c r="AF1267" s="153"/>
      <c r="AG1267" s="153"/>
      <c r="AH1267" s="153"/>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c r="BF1267" s="153"/>
      <c r="BG1267" s="153"/>
      <c r="BH1267" s="153"/>
      <c r="BI1267" s="153"/>
      <c r="BJ1267" s="153"/>
      <c r="BK1267" s="153"/>
      <c r="BL1267" s="153"/>
      <c r="BM1267" s="153"/>
      <c r="BN1267" s="153"/>
      <c r="BO1267" s="153"/>
      <c r="BP1267" s="153"/>
      <c r="BQ1267" s="153"/>
      <c r="BR1267" s="153"/>
      <c r="BS1267" s="153"/>
      <c r="BT1267" s="153"/>
      <c r="BU1267" s="153"/>
      <c r="BV1267" s="153"/>
      <c r="BW1267" s="153"/>
      <c r="BX1267" s="153"/>
      <c r="BY1267" s="153"/>
      <c r="BZ1267" s="153"/>
      <c r="CA1267" s="153"/>
      <c r="CB1267" s="153"/>
      <c r="CC1267" s="153"/>
      <c r="CD1267" s="155"/>
      <c r="CE1267" s="156"/>
      <c r="CF1267" s="155"/>
      <c r="CG1267" s="156"/>
      <c r="CH1267" s="155"/>
      <c r="CI1267" s="156"/>
      <c r="CJ1267" s="157">
        <f t="shared" si="166"/>
        <v>0</v>
      </c>
      <c r="CK1267" s="158"/>
      <c r="CL1267" s="159"/>
      <c r="CM1267" s="160"/>
      <c r="CN1267" s="161"/>
      <c r="CO1267" s="162"/>
      <c r="CP1267" s="161"/>
      <c r="CQ1267" s="158"/>
      <c r="CR1267" s="159"/>
      <c r="CS1267" s="68"/>
      <c r="CT1267" s="163"/>
      <c r="EC1267" s="344" t="str">
        <f t="shared" si="170"/>
        <v>NORTE DE SANTANDER_BUCARASICA</v>
      </c>
      <c r="ED1267" s="341"/>
      <c r="EE1267" s="341"/>
      <c r="EF1267" s="348"/>
      <c r="EG1267" s="341"/>
      <c r="EH1267" s="341"/>
      <c r="EI1267" s="341"/>
    </row>
    <row r="1268" spans="1:139" s="164" customFormat="1" ht="36">
      <c r="A1268" s="228">
        <v>40454</v>
      </c>
      <c r="B1268" s="205" t="s">
        <v>2400</v>
      </c>
      <c r="C1268" s="205" t="s">
        <v>1545</v>
      </c>
      <c r="D1268" s="206" t="s">
        <v>1878</v>
      </c>
      <c r="E1268" s="320" t="s">
        <v>4177</v>
      </c>
      <c r="F1268" s="320"/>
      <c r="G1268" s="204"/>
      <c r="H1268" s="151"/>
      <c r="I1268" s="151"/>
      <c r="J1268" s="151">
        <v>20</v>
      </c>
      <c r="K1268" s="151">
        <v>4</v>
      </c>
      <c r="L1268" s="1"/>
      <c r="M1268" s="73">
        <f t="shared" si="164"/>
        <v>0</v>
      </c>
      <c r="N1268" s="73">
        <f t="shared" si="168"/>
        <v>0</v>
      </c>
      <c r="O1268" s="73">
        <f t="shared" si="171"/>
        <v>0</v>
      </c>
      <c r="P1268" s="73">
        <f t="shared" si="165"/>
        <v>0</v>
      </c>
      <c r="Q1268" s="73"/>
      <c r="R1268" s="73">
        <v>0</v>
      </c>
      <c r="S1268" s="75">
        <f t="shared" si="167"/>
        <v>0</v>
      </c>
      <c r="T1268" s="77">
        <v>0</v>
      </c>
      <c r="U1268" s="228">
        <v>40455</v>
      </c>
      <c r="V1268" s="79"/>
      <c r="W1268" s="66" t="s">
        <v>1585</v>
      </c>
      <c r="X1268" s="24" t="s">
        <v>1586</v>
      </c>
      <c r="Y1268" s="62"/>
      <c r="Z1268" s="169" t="s">
        <v>894</v>
      </c>
      <c r="AA1268" s="166" t="s">
        <v>3000</v>
      </c>
      <c r="AB1268" s="152"/>
      <c r="AC1268" s="153"/>
      <c r="AD1268" s="154"/>
      <c r="AE1268" s="153"/>
      <c r="AF1268" s="153"/>
      <c r="AG1268" s="153"/>
      <c r="AH1268" s="153"/>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c r="BF1268" s="153"/>
      <c r="BG1268" s="153"/>
      <c r="BH1268" s="153"/>
      <c r="BI1268" s="153"/>
      <c r="BJ1268" s="153"/>
      <c r="BK1268" s="153"/>
      <c r="BL1268" s="153"/>
      <c r="BM1268" s="153"/>
      <c r="BN1268" s="153"/>
      <c r="BO1268" s="153"/>
      <c r="BP1268" s="153"/>
      <c r="BQ1268" s="153"/>
      <c r="BR1268" s="153"/>
      <c r="BS1268" s="153"/>
      <c r="BT1268" s="153"/>
      <c r="BU1268" s="153"/>
      <c r="BV1268" s="153"/>
      <c r="BW1268" s="153"/>
      <c r="BX1268" s="153"/>
      <c r="BY1268" s="153"/>
      <c r="BZ1268" s="153"/>
      <c r="CA1268" s="153"/>
      <c r="CB1268" s="153"/>
      <c r="CC1268" s="153"/>
      <c r="CD1268" s="155"/>
      <c r="CE1268" s="156"/>
      <c r="CF1268" s="155"/>
      <c r="CG1268" s="156"/>
      <c r="CH1268" s="155"/>
      <c r="CI1268" s="156"/>
      <c r="CJ1268" s="157">
        <f t="shared" si="166"/>
        <v>0</v>
      </c>
      <c r="CK1268" s="158"/>
      <c r="CL1268" s="159"/>
      <c r="CM1268" s="160"/>
      <c r="CN1268" s="161"/>
      <c r="CO1268" s="162"/>
      <c r="CP1268" s="161"/>
      <c r="CQ1268" s="158"/>
      <c r="CR1268" s="159"/>
      <c r="CS1268" s="68"/>
      <c r="CT1268" s="163">
        <v>1324</v>
      </c>
      <c r="EC1268" s="344" t="str">
        <f t="shared" si="170"/>
        <v>TOLIMA_IBAGUE</v>
      </c>
      <c r="ED1268" s="341"/>
      <c r="EE1268" s="341"/>
      <c r="EF1268" s="348"/>
      <c r="EG1268" s="341"/>
      <c r="EH1268" s="341"/>
      <c r="EI1268" s="341"/>
    </row>
    <row r="1269" spans="1:139" s="164" customFormat="1" ht="25.5">
      <c r="A1269" s="235">
        <v>40455</v>
      </c>
      <c r="B1269" s="269" t="s">
        <v>1972</v>
      </c>
      <c r="C1269" s="269" t="s">
        <v>2358</v>
      </c>
      <c r="D1269" s="236" t="s">
        <v>1878</v>
      </c>
      <c r="E1269" s="324" t="s">
        <v>3227</v>
      </c>
      <c r="F1269" s="324"/>
      <c r="G1269" s="204"/>
      <c r="H1269" s="151"/>
      <c r="I1269" s="151"/>
      <c r="J1269" s="151">
        <v>10</v>
      </c>
      <c r="K1269" s="151">
        <v>2</v>
      </c>
      <c r="L1269" s="1"/>
      <c r="M1269" s="73">
        <f t="shared" si="164"/>
        <v>0</v>
      </c>
      <c r="N1269" s="73">
        <f t="shared" si="168"/>
        <v>0</v>
      </c>
      <c r="O1269" s="73">
        <f t="shared" si="171"/>
        <v>0</v>
      </c>
      <c r="P1269" s="73">
        <f t="shared" si="165"/>
        <v>0</v>
      </c>
      <c r="Q1269" s="73"/>
      <c r="R1269" s="73">
        <v>0</v>
      </c>
      <c r="S1269" s="75">
        <f t="shared" si="167"/>
        <v>0</v>
      </c>
      <c r="T1269" s="77">
        <v>0</v>
      </c>
      <c r="U1269" s="66">
        <v>40455</v>
      </c>
      <c r="V1269" s="79"/>
      <c r="W1269" s="66" t="s">
        <v>1585</v>
      </c>
      <c r="X1269" s="24" t="s">
        <v>1586</v>
      </c>
      <c r="Y1269" s="62"/>
      <c r="Z1269" s="169" t="s">
        <v>894</v>
      </c>
      <c r="AA1269" s="166" t="s">
        <v>2213</v>
      </c>
      <c r="AB1269" s="152"/>
      <c r="AC1269" s="153"/>
      <c r="AD1269" s="154"/>
      <c r="AE1269" s="153"/>
      <c r="AF1269" s="153"/>
      <c r="AG1269" s="153"/>
      <c r="AH1269" s="153"/>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c r="BF1269" s="153"/>
      <c r="BG1269" s="153"/>
      <c r="BH1269" s="153"/>
      <c r="BI1269" s="153"/>
      <c r="BJ1269" s="153"/>
      <c r="BK1269" s="153"/>
      <c r="BL1269" s="153"/>
      <c r="BM1269" s="153"/>
      <c r="BN1269" s="153"/>
      <c r="BO1269" s="153"/>
      <c r="BP1269" s="153"/>
      <c r="BQ1269" s="153"/>
      <c r="BR1269" s="153"/>
      <c r="BS1269" s="153"/>
      <c r="BT1269" s="153"/>
      <c r="BU1269" s="153"/>
      <c r="BV1269" s="153"/>
      <c r="BW1269" s="153"/>
      <c r="BX1269" s="153"/>
      <c r="BY1269" s="153"/>
      <c r="BZ1269" s="153"/>
      <c r="CA1269" s="153"/>
      <c r="CB1269" s="153"/>
      <c r="CC1269" s="153"/>
      <c r="CD1269" s="155"/>
      <c r="CE1269" s="156"/>
      <c r="CF1269" s="155"/>
      <c r="CG1269" s="156"/>
      <c r="CH1269" s="155"/>
      <c r="CI1269" s="156"/>
      <c r="CJ1269" s="157">
        <f t="shared" si="166"/>
        <v>0</v>
      </c>
      <c r="CK1269" s="158"/>
      <c r="CL1269" s="159"/>
      <c r="CM1269" s="160"/>
      <c r="CN1269" s="161"/>
      <c r="CO1269" s="162"/>
      <c r="CP1269" s="161"/>
      <c r="CQ1269" s="158"/>
      <c r="CR1269" s="159"/>
      <c r="CS1269" s="68"/>
      <c r="CT1269" s="163"/>
      <c r="EC1269" s="344" t="str">
        <f t="shared" si="170"/>
        <v>ANTIOQUIA_MEDELLIN</v>
      </c>
      <c r="ED1269" s="341"/>
      <c r="EE1269" s="341"/>
      <c r="EF1269" s="348"/>
      <c r="EG1269" s="341"/>
      <c r="EH1269" s="341"/>
      <c r="EI1269" s="341"/>
    </row>
    <row r="1270" spans="1:139" s="164" customFormat="1" ht="144">
      <c r="A1270" s="228">
        <v>40455</v>
      </c>
      <c r="B1270" s="205" t="s">
        <v>1821</v>
      </c>
      <c r="C1270" s="205" t="s">
        <v>595</v>
      </c>
      <c r="D1270" s="207" t="s">
        <v>1201</v>
      </c>
      <c r="E1270" s="323" t="s">
        <v>3628</v>
      </c>
      <c r="F1270" s="323"/>
      <c r="G1270" s="204"/>
      <c r="H1270" s="151"/>
      <c r="I1270" s="151"/>
      <c r="J1270" s="151">
        <f>1116*5</f>
        <v>5580</v>
      </c>
      <c r="K1270" s="151">
        <f>1676-500-60</f>
        <v>1116</v>
      </c>
      <c r="L1270" s="1">
        <v>40479</v>
      </c>
      <c r="M1270" s="73">
        <f t="shared" si="164"/>
        <v>0</v>
      </c>
      <c r="N1270" s="73">
        <f t="shared" si="168"/>
        <v>85000000</v>
      </c>
      <c r="O1270" s="73">
        <f t="shared" si="171"/>
        <v>0</v>
      </c>
      <c r="P1270" s="73">
        <f t="shared" si="165"/>
        <v>0</v>
      </c>
      <c r="Q1270" s="73"/>
      <c r="R1270" s="73">
        <v>0</v>
      </c>
      <c r="S1270" s="75">
        <f t="shared" si="167"/>
        <v>85000000</v>
      </c>
      <c r="T1270" s="77">
        <v>0</v>
      </c>
      <c r="U1270" s="228">
        <v>40459</v>
      </c>
      <c r="V1270" s="79">
        <v>54590</v>
      </c>
      <c r="W1270" s="66" t="s">
        <v>1606</v>
      </c>
      <c r="X1270" s="24" t="s">
        <v>1607</v>
      </c>
      <c r="Y1270" s="62">
        <v>23133</v>
      </c>
      <c r="Z1270" s="169" t="s">
        <v>1435</v>
      </c>
      <c r="AA1270" s="166" t="s">
        <v>2247</v>
      </c>
      <c r="AB1270" s="152"/>
      <c r="AC1270" s="153"/>
      <c r="AD1270" s="154"/>
      <c r="AE1270" s="153"/>
      <c r="AF1270" s="153"/>
      <c r="AG1270" s="153"/>
      <c r="AH1270" s="153"/>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c r="BF1270" s="153"/>
      <c r="BG1270" s="153"/>
      <c r="BH1270" s="153"/>
      <c r="BI1270" s="153"/>
      <c r="BJ1270" s="153"/>
      <c r="BK1270" s="153"/>
      <c r="BL1270" s="153"/>
      <c r="BM1270" s="153"/>
      <c r="BN1270" s="153"/>
      <c r="BO1270" s="153"/>
      <c r="BP1270" s="153"/>
      <c r="BQ1270" s="153"/>
      <c r="BR1270" s="153"/>
      <c r="BS1270" s="153"/>
      <c r="BT1270" s="153"/>
      <c r="BU1270" s="153"/>
      <c r="BV1270" s="153"/>
      <c r="BW1270" s="153"/>
      <c r="BX1270" s="153"/>
      <c r="BY1270" s="153"/>
      <c r="BZ1270" s="153"/>
      <c r="CA1270" s="153"/>
      <c r="CB1270" s="153"/>
      <c r="CC1270" s="153">
        <f>+CB1270*18000</f>
        <v>0</v>
      </c>
      <c r="CD1270" s="155"/>
      <c r="CE1270" s="156"/>
      <c r="CF1270" s="155"/>
      <c r="CG1270" s="156"/>
      <c r="CH1270" s="155"/>
      <c r="CI1270" s="156"/>
      <c r="CJ1270" s="157">
        <f t="shared" si="166"/>
        <v>0</v>
      </c>
      <c r="CK1270" s="158"/>
      <c r="CL1270" s="159"/>
      <c r="CM1270" s="160">
        <v>1000</v>
      </c>
      <c r="CN1270" s="161">
        <f>1000*85000</f>
        <v>85000000</v>
      </c>
      <c r="CO1270" s="162"/>
      <c r="CP1270" s="161"/>
      <c r="CQ1270" s="158"/>
      <c r="CR1270" s="159"/>
      <c r="CS1270" s="68"/>
      <c r="CT1270" s="163"/>
      <c r="EC1270" s="344" t="str">
        <f t="shared" si="170"/>
        <v>CESAR_VALLEDUPAR</v>
      </c>
      <c r="ED1270" s="341"/>
      <c r="EE1270" s="341"/>
      <c r="EF1270" s="348"/>
      <c r="EG1270" s="341"/>
      <c r="EH1270" s="341"/>
      <c r="EI1270" s="341"/>
    </row>
    <row r="1271" spans="1:139" s="164" customFormat="1" ht="25.5">
      <c r="A1271" s="228">
        <v>40455</v>
      </c>
      <c r="B1271" s="205" t="s">
        <v>1996</v>
      </c>
      <c r="C1271" s="205" t="s">
        <v>1945</v>
      </c>
      <c r="D1271" s="207" t="s">
        <v>1316</v>
      </c>
      <c r="E1271" s="323" t="s">
        <v>3793</v>
      </c>
      <c r="F1271" s="323"/>
      <c r="G1271" s="204"/>
      <c r="H1271" s="151"/>
      <c r="I1271" s="151"/>
      <c r="J1271" s="151"/>
      <c r="K1271" s="151"/>
      <c r="L1271" s="1"/>
      <c r="M1271" s="73">
        <f t="shared" si="164"/>
        <v>0</v>
      </c>
      <c r="N1271" s="73">
        <f t="shared" si="168"/>
        <v>0</v>
      </c>
      <c r="O1271" s="73">
        <f t="shared" si="171"/>
        <v>0</v>
      </c>
      <c r="P1271" s="73">
        <f t="shared" si="165"/>
        <v>0</v>
      </c>
      <c r="Q1271" s="73"/>
      <c r="R1271" s="73">
        <v>0</v>
      </c>
      <c r="S1271" s="75">
        <f t="shared" si="167"/>
        <v>0</v>
      </c>
      <c r="T1271" s="77">
        <v>0</v>
      </c>
      <c r="U1271" s="66">
        <v>40455</v>
      </c>
      <c r="V1271" s="79"/>
      <c r="W1271" s="66" t="s">
        <v>1585</v>
      </c>
      <c r="X1271" s="24" t="s">
        <v>1586</v>
      </c>
      <c r="Y1271" s="62"/>
      <c r="Z1271" s="169" t="s">
        <v>894</v>
      </c>
      <c r="AA1271" s="166" t="s">
        <v>2207</v>
      </c>
      <c r="AB1271" s="152"/>
      <c r="AC1271" s="153"/>
      <c r="AD1271" s="154"/>
      <c r="AE1271" s="153"/>
      <c r="AF1271" s="153"/>
      <c r="AG1271" s="153"/>
      <c r="AH1271" s="153"/>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c r="BF1271" s="153"/>
      <c r="BG1271" s="153"/>
      <c r="BH1271" s="153"/>
      <c r="BI1271" s="153"/>
      <c r="BJ1271" s="153"/>
      <c r="BK1271" s="153"/>
      <c r="BL1271" s="153"/>
      <c r="BM1271" s="153"/>
      <c r="BN1271" s="153"/>
      <c r="BO1271" s="153"/>
      <c r="BP1271" s="153"/>
      <c r="BQ1271" s="153"/>
      <c r="BR1271" s="153"/>
      <c r="BS1271" s="153"/>
      <c r="BT1271" s="153"/>
      <c r="BU1271" s="153"/>
      <c r="BV1271" s="153"/>
      <c r="BW1271" s="153"/>
      <c r="BX1271" s="153"/>
      <c r="BY1271" s="153"/>
      <c r="BZ1271" s="153"/>
      <c r="CA1271" s="153"/>
      <c r="CB1271" s="153"/>
      <c r="CC1271" s="153"/>
      <c r="CD1271" s="155"/>
      <c r="CE1271" s="156"/>
      <c r="CF1271" s="155"/>
      <c r="CG1271" s="156"/>
      <c r="CH1271" s="155"/>
      <c r="CI1271" s="156"/>
      <c r="CJ1271" s="157">
        <f t="shared" si="166"/>
        <v>0</v>
      </c>
      <c r="CK1271" s="158"/>
      <c r="CL1271" s="159"/>
      <c r="CM1271" s="160"/>
      <c r="CN1271" s="161"/>
      <c r="CO1271" s="162"/>
      <c r="CP1271" s="161"/>
      <c r="CQ1271" s="158"/>
      <c r="CR1271" s="159"/>
      <c r="CS1271" s="68"/>
      <c r="CT1271" s="163"/>
      <c r="EC1271" s="344" t="str">
        <f t="shared" si="170"/>
        <v>CHOCO_QUIBDO</v>
      </c>
      <c r="ED1271" s="341"/>
      <c r="EE1271" s="341"/>
      <c r="EF1271" s="348"/>
      <c r="EG1271" s="341"/>
      <c r="EH1271" s="341"/>
      <c r="EI1271" s="341"/>
    </row>
    <row r="1272" spans="1:139" s="164" customFormat="1" ht="38.25">
      <c r="A1272" s="228">
        <v>40455</v>
      </c>
      <c r="B1272" s="205" t="s">
        <v>965</v>
      </c>
      <c r="C1272" s="205" t="s">
        <v>1327</v>
      </c>
      <c r="D1272" s="207" t="s">
        <v>1201</v>
      </c>
      <c r="E1272" s="323" t="s">
        <v>3998</v>
      </c>
      <c r="F1272" s="323"/>
      <c r="G1272" s="204"/>
      <c r="H1272" s="151"/>
      <c r="I1272" s="151"/>
      <c r="J1272" s="151"/>
      <c r="K1272" s="151"/>
      <c r="L1272" s="1"/>
      <c r="M1272" s="73">
        <f t="shared" si="164"/>
        <v>0</v>
      </c>
      <c r="N1272" s="73">
        <f t="shared" si="168"/>
        <v>0</v>
      </c>
      <c r="O1272" s="73">
        <f t="shared" si="171"/>
        <v>0</v>
      </c>
      <c r="P1272" s="73">
        <f t="shared" si="165"/>
        <v>0</v>
      </c>
      <c r="Q1272" s="73"/>
      <c r="R1272" s="73">
        <v>0</v>
      </c>
      <c r="S1272" s="75">
        <f t="shared" si="167"/>
        <v>0</v>
      </c>
      <c r="T1272" s="77">
        <v>0</v>
      </c>
      <c r="U1272" s="66">
        <v>40455</v>
      </c>
      <c r="V1272" s="79"/>
      <c r="W1272" s="66" t="s">
        <v>1585</v>
      </c>
      <c r="X1272" s="24" t="s">
        <v>1586</v>
      </c>
      <c r="Y1272" s="62"/>
      <c r="Z1272" s="169" t="s">
        <v>894</v>
      </c>
      <c r="AA1272" s="166" t="s">
        <v>3002</v>
      </c>
      <c r="AB1272" s="152"/>
      <c r="AC1272" s="153"/>
      <c r="AD1272" s="154"/>
      <c r="AE1272" s="153"/>
      <c r="AF1272" s="153"/>
      <c r="AG1272" s="153"/>
      <c r="AH1272" s="153"/>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c r="BF1272" s="153"/>
      <c r="BG1272" s="153"/>
      <c r="BH1272" s="153"/>
      <c r="BI1272" s="153"/>
      <c r="BJ1272" s="153"/>
      <c r="BK1272" s="153"/>
      <c r="BL1272" s="153"/>
      <c r="BM1272" s="153"/>
      <c r="BN1272" s="153"/>
      <c r="BO1272" s="153"/>
      <c r="BP1272" s="153"/>
      <c r="BQ1272" s="153"/>
      <c r="BR1272" s="153"/>
      <c r="BS1272" s="153"/>
      <c r="BT1272" s="153"/>
      <c r="BU1272" s="153"/>
      <c r="BV1272" s="153"/>
      <c r="BW1272" s="153"/>
      <c r="BX1272" s="153"/>
      <c r="BY1272" s="153"/>
      <c r="BZ1272" s="153"/>
      <c r="CA1272" s="153"/>
      <c r="CB1272" s="153"/>
      <c r="CC1272" s="153"/>
      <c r="CD1272" s="155"/>
      <c r="CE1272" s="156"/>
      <c r="CF1272" s="155"/>
      <c r="CG1272" s="156"/>
      <c r="CH1272" s="155"/>
      <c r="CI1272" s="156"/>
      <c r="CJ1272" s="157">
        <f t="shared" si="166"/>
        <v>0</v>
      </c>
      <c r="CK1272" s="158"/>
      <c r="CL1272" s="159"/>
      <c r="CM1272" s="160"/>
      <c r="CN1272" s="161"/>
      <c r="CO1272" s="162"/>
      <c r="CP1272" s="161"/>
      <c r="CQ1272" s="158"/>
      <c r="CR1272" s="159"/>
      <c r="CS1272" s="68"/>
      <c r="CT1272" s="163"/>
      <c r="EC1272" s="344" t="str">
        <f t="shared" si="170"/>
        <v>NORTE DE SANTANDER_CUCUTA</v>
      </c>
      <c r="ED1272" s="341"/>
      <c r="EE1272" s="341"/>
      <c r="EF1272" s="348"/>
      <c r="EG1272" s="341"/>
      <c r="EH1272" s="341"/>
      <c r="EI1272" s="341"/>
    </row>
    <row r="1273" spans="1:139" s="164" customFormat="1" ht="63.75">
      <c r="A1273" s="228">
        <v>40455</v>
      </c>
      <c r="B1273" s="205" t="s">
        <v>965</v>
      </c>
      <c r="C1273" s="205" t="s">
        <v>828</v>
      </c>
      <c r="D1273" s="207" t="s">
        <v>1201</v>
      </c>
      <c r="E1273" s="323" t="s">
        <v>4025</v>
      </c>
      <c r="F1273" s="323"/>
      <c r="G1273" s="204"/>
      <c r="H1273" s="151"/>
      <c r="I1273" s="151"/>
      <c r="J1273" s="151">
        <v>200</v>
      </c>
      <c r="K1273" s="151">
        <v>40</v>
      </c>
      <c r="L1273" s="1"/>
      <c r="M1273" s="73">
        <f t="shared" si="164"/>
        <v>0</v>
      </c>
      <c r="N1273" s="73">
        <f t="shared" si="168"/>
        <v>0</v>
      </c>
      <c r="O1273" s="73">
        <f t="shared" si="171"/>
        <v>0</v>
      </c>
      <c r="P1273" s="73">
        <f t="shared" si="165"/>
        <v>0</v>
      </c>
      <c r="Q1273" s="73"/>
      <c r="R1273" s="73">
        <v>0</v>
      </c>
      <c r="S1273" s="75">
        <f t="shared" si="167"/>
        <v>0</v>
      </c>
      <c r="T1273" s="77">
        <v>0</v>
      </c>
      <c r="U1273" s="66">
        <v>40455</v>
      </c>
      <c r="V1273" s="79"/>
      <c r="W1273" s="66" t="s">
        <v>1585</v>
      </c>
      <c r="X1273" s="24" t="s">
        <v>1586</v>
      </c>
      <c r="Y1273" s="62"/>
      <c r="Z1273" s="169" t="s">
        <v>894</v>
      </c>
      <c r="AA1273" s="166" t="s">
        <v>3001</v>
      </c>
      <c r="AB1273" s="152"/>
      <c r="AC1273" s="153"/>
      <c r="AD1273" s="154"/>
      <c r="AE1273" s="153"/>
      <c r="AF1273" s="153"/>
      <c r="AG1273" s="153"/>
      <c r="AH1273" s="153"/>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c r="BF1273" s="153"/>
      <c r="BG1273" s="153"/>
      <c r="BH1273" s="153"/>
      <c r="BI1273" s="153"/>
      <c r="BJ1273" s="153"/>
      <c r="BK1273" s="153"/>
      <c r="BL1273" s="153"/>
      <c r="BM1273" s="153"/>
      <c r="BN1273" s="153"/>
      <c r="BO1273" s="153"/>
      <c r="BP1273" s="153"/>
      <c r="BQ1273" s="153"/>
      <c r="BR1273" s="153"/>
      <c r="BS1273" s="153"/>
      <c r="BT1273" s="153"/>
      <c r="BU1273" s="153"/>
      <c r="BV1273" s="153"/>
      <c r="BW1273" s="153"/>
      <c r="BX1273" s="153"/>
      <c r="BY1273" s="153"/>
      <c r="BZ1273" s="153"/>
      <c r="CA1273" s="153"/>
      <c r="CB1273" s="153"/>
      <c r="CC1273" s="153"/>
      <c r="CD1273" s="155"/>
      <c r="CE1273" s="156"/>
      <c r="CF1273" s="155"/>
      <c r="CG1273" s="156"/>
      <c r="CH1273" s="155"/>
      <c r="CI1273" s="156"/>
      <c r="CJ1273" s="157">
        <f t="shared" si="166"/>
        <v>0</v>
      </c>
      <c r="CK1273" s="158"/>
      <c r="CL1273" s="159"/>
      <c r="CM1273" s="160"/>
      <c r="CN1273" s="161"/>
      <c r="CO1273" s="162"/>
      <c r="CP1273" s="161"/>
      <c r="CQ1273" s="158"/>
      <c r="CR1273" s="159"/>
      <c r="CS1273" s="68"/>
      <c r="CT1273" s="163"/>
      <c r="EC1273" s="344" t="str">
        <f t="shared" si="170"/>
        <v>NORTE DE SANTANDER_PUERTO SANTANDER</v>
      </c>
      <c r="ED1273" s="341"/>
      <c r="EE1273" s="341"/>
      <c r="EF1273" s="348"/>
      <c r="EG1273" s="341"/>
      <c r="EH1273" s="341"/>
      <c r="EI1273" s="341"/>
    </row>
    <row r="1274" spans="1:139" s="164" customFormat="1" ht="168">
      <c r="A1274" s="228">
        <v>40455</v>
      </c>
      <c r="B1274" s="205" t="s">
        <v>1612</v>
      </c>
      <c r="C1274" s="205" t="s">
        <v>2713</v>
      </c>
      <c r="D1274" s="206" t="s">
        <v>1878</v>
      </c>
      <c r="E1274" s="320" t="s">
        <v>4047</v>
      </c>
      <c r="F1274" s="320"/>
      <c r="G1274" s="204"/>
      <c r="H1274" s="151"/>
      <c r="I1274" s="151"/>
      <c r="J1274" s="151"/>
      <c r="K1274" s="151"/>
      <c r="L1274" s="1">
        <v>40464</v>
      </c>
      <c r="M1274" s="73">
        <f t="shared" si="164"/>
        <v>0</v>
      </c>
      <c r="N1274" s="73">
        <f t="shared" si="168"/>
        <v>0</v>
      </c>
      <c r="O1274" s="73">
        <f t="shared" si="171"/>
        <v>0</v>
      </c>
      <c r="P1274" s="73">
        <f t="shared" si="165"/>
        <v>0</v>
      </c>
      <c r="Q1274" s="73"/>
      <c r="R1274" s="73">
        <v>63490350</v>
      </c>
      <c r="S1274" s="75">
        <f t="shared" si="167"/>
        <v>63490350</v>
      </c>
      <c r="T1274" s="77">
        <v>0</v>
      </c>
      <c r="U1274" s="66">
        <v>40455</v>
      </c>
      <c r="V1274" s="79"/>
      <c r="W1274" s="66" t="s">
        <v>1606</v>
      </c>
      <c r="X1274" s="24" t="s">
        <v>1607</v>
      </c>
      <c r="Y1274" s="62">
        <v>37222</v>
      </c>
      <c r="Z1274" s="169" t="s">
        <v>1050</v>
      </c>
      <c r="AA1274" s="170" t="s">
        <v>2714</v>
      </c>
      <c r="AB1274" s="152"/>
      <c r="AC1274" s="153"/>
      <c r="AD1274" s="154"/>
      <c r="AE1274" s="153"/>
      <c r="AF1274" s="153"/>
      <c r="AG1274" s="153"/>
      <c r="AH1274" s="153"/>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c r="BF1274" s="153"/>
      <c r="BG1274" s="153"/>
      <c r="BH1274" s="153"/>
      <c r="BI1274" s="153"/>
      <c r="BJ1274" s="153"/>
      <c r="BK1274" s="153"/>
      <c r="BL1274" s="153"/>
      <c r="BM1274" s="153"/>
      <c r="BN1274" s="153"/>
      <c r="BO1274" s="153"/>
      <c r="BP1274" s="153"/>
      <c r="BQ1274" s="153"/>
      <c r="BR1274" s="153"/>
      <c r="BS1274" s="153"/>
      <c r="BT1274" s="153"/>
      <c r="BU1274" s="153"/>
      <c r="BV1274" s="153"/>
      <c r="BW1274" s="153"/>
      <c r="BX1274" s="153"/>
      <c r="BY1274" s="153"/>
      <c r="BZ1274" s="153"/>
      <c r="CA1274" s="153"/>
      <c r="CB1274" s="153"/>
      <c r="CC1274" s="153"/>
      <c r="CD1274" s="155"/>
      <c r="CE1274" s="156"/>
      <c r="CF1274" s="155"/>
      <c r="CG1274" s="156"/>
      <c r="CH1274" s="155"/>
      <c r="CI1274" s="156"/>
      <c r="CJ1274" s="157">
        <f t="shared" si="166"/>
        <v>0</v>
      </c>
      <c r="CK1274" s="158"/>
      <c r="CL1274" s="159"/>
      <c r="CM1274" s="160"/>
      <c r="CN1274" s="161"/>
      <c r="CO1274" s="162"/>
      <c r="CP1274" s="161"/>
      <c r="CQ1274" s="158"/>
      <c r="CR1274" s="159"/>
      <c r="CS1274" s="68">
        <v>2</v>
      </c>
      <c r="CT1274" s="163"/>
      <c r="EC1274" s="344" t="str">
        <f t="shared" si="170"/>
        <v>QUINDIO_PIJAO</v>
      </c>
      <c r="ED1274" s="341"/>
      <c r="EE1274" s="341"/>
      <c r="EF1274" s="348"/>
      <c r="EG1274" s="341"/>
      <c r="EH1274" s="341"/>
      <c r="EI1274" s="341"/>
    </row>
    <row r="1275" spans="1:139" s="164" customFormat="1" ht="132">
      <c r="A1275" s="228">
        <v>40455</v>
      </c>
      <c r="B1275" s="205" t="s">
        <v>1088</v>
      </c>
      <c r="C1275" s="205" t="s">
        <v>689</v>
      </c>
      <c r="D1275" s="207" t="s">
        <v>1201</v>
      </c>
      <c r="E1275" s="323" t="s">
        <v>4261</v>
      </c>
      <c r="F1275" s="323"/>
      <c r="G1275" s="204"/>
      <c r="H1275" s="151"/>
      <c r="I1275" s="151"/>
      <c r="J1275" s="151">
        <f>183*5</f>
        <v>915</v>
      </c>
      <c r="K1275" s="151">
        <f>318-5-70-10-50</f>
        <v>183</v>
      </c>
      <c r="L1275" s="1">
        <v>40480</v>
      </c>
      <c r="M1275" s="73">
        <f t="shared" si="164"/>
        <v>0</v>
      </c>
      <c r="N1275" s="73">
        <f t="shared" si="168"/>
        <v>0</v>
      </c>
      <c r="O1275" s="73">
        <f t="shared" si="171"/>
        <v>0</v>
      </c>
      <c r="P1275" s="73">
        <f t="shared" si="165"/>
        <v>0</v>
      </c>
      <c r="Q1275" s="73"/>
      <c r="R1275" s="73">
        <v>73510100</v>
      </c>
      <c r="S1275" s="75">
        <f t="shared" si="167"/>
        <v>73510100</v>
      </c>
      <c r="T1275" s="77">
        <v>0</v>
      </c>
      <c r="U1275" s="66">
        <v>40465</v>
      </c>
      <c r="V1275" s="79">
        <v>56281</v>
      </c>
      <c r="W1275" s="66" t="s">
        <v>1606</v>
      </c>
      <c r="X1275" s="24" t="s">
        <v>1607</v>
      </c>
      <c r="Y1275" s="62">
        <v>40465</v>
      </c>
      <c r="Z1275" s="104" t="s">
        <v>1795</v>
      </c>
      <c r="AA1275" s="166" t="s">
        <v>2462</v>
      </c>
      <c r="AB1275" s="152"/>
      <c r="AC1275" s="153"/>
      <c r="AD1275" s="154"/>
      <c r="AE1275" s="153"/>
      <c r="AF1275" s="153"/>
      <c r="AG1275" s="153"/>
      <c r="AH1275" s="153"/>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c r="BF1275" s="153"/>
      <c r="BG1275" s="153"/>
      <c r="BH1275" s="153"/>
      <c r="BI1275" s="153"/>
      <c r="BJ1275" s="153"/>
      <c r="BK1275" s="153"/>
      <c r="BL1275" s="153"/>
      <c r="BM1275" s="153"/>
      <c r="BN1275" s="153"/>
      <c r="BO1275" s="153"/>
      <c r="BP1275" s="153"/>
      <c r="BQ1275" s="153"/>
      <c r="BR1275" s="153"/>
      <c r="BS1275" s="153"/>
      <c r="BT1275" s="153"/>
      <c r="BU1275" s="153"/>
      <c r="BV1275" s="153"/>
      <c r="BW1275" s="153"/>
      <c r="BX1275" s="153"/>
      <c r="BY1275" s="153"/>
      <c r="BZ1275" s="153"/>
      <c r="CA1275" s="153"/>
      <c r="CB1275" s="153"/>
      <c r="CC1275" s="153"/>
      <c r="CD1275" s="155"/>
      <c r="CE1275" s="156"/>
      <c r="CF1275" s="155"/>
      <c r="CG1275" s="156"/>
      <c r="CH1275" s="155"/>
      <c r="CI1275" s="156"/>
      <c r="CJ1275" s="157">
        <f t="shared" si="166"/>
        <v>0</v>
      </c>
      <c r="CK1275" s="158"/>
      <c r="CL1275" s="159"/>
      <c r="CM1275" s="160"/>
      <c r="CN1275" s="161"/>
      <c r="CO1275" s="162"/>
      <c r="CP1275" s="161"/>
      <c r="CQ1275" s="158"/>
      <c r="CR1275" s="159"/>
      <c r="CS1275" s="68">
        <v>2</v>
      </c>
      <c r="CT1275" s="163"/>
      <c r="EC1275" s="344" t="str">
        <f t="shared" si="170"/>
        <v>VALLE DEL CAUCA_VERSALLES</v>
      </c>
      <c r="ED1275" s="341"/>
      <c r="EE1275" s="341"/>
      <c r="EF1275" s="348"/>
      <c r="EG1275" s="341"/>
      <c r="EH1275" s="341"/>
      <c r="EI1275" s="341"/>
    </row>
    <row r="1276" spans="1:139" s="164" customFormat="1" ht="45">
      <c r="A1276" s="228">
        <v>40456</v>
      </c>
      <c r="B1276" s="205" t="s">
        <v>1551</v>
      </c>
      <c r="C1276" s="205" t="s">
        <v>1374</v>
      </c>
      <c r="D1276" s="207" t="s">
        <v>1201</v>
      </c>
      <c r="E1276" s="323" t="s">
        <v>3359</v>
      </c>
      <c r="F1276" s="323"/>
      <c r="G1276" s="204"/>
      <c r="H1276" s="151"/>
      <c r="I1276" s="151"/>
      <c r="J1276" s="151">
        <f>135*5</f>
        <v>675</v>
      </c>
      <c r="K1276" s="151">
        <v>135</v>
      </c>
      <c r="L1276" s="1">
        <v>40508</v>
      </c>
      <c r="M1276" s="73">
        <f t="shared" si="164"/>
        <v>11532600</v>
      </c>
      <c r="N1276" s="73">
        <f t="shared" si="168"/>
        <v>4250000</v>
      </c>
      <c r="O1276" s="73">
        <f t="shared" si="171"/>
        <v>0</v>
      </c>
      <c r="P1276" s="73">
        <f t="shared" si="165"/>
        <v>0</v>
      </c>
      <c r="Q1276" s="73"/>
      <c r="R1276" s="73">
        <v>0</v>
      </c>
      <c r="S1276" s="75">
        <f t="shared" si="167"/>
        <v>15782600</v>
      </c>
      <c r="T1276" s="77">
        <v>0</v>
      </c>
      <c r="U1276" s="66">
        <v>40456</v>
      </c>
      <c r="V1276" s="79">
        <v>54824</v>
      </c>
      <c r="W1276" s="66" t="s">
        <v>1606</v>
      </c>
      <c r="X1276" s="24" t="s">
        <v>1607</v>
      </c>
      <c r="Y1276" s="62">
        <v>24654</v>
      </c>
      <c r="Z1276" s="177" t="s">
        <v>2580</v>
      </c>
      <c r="AA1276" s="166" t="s">
        <v>418</v>
      </c>
      <c r="AB1276" s="152"/>
      <c r="AC1276" s="153"/>
      <c r="AD1276" s="154"/>
      <c r="AE1276" s="153"/>
      <c r="AF1276" s="153"/>
      <c r="AG1276" s="153"/>
      <c r="AH1276" s="153"/>
      <c r="AI1276" s="153"/>
      <c r="AJ1276" s="153"/>
      <c r="AK1276" s="153"/>
      <c r="AL1276" s="153"/>
      <c r="AM1276" s="153"/>
      <c r="AN1276" s="153">
        <v>100</v>
      </c>
      <c r="AO1276" s="153">
        <f>100*56000</f>
        <v>5600000</v>
      </c>
      <c r="AP1276" s="153"/>
      <c r="AQ1276" s="153"/>
      <c r="AR1276" s="153"/>
      <c r="AS1276" s="153"/>
      <c r="AT1276" s="153"/>
      <c r="AU1276" s="153"/>
      <c r="AV1276" s="153"/>
      <c r="AW1276" s="153"/>
      <c r="AX1276" s="153"/>
      <c r="AY1276" s="153"/>
      <c r="AZ1276" s="153"/>
      <c r="BA1276" s="153"/>
      <c r="BB1276" s="153"/>
      <c r="BC1276" s="153"/>
      <c r="BD1276" s="153"/>
      <c r="BE1276" s="153"/>
      <c r="BF1276" s="153"/>
      <c r="BG1276" s="153"/>
      <c r="BH1276" s="153"/>
      <c r="BI1276" s="153"/>
      <c r="BJ1276" s="153"/>
      <c r="BK1276" s="153"/>
      <c r="BL1276" s="153"/>
      <c r="BM1276" s="153"/>
      <c r="BN1276" s="153"/>
      <c r="BO1276" s="153"/>
      <c r="BP1276" s="153"/>
      <c r="BQ1276" s="153"/>
      <c r="BR1276" s="153"/>
      <c r="BS1276" s="153"/>
      <c r="BT1276" s="153"/>
      <c r="BU1276" s="153"/>
      <c r="BV1276" s="153"/>
      <c r="BW1276" s="153"/>
      <c r="BX1276" s="153">
        <v>100</v>
      </c>
      <c r="BY1276" s="153">
        <f>100*21000</f>
        <v>2100000</v>
      </c>
      <c r="BZ1276" s="153"/>
      <c r="CA1276" s="153"/>
      <c r="CB1276" s="153"/>
      <c r="CC1276" s="153"/>
      <c r="CD1276" s="155">
        <v>50</v>
      </c>
      <c r="CE1276" s="156">
        <f>50*36952</f>
        <v>1847600</v>
      </c>
      <c r="CF1276" s="155">
        <v>50</v>
      </c>
      <c r="CG1276" s="156">
        <f>50*39700</f>
        <v>1985000</v>
      </c>
      <c r="CH1276" s="155"/>
      <c r="CI1276" s="156"/>
      <c r="CJ1276" s="157">
        <f t="shared" si="166"/>
        <v>11532600</v>
      </c>
      <c r="CK1276" s="158"/>
      <c r="CL1276" s="159"/>
      <c r="CM1276" s="160">
        <v>50</v>
      </c>
      <c r="CN1276" s="161">
        <f>50*85000</f>
        <v>4250000</v>
      </c>
      <c r="CO1276" s="162"/>
      <c r="CP1276" s="161"/>
      <c r="CQ1276" s="158"/>
      <c r="CR1276" s="159"/>
      <c r="CS1276" s="68"/>
      <c r="CT1276" s="163"/>
      <c r="EC1276" s="344" t="str">
        <f t="shared" si="170"/>
        <v>ATLANTICO_MALAMBO</v>
      </c>
      <c r="ED1276" s="341"/>
      <c r="EE1276" s="341"/>
      <c r="EF1276" s="348"/>
      <c r="EG1276" s="341"/>
      <c r="EH1276" s="341"/>
      <c r="EI1276" s="341"/>
    </row>
    <row r="1277" spans="1:139" s="164" customFormat="1" ht="25.5">
      <c r="A1277" s="228">
        <v>40456</v>
      </c>
      <c r="B1277" s="205" t="s">
        <v>1192</v>
      </c>
      <c r="C1277" s="205" t="s">
        <v>2140</v>
      </c>
      <c r="D1277" s="206" t="s">
        <v>1878</v>
      </c>
      <c r="E1277" s="320" t="s">
        <v>3425</v>
      </c>
      <c r="F1277" s="320"/>
      <c r="G1277" s="204"/>
      <c r="H1277" s="151"/>
      <c r="I1277" s="151"/>
      <c r="J1277" s="151">
        <f>26*5</f>
        <v>130</v>
      </c>
      <c r="K1277" s="151">
        <f>31-5</f>
        <v>26</v>
      </c>
      <c r="L1277" s="1">
        <v>40530</v>
      </c>
      <c r="M1277" s="73">
        <f t="shared" si="164"/>
        <v>4764664.04</v>
      </c>
      <c r="N1277" s="73">
        <f t="shared" si="168"/>
        <v>2635000</v>
      </c>
      <c r="O1277" s="73">
        <f t="shared" si="171"/>
        <v>0</v>
      </c>
      <c r="P1277" s="73">
        <f t="shared" si="165"/>
        <v>0</v>
      </c>
      <c r="Q1277" s="73"/>
      <c r="R1277" s="73">
        <v>0</v>
      </c>
      <c r="S1277" s="75">
        <f t="shared" si="167"/>
        <v>7399664.04</v>
      </c>
      <c r="T1277" s="77">
        <v>0</v>
      </c>
      <c r="U1277" s="66">
        <v>40484</v>
      </c>
      <c r="V1277" s="79"/>
      <c r="W1277" s="66" t="s">
        <v>1606</v>
      </c>
      <c r="X1277" s="24" t="s">
        <v>1607</v>
      </c>
      <c r="Y1277" s="83" t="s">
        <v>237</v>
      </c>
      <c r="Z1277" s="169" t="s">
        <v>894</v>
      </c>
      <c r="AA1277" s="166" t="s">
        <v>1670</v>
      </c>
      <c r="AB1277" s="152"/>
      <c r="AC1277" s="153"/>
      <c r="AD1277" s="154"/>
      <c r="AE1277" s="153"/>
      <c r="AF1277" s="153"/>
      <c r="AG1277" s="153"/>
      <c r="AH1277" s="153"/>
      <c r="AI1277" s="153"/>
      <c r="AJ1277" s="153"/>
      <c r="AK1277" s="153"/>
      <c r="AL1277" s="153"/>
      <c r="AM1277" s="153"/>
      <c r="AN1277" s="153">
        <v>31</v>
      </c>
      <c r="AO1277" s="153">
        <f>31*56000</f>
        <v>1736000</v>
      </c>
      <c r="AP1277" s="153"/>
      <c r="AQ1277" s="153"/>
      <c r="AR1277" s="153"/>
      <c r="AS1277" s="153"/>
      <c r="AT1277" s="153"/>
      <c r="AU1277" s="153"/>
      <c r="AV1277" s="153"/>
      <c r="AW1277" s="153"/>
      <c r="AX1277" s="153"/>
      <c r="AY1277" s="153"/>
      <c r="AZ1277" s="153"/>
      <c r="BA1277" s="153"/>
      <c r="BB1277" s="153"/>
      <c r="BC1277" s="153"/>
      <c r="BD1277" s="153"/>
      <c r="BE1277" s="153"/>
      <c r="BF1277" s="153"/>
      <c r="BG1277" s="153"/>
      <c r="BH1277" s="153"/>
      <c r="BI1277" s="153"/>
      <c r="BJ1277" s="153"/>
      <c r="BK1277" s="153"/>
      <c r="BL1277" s="153"/>
      <c r="BM1277" s="153"/>
      <c r="BN1277" s="153"/>
      <c r="BO1277" s="153"/>
      <c r="BP1277" s="153"/>
      <c r="BQ1277" s="153"/>
      <c r="BR1277" s="153"/>
      <c r="BS1277" s="153"/>
      <c r="BT1277" s="153"/>
      <c r="BU1277" s="153"/>
      <c r="BV1277" s="153"/>
      <c r="BW1277" s="153"/>
      <c r="BX1277" s="153">
        <v>31</v>
      </c>
      <c r="BY1277" s="153">
        <f>31*20999.48</f>
        <v>650983.88</v>
      </c>
      <c r="BZ1277" s="153"/>
      <c r="CA1277" s="153"/>
      <c r="CB1277" s="153"/>
      <c r="CC1277" s="153"/>
      <c r="CD1277" s="155">
        <v>31</v>
      </c>
      <c r="CE1277" s="156">
        <f>31*36999.36</f>
        <v>1146980.1599999999</v>
      </c>
      <c r="CF1277" s="155">
        <v>31</v>
      </c>
      <c r="CG1277" s="156">
        <f>31*39700</f>
        <v>1230700</v>
      </c>
      <c r="CH1277" s="155"/>
      <c r="CI1277" s="156"/>
      <c r="CJ1277" s="157">
        <f t="shared" si="166"/>
        <v>4764664.04</v>
      </c>
      <c r="CK1277" s="158"/>
      <c r="CL1277" s="159"/>
      <c r="CM1277" s="160">
        <v>31</v>
      </c>
      <c r="CN1277" s="161">
        <f>31*85000</f>
        <v>2635000</v>
      </c>
      <c r="CO1277" s="162"/>
      <c r="CP1277" s="161"/>
      <c r="CQ1277" s="158"/>
      <c r="CR1277" s="159"/>
      <c r="CS1277" s="68"/>
      <c r="CT1277" s="163"/>
      <c r="EC1277" s="344" t="str">
        <f t="shared" si="170"/>
        <v>BOYACA_BELEN</v>
      </c>
      <c r="ED1277" s="341"/>
      <c r="EE1277" s="341"/>
      <c r="EF1277" s="348"/>
      <c r="EG1277" s="341"/>
      <c r="EH1277" s="341"/>
      <c r="EI1277" s="341"/>
    </row>
    <row r="1278" spans="1:139" s="164" customFormat="1" ht="38.25">
      <c r="A1278" s="228">
        <v>40456</v>
      </c>
      <c r="B1278" s="205" t="s">
        <v>965</v>
      </c>
      <c r="C1278" s="205" t="s">
        <v>1743</v>
      </c>
      <c r="D1278" s="206" t="s">
        <v>1878</v>
      </c>
      <c r="E1278" s="320" t="s">
        <v>4022</v>
      </c>
      <c r="F1278" s="320"/>
      <c r="G1278" s="204"/>
      <c r="H1278" s="151"/>
      <c r="I1278" s="151"/>
      <c r="J1278" s="151">
        <v>25</v>
      </c>
      <c r="K1278" s="151">
        <v>5</v>
      </c>
      <c r="L1278" s="1"/>
      <c r="M1278" s="73">
        <f t="shared" si="164"/>
        <v>0</v>
      </c>
      <c r="N1278" s="73">
        <f t="shared" si="168"/>
        <v>0</v>
      </c>
      <c r="O1278" s="73">
        <f t="shared" si="171"/>
        <v>0</v>
      </c>
      <c r="P1278" s="73">
        <f t="shared" si="165"/>
        <v>0</v>
      </c>
      <c r="Q1278" s="73"/>
      <c r="R1278" s="73">
        <v>0</v>
      </c>
      <c r="S1278" s="75">
        <f t="shared" si="167"/>
        <v>0</v>
      </c>
      <c r="T1278" s="77">
        <v>0</v>
      </c>
      <c r="U1278" s="66">
        <v>40456</v>
      </c>
      <c r="V1278" s="79"/>
      <c r="W1278" s="66" t="s">
        <v>1585</v>
      </c>
      <c r="X1278" s="24" t="s">
        <v>1586</v>
      </c>
      <c r="Y1278" s="62"/>
      <c r="Z1278" s="169" t="s">
        <v>894</v>
      </c>
      <c r="AA1278" s="166" t="s">
        <v>2331</v>
      </c>
      <c r="AB1278" s="152"/>
      <c r="AC1278" s="153"/>
      <c r="AD1278" s="154"/>
      <c r="AE1278" s="153"/>
      <c r="AF1278" s="153"/>
      <c r="AG1278" s="153"/>
      <c r="AH1278" s="153"/>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c r="BF1278" s="153"/>
      <c r="BG1278" s="153"/>
      <c r="BH1278" s="153"/>
      <c r="BI1278" s="153"/>
      <c r="BJ1278" s="153"/>
      <c r="BK1278" s="153"/>
      <c r="BL1278" s="153"/>
      <c r="BM1278" s="153"/>
      <c r="BN1278" s="153"/>
      <c r="BO1278" s="153"/>
      <c r="BP1278" s="153"/>
      <c r="BQ1278" s="153"/>
      <c r="BR1278" s="153"/>
      <c r="BS1278" s="153"/>
      <c r="BT1278" s="153"/>
      <c r="BU1278" s="153"/>
      <c r="BV1278" s="153"/>
      <c r="BW1278" s="153"/>
      <c r="BX1278" s="153"/>
      <c r="BY1278" s="153"/>
      <c r="BZ1278" s="153"/>
      <c r="CA1278" s="153"/>
      <c r="CB1278" s="153"/>
      <c r="CC1278" s="153"/>
      <c r="CD1278" s="155"/>
      <c r="CE1278" s="156"/>
      <c r="CF1278" s="155"/>
      <c r="CG1278" s="156"/>
      <c r="CH1278" s="155"/>
      <c r="CI1278" s="156"/>
      <c r="CJ1278" s="157">
        <f t="shared" si="166"/>
        <v>0</v>
      </c>
      <c r="CK1278" s="158"/>
      <c r="CL1278" s="159"/>
      <c r="CM1278" s="160"/>
      <c r="CN1278" s="161"/>
      <c r="CO1278" s="162"/>
      <c r="CP1278" s="161"/>
      <c r="CQ1278" s="158"/>
      <c r="CR1278" s="159"/>
      <c r="CS1278" s="68"/>
      <c r="CT1278" s="163"/>
      <c r="EC1278" s="344" t="str">
        <f t="shared" si="170"/>
        <v>NORTE DE SANTANDER_OCAÑA</v>
      </c>
      <c r="ED1278" s="341"/>
      <c r="EE1278" s="341"/>
      <c r="EF1278" s="348"/>
      <c r="EG1278" s="341"/>
      <c r="EH1278" s="341"/>
      <c r="EI1278" s="341"/>
    </row>
    <row r="1279" spans="1:139" s="164" customFormat="1" ht="51">
      <c r="A1279" s="228">
        <v>40456</v>
      </c>
      <c r="B1279" s="205" t="s">
        <v>965</v>
      </c>
      <c r="C1279" s="205" t="s">
        <v>3003</v>
      </c>
      <c r="D1279" s="207" t="s">
        <v>2391</v>
      </c>
      <c r="E1279" s="323" t="s">
        <v>4031</v>
      </c>
      <c r="F1279" s="323"/>
      <c r="G1279" s="204">
        <v>6</v>
      </c>
      <c r="H1279" s="151"/>
      <c r="I1279" s="151"/>
      <c r="J1279" s="151"/>
      <c r="K1279" s="151"/>
      <c r="L1279" s="1"/>
      <c r="M1279" s="73">
        <f t="shared" si="164"/>
        <v>0</v>
      </c>
      <c r="N1279" s="73">
        <f t="shared" si="168"/>
        <v>0</v>
      </c>
      <c r="O1279" s="73">
        <f t="shared" si="171"/>
        <v>0</v>
      </c>
      <c r="P1279" s="73">
        <f t="shared" si="165"/>
        <v>0</v>
      </c>
      <c r="Q1279" s="73"/>
      <c r="R1279" s="73">
        <v>0</v>
      </c>
      <c r="S1279" s="75">
        <f t="shared" si="167"/>
        <v>0</v>
      </c>
      <c r="T1279" s="77">
        <v>0</v>
      </c>
      <c r="U1279" s="66">
        <v>40456</v>
      </c>
      <c r="V1279" s="79"/>
      <c r="W1279" s="66" t="s">
        <v>1585</v>
      </c>
      <c r="X1279" s="24" t="s">
        <v>1586</v>
      </c>
      <c r="Y1279" s="62"/>
      <c r="Z1279" s="169" t="s">
        <v>894</v>
      </c>
      <c r="AA1279" s="166" t="s">
        <v>3004</v>
      </c>
      <c r="AB1279" s="152"/>
      <c r="AC1279" s="153"/>
      <c r="AD1279" s="154"/>
      <c r="AE1279" s="153"/>
      <c r="AF1279" s="153"/>
      <c r="AG1279" s="153"/>
      <c r="AH1279" s="153"/>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c r="BF1279" s="153"/>
      <c r="BG1279" s="153"/>
      <c r="BH1279" s="153"/>
      <c r="BI1279" s="153"/>
      <c r="BJ1279" s="153"/>
      <c r="BK1279" s="153"/>
      <c r="BL1279" s="153"/>
      <c r="BM1279" s="153"/>
      <c r="BN1279" s="153"/>
      <c r="BO1279" s="153"/>
      <c r="BP1279" s="153"/>
      <c r="BQ1279" s="153"/>
      <c r="BR1279" s="153"/>
      <c r="BS1279" s="153"/>
      <c r="BT1279" s="153"/>
      <c r="BU1279" s="153"/>
      <c r="BV1279" s="153"/>
      <c r="BW1279" s="153"/>
      <c r="BX1279" s="153"/>
      <c r="BY1279" s="153"/>
      <c r="BZ1279" s="153"/>
      <c r="CA1279" s="153"/>
      <c r="CB1279" s="153"/>
      <c r="CC1279" s="153"/>
      <c r="CD1279" s="155"/>
      <c r="CE1279" s="156"/>
      <c r="CF1279" s="155"/>
      <c r="CG1279" s="156"/>
      <c r="CH1279" s="155"/>
      <c r="CI1279" s="156"/>
      <c r="CJ1279" s="157">
        <f t="shared" si="166"/>
        <v>0</v>
      </c>
      <c r="CK1279" s="158"/>
      <c r="CL1279" s="159"/>
      <c r="CM1279" s="160"/>
      <c r="CN1279" s="161"/>
      <c r="CO1279" s="162"/>
      <c r="CP1279" s="161"/>
      <c r="CQ1279" s="158"/>
      <c r="CR1279" s="159"/>
      <c r="CS1279" s="68"/>
      <c r="CT1279" s="163"/>
      <c r="EC1279" s="344" t="str">
        <f t="shared" si="170"/>
        <v>NORTE DE SANTANDER_SARDINATA</v>
      </c>
      <c r="ED1279" s="341"/>
      <c r="EE1279" s="341"/>
      <c r="EF1279" s="348"/>
      <c r="EG1279" s="341"/>
      <c r="EH1279" s="341"/>
      <c r="EI1279" s="341"/>
    </row>
    <row r="1280" spans="1:139" s="164" customFormat="1" ht="101.25">
      <c r="A1280" s="228">
        <v>40456</v>
      </c>
      <c r="B1280" s="205" t="s">
        <v>1612</v>
      </c>
      <c r="C1280" s="205" t="s">
        <v>1295</v>
      </c>
      <c r="D1280" s="206" t="s">
        <v>1878</v>
      </c>
      <c r="E1280" s="320" t="s">
        <v>4042</v>
      </c>
      <c r="F1280" s="320"/>
      <c r="G1280" s="204"/>
      <c r="H1280" s="151"/>
      <c r="I1280" s="151"/>
      <c r="J1280" s="151"/>
      <c r="K1280" s="151"/>
      <c r="L1280" s="1">
        <v>40464</v>
      </c>
      <c r="M1280" s="73">
        <f t="shared" si="164"/>
        <v>0</v>
      </c>
      <c r="N1280" s="73">
        <f t="shared" si="168"/>
        <v>0</v>
      </c>
      <c r="O1280" s="73">
        <f t="shared" si="171"/>
        <v>0</v>
      </c>
      <c r="P1280" s="73">
        <f t="shared" si="165"/>
        <v>0</v>
      </c>
      <c r="Q1280" s="73"/>
      <c r="R1280" s="73">
        <v>55000000</v>
      </c>
      <c r="S1280" s="75">
        <f t="shared" si="167"/>
        <v>55000000</v>
      </c>
      <c r="T1280" s="77">
        <v>0</v>
      </c>
      <c r="U1280" s="66">
        <v>40456</v>
      </c>
      <c r="V1280" s="79"/>
      <c r="W1280" s="66" t="s">
        <v>1606</v>
      </c>
      <c r="X1280" s="24" t="s">
        <v>1607</v>
      </c>
      <c r="Y1280" s="62">
        <v>37235</v>
      </c>
      <c r="Z1280" s="169" t="s">
        <v>1050</v>
      </c>
      <c r="AA1280" s="180" t="s">
        <v>2712</v>
      </c>
      <c r="AB1280" s="152"/>
      <c r="AC1280" s="153"/>
      <c r="AD1280" s="154"/>
      <c r="AE1280" s="153"/>
      <c r="AF1280" s="153"/>
      <c r="AG1280" s="153"/>
      <c r="AH1280" s="153"/>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c r="BF1280" s="153"/>
      <c r="BG1280" s="153"/>
      <c r="BH1280" s="153"/>
      <c r="BI1280" s="153"/>
      <c r="BJ1280" s="153"/>
      <c r="BK1280" s="153"/>
      <c r="BL1280" s="153"/>
      <c r="BM1280" s="153"/>
      <c r="BN1280" s="153"/>
      <c r="BO1280" s="153"/>
      <c r="BP1280" s="153"/>
      <c r="BQ1280" s="153"/>
      <c r="BR1280" s="153"/>
      <c r="BS1280" s="153"/>
      <c r="BT1280" s="153"/>
      <c r="BU1280" s="153"/>
      <c r="BV1280" s="153"/>
      <c r="BW1280" s="153"/>
      <c r="BX1280" s="153"/>
      <c r="BY1280" s="153"/>
      <c r="BZ1280" s="153"/>
      <c r="CA1280" s="153"/>
      <c r="CB1280" s="153"/>
      <c r="CC1280" s="153"/>
      <c r="CD1280" s="155"/>
      <c r="CE1280" s="156"/>
      <c r="CF1280" s="155"/>
      <c r="CG1280" s="156"/>
      <c r="CH1280" s="155"/>
      <c r="CI1280" s="156"/>
      <c r="CJ1280" s="157">
        <f t="shared" si="166"/>
        <v>0</v>
      </c>
      <c r="CK1280" s="158"/>
      <c r="CL1280" s="159"/>
      <c r="CM1280" s="160"/>
      <c r="CN1280" s="161"/>
      <c r="CO1280" s="162"/>
      <c r="CP1280" s="161"/>
      <c r="CQ1280" s="158"/>
      <c r="CR1280" s="159"/>
      <c r="CS1280" s="68">
        <v>2</v>
      </c>
      <c r="CT1280" s="163"/>
      <c r="EC1280" s="344" t="str">
        <f t="shared" si="170"/>
        <v>QUINDIO_CORDOBA</v>
      </c>
      <c r="ED1280" s="341"/>
      <c r="EE1280" s="341"/>
      <c r="EF1280" s="348"/>
      <c r="EG1280" s="341"/>
      <c r="EH1280" s="341"/>
      <c r="EI1280" s="341"/>
    </row>
    <row r="1281" spans="1:139" s="164" customFormat="1" ht="38.25">
      <c r="A1281" s="228">
        <v>40456</v>
      </c>
      <c r="B1281" s="102" t="s">
        <v>1609</v>
      </c>
      <c r="C1281" s="205" t="s">
        <v>1838</v>
      </c>
      <c r="D1281" s="207" t="s">
        <v>2606</v>
      </c>
      <c r="E1281" s="323" t="s">
        <v>4054</v>
      </c>
      <c r="F1281" s="323"/>
      <c r="G1281" s="204"/>
      <c r="H1281" s="151"/>
      <c r="I1281" s="151"/>
      <c r="J1281" s="151">
        <v>20</v>
      </c>
      <c r="K1281" s="151">
        <v>4</v>
      </c>
      <c r="L1281" s="1"/>
      <c r="M1281" s="73">
        <f t="shared" si="164"/>
        <v>0</v>
      </c>
      <c r="N1281" s="73">
        <f t="shared" si="168"/>
        <v>0</v>
      </c>
      <c r="O1281" s="73">
        <f t="shared" si="171"/>
        <v>0</v>
      </c>
      <c r="P1281" s="73">
        <f t="shared" si="165"/>
        <v>0</v>
      </c>
      <c r="Q1281" s="73"/>
      <c r="R1281" s="73">
        <v>0</v>
      </c>
      <c r="S1281" s="75">
        <f t="shared" si="167"/>
        <v>0</v>
      </c>
      <c r="T1281" s="77">
        <v>0</v>
      </c>
      <c r="U1281" s="228">
        <v>40458</v>
      </c>
      <c r="V1281" s="79"/>
      <c r="W1281" s="66" t="s">
        <v>1585</v>
      </c>
      <c r="X1281" s="24" t="s">
        <v>1586</v>
      </c>
      <c r="Y1281" s="62"/>
      <c r="Z1281" s="169" t="s">
        <v>894</v>
      </c>
      <c r="AA1281" s="166" t="s">
        <v>2313</v>
      </c>
      <c r="AB1281" s="152"/>
      <c r="AC1281" s="153"/>
      <c r="AD1281" s="154"/>
      <c r="AE1281" s="153"/>
      <c r="AF1281" s="153"/>
      <c r="AG1281" s="153"/>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c r="BI1281" s="153"/>
      <c r="BJ1281" s="153"/>
      <c r="BK1281" s="153"/>
      <c r="BL1281" s="153"/>
      <c r="BM1281" s="153"/>
      <c r="BN1281" s="153"/>
      <c r="BO1281" s="153"/>
      <c r="BP1281" s="153"/>
      <c r="BQ1281" s="153"/>
      <c r="BR1281" s="153"/>
      <c r="BS1281" s="153"/>
      <c r="BT1281" s="153"/>
      <c r="BU1281" s="153"/>
      <c r="BV1281" s="153"/>
      <c r="BW1281" s="153"/>
      <c r="BX1281" s="153"/>
      <c r="BY1281" s="153"/>
      <c r="BZ1281" s="153"/>
      <c r="CA1281" s="153"/>
      <c r="CB1281" s="153"/>
      <c r="CC1281" s="153"/>
      <c r="CD1281" s="155"/>
      <c r="CE1281" s="156"/>
      <c r="CF1281" s="155"/>
      <c r="CG1281" s="156"/>
      <c r="CH1281" s="155"/>
      <c r="CI1281" s="156"/>
      <c r="CJ1281" s="157">
        <f t="shared" si="166"/>
        <v>0</v>
      </c>
      <c r="CK1281" s="158"/>
      <c r="CL1281" s="159"/>
      <c r="CM1281" s="160"/>
      <c r="CN1281" s="161"/>
      <c r="CO1281" s="162"/>
      <c r="CP1281" s="161"/>
      <c r="CQ1281" s="158"/>
      <c r="CR1281" s="159"/>
      <c r="CS1281" s="68"/>
      <c r="CT1281" s="163"/>
      <c r="EC1281" s="344" t="str">
        <f t="shared" si="170"/>
        <v>RISARALDA_DOSQUEBRADAS</v>
      </c>
      <c r="ED1281" s="341"/>
      <c r="EE1281" s="341"/>
      <c r="EF1281" s="348"/>
      <c r="EG1281" s="341"/>
      <c r="EH1281" s="341"/>
      <c r="EI1281" s="341"/>
    </row>
    <row r="1282" spans="1:139" s="164" customFormat="1" ht="96" customHeight="1">
      <c r="A1282" s="228">
        <v>40456</v>
      </c>
      <c r="B1282" s="102" t="s">
        <v>1609</v>
      </c>
      <c r="C1282" s="205" t="s">
        <v>2004</v>
      </c>
      <c r="D1282" s="207" t="s">
        <v>2606</v>
      </c>
      <c r="E1282" s="323" t="s">
        <v>4050</v>
      </c>
      <c r="F1282" s="323"/>
      <c r="G1282" s="204"/>
      <c r="H1282" s="151"/>
      <c r="I1282" s="151"/>
      <c r="J1282" s="151">
        <f>44*5</f>
        <v>220</v>
      </c>
      <c r="K1282" s="151">
        <v>44</v>
      </c>
      <c r="L1282" s="1"/>
      <c r="M1282" s="73">
        <f t="shared" si="164"/>
        <v>0</v>
      </c>
      <c r="N1282" s="73">
        <f t="shared" si="168"/>
        <v>0</v>
      </c>
      <c r="O1282" s="73">
        <f t="shared" si="171"/>
        <v>0</v>
      </c>
      <c r="P1282" s="73">
        <f t="shared" si="165"/>
        <v>0</v>
      </c>
      <c r="Q1282" s="73"/>
      <c r="R1282" s="73">
        <v>0</v>
      </c>
      <c r="S1282" s="75">
        <f t="shared" si="167"/>
        <v>0</v>
      </c>
      <c r="T1282" s="77">
        <v>0</v>
      </c>
      <c r="U1282" s="66">
        <v>40458</v>
      </c>
      <c r="V1282" s="79"/>
      <c r="W1282" s="66" t="s">
        <v>1585</v>
      </c>
      <c r="X1282" s="67" t="s">
        <v>1586</v>
      </c>
      <c r="Y1282" s="62"/>
      <c r="Z1282" s="169" t="s">
        <v>894</v>
      </c>
      <c r="AA1282" s="166" t="s">
        <v>2314</v>
      </c>
      <c r="AB1282" s="152"/>
      <c r="AC1282" s="153"/>
      <c r="AD1282" s="154"/>
      <c r="AE1282" s="153"/>
      <c r="AF1282" s="153"/>
      <c r="AG1282" s="153"/>
      <c r="AH1282" s="153"/>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c r="BI1282" s="153"/>
      <c r="BJ1282" s="153"/>
      <c r="BK1282" s="153"/>
      <c r="BL1282" s="153"/>
      <c r="BM1282" s="153"/>
      <c r="BN1282" s="153"/>
      <c r="BO1282" s="153"/>
      <c r="BP1282" s="153"/>
      <c r="BQ1282" s="153"/>
      <c r="BR1282" s="153"/>
      <c r="BS1282" s="153"/>
      <c r="BT1282" s="153"/>
      <c r="BU1282" s="153"/>
      <c r="BV1282" s="153"/>
      <c r="BW1282" s="153"/>
      <c r="BX1282" s="153"/>
      <c r="BY1282" s="153"/>
      <c r="BZ1282" s="153"/>
      <c r="CA1282" s="153"/>
      <c r="CB1282" s="153"/>
      <c r="CC1282" s="153"/>
      <c r="CD1282" s="155"/>
      <c r="CE1282" s="156"/>
      <c r="CF1282" s="155"/>
      <c r="CG1282" s="156"/>
      <c r="CH1282" s="155"/>
      <c r="CI1282" s="156"/>
      <c r="CJ1282" s="157">
        <f t="shared" si="166"/>
        <v>0</v>
      </c>
      <c r="CK1282" s="158"/>
      <c r="CL1282" s="159"/>
      <c r="CM1282" s="160"/>
      <c r="CN1282" s="161"/>
      <c r="CO1282" s="162"/>
      <c r="CP1282" s="161"/>
      <c r="CQ1282" s="158"/>
      <c r="CR1282" s="159"/>
      <c r="CS1282" s="68"/>
      <c r="CT1282" s="163"/>
      <c r="EC1282" s="344" t="str">
        <f t="shared" si="170"/>
        <v>RISARALDA_PEREIRA</v>
      </c>
      <c r="ED1282" s="341"/>
      <c r="EE1282" s="341"/>
      <c r="EF1282" s="348"/>
      <c r="EG1282" s="341"/>
      <c r="EH1282" s="341"/>
      <c r="EI1282" s="341"/>
    </row>
    <row r="1283" spans="1:139" s="164" customFormat="1" ht="25.5">
      <c r="A1283" s="235">
        <v>40457</v>
      </c>
      <c r="B1283" s="269" t="s">
        <v>1972</v>
      </c>
      <c r="C1283" s="269" t="s">
        <v>1631</v>
      </c>
      <c r="D1283" s="236" t="s">
        <v>1878</v>
      </c>
      <c r="E1283" s="324" t="s">
        <v>3232</v>
      </c>
      <c r="F1283" s="324"/>
      <c r="G1283" s="204"/>
      <c r="H1283" s="151"/>
      <c r="I1283" s="151"/>
      <c r="J1283" s="151"/>
      <c r="K1283" s="151"/>
      <c r="L1283" s="1"/>
      <c r="M1283" s="73">
        <f t="shared" ref="M1283:M1346" si="172">CJ1283</f>
        <v>0</v>
      </c>
      <c r="N1283" s="73">
        <f t="shared" si="168"/>
        <v>0</v>
      </c>
      <c r="O1283" s="73">
        <f t="shared" si="171"/>
        <v>0</v>
      </c>
      <c r="P1283" s="73">
        <f t="shared" ref="P1283:P1346" si="173">CL1283</f>
        <v>0</v>
      </c>
      <c r="Q1283" s="73"/>
      <c r="R1283" s="73">
        <v>0</v>
      </c>
      <c r="S1283" s="75">
        <f t="shared" si="167"/>
        <v>0</v>
      </c>
      <c r="T1283" s="77">
        <v>0</v>
      </c>
      <c r="U1283" s="66">
        <v>40458</v>
      </c>
      <c r="V1283" s="79"/>
      <c r="W1283" s="66" t="s">
        <v>1585</v>
      </c>
      <c r="X1283" s="24" t="s">
        <v>1586</v>
      </c>
      <c r="Y1283" s="62"/>
      <c r="Z1283" s="169" t="s">
        <v>894</v>
      </c>
      <c r="AA1283" s="166" t="s">
        <v>2316</v>
      </c>
      <c r="AB1283" s="152"/>
      <c r="AC1283" s="153"/>
      <c r="AD1283" s="154"/>
      <c r="AE1283" s="153"/>
      <c r="AF1283" s="153"/>
      <c r="AG1283" s="153"/>
      <c r="AH1283" s="153"/>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c r="BI1283" s="153"/>
      <c r="BJ1283" s="153"/>
      <c r="BK1283" s="153"/>
      <c r="BL1283" s="153"/>
      <c r="BM1283" s="153"/>
      <c r="BN1283" s="153"/>
      <c r="BO1283" s="153"/>
      <c r="BP1283" s="153"/>
      <c r="BQ1283" s="153"/>
      <c r="BR1283" s="153"/>
      <c r="BS1283" s="153"/>
      <c r="BT1283" s="153"/>
      <c r="BU1283" s="153"/>
      <c r="BV1283" s="153"/>
      <c r="BW1283" s="153"/>
      <c r="BX1283" s="153"/>
      <c r="BY1283" s="153"/>
      <c r="BZ1283" s="153"/>
      <c r="CA1283" s="153"/>
      <c r="CB1283" s="153"/>
      <c r="CC1283" s="153"/>
      <c r="CD1283" s="155"/>
      <c r="CE1283" s="156"/>
      <c r="CF1283" s="155"/>
      <c r="CG1283" s="156"/>
      <c r="CH1283" s="155"/>
      <c r="CI1283" s="156"/>
      <c r="CJ1283" s="157">
        <f t="shared" ref="CJ1283:CJ1346" si="174">AC1283+AE1283+AG1283+AI1283+AK1283+AM1283+AO1283+AQ1283+AS1283+AU1283+AW1283+AY1283+BA1283+BC1283+BE1283+BG1283+BI1283+BK1283+BM1283+BO1283+BQ1283+BS1283+BU1283+BW1283+BY1283+CA1283+CC1283+CE1283+CG1283+CI1283</f>
        <v>0</v>
      </c>
      <c r="CK1283" s="158"/>
      <c r="CL1283" s="159"/>
      <c r="CM1283" s="160"/>
      <c r="CN1283" s="161"/>
      <c r="CO1283" s="162"/>
      <c r="CP1283" s="161"/>
      <c r="CQ1283" s="158"/>
      <c r="CR1283" s="159"/>
      <c r="CS1283" s="68"/>
      <c r="CT1283" s="163"/>
      <c r="EC1283" s="344" t="str">
        <f t="shared" si="170"/>
        <v>ANTIOQUIA_AMALFI</v>
      </c>
      <c r="ED1283" s="341"/>
      <c r="EE1283" s="341"/>
      <c r="EF1283" s="348"/>
      <c r="EG1283" s="341"/>
      <c r="EH1283" s="341"/>
      <c r="EI1283" s="341"/>
    </row>
    <row r="1284" spans="1:139" s="164" customFormat="1" ht="25.5">
      <c r="A1284" s="228">
        <v>40457</v>
      </c>
      <c r="B1284" s="205" t="s">
        <v>1615</v>
      </c>
      <c r="C1284" s="205" t="s">
        <v>1642</v>
      </c>
      <c r="D1284" s="206" t="s">
        <v>1878</v>
      </c>
      <c r="E1284" s="320" t="s">
        <v>3376</v>
      </c>
      <c r="F1284" s="320"/>
      <c r="G1284" s="204"/>
      <c r="H1284" s="151"/>
      <c r="I1284" s="151"/>
      <c r="J1284" s="151">
        <v>5</v>
      </c>
      <c r="K1284" s="151">
        <v>1</v>
      </c>
      <c r="L1284" s="1"/>
      <c r="M1284" s="73">
        <f t="shared" si="172"/>
        <v>0</v>
      </c>
      <c r="N1284" s="73">
        <f t="shared" si="168"/>
        <v>0</v>
      </c>
      <c r="O1284" s="73">
        <f t="shared" si="171"/>
        <v>0</v>
      </c>
      <c r="P1284" s="73">
        <f t="shared" si="173"/>
        <v>0</v>
      </c>
      <c r="Q1284" s="73"/>
      <c r="R1284" s="73">
        <v>0</v>
      </c>
      <c r="S1284" s="75">
        <f t="shared" si="167"/>
        <v>0</v>
      </c>
      <c r="T1284" s="77">
        <v>0</v>
      </c>
      <c r="U1284" s="66">
        <v>40459</v>
      </c>
      <c r="V1284" s="79"/>
      <c r="W1284" s="66" t="s">
        <v>1585</v>
      </c>
      <c r="X1284" s="24" t="s">
        <v>1586</v>
      </c>
      <c r="Y1284" s="62"/>
      <c r="Z1284" s="169" t="s">
        <v>894</v>
      </c>
      <c r="AA1284" s="166" t="s">
        <v>2324</v>
      </c>
      <c r="AB1284" s="152"/>
      <c r="AC1284" s="153"/>
      <c r="AD1284" s="154"/>
      <c r="AE1284" s="153"/>
      <c r="AF1284" s="153"/>
      <c r="AG1284" s="153"/>
      <c r="AH1284" s="153"/>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c r="BI1284" s="153"/>
      <c r="BJ1284" s="153"/>
      <c r="BK1284" s="153"/>
      <c r="BL1284" s="153"/>
      <c r="BM1284" s="153"/>
      <c r="BN1284" s="153"/>
      <c r="BO1284" s="153"/>
      <c r="BP1284" s="153"/>
      <c r="BQ1284" s="153"/>
      <c r="BR1284" s="153"/>
      <c r="BS1284" s="153"/>
      <c r="BT1284" s="153"/>
      <c r="BU1284" s="153"/>
      <c r="BV1284" s="153"/>
      <c r="BW1284" s="153"/>
      <c r="BX1284" s="153"/>
      <c r="BY1284" s="153"/>
      <c r="BZ1284" s="153"/>
      <c r="CA1284" s="153"/>
      <c r="CB1284" s="153"/>
      <c r="CC1284" s="153"/>
      <c r="CD1284" s="155"/>
      <c r="CE1284" s="156"/>
      <c r="CF1284" s="155"/>
      <c r="CG1284" s="156"/>
      <c r="CH1284" s="155"/>
      <c r="CI1284" s="156"/>
      <c r="CJ1284" s="157">
        <f t="shared" si="174"/>
        <v>0</v>
      </c>
      <c r="CK1284" s="158"/>
      <c r="CL1284" s="159"/>
      <c r="CM1284" s="160"/>
      <c r="CN1284" s="161"/>
      <c r="CO1284" s="162"/>
      <c r="CP1284" s="161"/>
      <c r="CQ1284" s="158"/>
      <c r="CR1284" s="159"/>
      <c r="CS1284" s="68"/>
      <c r="CT1284" s="163"/>
      <c r="EC1284" s="344" t="str">
        <f t="shared" si="170"/>
        <v>BOLIVAR_CARTAGENA</v>
      </c>
      <c r="ED1284" s="341"/>
      <c r="EE1284" s="341"/>
      <c r="EF1284" s="348"/>
      <c r="EG1284" s="341"/>
      <c r="EH1284" s="341"/>
      <c r="EI1284" s="341"/>
    </row>
    <row r="1285" spans="1:139" s="164" customFormat="1" ht="72">
      <c r="A1285" s="228">
        <v>40457</v>
      </c>
      <c r="B1285" s="205" t="s">
        <v>1615</v>
      </c>
      <c r="C1285" s="205" t="s">
        <v>1561</v>
      </c>
      <c r="D1285" s="207" t="s">
        <v>1201</v>
      </c>
      <c r="E1285" s="323" t="s">
        <v>3395</v>
      </c>
      <c r="F1285" s="323"/>
      <c r="G1285" s="204"/>
      <c r="H1285" s="151"/>
      <c r="I1285" s="151"/>
      <c r="J1285" s="151">
        <f>443*5</f>
        <v>2215</v>
      </c>
      <c r="K1285" s="151">
        <v>443</v>
      </c>
      <c r="L1285" s="1"/>
      <c r="M1285" s="73">
        <f t="shared" si="172"/>
        <v>0</v>
      </c>
      <c r="N1285" s="73">
        <f t="shared" si="168"/>
        <v>0</v>
      </c>
      <c r="O1285" s="73">
        <f t="shared" si="171"/>
        <v>0</v>
      </c>
      <c r="P1285" s="73">
        <f t="shared" si="173"/>
        <v>0</v>
      </c>
      <c r="Q1285" s="73"/>
      <c r="R1285" s="73">
        <v>0</v>
      </c>
      <c r="S1285" s="75">
        <f t="shared" si="167"/>
        <v>0</v>
      </c>
      <c r="T1285" s="77">
        <v>0</v>
      </c>
      <c r="U1285" s="66">
        <v>40459</v>
      </c>
      <c r="V1285" s="79"/>
      <c r="W1285" s="66" t="s">
        <v>1585</v>
      </c>
      <c r="X1285" s="24" t="s">
        <v>1586</v>
      </c>
      <c r="Y1285" s="62"/>
      <c r="Z1285" s="169" t="s">
        <v>894</v>
      </c>
      <c r="AA1285" s="166" t="s">
        <v>1119</v>
      </c>
      <c r="AB1285" s="152"/>
      <c r="AC1285" s="153"/>
      <c r="AD1285" s="154"/>
      <c r="AE1285" s="153"/>
      <c r="AF1285" s="153"/>
      <c r="AG1285" s="153"/>
      <c r="AH1285" s="153"/>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c r="BI1285" s="153"/>
      <c r="BJ1285" s="153"/>
      <c r="BK1285" s="153"/>
      <c r="BL1285" s="153"/>
      <c r="BM1285" s="153"/>
      <c r="BN1285" s="153"/>
      <c r="BO1285" s="153"/>
      <c r="BP1285" s="153"/>
      <c r="BQ1285" s="153"/>
      <c r="BR1285" s="153"/>
      <c r="BS1285" s="153"/>
      <c r="BT1285" s="153"/>
      <c r="BU1285" s="153"/>
      <c r="BV1285" s="153"/>
      <c r="BW1285" s="153"/>
      <c r="BX1285" s="153"/>
      <c r="BY1285" s="153"/>
      <c r="BZ1285" s="153"/>
      <c r="CA1285" s="153"/>
      <c r="CB1285" s="153"/>
      <c r="CC1285" s="153"/>
      <c r="CD1285" s="155"/>
      <c r="CE1285" s="156"/>
      <c r="CF1285" s="155"/>
      <c r="CG1285" s="156"/>
      <c r="CH1285" s="155"/>
      <c r="CI1285" s="156"/>
      <c r="CJ1285" s="157">
        <f t="shared" si="174"/>
        <v>0</v>
      </c>
      <c r="CK1285" s="158"/>
      <c r="CL1285" s="159"/>
      <c r="CM1285" s="160"/>
      <c r="CN1285" s="161"/>
      <c r="CO1285" s="162"/>
      <c r="CP1285" s="161"/>
      <c r="CQ1285" s="158"/>
      <c r="CR1285" s="159"/>
      <c r="CS1285" s="68"/>
      <c r="CT1285" s="163"/>
      <c r="EC1285" s="344" t="str">
        <f t="shared" si="170"/>
        <v>BOLIVAR_MARIA LA BAJA</v>
      </c>
      <c r="ED1285" s="341"/>
      <c r="EE1285" s="341"/>
      <c r="EF1285" s="348"/>
      <c r="EG1285" s="341"/>
      <c r="EH1285" s="341"/>
      <c r="EI1285" s="341"/>
    </row>
    <row r="1286" spans="1:139" s="164" customFormat="1" ht="45">
      <c r="A1286" s="228">
        <v>40457</v>
      </c>
      <c r="B1286" s="205" t="s">
        <v>1192</v>
      </c>
      <c r="C1286" s="205" t="s">
        <v>1936</v>
      </c>
      <c r="D1286" s="207" t="s">
        <v>1201</v>
      </c>
      <c r="E1286" s="323" t="s">
        <v>3495</v>
      </c>
      <c r="F1286" s="323"/>
      <c r="G1286" s="204"/>
      <c r="H1286" s="151"/>
      <c r="I1286" s="151"/>
      <c r="J1286" s="151">
        <f>119*5</f>
        <v>595</v>
      </c>
      <c r="K1286" s="151">
        <f>144-25</f>
        <v>119</v>
      </c>
      <c r="L1286" s="1"/>
      <c r="M1286" s="73">
        <f t="shared" si="172"/>
        <v>30740000</v>
      </c>
      <c r="N1286" s="73">
        <f t="shared" si="168"/>
        <v>17000000</v>
      </c>
      <c r="O1286" s="73">
        <f t="shared" si="171"/>
        <v>0</v>
      </c>
      <c r="P1286" s="73">
        <f t="shared" si="173"/>
        <v>0</v>
      </c>
      <c r="Q1286" s="73"/>
      <c r="R1286" s="73">
        <v>0</v>
      </c>
      <c r="S1286" s="75">
        <f t="shared" si="167"/>
        <v>47740000</v>
      </c>
      <c r="T1286" s="77">
        <v>0</v>
      </c>
      <c r="U1286" s="66">
        <v>40457</v>
      </c>
      <c r="V1286" s="79"/>
      <c r="W1286" s="66" t="s">
        <v>1606</v>
      </c>
      <c r="X1286" s="24" t="s">
        <v>1607</v>
      </c>
      <c r="Y1286" s="62"/>
      <c r="Z1286" s="169" t="s">
        <v>2580</v>
      </c>
      <c r="AA1286" s="166" t="s">
        <v>772</v>
      </c>
      <c r="AB1286" s="152"/>
      <c r="AC1286" s="153"/>
      <c r="AD1286" s="154"/>
      <c r="AE1286" s="153"/>
      <c r="AF1286" s="153"/>
      <c r="AG1286" s="153"/>
      <c r="AH1286" s="153"/>
      <c r="AI1286" s="153"/>
      <c r="AJ1286" s="153"/>
      <c r="AK1286" s="153"/>
      <c r="AL1286" s="153"/>
      <c r="AM1286" s="153"/>
      <c r="AN1286" s="153">
        <v>200</v>
      </c>
      <c r="AO1286" s="153">
        <f>200*56000</f>
        <v>11200000</v>
      </c>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c r="BI1286" s="153"/>
      <c r="BJ1286" s="153"/>
      <c r="BK1286" s="153"/>
      <c r="BL1286" s="153"/>
      <c r="BM1286" s="153"/>
      <c r="BN1286" s="153"/>
      <c r="BO1286" s="153"/>
      <c r="BP1286" s="153"/>
      <c r="BQ1286" s="153"/>
      <c r="BR1286" s="153"/>
      <c r="BS1286" s="153"/>
      <c r="BT1286" s="153"/>
      <c r="BU1286" s="153"/>
      <c r="BV1286" s="153"/>
      <c r="BW1286" s="153"/>
      <c r="BX1286" s="153">
        <v>200</v>
      </c>
      <c r="BY1286" s="153">
        <f>200*21000</f>
        <v>4200000</v>
      </c>
      <c r="BZ1286" s="153"/>
      <c r="CA1286" s="153"/>
      <c r="CB1286" s="153"/>
      <c r="CC1286" s="153"/>
      <c r="CD1286" s="155">
        <v>200</v>
      </c>
      <c r="CE1286" s="156">
        <f>200*37000</f>
        <v>7400000</v>
      </c>
      <c r="CF1286" s="155">
        <v>200</v>
      </c>
      <c r="CG1286" s="156">
        <f>200*39700</f>
        <v>7940000</v>
      </c>
      <c r="CH1286" s="155"/>
      <c r="CI1286" s="156"/>
      <c r="CJ1286" s="157">
        <f t="shared" si="174"/>
        <v>30740000</v>
      </c>
      <c r="CK1286" s="158"/>
      <c r="CL1286" s="159"/>
      <c r="CM1286" s="160">
        <v>200</v>
      </c>
      <c r="CN1286" s="161">
        <f>200*85000</f>
        <v>17000000</v>
      </c>
      <c r="CO1286" s="162"/>
      <c r="CP1286" s="161"/>
      <c r="CQ1286" s="158"/>
      <c r="CR1286" s="159"/>
      <c r="CS1286" s="68"/>
      <c r="CT1286" s="163"/>
      <c r="EC1286" s="344" t="str">
        <f t="shared" si="170"/>
        <v>BOYACA_QUIPAMA</v>
      </c>
      <c r="ED1286" s="341"/>
      <c r="EE1286" s="341"/>
      <c r="EF1286" s="348"/>
      <c r="EG1286" s="341"/>
      <c r="EH1286" s="341"/>
      <c r="EI1286" s="341"/>
    </row>
    <row r="1287" spans="1:139" s="164" customFormat="1" ht="38.25">
      <c r="A1287" s="228">
        <v>40457</v>
      </c>
      <c r="B1287" s="205" t="s">
        <v>1604</v>
      </c>
      <c r="C1287" s="205" t="s">
        <v>2326</v>
      </c>
      <c r="D1287" s="206" t="s">
        <v>1878</v>
      </c>
      <c r="E1287" s="320" t="s">
        <v>3712</v>
      </c>
      <c r="F1287" s="320"/>
      <c r="G1287" s="204"/>
      <c r="H1287" s="151"/>
      <c r="I1287" s="151"/>
      <c r="J1287" s="151">
        <v>2</v>
      </c>
      <c r="K1287" s="151">
        <v>1</v>
      </c>
      <c r="L1287" s="1"/>
      <c r="M1287" s="73">
        <f t="shared" si="172"/>
        <v>0</v>
      </c>
      <c r="N1287" s="73">
        <f t="shared" si="168"/>
        <v>0</v>
      </c>
      <c r="O1287" s="73">
        <f t="shared" si="171"/>
        <v>0</v>
      </c>
      <c r="P1287" s="73">
        <f t="shared" si="173"/>
        <v>0</v>
      </c>
      <c r="Q1287" s="73"/>
      <c r="R1287" s="73">
        <v>0</v>
      </c>
      <c r="S1287" s="75">
        <f t="shared" si="167"/>
        <v>0</v>
      </c>
      <c r="T1287" s="77">
        <v>0</v>
      </c>
      <c r="U1287" s="66">
        <v>40459</v>
      </c>
      <c r="V1287" s="79"/>
      <c r="W1287" s="66" t="s">
        <v>1585</v>
      </c>
      <c r="X1287" s="24" t="s">
        <v>1586</v>
      </c>
      <c r="Y1287" s="62"/>
      <c r="Z1287" s="169" t="s">
        <v>894</v>
      </c>
      <c r="AA1287" s="166" t="s">
        <v>2327</v>
      </c>
      <c r="AB1287" s="152"/>
      <c r="AC1287" s="153"/>
      <c r="AD1287" s="154"/>
      <c r="AE1287" s="153"/>
      <c r="AF1287" s="153"/>
      <c r="AG1287" s="153"/>
      <c r="AH1287" s="153"/>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c r="BF1287" s="153"/>
      <c r="BG1287" s="153"/>
      <c r="BH1287" s="153"/>
      <c r="BI1287" s="153"/>
      <c r="BJ1287" s="153"/>
      <c r="BK1287" s="153"/>
      <c r="BL1287" s="153"/>
      <c r="BM1287" s="153"/>
      <c r="BN1287" s="153"/>
      <c r="BO1287" s="153"/>
      <c r="BP1287" s="153"/>
      <c r="BQ1287" s="153"/>
      <c r="BR1287" s="153"/>
      <c r="BS1287" s="153"/>
      <c r="BT1287" s="153"/>
      <c r="BU1287" s="153"/>
      <c r="BV1287" s="153"/>
      <c r="BW1287" s="153"/>
      <c r="BX1287" s="153"/>
      <c r="BY1287" s="153"/>
      <c r="BZ1287" s="153"/>
      <c r="CA1287" s="153"/>
      <c r="CB1287" s="153"/>
      <c r="CC1287" s="153"/>
      <c r="CD1287" s="155"/>
      <c r="CE1287" s="156"/>
      <c r="CF1287" s="155"/>
      <c r="CG1287" s="156"/>
      <c r="CH1287" s="155"/>
      <c r="CI1287" s="156"/>
      <c r="CJ1287" s="157">
        <f t="shared" si="174"/>
        <v>0</v>
      </c>
      <c r="CK1287" s="158"/>
      <c r="CL1287" s="159"/>
      <c r="CM1287" s="160"/>
      <c r="CN1287" s="161"/>
      <c r="CO1287" s="162"/>
      <c r="CP1287" s="161"/>
      <c r="CQ1287" s="158"/>
      <c r="CR1287" s="159"/>
      <c r="CS1287" s="68"/>
      <c r="CT1287" s="163"/>
      <c r="EC1287" s="344" t="str">
        <f t="shared" si="170"/>
        <v>CUNDINAMARCA_GACHETA</v>
      </c>
      <c r="ED1287" s="341"/>
      <c r="EE1287" s="341"/>
      <c r="EF1287" s="348"/>
      <c r="EG1287" s="341"/>
      <c r="EH1287" s="341"/>
      <c r="EI1287" s="341"/>
    </row>
    <row r="1288" spans="1:139" s="164" customFormat="1" ht="51">
      <c r="A1288" s="228">
        <v>40457</v>
      </c>
      <c r="B1288" s="205" t="s">
        <v>965</v>
      </c>
      <c r="C1288" s="205" t="s">
        <v>2699</v>
      </c>
      <c r="D1288" s="207" t="s">
        <v>1902</v>
      </c>
      <c r="E1288" s="323" t="s">
        <v>4023</v>
      </c>
      <c r="F1288" s="323"/>
      <c r="G1288" s="204"/>
      <c r="H1288" s="151"/>
      <c r="I1288" s="151"/>
      <c r="J1288" s="151">
        <f>40*5</f>
        <v>200</v>
      </c>
      <c r="K1288" s="151">
        <v>40</v>
      </c>
      <c r="L1288" s="1"/>
      <c r="M1288" s="73">
        <f t="shared" si="172"/>
        <v>0</v>
      </c>
      <c r="N1288" s="73">
        <f t="shared" si="168"/>
        <v>0</v>
      </c>
      <c r="O1288" s="73">
        <f t="shared" si="171"/>
        <v>0</v>
      </c>
      <c r="P1288" s="73">
        <f t="shared" si="173"/>
        <v>0</v>
      </c>
      <c r="Q1288" s="73"/>
      <c r="R1288" s="73">
        <v>0</v>
      </c>
      <c r="S1288" s="75">
        <f t="shared" si="167"/>
        <v>0</v>
      </c>
      <c r="T1288" s="77">
        <v>0</v>
      </c>
      <c r="U1288" s="66">
        <v>40458</v>
      </c>
      <c r="V1288" s="79"/>
      <c r="W1288" s="66" t="s">
        <v>1585</v>
      </c>
      <c r="X1288" s="24" t="s">
        <v>1586</v>
      </c>
      <c r="Y1288" s="62"/>
      <c r="Z1288" s="169" t="s">
        <v>894</v>
      </c>
      <c r="AA1288" s="166" t="s">
        <v>2315</v>
      </c>
      <c r="AB1288" s="152"/>
      <c r="AC1288" s="153"/>
      <c r="AD1288" s="154"/>
      <c r="AE1288" s="153"/>
      <c r="AF1288" s="153"/>
      <c r="AG1288" s="153"/>
      <c r="AH1288" s="153"/>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c r="BF1288" s="153"/>
      <c r="BG1288" s="153"/>
      <c r="BH1288" s="153"/>
      <c r="BI1288" s="153"/>
      <c r="BJ1288" s="153"/>
      <c r="BK1288" s="153"/>
      <c r="BL1288" s="153"/>
      <c r="BM1288" s="153"/>
      <c r="BN1288" s="153"/>
      <c r="BO1288" s="153"/>
      <c r="BP1288" s="153"/>
      <c r="BQ1288" s="153"/>
      <c r="BR1288" s="153"/>
      <c r="BS1288" s="153"/>
      <c r="BT1288" s="153"/>
      <c r="BU1288" s="153"/>
      <c r="BV1288" s="153"/>
      <c r="BW1288" s="153"/>
      <c r="BX1288" s="153"/>
      <c r="BY1288" s="153"/>
      <c r="BZ1288" s="153"/>
      <c r="CA1288" s="153"/>
      <c r="CB1288" s="153"/>
      <c r="CC1288" s="153"/>
      <c r="CD1288" s="155"/>
      <c r="CE1288" s="156"/>
      <c r="CF1288" s="155"/>
      <c r="CG1288" s="156"/>
      <c r="CH1288" s="155"/>
      <c r="CI1288" s="156"/>
      <c r="CJ1288" s="157">
        <f t="shared" si="174"/>
        <v>0</v>
      </c>
      <c r="CK1288" s="158"/>
      <c r="CL1288" s="159"/>
      <c r="CM1288" s="160"/>
      <c r="CN1288" s="161"/>
      <c r="CO1288" s="162"/>
      <c r="CP1288" s="161"/>
      <c r="CQ1288" s="158"/>
      <c r="CR1288" s="159"/>
      <c r="CS1288" s="68"/>
      <c r="CT1288" s="163"/>
      <c r="EC1288" s="344" t="str">
        <f t="shared" si="170"/>
        <v>NORTE DE SANTANDER_PAMPLONA</v>
      </c>
      <c r="ED1288" s="341"/>
      <c r="EE1288" s="341"/>
      <c r="EF1288" s="348"/>
      <c r="EG1288" s="341"/>
      <c r="EH1288" s="341"/>
      <c r="EI1288" s="341"/>
    </row>
    <row r="1289" spans="1:139" s="164" customFormat="1" ht="25.5">
      <c r="A1289" s="228">
        <v>40457</v>
      </c>
      <c r="B1289" s="205" t="s">
        <v>1612</v>
      </c>
      <c r="C1289" s="205" t="s">
        <v>367</v>
      </c>
      <c r="D1289" s="206" t="s">
        <v>1878</v>
      </c>
      <c r="E1289" s="320" t="s">
        <v>4044</v>
      </c>
      <c r="F1289" s="320"/>
      <c r="G1289" s="204"/>
      <c r="H1289" s="151"/>
      <c r="I1289" s="151"/>
      <c r="J1289" s="151">
        <v>5</v>
      </c>
      <c r="K1289" s="151">
        <v>1</v>
      </c>
      <c r="L1289" s="1"/>
      <c r="M1289" s="73">
        <f t="shared" si="172"/>
        <v>0</v>
      </c>
      <c r="N1289" s="73">
        <f t="shared" si="168"/>
        <v>0</v>
      </c>
      <c r="O1289" s="73">
        <f t="shared" si="171"/>
        <v>0</v>
      </c>
      <c r="P1289" s="73">
        <f t="shared" si="173"/>
        <v>0</v>
      </c>
      <c r="Q1289" s="73"/>
      <c r="R1289" s="73">
        <v>0</v>
      </c>
      <c r="S1289" s="75">
        <f t="shared" ref="S1289:S1352" si="175">M1289+N1289+O1289+P1289+Q1289+R1289</f>
        <v>0</v>
      </c>
      <c r="T1289" s="77">
        <v>0</v>
      </c>
      <c r="U1289" s="66">
        <v>40459</v>
      </c>
      <c r="V1289" s="79"/>
      <c r="W1289" s="66" t="s">
        <v>1585</v>
      </c>
      <c r="X1289" s="24" t="s">
        <v>1586</v>
      </c>
      <c r="Y1289" s="62"/>
      <c r="Z1289" s="169" t="s">
        <v>894</v>
      </c>
      <c r="AA1289" s="166" t="s">
        <v>2325</v>
      </c>
      <c r="AB1289" s="152"/>
      <c r="AC1289" s="153"/>
      <c r="AD1289" s="154"/>
      <c r="AE1289" s="153"/>
      <c r="AF1289" s="153"/>
      <c r="AG1289" s="153"/>
      <c r="AH1289" s="153"/>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c r="BF1289" s="153"/>
      <c r="BG1289" s="153"/>
      <c r="BH1289" s="153"/>
      <c r="BI1289" s="153"/>
      <c r="BJ1289" s="153"/>
      <c r="BK1289" s="153"/>
      <c r="BL1289" s="153"/>
      <c r="BM1289" s="153"/>
      <c r="BN1289" s="153"/>
      <c r="BO1289" s="153"/>
      <c r="BP1289" s="153"/>
      <c r="BQ1289" s="153"/>
      <c r="BR1289" s="153"/>
      <c r="BS1289" s="153"/>
      <c r="BT1289" s="153"/>
      <c r="BU1289" s="153"/>
      <c r="BV1289" s="153"/>
      <c r="BW1289" s="153"/>
      <c r="BX1289" s="153"/>
      <c r="BY1289" s="153"/>
      <c r="BZ1289" s="153"/>
      <c r="CA1289" s="153"/>
      <c r="CB1289" s="153"/>
      <c r="CC1289" s="153"/>
      <c r="CD1289" s="155"/>
      <c r="CE1289" s="156"/>
      <c r="CF1289" s="155"/>
      <c r="CG1289" s="156"/>
      <c r="CH1289" s="155"/>
      <c r="CI1289" s="156"/>
      <c r="CJ1289" s="157">
        <f t="shared" si="174"/>
        <v>0</v>
      </c>
      <c r="CK1289" s="158"/>
      <c r="CL1289" s="159"/>
      <c r="CM1289" s="160"/>
      <c r="CN1289" s="161"/>
      <c r="CO1289" s="162"/>
      <c r="CP1289" s="161"/>
      <c r="CQ1289" s="158"/>
      <c r="CR1289" s="159"/>
      <c r="CS1289" s="68"/>
      <c r="CT1289" s="163"/>
      <c r="EC1289" s="344" t="str">
        <f t="shared" si="170"/>
        <v>QUINDIO_GENOVA</v>
      </c>
      <c r="ED1289" s="341"/>
      <c r="EE1289" s="341"/>
      <c r="EF1289" s="348"/>
      <c r="EG1289" s="341"/>
      <c r="EH1289" s="341"/>
      <c r="EI1289" s="341"/>
    </row>
    <row r="1290" spans="1:139" s="164" customFormat="1" ht="51">
      <c r="A1290" s="228">
        <v>40458</v>
      </c>
      <c r="B1290" s="205" t="s">
        <v>1192</v>
      </c>
      <c r="C1290" s="205" t="s">
        <v>885</v>
      </c>
      <c r="D1290" s="206" t="s">
        <v>1878</v>
      </c>
      <c r="E1290" s="320" t="s">
        <v>3507</v>
      </c>
      <c r="F1290" s="320"/>
      <c r="G1290" s="204">
        <v>3</v>
      </c>
      <c r="H1290" s="151">
        <v>3</v>
      </c>
      <c r="I1290" s="151"/>
      <c r="J1290" s="151">
        <v>25</v>
      </c>
      <c r="K1290" s="151">
        <v>5</v>
      </c>
      <c r="L1290" s="1"/>
      <c r="M1290" s="73">
        <f t="shared" si="172"/>
        <v>0</v>
      </c>
      <c r="N1290" s="73">
        <f t="shared" si="168"/>
        <v>0</v>
      </c>
      <c r="O1290" s="73">
        <f t="shared" si="171"/>
        <v>0</v>
      </c>
      <c r="P1290" s="73">
        <f t="shared" si="173"/>
        <v>0</v>
      </c>
      <c r="Q1290" s="73"/>
      <c r="R1290" s="73">
        <v>0</v>
      </c>
      <c r="S1290" s="75">
        <f t="shared" si="175"/>
        <v>0</v>
      </c>
      <c r="T1290" s="77">
        <v>0</v>
      </c>
      <c r="U1290" s="66">
        <v>40484</v>
      </c>
      <c r="V1290" s="79"/>
      <c r="W1290" s="66" t="s">
        <v>1585</v>
      </c>
      <c r="X1290" s="24" t="s">
        <v>1586</v>
      </c>
      <c r="Y1290" s="104"/>
      <c r="Z1290" s="169" t="s">
        <v>894</v>
      </c>
      <c r="AA1290" s="166" t="s">
        <v>2760</v>
      </c>
      <c r="AB1290" s="152"/>
      <c r="AC1290" s="153"/>
      <c r="AD1290" s="154"/>
      <c r="AE1290" s="153"/>
      <c r="AF1290" s="153"/>
      <c r="AG1290" s="153"/>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c r="BF1290" s="153"/>
      <c r="BG1290" s="153"/>
      <c r="BH1290" s="153"/>
      <c r="BI1290" s="153"/>
      <c r="BJ1290" s="153"/>
      <c r="BK1290" s="153"/>
      <c r="BL1290" s="153"/>
      <c r="BM1290" s="153"/>
      <c r="BN1290" s="153"/>
      <c r="BO1290" s="153"/>
      <c r="BP1290" s="153"/>
      <c r="BQ1290" s="153"/>
      <c r="BR1290" s="153"/>
      <c r="BS1290" s="153"/>
      <c r="BT1290" s="153"/>
      <c r="BU1290" s="153"/>
      <c r="BV1290" s="153"/>
      <c r="BW1290" s="153"/>
      <c r="BX1290" s="153"/>
      <c r="BY1290" s="153"/>
      <c r="BZ1290" s="153"/>
      <c r="CA1290" s="153"/>
      <c r="CB1290" s="153"/>
      <c r="CC1290" s="153"/>
      <c r="CD1290" s="155"/>
      <c r="CE1290" s="156"/>
      <c r="CF1290" s="155"/>
      <c r="CG1290" s="156"/>
      <c r="CH1290" s="155"/>
      <c r="CI1290" s="156"/>
      <c r="CJ1290" s="157">
        <f t="shared" si="174"/>
        <v>0</v>
      </c>
      <c r="CK1290" s="158"/>
      <c r="CL1290" s="159"/>
      <c r="CM1290" s="160"/>
      <c r="CN1290" s="161"/>
      <c r="CO1290" s="162"/>
      <c r="CP1290" s="161"/>
      <c r="CQ1290" s="158"/>
      <c r="CR1290" s="159"/>
      <c r="CS1290" s="68"/>
      <c r="CT1290" s="163"/>
      <c r="EC1290" s="344" t="str">
        <f t="shared" si="170"/>
        <v>BOYACA_SAN PABLO DE BORBUR</v>
      </c>
      <c r="ED1290" s="341"/>
      <c r="EE1290" s="341"/>
      <c r="EF1290" s="348"/>
      <c r="EG1290" s="341"/>
      <c r="EH1290" s="341"/>
      <c r="EI1290" s="341"/>
    </row>
    <row r="1291" spans="1:139" s="164" customFormat="1" ht="25.5">
      <c r="A1291" s="228">
        <v>40458</v>
      </c>
      <c r="B1291" s="205" t="s">
        <v>653</v>
      </c>
      <c r="C1291" s="205" t="s">
        <v>2188</v>
      </c>
      <c r="D1291" s="207" t="s">
        <v>2606</v>
      </c>
      <c r="E1291" s="323" t="s">
        <v>3563</v>
      </c>
      <c r="F1291" s="323"/>
      <c r="G1291" s="204"/>
      <c r="H1291" s="151"/>
      <c r="I1291" s="151"/>
      <c r="J1291" s="151">
        <v>75</v>
      </c>
      <c r="K1291" s="151">
        <v>15</v>
      </c>
      <c r="L1291" s="1"/>
      <c r="M1291" s="73">
        <f t="shared" si="172"/>
        <v>0</v>
      </c>
      <c r="N1291" s="73">
        <f t="shared" si="168"/>
        <v>0</v>
      </c>
      <c r="O1291" s="73">
        <f t="shared" si="171"/>
        <v>0</v>
      </c>
      <c r="P1291" s="73">
        <f t="shared" si="173"/>
        <v>0</v>
      </c>
      <c r="Q1291" s="73"/>
      <c r="R1291" s="73">
        <v>0</v>
      </c>
      <c r="S1291" s="75">
        <f t="shared" si="175"/>
        <v>0</v>
      </c>
      <c r="T1291" s="77">
        <v>0</v>
      </c>
      <c r="U1291" s="66">
        <v>40484</v>
      </c>
      <c r="V1291" s="79"/>
      <c r="W1291" s="66" t="s">
        <v>1606</v>
      </c>
      <c r="X1291" s="24" t="s">
        <v>1607</v>
      </c>
      <c r="Y1291" s="62"/>
      <c r="Z1291" s="176" t="s">
        <v>3056</v>
      </c>
      <c r="AA1291" s="166" t="s">
        <v>902</v>
      </c>
      <c r="AB1291" s="152"/>
      <c r="AC1291" s="153"/>
      <c r="AD1291" s="154"/>
      <c r="AE1291" s="153"/>
      <c r="AF1291" s="153"/>
      <c r="AG1291" s="153"/>
      <c r="AH1291" s="153"/>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c r="BF1291" s="153"/>
      <c r="BG1291" s="153"/>
      <c r="BH1291" s="153"/>
      <c r="BI1291" s="153"/>
      <c r="BJ1291" s="153"/>
      <c r="BK1291" s="153"/>
      <c r="BL1291" s="153"/>
      <c r="BM1291" s="153"/>
      <c r="BN1291" s="153"/>
      <c r="BO1291" s="153"/>
      <c r="BP1291" s="153"/>
      <c r="BQ1291" s="153"/>
      <c r="BR1291" s="153"/>
      <c r="BS1291" s="153"/>
      <c r="BT1291" s="153"/>
      <c r="BU1291" s="153"/>
      <c r="BV1291" s="153"/>
      <c r="BW1291" s="153"/>
      <c r="BX1291" s="153"/>
      <c r="BY1291" s="153"/>
      <c r="BZ1291" s="153"/>
      <c r="CA1291" s="153"/>
      <c r="CB1291" s="153"/>
      <c r="CC1291" s="153"/>
      <c r="CD1291" s="155"/>
      <c r="CE1291" s="156"/>
      <c r="CF1291" s="155"/>
      <c r="CG1291" s="156"/>
      <c r="CH1291" s="155"/>
      <c r="CI1291" s="156"/>
      <c r="CJ1291" s="157">
        <f t="shared" si="174"/>
        <v>0</v>
      </c>
      <c r="CK1291" s="158"/>
      <c r="CL1291" s="159"/>
      <c r="CM1291" s="160"/>
      <c r="CN1291" s="161"/>
      <c r="CO1291" s="162"/>
      <c r="CP1291" s="161"/>
      <c r="CQ1291" s="158"/>
      <c r="CR1291" s="159"/>
      <c r="CS1291" s="68"/>
      <c r="CT1291" s="163"/>
      <c r="EC1291" s="344" t="str">
        <f t="shared" si="170"/>
        <v>CALDAS_SALAMINA</v>
      </c>
      <c r="ED1291" s="341"/>
      <c r="EE1291" s="341"/>
      <c r="EF1291" s="348"/>
      <c r="EG1291" s="341"/>
      <c r="EH1291" s="341"/>
      <c r="EI1291" s="341"/>
    </row>
    <row r="1292" spans="1:139" s="164" customFormat="1" ht="84">
      <c r="A1292" s="228">
        <v>40458</v>
      </c>
      <c r="B1292" s="205" t="s">
        <v>1821</v>
      </c>
      <c r="C1292" s="205" t="s">
        <v>1659</v>
      </c>
      <c r="D1292" s="207" t="s">
        <v>1201</v>
      </c>
      <c r="E1292" s="323" t="s">
        <v>3635</v>
      </c>
      <c r="F1292" s="323"/>
      <c r="G1292" s="204"/>
      <c r="H1292" s="151"/>
      <c r="I1292" s="151"/>
      <c r="J1292" s="151">
        <f>2200*5</f>
        <v>11000</v>
      </c>
      <c r="K1292" s="151">
        <v>2200</v>
      </c>
      <c r="L1292" s="1">
        <v>40514</v>
      </c>
      <c r="M1292" s="73">
        <f t="shared" si="172"/>
        <v>14428000</v>
      </c>
      <c r="N1292" s="73">
        <f t="shared" si="168"/>
        <v>11560000</v>
      </c>
      <c r="O1292" s="73">
        <f t="shared" si="171"/>
        <v>0</v>
      </c>
      <c r="P1292" s="73">
        <f t="shared" si="173"/>
        <v>0</v>
      </c>
      <c r="Q1292" s="73">
        <f>200*25520+100*25520+50*17400</f>
        <v>8526000</v>
      </c>
      <c r="R1292" s="73">
        <v>0</v>
      </c>
      <c r="S1292" s="75">
        <f t="shared" si="175"/>
        <v>34514000</v>
      </c>
      <c r="T1292" s="77">
        <v>0</v>
      </c>
      <c r="U1292" s="66">
        <v>40484</v>
      </c>
      <c r="V1292" s="79">
        <v>58953</v>
      </c>
      <c r="W1292" s="66" t="s">
        <v>1606</v>
      </c>
      <c r="X1292" s="24" t="s">
        <v>1607</v>
      </c>
      <c r="Y1292" s="83" t="s">
        <v>1121</v>
      </c>
      <c r="Z1292" s="177" t="s">
        <v>2580</v>
      </c>
      <c r="AA1292" s="166" t="s">
        <v>1122</v>
      </c>
      <c r="AB1292" s="152"/>
      <c r="AC1292" s="153"/>
      <c r="AD1292" s="154"/>
      <c r="AE1292" s="153"/>
      <c r="AF1292" s="153"/>
      <c r="AG1292" s="153"/>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c r="BF1292" s="153"/>
      <c r="BG1292" s="153"/>
      <c r="BH1292" s="153"/>
      <c r="BI1292" s="153"/>
      <c r="BJ1292" s="153"/>
      <c r="BK1292" s="153"/>
      <c r="BL1292" s="153"/>
      <c r="BM1292" s="153"/>
      <c r="BN1292" s="153"/>
      <c r="BO1292" s="153"/>
      <c r="BP1292" s="153"/>
      <c r="BQ1292" s="153"/>
      <c r="BR1292" s="153"/>
      <c r="BS1292" s="153"/>
      <c r="BT1292" s="153"/>
      <c r="BU1292" s="153"/>
      <c r="BV1292" s="153"/>
      <c r="BW1292" s="153"/>
      <c r="BX1292" s="153"/>
      <c r="BY1292" s="153"/>
      <c r="BZ1292" s="153"/>
      <c r="CA1292" s="153"/>
      <c r="CB1292" s="153">
        <v>250</v>
      </c>
      <c r="CC1292" s="153">
        <f>+CB1292*18000</f>
        <v>4500000</v>
      </c>
      <c r="CD1292" s="155">
        <v>136</v>
      </c>
      <c r="CE1292" s="156">
        <f>136*37000</f>
        <v>5032000</v>
      </c>
      <c r="CF1292" s="155">
        <v>136</v>
      </c>
      <c r="CG1292" s="156">
        <f>136*36000</f>
        <v>4896000</v>
      </c>
      <c r="CH1292" s="155"/>
      <c r="CI1292" s="156"/>
      <c r="CJ1292" s="157">
        <f t="shared" si="174"/>
        <v>14428000</v>
      </c>
      <c r="CK1292" s="158"/>
      <c r="CL1292" s="159"/>
      <c r="CM1292" s="160">
        <v>136</v>
      </c>
      <c r="CN1292" s="161">
        <f>+CM1292*85000</f>
        <v>11560000</v>
      </c>
      <c r="CO1292" s="162"/>
      <c r="CP1292" s="161"/>
      <c r="CQ1292" s="158"/>
      <c r="CR1292" s="159"/>
      <c r="CS1292" s="68"/>
      <c r="CT1292" s="163"/>
      <c r="EC1292" s="344" t="str">
        <f t="shared" si="170"/>
        <v>CESAR_CHIRIGUANA</v>
      </c>
      <c r="ED1292" s="341"/>
      <c r="EE1292" s="341"/>
      <c r="EF1292" s="348"/>
      <c r="EG1292" s="341"/>
      <c r="EH1292" s="341"/>
      <c r="EI1292" s="341"/>
    </row>
    <row r="1293" spans="1:139" s="164" customFormat="1" ht="45">
      <c r="A1293" s="228">
        <v>40458</v>
      </c>
      <c r="B1293" s="205" t="s">
        <v>962</v>
      </c>
      <c r="C1293" s="205" t="s">
        <v>1605</v>
      </c>
      <c r="D1293" s="207" t="s">
        <v>620</v>
      </c>
      <c r="E1293" s="323" t="s">
        <v>3156</v>
      </c>
      <c r="F1293" s="323"/>
      <c r="G1293" s="204"/>
      <c r="H1293" s="151"/>
      <c r="I1293" s="151"/>
      <c r="J1293" s="151"/>
      <c r="K1293" s="151"/>
      <c r="L1293" s="1">
        <v>40487</v>
      </c>
      <c r="M1293" s="73">
        <f t="shared" si="172"/>
        <v>55050000</v>
      </c>
      <c r="N1293" s="73">
        <f t="shared" si="168"/>
        <v>42500000</v>
      </c>
      <c r="O1293" s="73">
        <f t="shared" si="171"/>
        <v>9500000</v>
      </c>
      <c r="P1293" s="73">
        <f t="shared" si="173"/>
        <v>0</v>
      </c>
      <c r="Q1293" s="73"/>
      <c r="R1293" s="73">
        <v>0</v>
      </c>
      <c r="S1293" s="75">
        <f t="shared" si="175"/>
        <v>107050000</v>
      </c>
      <c r="T1293" s="77">
        <v>0</v>
      </c>
      <c r="U1293" s="66">
        <v>40458</v>
      </c>
      <c r="V1293" s="79">
        <v>55432</v>
      </c>
      <c r="W1293" s="66" t="s">
        <v>1606</v>
      </c>
      <c r="X1293" s="24" t="s">
        <v>1607</v>
      </c>
      <c r="Y1293" s="62">
        <v>23516</v>
      </c>
      <c r="Z1293" s="169" t="s">
        <v>2580</v>
      </c>
      <c r="AA1293" s="166" t="s">
        <v>1866</v>
      </c>
      <c r="AB1293" s="152"/>
      <c r="AC1293" s="153"/>
      <c r="AD1293" s="154"/>
      <c r="AE1293" s="153"/>
      <c r="AF1293" s="153"/>
      <c r="AG1293" s="153"/>
      <c r="AH1293" s="153"/>
      <c r="AI1293" s="153"/>
      <c r="AJ1293" s="153">
        <v>250</v>
      </c>
      <c r="AK1293" s="153">
        <f>250*21000</f>
        <v>5250000</v>
      </c>
      <c r="AL1293" s="153"/>
      <c r="AM1293" s="153"/>
      <c r="AN1293" s="153">
        <v>500</v>
      </c>
      <c r="AO1293" s="153">
        <f>500*52000</f>
        <v>26000000</v>
      </c>
      <c r="AP1293" s="153"/>
      <c r="AQ1293" s="153"/>
      <c r="AR1293" s="153"/>
      <c r="AS1293" s="153"/>
      <c r="AT1293" s="153"/>
      <c r="AU1293" s="153"/>
      <c r="AV1293" s="153"/>
      <c r="AW1293" s="153"/>
      <c r="AX1293" s="153"/>
      <c r="AY1293" s="153"/>
      <c r="AZ1293" s="153"/>
      <c r="BA1293" s="153"/>
      <c r="BB1293" s="153"/>
      <c r="BC1293" s="153"/>
      <c r="BD1293" s="153"/>
      <c r="BE1293" s="153"/>
      <c r="BF1293" s="153"/>
      <c r="BG1293" s="153"/>
      <c r="BH1293" s="153"/>
      <c r="BI1293" s="153"/>
      <c r="BJ1293" s="153"/>
      <c r="BK1293" s="153"/>
      <c r="BL1293" s="153"/>
      <c r="BM1293" s="153"/>
      <c r="BN1293" s="153"/>
      <c r="BO1293" s="153"/>
      <c r="BP1293" s="153"/>
      <c r="BQ1293" s="153"/>
      <c r="BR1293" s="153"/>
      <c r="BS1293" s="153"/>
      <c r="BT1293" s="153"/>
      <c r="BU1293" s="153"/>
      <c r="BV1293" s="153"/>
      <c r="BW1293" s="153"/>
      <c r="BX1293" s="153">
        <v>250</v>
      </c>
      <c r="BY1293" s="153">
        <f>250*21000</f>
        <v>5250000</v>
      </c>
      <c r="BZ1293" s="153"/>
      <c r="CA1293" s="153"/>
      <c r="CB1293" s="153"/>
      <c r="CC1293" s="153"/>
      <c r="CD1293" s="155">
        <v>500</v>
      </c>
      <c r="CE1293" s="156">
        <f>500*37100</f>
        <v>18550000</v>
      </c>
      <c r="CF1293" s="155"/>
      <c r="CG1293" s="156"/>
      <c r="CH1293" s="155"/>
      <c r="CI1293" s="156"/>
      <c r="CJ1293" s="157">
        <f t="shared" si="174"/>
        <v>55050000</v>
      </c>
      <c r="CK1293" s="158"/>
      <c r="CL1293" s="159"/>
      <c r="CM1293" s="160">
        <v>500</v>
      </c>
      <c r="CN1293" s="161">
        <f>500*85000</f>
        <v>42500000</v>
      </c>
      <c r="CO1293" s="162"/>
      <c r="CP1293" s="161"/>
      <c r="CQ1293" s="158">
        <v>500</v>
      </c>
      <c r="CR1293" s="159">
        <f>500*19000</f>
        <v>9500000</v>
      </c>
      <c r="CS1293" s="68"/>
      <c r="CT1293" s="163"/>
      <c r="EC1293" s="344" t="str">
        <f t="shared" si="170"/>
        <v>HUILA_DEPARTAMENTO</v>
      </c>
      <c r="ED1293" s="341"/>
      <c r="EE1293" s="341"/>
      <c r="EF1293" s="348"/>
      <c r="EG1293" s="341"/>
      <c r="EH1293" s="341"/>
      <c r="EI1293" s="341"/>
    </row>
    <row r="1294" spans="1:139" s="164" customFormat="1" ht="48">
      <c r="A1294" s="228">
        <v>40458</v>
      </c>
      <c r="B1294" s="205" t="s">
        <v>1998</v>
      </c>
      <c r="C1294" s="205" t="s">
        <v>2337</v>
      </c>
      <c r="D1294" s="206" t="s">
        <v>1878</v>
      </c>
      <c r="E1294" s="320" t="s">
        <v>4117</v>
      </c>
      <c r="F1294" s="320"/>
      <c r="G1294" s="263"/>
      <c r="H1294" s="151"/>
      <c r="I1294" s="151"/>
      <c r="J1294" s="151">
        <f>120*5</f>
        <v>600</v>
      </c>
      <c r="K1294" s="151">
        <v>120</v>
      </c>
      <c r="L1294" s="1"/>
      <c r="M1294" s="73">
        <f t="shared" si="172"/>
        <v>0</v>
      </c>
      <c r="N1294" s="73">
        <f t="shared" ref="N1294:N1357" si="176">CN1294</f>
        <v>0</v>
      </c>
      <c r="O1294" s="73">
        <f t="shared" ref="O1294:O1330" si="177">CP1294+CR1294</f>
        <v>0</v>
      </c>
      <c r="P1294" s="73">
        <f t="shared" si="173"/>
        <v>0</v>
      </c>
      <c r="Q1294" s="73"/>
      <c r="R1294" s="73">
        <v>0</v>
      </c>
      <c r="S1294" s="75">
        <f t="shared" si="175"/>
        <v>0</v>
      </c>
      <c r="T1294" s="77">
        <v>0</v>
      </c>
      <c r="U1294" s="66">
        <v>40462</v>
      </c>
      <c r="V1294" s="79"/>
      <c r="W1294" s="66" t="s">
        <v>1606</v>
      </c>
      <c r="X1294" s="24" t="s">
        <v>1607</v>
      </c>
      <c r="Y1294" s="62"/>
      <c r="Z1294" s="176" t="s">
        <v>2279</v>
      </c>
      <c r="AA1294" s="166" t="s">
        <v>2262</v>
      </c>
      <c r="AB1294" s="152"/>
      <c r="AC1294" s="153"/>
      <c r="AD1294" s="154"/>
      <c r="AE1294" s="153"/>
      <c r="AF1294" s="153"/>
      <c r="AG1294" s="153"/>
      <c r="AH1294" s="153"/>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c r="BF1294" s="153"/>
      <c r="BG1294" s="153"/>
      <c r="BH1294" s="153"/>
      <c r="BI1294" s="153"/>
      <c r="BJ1294" s="153"/>
      <c r="BK1294" s="153"/>
      <c r="BL1294" s="153"/>
      <c r="BM1294" s="153"/>
      <c r="BN1294" s="153"/>
      <c r="BO1294" s="153"/>
      <c r="BP1294" s="153"/>
      <c r="BQ1294" s="153"/>
      <c r="BR1294" s="153"/>
      <c r="BS1294" s="153"/>
      <c r="BT1294" s="153"/>
      <c r="BU1294" s="153"/>
      <c r="BV1294" s="153"/>
      <c r="BW1294" s="153"/>
      <c r="BX1294" s="153"/>
      <c r="BY1294" s="153"/>
      <c r="BZ1294" s="153"/>
      <c r="CA1294" s="153"/>
      <c r="CB1294" s="153"/>
      <c r="CC1294" s="153"/>
      <c r="CD1294" s="155"/>
      <c r="CE1294" s="156"/>
      <c r="CF1294" s="155"/>
      <c r="CG1294" s="156"/>
      <c r="CH1294" s="155"/>
      <c r="CI1294" s="156"/>
      <c r="CJ1294" s="157">
        <f t="shared" si="174"/>
        <v>0</v>
      </c>
      <c r="CK1294" s="158"/>
      <c r="CL1294" s="159"/>
      <c r="CM1294" s="160"/>
      <c r="CN1294" s="161"/>
      <c r="CO1294" s="162"/>
      <c r="CP1294" s="161"/>
      <c r="CQ1294" s="158"/>
      <c r="CR1294" s="159"/>
      <c r="CS1294" s="68"/>
      <c r="CT1294" s="163"/>
      <c r="EC1294" s="344" t="str">
        <f t="shared" si="170"/>
        <v>SANTANDER_MOLAGAVITA</v>
      </c>
      <c r="ED1294" s="341"/>
      <c r="EE1294" s="341"/>
      <c r="EF1294" s="348"/>
      <c r="EG1294" s="341"/>
      <c r="EH1294" s="341"/>
      <c r="EI1294" s="341"/>
    </row>
    <row r="1295" spans="1:139" s="164" customFormat="1" ht="25.5">
      <c r="A1295" s="228">
        <v>40458</v>
      </c>
      <c r="B1295" s="205" t="s">
        <v>2400</v>
      </c>
      <c r="C1295" s="205" t="s">
        <v>2320</v>
      </c>
      <c r="D1295" s="207" t="s">
        <v>1201</v>
      </c>
      <c r="E1295" s="323" t="s">
        <v>4187</v>
      </c>
      <c r="F1295" s="323"/>
      <c r="G1295" s="204"/>
      <c r="H1295" s="151"/>
      <c r="I1295" s="151"/>
      <c r="J1295" s="151">
        <f>680*5</f>
        <v>3400</v>
      </c>
      <c r="K1295" s="151">
        <v>680</v>
      </c>
      <c r="L1295" s="1"/>
      <c r="M1295" s="73">
        <f t="shared" si="172"/>
        <v>0</v>
      </c>
      <c r="N1295" s="73">
        <f t="shared" si="176"/>
        <v>0</v>
      </c>
      <c r="O1295" s="73">
        <f t="shared" si="177"/>
        <v>0</v>
      </c>
      <c r="P1295" s="73">
        <f t="shared" si="173"/>
        <v>0</v>
      </c>
      <c r="Q1295" s="73"/>
      <c r="R1295" s="73">
        <v>0</v>
      </c>
      <c r="S1295" s="75">
        <f t="shared" si="175"/>
        <v>0</v>
      </c>
      <c r="T1295" s="77">
        <v>0</v>
      </c>
      <c r="U1295" s="66">
        <v>40458</v>
      </c>
      <c r="V1295" s="79"/>
      <c r="W1295" s="66" t="s">
        <v>1585</v>
      </c>
      <c r="X1295" s="24" t="s">
        <v>1586</v>
      </c>
      <c r="Y1295" s="62"/>
      <c r="Z1295" s="169" t="s">
        <v>894</v>
      </c>
      <c r="AA1295" s="166" t="s">
        <v>2321</v>
      </c>
      <c r="AB1295" s="152"/>
      <c r="AC1295" s="153"/>
      <c r="AD1295" s="154"/>
      <c r="AE1295" s="153"/>
      <c r="AF1295" s="153"/>
      <c r="AG1295" s="153"/>
      <c r="AH1295" s="153"/>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c r="BF1295" s="153"/>
      <c r="BG1295" s="153"/>
      <c r="BH1295" s="153"/>
      <c r="BI1295" s="153"/>
      <c r="BJ1295" s="153"/>
      <c r="BK1295" s="153"/>
      <c r="BL1295" s="153"/>
      <c r="BM1295" s="153"/>
      <c r="BN1295" s="153"/>
      <c r="BO1295" s="153"/>
      <c r="BP1295" s="153"/>
      <c r="BQ1295" s="153"/>
      <c r="BR1295" s="153"/>
      <c r="BS1295" s="153"/>
      <c r="BT1295" s="153"/>
      <c r="BU1295" s="153"/>
      <c r="BV1295" s="153"/>
      <c r="BW1295" s="153"/>
      <c r="BX1295" s="153"/>
      <c r="BY1295" s="153"/>
      <c r="BZ1295" s="153"/>
      <c r="CA1295" s="153"/>
      <c r="CB1295" s="153"/>
      <c r="CC1295" s="153"/>
      <c r="CD1295" s="155"/>
      <c r="CE1295" s="156"/>
      <c r="CF1295" s="155"/>
      <c r="CG1295" s="156"/>
      <c r="CH1295" s="155"/>
      <c r="CI1295" s="156"/>
      <c r="CJ1295" s="157">
        <f t="shared" si="174"/>
        <v>0</v>
      </c>
      <c r="CK1295" s="158"/>
      <c r="CL1295" s="159"/>
      <c r="CM1295" s="160"/>
      <c r="CN1295" s="161"/>
      <c r="CO1295" s="162"/>
      <c r="CP1295" s="161"/>
      <c r="CQ1295" s="158"/>
      <c r="CR1295" s="159"/>
      <c r="CS1295" s="68"/>
      <c r="CT1295" s="163"/>
      <c r="EC1295" s="344" t="str">
        <f t="shared" si="170"/>
        <v>TOLIMA_CHAPARRAL</v>
      </c>
      <c r="ED1295" s="341"/>
      <c r="EE1295" s="341"/>
      <c r="EF1295" s="348"/>
      <c r="EG1295" s="341"/>
      <c r="EH1295" s="341"/>
      <c r="EI1295" s="341"/>
    </row>
    <row r="1296" spans="1:139" s="164" customFormat="1" ht="25.5">
      <c r="A1296" s="228">
        <v>40458</v>
      </c>
      <c r="B1296" s="205" t="s">
        <v>2400</v>
      </c>
      <c r="C1296" s="205" t="s">
        <v>2317</v>
      </c>
      <c r="D1296" s="207" t="s">
        <v>1201</v>
      </c>
      <c r="E1296" s="323" t="s">
        <v>4193</v>
      </c>
      <c r="F1296" s="323"/>
      <c r="G1296" s="204"/>
      <c r="H1296" s="151"/>
      <c r="I1296" s="151"/>
      <c r="J1296" s="151">
        <v>387</v>
      </c>
      <c r="K1296" s="151">
        <v>86</v>
      </c>
      <c r="L1296" s="1"/>
      <c r="M1296" s="73">
        <f t="shared" si="172"/>
        <v>0</v>
      </c>
      <c r="N1296" s="73">
        <f t="shared" si="176"/>
        <v>0</v>
      </c>
      <c r="O1296" s="73">
        <f t="shared" si="177"/>
        <v>0</v>
      </c>
      <c r="P1296" s="73">
        <f t="shared" si="173"/>
        <v>0</v>
      </c>
      <c r="Q1296" s="73"/>
      <c r="R1296" s="73">
        <v>0</v>
      </c>
      <c r="S1296" s="75">
        <f t="shared" si="175"/>
        <v>0</v>
      </c>
      <c r="T1296" s="77">
        <v>0</v>
      </c>
      <c r="U1296" s="66">
        <v>40458</v>
      </c>
      <c r="V1296" s="79"/>
      <c r="W1296" s="66" t="s">
        <v>1585</v>
      </c>
      <c r="X1296" s="24" t="s">
        <v>1586</v>
      </c>
      <c r="Y1296" s="62"/>
      <c r="Z1296" s="169" t="s">
        <v>894</v>
      </c>
      <c r="AA1296" s="166" t="s">
        <v>902</v>
      </c>
      <c r="AB1296" s="152"/>
      <c r="AC1296" s="153"/>
      <c r="AD1296" s="154"/>
      <c r="AE1296" s="153"/>
      <c r="AF1296" s="153"/>
      <c r="AG1296" s="153"/>
      <c r="AH1296" s="153"/>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c r="BF1296" s="153"/>
      <c r="BG1296" s="153"/>
      <c r="BH1296" s="153"/>
      <c r="BI1296" s="153"/>
      <c r="BJ1296" s="153"/>
      <c r="BK1296" s="153"/>
      <c r="BL1296" s="153"/>
      <c r="BM1296" s="153"/>
      <c r="BN1296" s="153"/>
      <c r="BO1296" s="153"/>
      <c r="BP1296" s="153"/>
      <c r="BQ1296" s="153"/>
      <c r="BR1296" s="153"/>
      <c r="BS1296" s="153"/>
      <c r="BT1296" s="153"/>
      <c r="BU1296" s="153"/>
      <c r="BV1296" s="153"/>
      <c r="BW1296" s="153"/>
      <c r="BX1296" s="153"/>
      <c r="BY1296" s="153"/>
      <c r="BZ1296" s="153"/>
      <c r="CA1296" s="153"/>
      <c r="CB1296" s="153"/>
      <c r="CC1296" s="153"/>
      <c r="CD1296" s="155"/>
      <c r="CE1296" s="156"/>
      <c r="CF1296" s="155"/>
      <c r="CG1296" s="156"/>
      <c r="CH1296" s="155"/>
      <c r="CI1296" s="156"/>
      <c r="CJ1296" s="157">
        <f t="shared" si="174"/>
        <v>0</v>
      </c>
      <c r="CK1296" s="158"/>
      <c r="CL1296" s="159"/>
      <c r="CM1296" s="160"/>
      <c r="CN1296" s="161"/>
      <c r="CO1296" s="162"/>
      <c r="CP1296" s="161"/>
      <c r="CQ1296" s="158"/>
      <c r="CR1296" s="159"/>
      <c r="CS1296" s="68"/>
      <c r="CT1296" s="163"/>
      <c r="EC1296" s="344" t="str">
        <f t="shared" si="170"/>
        <v>TOLIMA_FALAN</v>
      </c>
      <c r="ED1296" s="341"/>
      <c r="EE1296" s="341"/>
      <c r="EF1296" s="348"/>
      <c r="EG1296" s="341"/>
      <c r="EH1296" s="341"/>
      <c r="EI1296" s="341"/>
    </row>
    <row r="1297" spans="1:139" s="164" customFormat="1" ht="36">
      <c r="A1297" s="228">
        <v>40458</v>
      </c>
      <c r="B1297" s="205" t="s">
        <v>2400</v>
      </c>
      <c r="C1297" s="205" t="s">
        <v>2318</v>
      </c>
      <c r="D1297" s="206" t="s">
        <v>1878</v>
      </c>
      <c r="E1297" s="320" t="s">
        <v>4207</v>
      </c>
      <c r="F1297" s="320"/>
      <c r="G1297" s="204"/>
      <c r="H1297" s="151"/>
      <c r="I1297" s="151"/>
      <c r="J1297" s="151">
        <f>181*5</f>
        <v>905</v>
      </c>
      <c r="K1297" s="151">
        <f>200-19</f>
        <v>181</v>
      </c>
      <c r="L1297" s="1"/>
      <c r="M1297" s="73">
        <f t="shared" si="172"/>
        <v>0</v>
      </c>
      <c r="N1297" s="73">
        <f t="shared" si="176"/>
        <v>0</v>
      </c>
      <c r="O1297" s="73">
        <f t="shared" si="177"/>
        <v>0</v>
      </c>
      <c r="P1297" s="73">
        <f t="shared" si="173"/>
        <v>0</v>
      </c>
      <c r="Q1297" s="73"/>
      <c r="R1297" s="73">
        <v>0</v>
      </c>
      <c r="S1297" s="75">
        <f t="shared" si="175"/>
        <v>0</v>
      </c>
      <c r="T1297" s="77">
        <v>0</v>
      </c>
      <c r="U1297" s="66">
        <v>40458</v>
      </c>
      <c r="V1297" s="79"/>
      <c r="W1297" s="66" t="s">
        <v>1585</v>
      </c>
      <c r="X1297" s="24" t="s">
        <v>1586</v>
      </c>
      <c r="Y1297" s="62"/>
      <c r="Z1297" s="169" t="s">
        <v>894</v>
      </c>
      <c r="AA1297" s="166" t="s">
        <v>2319</v>
      </c>
      <c r="AB1297" s="152"/>
      <c r="AC1297" s="153"/>
      <c r="AD1297" s="154"/>
      <c r="AE1297" s="153"/>
      <c r="AF1297" s="153"/>
      <c r="AG1297" s="153"/>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c r="BF1297" s="153"/>
      <c r="BG1297" s="153"/>
      <c r="BH1297" s="153"/>
      <c r="BI1297" s="153"/>
      <c r="BJ1297" s="153"/>
      <c r="BK1297" s="153"/>
      <c r="BL1297" s="153"/>
      <c r="BM1297" s="153"/>
      <c r="BN1297" s="153"/>
      <c r="BO1297" s="153"/>
      <c r="BP1297" s="153"/>
      <c r="BQ1297" s="153"/>
      <c r="BR1297" s="153"/>
      <c r="BS1297" s="153"/>
      <c r="BT1297" s="153"/>
      <c r="BU1297" s="153"/>
      <c r="BV1297" s="153"/>
      <c r="BW1297" s="153"/>
      <c r="BX1297" s="153"/>
      <c r="BY1297" s="153"/>
      <c r="BZ1297" s="153"/>
      <c r="CA1297" s="153"/>
      <c r="CB1297" s="153"/>
      <c r="CC1297" s="153"/>
      <c r="CD1297" s="155"/>
      <c r="CE1297" s="156"/>
      <c r="CF1297" s="155"/>
      <c r="CG1297" s="156"/>
      <c r="CH1297" s="155"/>
      <c r="CI1297" s="156"/>
      <c r="CJ1297" s="157">
        <f t="shared" si="174"/>
        <v>0</v>
      </c>
      <c r="CK1297" s="158"/>
      <c r="CL1297" s="159"/>
      <c r="CM1297" s="160"/>
      <c r="CN1297" s="161"/>
      <c r="CO1297" s="162"/>
      <c r="CP1297" s="161"/>
      <c r="CQ1297" s="158"/>
      <c r="CR1297" s="159"/>
      <c r="CS1297" s="68"/>
      <c r="CT1297" s="163"/>
      <c r="EC1297" s="344" t="str">
        <f t="shared" si="170"/>
        <v>TOLIMA_PALOCABILDO</v>
      </c>
      <c r="ED1297" s="341"/>
      <c r="EE1297" s="341"/>
      <c r="EF1297" s="348"/>
      <c r="EG1297" s="341"/>
      <c r="EH1297" s="341"/>
      <c r="EI1297" s="341"/>
    </row>
    <row r="1298" spans="1:139" s="164" customFormat="1" ht="38.25">
      <c r="A1298" s="235">
        <v>40459</v>
      </c>
      <c r="B1298" s="269" t="s">
        <v>1972</v>
      </c>
      <c r="C1298" s="269" t="s">
        <v>3106</v>
      </c>
      <c r="D1298" s="270" t="s">
        <v>1201</v>
      </c>
      <c r="E1298" s="327" t="s">
        <v>3272</v>
      </c>
      <c r="F1298" s="327"/>
      <c r="G1298" s="204"/>
      <c r="H1298" s="151"/>
      <c r="I1298" s="151"/>
      <c r="J1298" s="151">
        <v>100</v>
      </c>
      <c r="K1298" s="151">
        <v>20</v>
      </c>
      <c r="L1298" s="1"/>
      <c r="M1298" s="73">
        <f t="shared" si="172"/>
        <v>0</v>
      </c>
      <c r="N1298" s="73">
        <f t="shared" si="176"/>
        <v>0</v>
      </c>
      <c r="O1298" s="73">
        <f t="shared" si="177"/>
        <v>0</v>
      </c>
      <c r="P1298" s="73">
        <f t="shared" si="173"/>
        <v>0</v>
      </c>
      <c r="Q1298" s="73"/>
      <c r="R1298" s="73">
        <v>0</v>
      </c>
      <c r="S1298" s="75">
        <f t="shared" si="175"/>
        <v>0</v>
      </c>
      <c r="T1298" s="77">
        <v>0</v>
      </c>
      <c r="U1298" s="66">
        <v>40462</v>
      </c>
      <c r="V1298" s="79"/>
      <c r="W1298" s="66" t="s">
        <v>1585</v>
      </c>
      <c r="X1298" s="24" t="s">
        <v>1586</v>
      </c>
      <c r="Y1298" s="62"/>
      <c r="Z1298" s="169" t="s">
        <v>894</v>
      </c>
      <c r="AA1298" s="166" t="s">
        <v>2333</v>
      </c>
      <c r="AB1298" s="152"/>
      <c r="AC1298" s="153"/>
      <c r="AD1298" s="154"/>
      <c r="AE1298" s="153"/>
      <c r="AF1298" s="153"/>
      <c r="AG1298" s="153"/>
      <c r="AH1298" s="153"/>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c r="BF1298" s="153"/>
      <c r="BG1298" s="153"/>
      <c r="BH1298" s="153"/>
      <c r="BI1298" s="153"/>
      <c r="BJ1298" s="153"/>
      <c r="BK1298" s="153"/>
      <c r="BL1298" s="153"/>
      <c r="BM1298" s="153"/>
      <c r="BN1298" s="153"/>
      <c r="BO1298" s="153"/>
      <c r="BP1298" s="153"/>
      <c r="BQ1298" s="153"/>
      <c r="BR1298" s="153"/>
      <c r="BS1298" s="153"/>
      <c r="BT1298" s="153"/>
      <c r="BU1298" s="153"/>
      <c r="BV1298" s="153"/>
      <c r="BW1298" s="153"/>
      <c r="BX1298" s="153"/>
      <c r="BY1298" s="153"/>
      <c r="BZ1298" s="153"/>
      <c r="CA1298" s="153"/>
      <c r="CB1298" s="153"/>
      <c r="CC1298" s="153"/>
      <c r="CD1298" s="155"/>
      <c r="CE1298" s="156"/>
      <c r="CF1298" s="155"/>
      <c r="CG1298" s="156"/>
      <c r="CH1298" s="155"/>
      <c r="CI1298" s="156"/>
      <c r="CJ1298" s="157">
        <f t="shared" si="174"/>
        <v>0</v>
      </c>
      <c r="CK1298" s="158"/>
      <c r="CL1298" s="159"/>
      <c r="CM1298" s="160"/>
      <c r="CN1298" s="161"/>
      <c r="CO1298" s="162"/>
      <c r="CP1298" s="161"/>
      <c r="CQ1298" s="158"/>
      <c r="CR1298" s="159"/>
      <c r="CS1298" s="68"/>
      <c r="CT1298" s="163"/>
      <c r="EC1298" s="344" t="str">
        <f t="shared" si="170"/>
        <v>ANTIOQUIA_ENTRERRIOS</v>
      </c>
      <c r="ED1298" s="341"/>
      <c r="EE1298" s="341"/>
      <c r="EF1298" s="348"/>
      <c r="EG1298" s="341"/>
      <c r="EH1298" s="341"/>
      <c r="EI1298" s="341"/>
    </row>
    <row r="1299" spans="1:139" s="164" customFormat="1" ht="25.5">
      <c r="A1299" s="235">
        <v>40459</v>
      </c>
      <c r="B1299" s="269" t="s">
        <v>1972</v>
      </c>
      <c r="C1299" s="269" t="s">
        <v>1814</v>
      </c>
      <c r="D1299" s="270" t="s">
        <v>1201</v>
      </c>
      <c r="E1299" s="327" t="s">
        <v>3274</v>
      </c>
      <c r="F1299" s="327"/>
      <c r="G1299" s="204"/>
      <c r="H1299" s="151"/>
      <c r="I1299" s="151"/>
      <c r="J1299" s="151">
        <v>60</v>
      </c>
      <c r="K1299" s="151">
        <v>17</v>
      </c>
      <c r="L1299" s="1"/>
      <c r="M1299" s="73">
        <f t="shared" si="172"/>
        <v>0</v>
      </c>
      <c r="N1299" s="73">
        <f t="shared" si="176"/>
        <v>0</v>
      </c>
      <c r="O1299" s="73">
        <f t="shared" si="177"/>
        <v>0</v>
      </c>
      <c r="P1299" s="73">
        <f t="shared" si="173"/>
        <v>0</v>
      </c>
      <c r="Q1299" s="73"/>
      <c r="R1299" s="73">
        <v>0</v>
      </c>
      <c r="S1299" s="75">
        <f t="shared" si="175"/>
        <v>0</v>
      </c>
      <c r="T1299" s="77">
        <v>0</v>
      </c>
      <c r="U1299" s="66">
        <v>40462</v>
      </c>
      <c r="V1299" s="79"/>
      <c r="W1299" s="66" t="s">
        <v>1585</v>
      </c>
      <c r="X1299" s="24" t="s">
        <v>1586</v>
      </c>
      <c r="Y1299" s="62"/>
      <c r="Z1299" s="169" t="s">
        <v>894</v>
      </c>
      <c r="AA1299" s="166" t="s">
        <v>2334</v>
      </c>
      <c r="AB1299" s="152"/>
      <c r="AC1299" s="153"/>
      <c r="AD1299" s="154"/>
      <c r="AE1299" s="153"/>
      <c r="AF1299" s="153"/>
      <c r="AG1299" s="153"/>
      <c r="AH1299" s="153"/>
      <c r="AI1299" s="153"/>
      <c r="AJ1299" s="153"/>
      <c r="AK1299" s="153"/>
      <c r="AL1299" s="153"/>
      <c r="AM1299" s="153"/>
      <c r="AN1299" s="153"/>
      <c r="AO1299" s="153"/>
      <c r="AP1299" s="153"/>
      <c r="AQ1299" s="153"/>
      <c r="AR1299" s="153"/>
      <c r="AS1299" s="153"/>
      <c r="AT1299" s="153"/>
      <c r="AU1299" s="153"/>
      <c r="AV1299" s="153"/>
      <c r="AW1299" s="153"/>
      <c r="AX1299" s="153"/>
      <c r="AY1299" s="153"/>
      <c r="AZ1299" s="153"/>
      <c r="BA1299" s="153"/>
      <c r="BB1299" s="153"/>
      <c r="BC1299" s="153"/>
      <c r="BD1299" s="153"/>
      <c r="BE1299" s="153"/>
      <c r="BF1299" s="153"/>
      <c r="BG1299" s="153"/>
      <c r="BH1299" s="153"/>
      <c r="BI1299" s="153"/>
      <c r="BJ1299" s="153"/>
      <c r="BK1299" s="153"/>
      <c r="BL1299" s="153"/>
      <c r="BM1299" s="153"/>
      <c r="BN1299" s="153"/>
      <c r="BO1299" s="153"/>
      <c r="BP1299" s="153"/>
      <c r="BQ1299" s="153"/>
      <c r="BR1299" s="153"/>
      <c r="BS1299" s="153"/>
      <c r="BT1299" s="153"/>
      <c r="BU1299" s="153"/>
      <c r="BV1299" s="153"/>
      <c r="BW1299" s="153"/>
      <c r="BX1299" s="153"/>
      <c r="BY1299" s="153"/>
      <c r="BZ1299" s="153"/>
      <c r="CA1299" s="153"/>
      <c r="CB1299" s="153"/>
      <c r="CC1299" s="153"/>
      <c r="CD1299" s="155"/>
      <c r="CE1299" s="156"/>
      <c r="CF1299" s="155"/>
      <c r="CG1299" s="156"/>
      <c r="CH1299" s="155"/>
      <c r="CI1299" s="156"/>
      <c r="CJ1299" s="157">
        <f t="shared" si="174"/>
        <v>0</v>
      </c>
      <c r="CK1299" s="158"/>
      <c r="CL1299" s="159"/>
      <c r="CM1299" s="160"/>
      <c r="CN1299" s="161"/>
      <c r="CO1299" s="162"/>
      <c r="CP1299" s="161"/>
      <c r="CQ1299" s="158"/>
      <c r="CR1299" s="159"/>
      <c r="CS1299" s="68"/>
      <c r="CT1299" s="163"/>
      <c r="EC1299" s="344" t="str">
        <f t="shared" si="170"/>
        <v>ANTIOQUIA_FREDONIA</v>
      </c>
      <c r="ED1299" s="341"/>
      <c r="EE1299" s="341"/>
      <c r="EF1299" s="348"/>
      <c r="EG1299" s="341"/>
      <c r="EH1299" s="341"/>
      <c r="EI1299" s="341"/>
    </row>
    <row r="1300" spans="1:139" s="164" customFormat="1" ht="48">
      <c r="A1300" s="228">
        <v>40459</v>
      </c>
      <c r="B1300" s="205" t="s">
        <v>1551</v>
      </c>
      <c r="C1300" s="205" t="s">
        <v>197</v>
      </c>
      <c r="D1300" s="207" t="s">
        <v>1201</v>
      </c>
      <c r="E1300" s="323" t="s">
        <v>3366</v>
      </c>
      <c r="F1300" s="323"/>
      <c r="G1300" s="204"/>
      <c r="H1300" s="151"/>
      <c r="I1300" s="151"/>
      <c r="J1300" s="151">
        <f>5799*3.7</f>
        <v>21456.3</v>
      </c>
      <c r="K1300" s="151">
        <f>5992-83-110</f>
        <v>5799</v>
      </c>
      <c r="L1300" s="1">
        <v>40526</v>
      </c>
      <c r="M1300" s="73">
        <f t="shared" si="172"/>
        <v>152161600</v>
      </c>
      <c r="N1300" s="73">
        <f t="shared" si="176"/>
        <v>192950000</v>
      </c>
      <c r="O1300" s="73">
        <f t="shared" si="177"/>
        <v>0</v>
      </c>
      <c r="P1300" s="73">
        <f t="shared" si="173"/>
        <v>0</v>
      </c>
      <c r="Q1300" s="73"/>
      <c r="R1300" s="73">
        <v>0</v>
      </c>
      <c r="S1300" s="75">
        <f t="shared" si="175"/>
        <v>345111600</v>
      </c>
      <c r="T1300" s="77">
        <v>0</v>
      </c>
      <c r="U1300" s="66">
        <v>40494</v>
      </c>
      <c r="V1300" s="79">
        <v>57681</v>
      </c>
      <c r="W1300" s="66" t="s">
        <v>1606</v>
      </c>
      <c r="X1300" s="24" t="s">
        <v>1607</v>
      </c>
      <c r="Y1300" s="62">
        <v>25667</v>
      </c>
      <c r="Z1300" s="177" t="s">
        <v>2580</v>
      </c>
      <c r="AA1300" s="166" t="s">
        <v>2835</v>
      </c>
      <c r="AB1300" s="152"/>
      <c r="AC1300" s="153"/>
      <c r="AD1300" s="154"/>
      <c r="AE1300" s="153"/>
      <c r="AF1300" s="153"/>
      <c r="AG1300" s="153"/>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f>800+1000</f>
        <v>1800</v>
      </c>
      <c r="BA1300" s="153">
        <f>800*25500+1000*25500</f>
        <v>45900000</v>
      </c>
      <c r="BB1300" s="153"/>
      <c r="BC1300" s="153"/>
      <c r="BD1300" s="153"/>
      <c r="BE1300" s="153"/>
      <c r="BF1300" s="153"/>
      <c r="BG1300" s="153"/>
      <c r="BH1300" s="153"/>
      <c r="BI1300" s="153"/>
      <c r="BJ1300" s="153"/>
      <c r="BK1300" s="153"/>
      <c r="BL1300" s="153"/>
      <c r="BM1300" s="153"/>
      <c r="BN1300" s="153"/>
      <c r="BO1300" s="153"/>
      <c r="BP1300" s="153"/>
      <c r="BQ1300" s="153"/>
      <c r="BR1300" s="153"/>
      <c r="BS1300" s="153"/>
      <c r="BT1300" s="153"/>
      <c r="BU1300" s="153"/>
      <c r="BV1300" s="153"/>
      <c r="BW1300" s="153"/>
      <c r="BX1300" s="153"/>
      <c r="BY1300" s="153"/>
      <c r="BZ1300" s="153"/>
      <c r="CA1300" s="153"/>
      <c r="CB1300" s="153"/>
      <c r="CC1300" s="153"/>
      <c r="CD1300" s="155">
        <f>800+1000</f>
        <v>1800</v>
      </c>
      <c r="CE1300" s="156">
        <f>800*36952+1000*37000</f>
        <v>66561600</v>
      </c>
      <c r="CF1300" s="155">
        <v>1000</v>
      </c>
      <c r="CG1300" s="156">
        <f>1000*39700</f>
        <v>39700000</v>
      </c>
      <c r="CH1300" s="155"/>
      <c r="CI1300" s="156"/>
      <c r="CJ1300" s="157">
        <f t="shared" si="174"/>
        <v>152161600</v>
      </c>
      <c r="CK1300" s="158"/>
      <c r="CL1300" s="159"/>
      <c r="CM1300" s="160">
        <f>800+470+1000</f>
        <v>2270</v>
      </c>
      <c r="CN1300" s="161">
        <f>800*85000+470*85000+1000*85000</f>
        <v>192950000</v>
      </c>
      <c r="CO1300" s="162"/>
      <c r="CP1300" s="161"/>
      <c r="CQ1300" s="158"/>
      <c r="CR1300" s="159"/>
      <c r="CS1300" s="68"/>
      <c r="CT1300" s="163">
        <v>1400</v>
      </c>
      <c r="EC1300" s="344" t="str">
        <f t="shared" si="170"/>
        <v>ATLANTICO_REPELON</v>
      </c>
      <c r="ED1300" s="341"/>
      <c r="EE1300" s="341"/>
      <c r="EF1300" s="348"/>
      <c r="EG1300" s="341"/>
      <c r="EH1300" s="341"/>
      <c r="EI1300" s="341"/>
    </row>
    <row r="1301" spans="1:139" s="164" customFormat="1" ht="25.5">
      <c r="A1301" s="228">
        <v>40459</v>
      </c>
      <c r="B1301" s="205" t="s">
        <v>1192</v>
      </c>
      <c r="C1301" s="205" t="s">
        <v>2681</v>
      </c>
      <c r="D1301" s="206" t="s">
        <v>1878</v>
      </c>
      <c r="E1301" s="320" t="s">
        <v>3458</v>
      </c>
      <c r="F1301" s="320"/>
      <c r="G1301" s="204"/>
      <c r="H1301" s="151"/>
      <c r="I1301" s="151"/>
      <c r="J1301" s="151">
        <f>220*5</f>
        <v>1100</v>
      </c>
      <c r="K1301" s="151">
        <v>220</v>
      </c>
      <c r="L1301" s="1">
        <v>40530</v>
      </c>
      <c r="M1301" s="73">
        <f t="shared" si="172"/>
        <v>7684942</v>
      </c>
      <c r="N1301" s="73">
        <f t="shared" si="176"/>
        <v>4250000</v>
      </c>
      <c r="O1301" s="73">
        <f t="shared" si="177"/>
        <v>0</v>
      </c>
      <c r="P1301" s="73">
        <f t="shared" si="173"/>
        <v>0</v>
      </c>
      <c r="Q1301" s="73"/>
      <c r="R1301" s="73">
        <v>0</v>
      </c>
      <c r="S1301" s="75">
        <f t="shared" si="175"/>
        <v>11934942</v>
      </c>
      <c r="T1301" s="77">
        <v>0</v>
      </c>
      <c r="U1301" s="66">
        <v>40492</v>
      </c>
      <c r="V1301" s="79"/>
      <c r="W1301" s="66" t="s">
        <v>1606</v>
      </c>
      <c r="X1301" s="24" t="s">
        <v>1607</v>
      </c>
      <c r="Y1301" s="83" t="s">
        <v>237</v>
      </c>
      <c r="Z1301" s="169" t="s">
        <v>894</v>
      </c>
      <c r="AA1301" s="166" t="s">
        <v>2767</v>
      </c>
      <c r="AB1301" s="152"/>
      <c r="AC1301" s="153"/>
      <c r="AD1301" s="154"/>
      <c r="AE1301" s="153"/>
      <c r="AF1301" s="153"/>
      <c r="AG1301" s="153"/>
      <c r="AH1301" s="153"/>
      <c r="AI1301" s="153"/>
      <c r="AJ1301" s="153"/>
      <c r="AK1301" s="153"/>
      <c r="AL1301" s="153"/>
      <c r="AM1301" s="153"/>
      <c r="AN1301" s="153">
        <v>50</v>
      </c>
      <c r="AO1301" s="153">
        <f>50*56000</f>
        <v>2800000</v>
      </c>
      <c r="AP1301" s="153"/>
      <c r="AQ1301" s="153"/>
      <c r="AR1301" s="153"/>
      <c r="AS1301" s="153"/>
      <c r="AT1301" s="153"/>
      <c r="AU1301" s="153"/>
      <c r="AV1301" s="153"/>
      <c r="AW1301" s="153"/>
      <c r="AX1301" s="153"/>
      <c r="AY1301" s="153"/>
      <c r="AZ1301" s="153"/>
      <c r="BA1301" s="153"/>
      <c r="BB1301" s="153"/>
      <c r="BC1301" s="153"/>
      <c r="BD1301" s="153"/>
      <c r="BE1301" s="153"/>
      <c r="BF1301" s="153"/>
      <c r="BG1301" s="153"/>
      <c r="BH1301" s="153"/>
      <c r="BI1301" s="153"/>
      <c r="BJ1301" s="153"/>
      <c r="BK1301" s="153"/>
      <c r="BL1301" s="153"/>
      <c r="BM1301" s="153"/>
      <c r="BN1301" s="153"/>
      <c r="BO1301" s="153"/>
      <c r="BP1301" s="153"/>
      <c r="BQ1301" s="153"/>
      <c r="BR1301" s="153"/>
      <c r="BS1301" s="153"/>
      <c r="BT1301" s="153"/>
      <c r="BU1301" s="153"/>
      <c r="BV1301" s="153"/>
      <c r="BW1301" s="153"/>
      <c r="BX1301" s="153">
        <v>50</v>
      </c>
      <c r="BY1301" s="153">
        <f>50*20999.48</f>
        <v>1049974</v>
      </c>
      <c r="BZ1301" s="153"/>
      <c r="CA1301" s="153"/>
      <c r="CB1301" s="153"/>
      <c r="CC1301" s="153"/>
      <c r="CD1301" s="155">
        <v>50</v>
      </c>
      <c r="CE1301" s="156">
        <f>50*36999.36</f>
        <v>1849968</v>
      </c>
      <c r="CF1301" s="155">
        <v>50</v>
      </c>
      <c r="CG1301" s="156">
        <f>50*39700</f>
        <v>1985000</v>
      </c>
      <c r="CH1301" s="155"/>
      <c r="CI1301" s="156"/>
      <c r="CJ1301" s="157">
        <f t="shared" si="174"/>
        <v>7684942</v>
      </c>
      <c r="CK1301" s="158"/>
      <c r="CL1301" s="159"/>
      <c r="CM1301" s="160">
        <v>50</v>
      </c>
      <c r="CN1301" s="161">
        <f>50*85000</f>
        <v>4250000</v>
      </c>
      <c r="CO1301" s="162"/>
      <c r="CP1301" s="161"/>
      <c r="CQ1301" s="158"/>
      <c r="CR1301" s="159"/>
      <c r="CS1301" s="68"/>
      <c r="CT1301" s="163"/>
      <c r="EC1301" s="344" t="str">
        <f t="shared" si="170"/>
        <v>BOYACA_GAMEZA</v>
      </c>
      <c r="ED1301" s="341"/>
      <c r="EE1301" s="341"/>
      <c r="EF1301" s="348"/>
      <c r="EG1301" s="341"/>
      <c r="EH1301" s="341"/>
      <c r="EI1301" s="341"/>
    </row>
    <row r="1302" spans="1:139" s="164" customFormat="1" ht="72">
      <c r="A1302" s="228">
        <v>40459</v>
      </c>
      <c r="B1302" s="205" t="s">
        <v>1192</v>
      </c>
      <c r="C1302" s="205" t="s">
        <v>1927</v>
      </c>
      <c r="D1302" s="206" t="s">
        <v>1878</v>
      </c>
      <c r="E1302" s="320" t="s">
        <v>3466</v>
      </c>
      <c r="F1302" s="320"/>
      <c r="G1302" s="204"/>
      <c r="H1302" s="151"/>
      <c r="I1302" s="151"/>
      <c r="J1302" s="151">
        <f>176*5</f>
        <v>880</v>
      </c>
      <c r="K1302" s="151">
        <v>176</v>
      </c>
      <c r="L1302" s="1">
        <v>40530</v>
      </c>
      <c r="M1302" s="73">
        <f t="shared" si="172"/>
        <v>9221930.4000000004</v>
      </c>
      <c r="N1302" s="73">
        <f t="shared" si="176"/>
        <v>5100000</v>
      </c>
      <c r="O1302" s="73">
        <f t="shared" si="177"/>
        <v>0</v>
      </c>
      <c r="P1302" s="73">
        <f t="shared" si="173"/>
        <v>0</v>
      </c>
      <c r="Q1302" s="73"/>
      <c r="R1302" s="73">
        <v>0</v>
      </c>
      <c r="S1302" s="75">
        <f t="shared" si="175"/>
        <v>14321930.4</v>
      </c>
      <c r="T1302" s="77">
        <v>0</v>
      </c>
      <c r="U1302" s="66">
        <v>40484</v>
      </c>
      <c r="V1302" s="79"/>
      <c r="W1302" s="66" t="s">
        <v>1606</v>
      </c>
      <c r="X1302" s="24" t="s">
        <v>1607</v>
      </c>
      <c r="Y1302" s="83" t="s">
        <v>237</v>
      </c>
      <c r="Z1302" s="169" t="s">
        <v>894</v>
      </c>
      <c r="AA1302" s="166" t="s">
        <v>179</v>
      </c>
      <c r="AB1302" s="152"/>
      <c r="AC1302" s="153"/>
      <c r="AD1302" s="154"/>
      <c r="AE1302" s="153"/>
      <c r="AF1302" s="153"/>
      <c r="AG1302" s="153"/>
      <c r="AH1302" s="153"/>
      <c r="AI1302" s="153"/>
      <c r="AJ1302" s="153"/>
      <c r="AK1302" s="153"/>
      <c r="AL1302" s="153"/>
      <c r="AM1302" s="153"/>
      <c r="AN1302" s="153">
        <v>60</v>
      </c>
      <c r="AO1302" s="153">
        <f>60*56000</f>
        <v>3360000</v>
      </c>
      <c r="AP1302" s="153"/>
      <c r="AQ1302" s="153"/>
      <c r="AR1302" s="153"/>
      <c r="AS1302" s="153"/>
      <c r="AT1302" s="153"/>
      <c r="AU1302" s="153"/>
      <c r="AV1302" s="153"/>
      <c r="AW1302" s="153"/>
      <c r="AX1302" s="153"/>
      <c r="AY1302" s="153"/>
      <c r="AZ1302" s="153"/>
      <c r="BA1302" s="153"/>
      <c r="BB1302" s="153"/>
      <c r="BC1302" s="153"/>
      <c r="BD1302" s="153"/>
      <c r="BE1302" s="153"/>
      <c r="BF1302" s="153"/>
      <c r="BG1302" s="153"/>
      <c r="BH1302" s="153"/>
      <c r="BI1302" s="153"/>
      <c r="BJ1302" s="153"/>
      <c r="BK1302" s="153"/>
      <c r="BL1302" s="153"/>
      <c r="BM1302" s="153"/>
      <c r="BN1302" s="153"/>
      <c r="BO1302" s="153"/>
      <c r="BP1302" s="153"/>
      <c r="BQ1302" s="153"/>
      <c r="BR1302" s="153"/>
      <c r="BS1302" s="153"/>
      <c r="BT1302" s="153"/>
      <c r="BU1302" s="153"/>
      <c r="BV1302" s="153"/>
      <c r="BW1302" s="153"/>
      <c r="BX1302" s="153">
        <v>60</v>
      </c>
      <c r="BY1302" s="153">
        <f>60*20999.48</f>
        <v>1259968.8</v>
      </c>
      <c r="BZ1302" s="153"/>
      <c r="CA1302" s="153"/>
      <c r="CB1302" s="153"/>
      <c r="CC1302" s="153"/>
      <c r="CD1302" s="155">
        <v>60</v>
      </c>
      <c r="CE1302" s="156">
        <f>60*36999.36</f>
        <v>2219961.6</v>
      </c>
      <c r="CF1302" s="155">
        <v>60</v>
      </c>
      <c r="CG1302" s="156">
        <f>60*39700</f>
        <v>2382000</v>
      </c>
      <c r="CH1302" s="155"/>
      <c r="CI1302" s="156"/>
      <c r="CJ1302" s="157">
        <f t="shared" si="174"/>
        <v>9221930.4000000004</v>
      </c>
      <c r="CK1302" s="158"/>
      <c r="CL1302" s="159"/>
      <c r="CM1302" s="160">
        <v>60</v>
      </c>
      <c r="CN1302" s="161">
        <f>60*85000</f>
        <v>5100000</v>
      </c>
      <c r="CO1302" s="162"/>
      <c r="CP1302" s="161"/>
      <c r="CQ1302" s="158"/>
      <c r="CR1302" s="159"/>
      <c r="CS1302" s="68"/>
      <c r="CT1302" s="163"/>
      <c r="EC1302" s="344" t="str">
        <f t="shared" ref="EC1302:EC1365" si="178">B1302&amp;"_"&amp;C1302</f>
        <v>BOYACA_JERICO</v>
      </c>
      <c r="ED1302" s="341"/>
      <c r="EE1302" s="341"/>
      <c r="EF1302" s="348"/>
      <c r="EG1302" s="341"/>
      <c r="EH1302" s="341"/>
      <c r="EI1302" s="341"/>
    </row>
    <row r="1303" spans="1:139" s="164" customFormat="1" ht="25.5">
      <c r="A1303" s="228">
        <v>40459</v>
      </c>
      <c r="B1303" s="205" t="s">
        <v>1192</v>
      </c>
      <c r="C1303" s="205" t="s">
        <v>2332</v>
      </c>
      <c r="D1303" s="207" t="s">
        <v>1201</v>
      </c>
      <c r="E1303" s="323" t="s">
        <v>3523</v>
      </c>
      <c r="F1303" s="323"/>
      <c r="G1303" s="204"/>
      <c r="H1303" s="151"/>
      <c r="I1303" s="151"/>
      <c r="J1303" s="151">
        <f>273*5</f>
        <v>1365</v>
      </c>
      <c r="K1303" s="151">
        <v>273</v>
      </c>
      <c r="L1303" s="1"/>
      <c r="M1303" s="73">
        <f t="shared" si="172"/>
        <v>0</v>
      </c>
      <c r="N1303" s="73">
        <f t="shared" si="176"/>
        <v>0</v>
      </c>
      <c r="O1303" s="73">
        <f t="shared" si="177"/>
        <v>0</v>
      </c>
      <c r="P1303" s="73">
        <f t="shared" si="173"/>
        <v>0</v>
      </c>
      <c r="Q1303" s="73"/>
      <c r="R1303" s="73">
        <v>0</v>
      </c>
      <c r="S1303" s="75">
        <f t="shared" si="175"/>
        <v>0</v>
      </c>
      <c r="T1303" s="77">
        <v>0</v>
      </c>
      <c r="U1303" s="66">
        <v>40462</v>
      </c>
      <c r="V1303" s="79"/>
      <c r="W1303" s="66" t="s">
        <v>1585</v>
      </c>
      <c r="X1303" s="24" t="s">
        <v>1586</v>
      </c>
      <c r="Y1303" s="62"/>
      <c r="Z1303" s="169" t="s">
        <v>894</v>
      </c>
      <c r="AA1303" s="166" t="s">
        <v>2066</v>
      </c>
      <c r="AB1303" s="152"/>
      <c r="AC1303" s="153"/>
      <c r="AD1303" s="154"/>
      <c r="AE1303" s="153"/>
      <c r="AF1303" s="153"/>
      <c r="AG1303" s="153"/>
      <c r="AH1303" s="153"/>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c r="BF1303" s="153"/>
      <c r="BG1303" s="153"/>
      <c r="BH1303" s="153"/>
      <c r="BI1303" s="153"/>
      <c r="BJ1303" s="153"/>
      <c r="BK1303" s="153"/>
      <c r="BL1303" s="153"/>
      <c r="BM1303" s="153"/>
      <c r="BN1303" s="153"/>
      <c r="BO1303" s="153"/>
      <c r="BP1303" s="153"/>
      <c r="BQ1303" s="153"/>
      <c r="BR1303" s="153"/>
      <c r="BS1303" s="153"/>
      <c r="BT1303" s="153"/>
      <c r="BU1303" s="153"/>
      <c r="BV1303" s="153"/>
      <c r="BW1303" s="153"/>
      <c r="BX1303" s="153"/>
      <c r="BY1303" s="153"/>
      <c r="BZ1303" s="153"/>
      <c r="CA1303" s="153"/>
      <c r="CB1303" s="153"/>
      <c r="CC1303" s="153"/>
      <c r="CD1303" s="155"/>
      <c r="CE1303" s="156"/>
      <c r="CF1303" s="155"/>
      <c r="CG1303" s="156"/>
      <c r="CH1303" s="155"/>
      <c r="CI1303" s="156"/>
      <c r="CJ1303" s="157">
        <f t="shared" si="174"/>
        <v>0</v>
      </c>
      <c r="CK1303" s="158"/>
      <c r="CL1303" s="159"/>
      <c r="CM1303" s="160"/>
      <c r="CN1303" s="161"/>
      <c r="CO1303" s="162"/>
      <c r="CP1303" s="161"/>
      <c r="CQ1303" s="158"/>
      <c r="CR1303" s="159"/>
      <c r="CS1303" s="68"/>
      <c r="CT1303" s="163"/>
      <c r="EC1303" s="344" t="str">
        <f t="shared" si="178"/>
        <v>BOYACA_SUSACON</v>
      </c>
      <c r="ED1303" s="341"/>
      <c r="EE1303" s="341"/>
      <c r="EF1303" s="348"/>
      <c r="EG1303" s="341"/>
      <c r="EH1303" s="341"/>
      <c r="EI1303" s="341"/>
    </row>
    <row r="1304" spans="1:139" s="164" customFormat="1" ht="25.5">
      <c r="A1304" s="228">
        <v>40459</v>
      </c>
      <c r="B1304" s="205" t="s">
        <v>1612</v>
      </c>
      <c r="C1304" s="205" t="s">
        <v>1613</v>
      </c>
      <c r="D1304" s="207" t="s">
        <v>1201</v>
      </c>
      <c r="E1304" s="323" t="s">
        <v>4038</v>
      </c>
      <c r="F1304" s="323"/>
      <c r="G1304" s="204"/>
      <c r="H1304" s="151"/>
      <c r="I1304" s="151"/>
      <c r="J1304" s="151">
        <v>5</v>
      </c>
      <c r="K1304" s="151">
        <v>1</v>
      </c>
      <c r="L1304" s="1"/>
      <c r="M1304" s="73">
        <f t="shared" si="172"/>
        <v>0</v>
      </c>
      <c r="N1304" s="73">
        <f t="shared" si="176"/>
        <v>0</v>
      </c>
      <c r="O1304" s="73">
        <f t="shared" si="177"/>
        <v>0</v>
      </c>
      <c r="P1304" s="73">
        <f t="shared" si="173"/>
        <v>0</v>
      </c>
      <c r="Q1304" s="73"/>
      <c r="R1304" s="73">
        <v>0</v>
      </c>
      <c r="S1304" s="75">
        <f t="shared" si="175"/>
        <v>0</v>
      </c>
      <c r="T1304" s="77">
        <v>0</v>
      </c>
      <c r="U1304" s="66">
        <v>40462</v>
      </c>
      <c r="V1304" s="79"/>
      <c r="W1304" s="66" t="s">
        <v>1585</v>
      </c>
      <c r="X1304" s="24" t="s">
        <v>1586</v>
      </c>
      <c r="Y1304" s="62"/>
      <c r="Z1304" s="169" t="s">
        <v>894</v>
      </c>
      <c r="AA1304" s="166" t="s">
        <v>2335</v>
      </c>
      <c r="AB1304" s="152"/>
      <c r="AC1304" s="153"/>
      <c r="AD1304" s="154"/>
      <c r="AE1304" s="153"/>
      <c r="AF1304" s="153"/>
      <c r="AG1304" s="153"/>
      <c r="AH1304" s="153"/>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c r="BF1304" s="153"/>
      <c r="BG1304" s="153"/>
      <c r="BH1304" s="153"/>
      <c r="BI1304" s="153"/>
      <c r="BJ1304" s="153"/>
      <c r="BK1304" s="153"/>
      <c r="BL1304" s="153"/>
      <c r="BM1304" s="153"/>
      <c r="BN1304" s="153"/>
      <c r="BO1304" s="153"/>
      <c r="BP1304" s="153"/>
      <c r="BQ1304" s="153"/>
      <c r="BR1304" s="153"/>
      <c r="BS1304" s="153"/>
      <c r="BT1304" s="153"/>
      <c r="BU1304" s="153"/>
      <c r="BV1304" s="153"/>
      <c r="BW1304" s="153"/>
      <c r="BX1304" s="153"/>
      <c r="BY1304" s="153"/>
      <c r="BZ1304" s="153"/>
      <c r="CA1304" s="153"/>
      <c r="CB1304" s="153"/>
      <c r="CC1304" s="153"/>
      <c r="CD1304" s="155"/>
      <c r="CE1304" s="156"/>
      <c r="CF1304" s="155"/>
      <c r="CG1304" s="156"/>
      <c r="CH1304" s="155"/>
      <c r="CI1304" s="156"/>
      <c r="CJ1304" s="157">
        <f t="shared" si="174"/>
        <v>0</v>
      </c>
      <c r="CK1304" s="158"/>
      <c r="CL1304" s="159"/>
      <c r="CM1304" s="160"/>
      <c r="CN1304" s="161"/>
      <c r="CO1304" s="162"/>
      <c r="CP1304" s="161"/>
      <c r="CQ1304" s="158"/>
      <c r="CR1304" s="159"/>
      <c r="CS1304" s="68"/>
      <c r="CT1304" s="163"/>
      <c r="EC1304" s="344" t="str">
        <f t="shared" si="178"/>
        <v>QUINDIO_ARMENIA</v>
      </c>
      <c r="ED1304" s="341"/>
      <c r="EE1304" s="341"/>
      <c r="EF1304" s="348"/>
      <c r="EG1304" s="341"/>
      <c r="EH1304" s="341"/>
      <c r="EI1304" s="341"/>
    </row>
    <row r="1305" spans="1:139" s="164" customFormat="1" ht="25.5">
      <c r="A1305" s="228">
        <v>40460</v>
      </c>
      <c r="B1305" s="205" t="s">
        <v>1192</v>
      </c>
      <c r="C1305" s="205" t="s">
        <v>97</v>
      </c>
      <c r="D1305" s="207" t="s">
        <v>1878</v>
      </c>
      <c r="E1305" s="323" t="s">
        <v>3427</v>
      </c>
      <c r="F1305" s="323"/>
      <c r="G1305" s="204"/>
      <c r="H1305" s="151"/>
      <c r="I1305" s="151"/>
      <c r="J1305" s="151">
        <v>125</v>
      </c>
      <c r="K1305" s="151">
        <v>25</v>
      </c>
      <c r="L1305" s="1"/>
      <c r="M1305" s="73">
        <f t="shared" si="172"/>
        <v>0</v>
      </c>
      <c r="N1305" s="73">
        <f t="shared" si="176"/>
        <v>0</v>
      </c>
      <c r="O1305" s="73">
        <f t="shared" si="177"/>
        <v>0</v>
      </c>
      <c r="P1305" s="73">
        <f t="shared" si="173"/>
        <v>0</v>
      </c>
      <c r="Q1305" s="73"/>
      <c r="R1305" s="73">
        <v>0</v>
      </c>
      <c r="S1305" s="75">
        <f t="shared" si="175"/>
        <v>0</v>
      </c>
      <c r="T1305" s="77">
        <v>0</v>
      </c>
      <c r="U1305" s="66">
        <v>40589</v>
      </c>
      <c r="V1305" s="79"/>
      <c r="W1305" s="66" t="s">
        <v>1585</v>
      </c>
      <c r="X1305" s="24" t="s">
        <v>1586</v>
      </c>
      <c r="Y1305" s="62"/>
      <c r="Z1305" s="66" t="s">
        <v>894</v>
      </c>
      <c r="AA1305" s="166" t="s">
        <v>95</v>
      </c>
      <c r="AB1305" s="152"/>
      <c r="AC1305" s="153"/>
      <c r="AD1305" s="154"/>
      <c r="AE1305" s="153"/>
      <c r="AF1305" s="153"/>
      <c r="AG1305" s="153"/>
      <c r="AH1305" s="153"/>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c r="BF1305" s="153"/>
      <c r="BG1305" s="153"/>
      <c r="BH1305" s="153"/>
      <c r="BI1305" s="153"/>
      <c r="BJ1305" s="153"/>
      <c r="BK1305" s="153"/>
      <c r="BL1305" s="153"/>
      <c r="BM1305" s="153"/>
      <c r="BN1305" s="153"/>
      <c r="BO1305" s="153"/>
      <c r="BP1305" s="153"/>
      <c r="BQ1305" s="153"/>
      <c r="BR1305" s="153"/>
      <c r="BS1305" s="153"/>
      <c r="BT1305" s="153"/>
      <c r="BU1305" s="153"/>
      <c r="BV1305" s="153"/>
      <c r="BW1305" s="153"/>
      <c r="BX1305" s="153"/>
      <c r="BY1305" s="153"/>
      <c r="BZ1305" s="153"/>
      <c r="CA1305" s="153"/>
      <c r="CB1305" s="153"/>
      <c r="CC1305" s="153"/>
      <c r="CD1305" s="155"/>
      <c r="CE1305" s="156"/>
      <c r="CF1305" s="155"/>
      <c r="CG1305" s="156"/>
      <c r="CH1305" s="155"/>
      <c r="CI1305" s="156"/>
      <c r="CJ1305" s="157">
        <f t="shared" si="174"/>
        <v>0</v>
      </c>
      <c r="CK1305" s="158"/>
      <c r="CL1305" s="159"/>
      <c r="CM1305" s="160"/>
      <c r="CN1305" s="161"/>
      <c r="CO1305" s="162"/>
      <c r="CP1305" s="161"/>
      <c r="CQ1305" s="158"/>
      <c r="CR1305" s="159"/>
      <c r="CS1305" s="68"/>
      <c r="CT1305" s="163"/>
      <c r="EC1305" s="344" t="str">
        <f t="shared" si="178"/>
        <v>BOYACA_BETEITIVA</v>
      </c>
      <c r="ED1305" s="341"/>
      <c r="EE1305" s="341"/>
      <c r="EF1305" s="348"/>
      <c r="EG1305" s="341"/>
      <c r="EH1305" s="341"/>
      <c r="EI1305" s="341"/>
    </row>
    <row r="1306" spans="1:139" s="164" customFormat="1" ht="25.5">
      <c r="A1306" s="228">
        <v>40460</v>
      </c>
      <c r="B1306" s="205" t="s">
        <v>1192</v>
      </c>
      <c r="C1306" s="205" t="s">
        <v>98</v>
      </c>
      <c r="D1306" s="207" t="s">
        <v>1878</v>
      </c>
      <c r="E1306" s="323" t="s">
        <v>3428</v>
      </c>
      <c r="F1306" s="323"/>
      <c r="G1306" s="204"/>
      <c r="H1306" s="151"/>
      <c r="I1306" s="151"/>
      <c r="J1306" s="151">
        <f>65*5</f>
        <v>325</v>
      </c>
      <c r="K1306" s="151">
        <v>65</v>
      </c>
      <c r="L1306" s="1"/>
      <c r="M1306" s="73">
        <f t="shared" si="172"/>
        <v>0</v>
      </c>
      <c r="N1306" s="73">
        <f t="shared" si="176"/>
        <v>0</v>
      </c>
      <c r="O1306" s="73">
        <f t="shared" si="177"/>
        <v>0</v>
      </c>
      <c r="P1306" s="73">
        <f t="shared" si="173"/>
        <v>0</v>
      </c>
      <c r="Q1306" s="73"/>
      <c r="R1306" s="73">
        <v>0</v>
      </c>
      <c r="S1306" s="75">
        <f t="shared" si="175"/>
        <v>0</v>
      </c>
      <c r="T1306" s="77">
        <v>0</v>
      </c>
      <c r="U1306" s="66">
        <v>40589</v>
      </c>
      <c r="V1306" s="79"/>
      <c r="W1306" s="66" t="s">
        <v>1585</v>
      </c>
      <c r="X1306" s="67" t="s">
        <v>1586</v>
      </c>
      <c r="Y1306" s="62"/>
      <c r="Z1306" s="169" t="s">
        <v>894</v>
      </c>
      <c r="AA1306" s="166" t="s">
        <v>95</v>
      </c>
      <c r="AB1306" s="152"/>
      <c r="AC1306" s="153"/>
      <c r="AD1306" s="154"/>
      <c r="AE1306" s="153"/>
      <c r="AF1306" s="153"/>
      <c r="AG1306" s="153"/>
      <c r="AH1306" s="153"/>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c r="BF1306" s="153"/>
      <c r="BG1306" s="153"/>
      <c r="BH1306" s="153"/>
      <c r="BI1306" s="153"/>
      <c r="BJ1306" s="153"/>
      <c r="BK1306" s="153"/>
      <c r="BL1306" s="153"/>
      <c r="BM1306" s="153"/>
      <c r="BN1306" s="153"/>
      <c r="BO1306" s="153"/>
      <c r="BP1306" s="153"/>
      <c r="BQ1306" s="153"/>
      <c r="BR1306" s="153"/>
      <c r="BS1306" s="153"/>
      <c r="BT1306" s="153"/>
      <c r="BU1306" s="153"/>
      <c r="BV1306" s="153"/>
      <c r="BW1306" s="153"/>
      <c r="BX1306" s="153"/>
      <c r="BY1306" s="153"/>
      <c r="BZ1306" s="153"/>
      <c r="CA1306" s="153"/>
      <c r="CB1306" s="153"/>
      <c r="CC1306" s="153"/>
      <c r="CD1306" s="155"/>
      <c r="CE1306" s="156"/>
      <c r="CF1306" s="155"/>
      <c r="CG1306" s="156"/>
      <c r="CH1306" s="155"/>
      <c r="CI1306" s="156"/>
      <c r="CJ1306" s="157">
        <f t="shared" si="174"/>
        <v>0</v>
      </c>
      <c r="CK1306" s="158"/>
      <c r="CL1306" s="159"/>
      <c r="CM1306" s="160"/>
      <c r="CN1306" s="161"/>
      <c r="CO1306" s="162"/>
      <c r="CP1306" s="161"/>
      <c r="CQ1306" s="158"/>
      <c r="CR1306" s="159"/>
      <c r="CS1306" s="68"/>
      <c r="CT1306" s="163"/>
      <c r="EC1306" s="344" t="str">
        <f t="shared" si="178"/>
        <v>BOYACA_BOAVITA</v>
      </c>
      <c r="ED1306" s="341"/>
      <c r="EE1306" s="341"/>
      <c r="EF1306" s="348"/>
      <c r="EG1306" s="341"/>
      <c r="EH1306" s="341"/>
      <c r="EI1306" s="341"/>
    </row>
    <row r="1307" spans="1:139" s="164" customFormat="1" ht="36">
      <c r="A1307" s="228">
        <v>40460</v>
      </c>
      <c r="B1307" s="205" t="s">
        <v>2704</v>
      </c>
      <c r="C1307" s="205" t="s">
        <v>299</v>
      </c>
      <c r="D1307" s="207" t="s">
        <v>2606</v>
      </c>
      <c r="E1307" s="323" t="s">
        <v>3583</v>
      </c>
      <c r="F1307" s="323"/>
      <c r="G1307" s="204"/>
      <c r="H1307" s="151"/>
      <c r="I1307" s="151"/>
      <c r="J1307" s="151">
        <f>195*5</f>
        <v>975</v>
      </c>
      <c r="K1307" s="151">
        <f>230-35</f>
        <v>195</v>
      </c>
      <c r="L1307" s="1"/>
      <c r="M1307" s="73">
        <f t="shared" si="172"/>
        <v>11312000</v>
      </c>
      <c r="N1307" s="73">
        <f t="shared" si="176"/>
        <v>5950000</v>
      </c>
      <c r="O1307" s="73">
        <f t="shared" si="177"/>
        <v>25172000</v>
      </c>
      <c r="P1307" s="73">
        <f t="shared" si="173"/>
        <v>0</v>
      </c>
      <c r="Q1307" s="73"/>
      <c r="R1307" s="73">
        <v>0</v>
      </c>
      <c r="S1307" s="75">
        <f t="shared" si="175"/>
        <v>42434000</v>
      </c>
      <c r="T1307" s="77">
        <v>0</v>
      </c>
      <c r="U1307" s="66">
        <v>40494</v>
      </c>
      <c r="V1307" s="79"/>
      <c r="W1307" s="66" t="s">
        <v>1606</v>
      </c>
      <c r="X1307" s="24" t="s">
        <v>1607</v>
      </c>
      <c r="Y1307" s="62"/>
      <c r="Z1307" s="169" t="s">
        <v>1435</v>
      </c>
      <c r="AA1307" s="166" t="s">
        <v>2763</v>
      </c>
      <c r="AB1307" s="152"/>
      <c r="AC1307" s="153"/>
      <c r="AD1307" s="154"/>
      <c r="AE1307" s="153"/>
      <c r="AF1307" s="153"/>
      <c r="AG1307" s="153"/>
      <c r="AH1307" s="153"/>
      <c r="AI1307" s="153"/>
      <c r="AJ1307" s="153"/>
      <c r="AK1307" s="153"/>
      <c r="AL1307" s="153"/>
      <c r="AM1307" s="153"/>
      <c r="AN1307" s="153">
        <v>157</v>
      </c>
      <c r="AO1307" s="153">
        <f>157*56000</f>
        <v>8792000</v>
      </c>
      <c r="AP1307" s="153"/>
      <c r="AQ1307" s="153"/>
      <c r="AR1307" s="153"/>
      <c r="AS1307" s="153"/>
      <c r="AT1307" s="153"/>
      <c r="AU1307" s="153"/>
      <c r="AV1307" s="153"/>
      <c r="AW1307" s="153"/>
      <c r="AX1307" s="153"/>
      <c r="AY1307" s="153"/>
      <c r="AZ1307" s="153"/>
      <c r="BA1307" s="153"/>
      <c r="BB1307" s="153"/>
      <c r="BC1307" s="153"/>
      <c r="BD1307" s="153"/>
      <c r="BE1307" s="153"/>
      <c r="BF1307" s="153"/>
      <c r="BG1307" s="153"/>
      <c r="BH1307" s="153"/>
      <c r="BI1307" s="153"/>
      <c r="BJ1307" s="153"/>
      <c r="BK1307" s="153"/>
      <c r="BL1307" s="153"/>
      <c r="BM1307" s="153"/>
      <c r="BN1307" s="153"/>
      <c r="BO1307" s="153"/>
      <c r="BP1307" s="153"/>
      <c r="BQ1307" s="153"/>
      <c r="BR1307" s="153"/>
      <c r="BS1307" s="153"/>
      <c r="BT1307" s="153"/>
      <c r="BU1307" s="153"/>
      <c r="BV1307" s="153"/>
      <c r="BW1307" s="153"/>
      <c r="BX1307" s="153"/>
      <c r="BY1307" s="153"/>
      <c r="BZ1307" s="153"/>
      <c r="CA1307" s="153"/>
      <c r="CB1307" s="153"/>
      <c r="CC1307" s="153"/>
      <c r="CD1307" s="155"/>
      <c r="CE1307" s="156"/>
      <c r="CF1307" s="155">
        <v>70</v>
      </c>
      <c r="CG1307" s="156">
        <f>70*36000</f>
        <v>2520000</v>
      </c>
      <c r="CH1307" s="155"/>
      <c r="CI1307" s="156"/>
      <c r="CJ1307" s="157">
        <f t="shared" si="174"/>
        <v>11312000</v>
      </c>
      <c r="CK1307" s="158"/>
      <c r="CL1307" s="159"/>
      <c r="CM1307" s="160">
        <v>70</v>
      </c>
      <c r="CN1307" s="161">
        <f>70*85000</f>
        <v>5950000</v>
      </c>
      <c r="CO1307" s="162"/>
      <c r="CP1307" s="161"/>
      <c r="CQ1307" s="158">
        <v>1400</v>
      </c>
      <c r="CR1307" s="159">
        <f>1400*17980</f>
        <v>25172000</v>
      </c>
      <c r="CS1307" s="68"/>
      <c r="CT1307" s="163"/>
      <c r="EC1307" s="344" t="str">
        <f t="shared" si="178"/>
        <v>CAQUETA_SOLANO</v>
      </c>
      <c r="ED1307" s="341"/>
      <c r="EE1307" s="341"/>
      <c r="EF1307" s="348"/>
      <c r="EG1307" s="341"/>
      <c r="EH1307" s="341"/>
      <c r="EI1307" s="341"/>
    </row>
    <row r="1308" spans="1:139" s="164" customFormat="1" ht="36">
      <c r="A1308" s="228">
        <v>40460</v>
      </c>
      <c r="B1308" s="205" t="s">
        <v>962</v>
      </c>
      <c r="C1308" s="205" t="s">
        <v>2958</v>
      </c>
      <c r="D1308" s="207" t="s">
        <v>1201</v>
      </c>
      <c r="E1308" s="323" t="s">
        <v>3824</v>
      </c>
      <c r="F1308" s="323"/>
      <c r="G1308" s="204"/>
      <c r="H1308" s="151"/>
      <c r="I1308" s="151"/>
      <c r="J1308" s="151">
        <v>46</v>
      </c>
      <c r="K1308" s="151">
        <v>9</v>
      </c>
      <c r="L1308" s="1"/>
      <c r="M1308" s="73">
        <f t="shared" si="172"/>
        <v>0</v>
      </c>
      <c r="N1308" s="73">
        <f t="shared" si="176"/>
        <v>0</v>
      </c>
      <c r="O1308" s="73">
        <f t="shared" si="177"/>
        <v>0</v>
      </c>
      <c r="P1308" s="73">
        <f t="shared" si="173"/>
        <v>0</v>
      </c>
      <c r="Q1308" s="73"/>
      <c r="R1308" s="73">
        <v>0</v>
      </c>
      <c r="S1308" s="75">
        <f t="shared" si="175"/>
        <v>0</v>
      </c>
      <c r="T1308" s="77">
        <v>0</v>
      </c>
      <c r="U1308" s="66">
        <v>40460</v>
      </c>
      <c r="V1308" s="79"/>
      <c r="W1308" s="66" t="s">
        <v>1585</v>
      </c>
      <c r="X1308" s="67" t="s">
        <v>1586</v>
      </c>
      <c r="Y1308" s="62"/>
      <c r="Z1308" s="169" t="s">
        <v>894</v>
      </c>
      <c r="AA1308" s="166" t="s">
        <v>2964</v>
      </c>
      <c r="AB1308" s="152"/>
      <c r="AC1308" s="153"/>
      <c r="AD1308" s="154"/>
      <c r="AE1308" s="153"/>
      <c r="AF1308" s="153"/>
      <c r="AG1308" s="153"/>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c r="BF1308" s="153"/>
      <c r="BG1308" s="153"/>
      <c r="BH1308" s="153"/>
      <c r="BI1308" s="153"/>
      <c r="BJ1308" s="153"/>
      <c r="BK1308" s="153"/>
      <c r="BL1308" s="153"/>
      <c r="BM1308" s="153"/>
      <c r="BN1308" s="153"/>
      <c r="BO1308" s="153"/>
      <c r="BP1308" s="153"/>
      <c r="BQ1308" s="153"/>
      <c r="BR1308" s="153"/>
      <c r="BS1308" s="153"/>
      <c r="BT1308" s="153"/>
      <c r="BU1308" s="153"/>
      <c r="BV1308" s="153"/>
      <c r="BW1308" s="153"/>
      <c r="BX1308" s="153"/>
      <c r="BY1308" s="153"/>
      <c r="BZ1308" s="153"/>
      <c r="CA1308" s="153"/>
      <c r="CB1308" s="153"/>
      <c r="CC1308" s="153"/>
      <c r="CD1308" s="155"/>
      <c r="CE1308" s="156"/>
      <c r="CF1308" s="155"/>
      <c r="CG1308" s="156"/>
      <c r="CH1308" s="155"/>
      <c r="CI1308" s="156"/>
      <c r="CJ1308" s="157">
        <f t="shared" si="174"/>
        <v>0</v>
      </c>
      <c r="CK1308" s="158"/>
      <c r="CL1308" s="159"/>
      <c r="CM1308" s="160"/>
      <c r="CN1308" s="161"/>
      <c r="CO1308" s="162"/>
      <c r="CP1308" s="161"/>
      <c r="CQ1308" s="158"/>
      <c r="CR1308" s="159"/>
      <c r="CS1308" s="68"/>
      <c r="CT1308" s="163"/>
      <c r="EC1308" s="344" t="str">
        <f t="shared" si="178"/>
        <v>HUILA_ACEVEDO</v>
      </c>
      <c r="ED1308" s="341"/>
      <c r="EE1308" s="341"/>
      <c r="EF1308" s="348"/>
      <c r="EG1308" s="341"/>
      <c r="EH1308" s="341"/>
      <c r="EI1308" s="341"/>
    </row>
    <row r="1309" spans="1:139" s="164" customFormat="1" ht="25.5">
      <c r="A1309" s="228">
        <v>40460</v>
      </c>
      <c r="B1309" s="205" t="s">
        <v>962</v>
      </c>
      <c r="C1309" s="205" t="s">
        <v>2958</v>
      </c>
      <c r="D1309" s="207" t="s">
        <v>2606</v>
      </c>
      <c r="E1309" s="323" t="s">
        <v>3824</v>
      </c>
      <c r="F1309" s="323"/>
      <c r="G1309" s="204"/>
      <c r="H1309" s="151"/>
      <c r="I1309" s="151"/>
      <c r="J1309" s="151">
        <v>12</v>
      </c>
      <c r="K1309" s="151">
        <v>1</v>
      </c>
      <c r="L1309" s="1"/>
      <c r="M1309" s="73">
        <f t="shared" si="172"/>
        <v>0</v>
      </c>
      <c r="N1309" s="73">
        <f t="shared" si="176"/>
        <v>0</v>
      </c>
      <c r="O1309" s="73">
        <f t="shared" si="177"/>
        <v>0</v>
      </c>
      <c r="P1309" s="73">
        <f t="shared" si="173"/>
        <v>0</v>
      </c>
      <c r="Q1309" s="73"/>
      <c r="R1309" s="73">
        <v>0</v>
      </c>
      <c r="S1309" s="75">
        <f t="shared" si="175"/>
        <v>0</v>
      </c>
      <c r="T1309" s="77">
        <v>0</v>
      </c>
      <c r="U1309" s="66">
        <v>40460</v>
      </c>
      <c r="V1309" s="79"/>
      <c r="W1309" s="66" t="s">
        <v>1585</v>
      </c>
      <c r="X1309" s="264" t="s">
        <v>1586</v>
      </c>
      <c r="Y1309" s="62"/>
      <c r="Z1309" s="260" t="s">
        <v>894</v>
      </c>
      <c r="AA1309" s="166" t="s">
        <v>2959</v>
      </c>
      <c r="AB1309" s="152"/>
      <c r="AC1309" s="153"/>
      <c r="AD1309" s="154"/>
      <c r="AE1309" s="153"/>
      <c r="AF1309" s="153"/>
      <c r="AG1309" s="153"/>
      <c r="AH1309" s="153"/>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c r="BF1309" s="153"/>
      <c r="BG1309" s="153"/>
      <c r="BH1309" s="153"/>
      <c r="BI1309" s="153"/>
      <c r="BJ1309" s="153"/>
      <c r="BK1309" s="153"/>
      <c r="BL1309" s="153"/>
      <c r="BM1309" s="153"/>
      <c r="BN1309" s="153"/>
      <c r="BO1309" s="153"/>
      <c r="BP1309" s="153"/>
      <c r="BQ1309" s="153"/>
      <c r="BR1309" s="153"/>
      <c r="BS1309" s="153"/>
      <c r="BT1309" s="153"/>
      <c r="BU1309" s="153"/>
      <c r="BV1309" s="153"/>
      <c r="BW1309" s="153"/>
      <c r="BX1309" s="153"/>
      <c r="BY1309" s="153"/>
      <c r="BZ1309" s="153"/>
      <c r="CA1309" s="153"/>
      <c r="CB1309" s="153"/>
      <c r="CC1309" s="153"/>
      <c r="CD1309" s="155"/>
      <c r="CE1309" s="156"/>
      <c r="CF1309" s="155"/>
      <c r="CG1309" s="156"/>
      <c r="CH1309" s="155"/>
      <c r="CI1309" s="156"/>
      <c r="CJ1309" s="157">
        <f t="shared" si="174"/>
        <v>0</v>
      </c>
      <c r="CK1309" s="158"/>
      <c r="CL1309" s="159"/>
      <c r="CM1309" s="160"/>
      <c r="CN1309" s="161"/>
      <c r="CO1309" s="162"/>
      <c r="CP1309" s="161"/>
      <c r="CQ1309" s="158"/>
      <c r="CR1309" s="159"/>
      <c r="CS1309" s="68"/>
      <c r="CT1309" s="163"/>
      <c r="EC1309" s="344" t="str">
        <f t="shared" si="178"/>
        <v>HUILA_ACEVEDO</v>
      </c>
      <c r="ED1309" s="341"/>
      <c r="EE1309" s="341"/>
      <c r="EF1309" s="348"/>
      <c r="EG1309" s="341"/>
      <c r="EH1309" s="341"/>
      <c r="EI1309" s="341"/>
    </row>
    <row r="1310" spans="1:139" s="164" customFormat="1" ht="36">
      <c r="A1310" s="228">
        <v>40460</v>
      </c>
      <c r="B1310" s="205" t="s">
        <v>1196</v>
      </c>
      <c r="C1310" s="205" t="s">
        <v>1497</v>
      </c>
      <c r="D1310" s="207" t="s">
        <v>2606</v>
      </c>
      <c r="E1310" s="323" t="s">
        <v>4292</v>
      </c>
      <c r="F1310" s="323"/>
      <c r="G1310" s="204"/>
      <c r="H1310" s="151"/>
      <c r="I1310" s="151"/>
      <c r="J1310" s="151">
        <v>120</v>
      </c>
      <c r="K1310" s="151">
        <v>28</v>
      </c>
      <c r="L1310" s="1"/>
      <c r="M1310" s="73">
        <f t="shared" si="172"/>
        <v>0</v>
      </c>
      <c r="N1310" s="73">
        <f t="shared" si="176"/>
        <v>0</v>
      </c>
      <c r="O1310" s="73">
        <f t="shared" si="177"/>
        <v>11478900</v>
      </c>
      <c r="P1310" s="73">
        <f t="shared" si="173"/>
        <v>0</v>
      </c>
      <c r="Q1310" s="73"/>
      <c r="R1310" s="73">
        <v>0</v>
      </c>
      <c r="S1310" s="75">
        <f t="shared" si="175"/>
        <v>11478900</v>
      </c>
      <c r="T1310" s="77">
        <v>0</v>
      </c>
      <c r="U1310" s="66">
        <v>40478</v>
      </c>
      <c r="V1310" s="79"/>
      <c r="W1310" s="66" t="s">
        <v>1606</v>
      </c>
      <c r="X1310" s="24" t="s">
        <v>1607</v>
      </c>
      <c r="Y1310" s="62"/>
      <c r="Z1310" s="169"/>
      <c r="AA1310" s="166" t="s">
        <v>2650</v>
      </c>
      <c r="AB1310" s="152"/>
      <c r="AC1310" s="153"/>
      <c r="AD1310" s="154"/>
      <c r="AE1310" s="153"/>
      <c r="AF1310" s="153"/>
      <c r="AG1310" s="153"/>
      <c r="AH1310" s="153"/>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c r="BF1310" s="153"/>
      <c r="BG1310" s="153"/>
      <c r="BH1310" s="153"/>
      <c r="BI1310" s="153"/>
      <c r="BJ1310" s="153"/>
      <c r="BK1310" s="153"/>
      <c r="BL1310" s="153"/>
      <c r="BM1310" s="153"/>
      <c r="BN1310" s="153"/>
      <c r="BO1310" s="153"/>
      <c r="BP1310" s="153"/>
      <c r="BQ1310" s="153"/>
      <c r="BR1310" s="153"/>
      <c r="BS1310" s="153"/>
      <c r="BT1310" s="153"/>
      <c r="BU1310" s="153"/>
      <c r="BV1310" s="153"/>
      <c r="BW1310" s="153"/>
      <c r="BX1310" s="153"/>
      <c r="BY1310" s="153"/>
      <c r="BZ1310" s="153"/>
      <c r="CA1310" s="153"/>
      <c r="CB1310" s="153"/>
      <c r="CC1310" s="153"/>
      <c r="CD1310" s="155"/>
      <c r="CE1310" s="156"/>
      <c r="CF1310" s="155"/>
      <c r="CG1310" s="156"/>
      <c r="CH1310" s="155"/>
      <c r="CI1310" s="156"/>
      <c r="CJ1310" s="157">
        <f t="shared" si="174"/>
        <v>0</v>
      </c>
      <c r="CK1310" s="158"/>
      <c r="CL1310" s="159"/>
      <c r="CM1310" s="160"/>
      <c r="CN1310" s="161"/>
      <c r="CO1310" s="162"/>
      <c r="CP1310" s="161"/>
      <c r="CQ1310" s="158">
        <f>173+268+38</f>
        <v>479</v>
      </c>
      <c r="CR1310" s="159">
        <f>173*17980+268*27360+38*27260</f>
        <v>11478900</v>
      </c>
      <c r="CS1310" s="68"/>
      <c r="CT1310" s="163"/>
      <c r="EC1310" s="344" t="str">
        <f t="shared" si="178"/>
        <v>PUTUMAYO_MOCOA</v>
      </c>
      <c r="ED1310" s="341"/>
      <c r="EE1310" s="341"/>
      <c r="EF1310" s="348"/>
      <c r="EG1310" s="341"/>
      <c r="EH1310" s="341"/>
      <c r="EI1310" s="341"/>
    </row>
    <row r="1311" spans="1:139" s="164" customFormat="1" ht="25.5">
      <c r="A1311" s="228">
        <v>40460</v>
      </c>
      <c r="B1311" s="205" t="s">
        <v>1998</v>
      </c>
      <c r="C1311" s="205" t="s">
        <v>3186</v>
      </c>
      <c r="D1311" s="206" t="s">
        <v>1878</v>
      </c>
      <c r="E1311" s="320" t="s">
        <v>4078</v>
      </c>
      <c r="F1311" s="320"/>
      <c r="G1311" s="263"/>
      <c r="H1311" s="151"/>
      <c r="I1311" s="151"/>
      <c r="J1311" s="151">
        <v>250</v>
      </c>
      <c r="K1311" s="151">
        <v>50</v>
      </c>
      <c r="L1311" s="1"/>
      <c r="M1311" s="73">
        <f t="shared" si="172"/>
        <v>0</v>
      </c>
      <c r="N1311" s="73">
        <f t="shared" si="176"/>
        <v>0</v>
      </c>
      <c r="O1311" s="73">
        <f t="shared" si="177"/>
        <v>0</v>
      </c>
      <c r="P1311" s="73">
        <f t="shared" si="173"/>
        <v>0</v>
      </c>
      <c r="Q1311" s="73"/>
      <c r="R1311" s="73">
        <v>0</v>
      </c>
      <c r="S1311" s="75">
        <f t="shared" si="175"/>
        <v>0</v>
      </c>
      <c r="T1311" s="77">
        <v>0</v>
      </c>
      <c r="U1311" s="66">
        <v>40462</v>
      </c>
      <c r="V1311" s="79"/>
      <c r="W1311" s="66" t="s">
        <v>1606</v>
      </c>
      <c r="X1311" s="24" t="s">
        <v>1607</v>
      </c>
      <c r="Y1311" s="62"/>
      <c r="Z1311" s="176" t="s">
        <v>2279</v>
      </c>
      <c r="AA1311" s="166" t="s">
        <v>2336</v>
      </c>
      <c r="AB1311" s="152"/>
      <c r="AC1311" s="153"/>
      <c r="AD1311" s="154"/>
      <c r="AE1311" s="153"/>
      <c r="AF1311" s="153"/>
      <c r="AG1311" s="153"/>
      <c r="AH1311" s="153"/>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c r="BF1311" s="153"/>
      <c r="BG1311" s="153"/>
      <c r="BH1311" s="153"/>
      <c r="BI1311" s="153"/>
      <c r="BJ1311" s="153"/>
      <c r="BK1311" s="153"/>
      <c r="BL1311" s="153"/>
      <c r="BM1311" s="153"/>
      <c r="BN1311" s="153"/>
      <c r="BO1311" s="153"/>
      <c r="BP1311" s="153"/>
      <c r="BQ1311" s="153"/>
      <c r="BR1311" s="153"/>
      <c r="BS1311" s="153"/>
      <c r="BT1311" s="153"/>
      <c r="BU1311" s="153"/>
      <c r="BV1311" s="153"/>
      <c r="BW1311" s="153"/>
      <c r="BX1311" s="153"/>
      <c r="BY1311" s="153"/>
      <c r="BZ1311" s="153"/>
      <c r="CA1311" s="153"/>
      <c r="CB1311" s="153"/>
      <c r="CC1311" s="153"/>
      <c r="CD1311" s="155"/>
      <c r="CE1311" s="156"/>
      <c r="CF1311" s="155"/>
      <c r="CG1311" s="156"/>
      <c r="CH1311" s="155"/>
      <c r="CI1311" s="156"/>
      <c r="CJ1311" s="157">
        <f t="shared" si="174"/>
        <v>0</v>
      </c>
      <c r="CK1311" s="158"/>
      <c r="CL1311" s="159"/>
      <c r="CM1311" s="160"/>
      <c r="CN1311" s="161"/>
      <c r="CO1311" s="162"/>
      <c r="CP1311" s="161"/>
      <c r="CQ1311" s="158"/>
      <c r="CR1311" s="159"/>
      <c r="CS1311" s="68"/>
      <c r="CT1311" s="163"/>
      <c r="EC1311" s="344" t="str">
        <f t="shared" si="178"/>
        <v>SANTANDER_CERRITO</v>
      </c>
      <c r="ED1311" s="341"/>
      <c r="EE1311" s="341"/>
      <c r="EF1311" s="348"/>
      <c r="EG1311" s="341"/>
      <c r="EH1311" s="341"/>
      <c r="EI1311" s="341"/>
    </row>
    <row r="1312" spans="1:139" s="164" customFormat="1" ht="25.5">
      <c r="A1312" s="235">
        <v>40461</v>
      </c>
      <c r="B1312" s="269" t="s">
        <v>1972</v>
      </c>
      <c r="C1312" s="269" t="s">
        <v>636</v>
      </c>
      <c r="D1312" s="236" t="s">
        <v>1878</v>
      </c>
      <c r="E1312" s="324" t="s">
        <v>3231</v>
      </c>
      <c r="F1312" s="324"/>
      <c r="G1312" s="204"/>
      <c r="H1312" s="151"/>
      <c r="I1312" s="151"/>
      <c r="J1312" s="151">
        <v>66</v>
      </c>
      <c r="K1312" s="151">
        <v>34</v>
      </c>
      <c r="L1312" s="1"/>
      <c r="M1312" s="73">
        <f t="shared" si="172"/>
        <v>0</v>
      </c>
      <c r="N1312" s="73">
        <f t="shared" si="176"/>
        <v>0</v>
      </c>
      <c r="O1312" s="73">
        <f t="shared" si="177"/>
        <v>0</v>
      </c>
      <c r="P1312" s="73">
        <f t="shared" si="173"/>
        <v>0</v>
      </c>
      <c r="Q1312" s="73"/>
      <c r="R1312" s="73">
        <v>0</v>
      </c>
      <c r="S1312" s="75">
        <f t="shared" si="175"/>
        <v>0</v>
      </c>
      <c r="T1312" s="77">
        <v>0</v>
      </c>
      <c r="U1312" s="66">
        <v>40465</v>
      </c>
      <c r="V1312" s="79"/>
      <c r="W1312" s="66" t="s">
        <v>1585</v>
      </c>
      <c r="X1312" s="24" t="s">
        <v>1586</v>
      </c>
      <c r="Y1312" s="62"/>
      <c r="Z1312" s="169" t="s">
        <v>894</v>
      </c>
      <c r="AA1312" s="166" t="s">
        <v>2258</v>
      </c>
      <c r="AB1312" s="152"/>
      <c r="AC1312" s="153"/>
      <c r="AD1312" s="154"/>
      <c r="AE1312" s="153"/>
      <c r="AF1312" s="153"/>
      <c r="AG1312" s="153"/>
      <c r="AH1312" s="153"/>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c r="BF1312" s="153"/>
      <c r="BG1312" s="153"/>
      <c r="BH1312" s="153"/>
      <c r="BI1312" s="153"/>
      <c r="BJ1312" s="153"/>
      <c r="BK1312" s="153"/>
      <c r="BL1312" s="153"/>
      <c r="BM1312" s="153"/>
      <c r="BN1312" s="153"/>
      <c r="BO1312" s="153"/>
      <c r="BP1312" s="153"/>
      <c r="BQ1312" s="153"/>
      <c r="BR1312" s="153"/>
      <c r="BS1312" s="153"/>
      <c r="BT1312" s="153"/>
      <c r="BU1312" s="153"/>
      <c r="BV1312" s="153"/>
      <c r="BW1312" s="153"/>
      <c r="BX1312" s="153"/>
      <c r="BY1312" s="153"/>
      <c r="BZ1312" s="153"/>
      <c r="CA1312" s="153"/>
      <c r="CB1312" s="153"/>
      <c r="CC1312" s="153"/>
      <c r="CD1312" s="155"/>
      <c r="CE1312" s="156"/>
      <c r="CF1312" s="155"/>
      <c r="CG1312" s="156"/>
      <c r="CH1312" s="155"/>
      <c r="CI1312" s="156"/>
      <c r="CJ1312" s="157">
        <f t="shared" si="174"/>
        <v>0</v>
      </c>
      <c r="CK1312" s="158"/>
      <c r="CL1312" s="159"/>
      <c r="CM1312" s="160"/>
      <c r="CN1312" s="161"/>
      <c r="CO1312" s="162"/>
      <c r="CP1312" s="161"/>
      <c r="CQ1312" s="158"/>
      <c r="CR1312" s="159"/>
      <c r="CS1312" s="68"/>
      <c r="CT1312" s="163"/>
      <c r="EC1312" s="344" t="str">
        <f t="shared" si="178"/>
        <v>ANTIOQUIA_AMAGA</v>
      </c>
      <c r="ED1312" s="341"/>
      <c r="EE1312" s="341"/>
      <c r="EF1312" s="348"/>
      <c r="EG1312" s="341"/>
      <c r="EH1312" s="341"/>
      <c r="EI1312" s="341"/>
    </row>
    <row r="1313" spans="1:139" s="164" customFormat="1" ht="25.5">
      <c r="A1313" s="228">
        <v>40461</v>
      </c>
      <c r="B1313" s="205" t="s">
        <v>962</v>
      </c>
      <c r="C1313" s="205" t="s">
        <v>1796</v>
      </c>
      <c r="D1313" s="207" t="s">
        <v>1316</v>
      </c>
      <c r="E1313" s="323" t="s">
        <v>3857</v>
      </c>
      <c r="F1313" s="323"/>
      <c r="G1313" s="204"/>
      <c r="H1313" s="151"/>
      <c r="I1313" s="151"/>
      <c r="J1313" s="151">
        <v>5</v>
      </c>
      <c r="K1313" s="151">
        <v>1</v>
      </c>
      <c r="L1313" s="1"/>
      <c r="M1313" s="73">
        <f t="shared" si="172"/>
        <v>0</v>
      </c>
      <c r="N1313" s="73">
        <f t="shared" si="176"/>
        <v>0</v>
      </c>
      <c r="O1313" s="73">
        <f t="shared" si="177"/>
        <v>0</v>
      </c>
      <c r="P1313" s="73">
        <f t="shared" si="173"/>
        <v>0</v>
      </c>
      <c r="Q1313" s="73"/>
      <c r="R1313" s="73">
        <v>0</v>
      </c>
      <c r="S1313" s="75">
        <f t="shared" si="175"/>
        <v>0</v>
      </c>
      <c r="T1313" s="77">
        <v>0</v>
      </c>
      <c r="U1313" s="66">
        <v>40462</v>
      </c>
      <c r="V1313" s="79"/>
      <c r="W1313" s="66" t="s">
        <v>1585</v>
      </c>
      <c r="X1313" s="24" t="s">
        <v>1586</v>
      </c>
      <c r="Y1313" s="62"/>
      <c r="Z1313" s="169" t="s">
        <v>894</v>
      </c>
      <c r="AA1313" s="166" t="s">
        <v>2340</v>
      </c>
      <c r="AB1313" s="152"/>
      <c r="AC1313" s="153"/>
      <c r="AD1313" s="154"/>
      <c r="AE1313" s="153"/>
      <c r="AF1313" s="153"/>
      <c r="AG1313" s="153"/>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c r="BF1313" s="153"/>
      <c r="BG1313" s="153"/>
      <c r="BH1313" s="153"/>
      <c r="BI1313" s="153"/>
      <c r="BJ1313" s="153"/>
      <c r="BK1313" s="153"/>
      <c r="BL1313" s="153"/>
      <c r="BM1313" s="153"/>
      <c r="BN1313" s="153"/>
      <c r="BO1313" s="153"/>
      <c r="BP1313" s="153"/>
      <c r="BQ1313" s="153"/>
      <c r="BR1313" s="153"/>
      <c r="BS1313" s="153"/>
      <c r="BT1313" s="153"/>
      <c r="BU1313" s="153"/>
      <c r="BV1313" s="153"/>
      <c r="BW1313" s="153"/>
      <c r="BX1313" s="153"/>
      <c r="BY1313" s="153"/>
      <c r="BZ1313" s="153"/>
      <c r="CA1313" s="153"/>
      <c r="CB1313" s="153"/>
      <c r="CC1313" s="153"/>
      <c r="CD1313" s="155"/>
      <c r="CE1313" s="156"/>
      <c r="CF1313" s="155"/>
      <c r="CG1313" s="156"/>
      <c r="CH1313" s="155"/>
      <c r="CI1313" s="156"/>
      <c r="CJ1313" s="157">
        <f t="shared" si="174"/>
        <v>0</v>
      </c>
      <c r="CK1313" s="158"/>
      <c r="CL1313" s="159"/>
      <c r="CM1313" s="160"/>
      <c r="CN1313" s="161"/>
      <c r="CO1313" s="162"/>
      <c r="CP1313" s="161"/>
      <c r="CQ1313" s="158"/>
      <c r="CR1313" s="159"/>
      <c r="CS1313" s="68"/>
      <c r="CT1313" s="163"/>
      <c r="EC1313" s="344" t="str">
        <f t="shared" si="178"/>
        <v>HUILA_TIMANA</v>
      </c>
      <c r="ED1313" s="341"/>
      <c r="EE1313" s="341"/>
      <c r="EF1313" s="348"/>
      <c r="EG1313" s="341"/>
      <c r="EH1313" s="341"/>
      <c r="EI1313" s="341"/>
    </row>
    <row r="1314" spans="1:139" s="164" customFormat="1" ht="25.5">
      <c r="A1314" s="228">
        <v>40461</v>
      </c>
      <c r="B1314" s="205" t="s">
        <v>396</v>
      </c>
      <c r="C1314" s="205" t="s">
        <v>2419</v>
      </c>
      <c r="D1314" s="207" t="s">
        <v>2606</v>
      </c>
      <c r="E1314" s="323" t="s">
        <v>3927</v>
      </c>
      <c r="F1314" s="323"/>
      <c r="G1314" s="204"/>
      <c r="H1314" s="151"/>
      <c r="I1314" s="151"/>
      <c r="J1314" s="151">
        <v>1700</v>
      </c>
      <c r="K1314" s="151">
        <v>400</v>
      </c>
      <c r="L1314" s="1"/>
      <c r="M1314" s="73">
        <f t="shared" si="172"/>
        <v>0</v>
      </c>
      <c r="N1314" s="73">
        <f t="shared" si="176"/>
        <v>0</v>
      </c>
      <c r="O1314" s="73">
        <f t="shared" si="177"/>
        <v>0</v>
      </c>
      <c r="P1314" s="73">
        <f t="shared" si="173"/>
        <v>0</v>
      </c>
      <c r="Q1314" s="73"/>
      <c r="R1314" s="73">
        <v>0</v>
      </c>
      <c r="S1314" s="75">
        <f t="shared" si="175"/>
        <v>0</v>
      </c>
      <c r="T1314" s="77">
        <v>0</v>
      </c>
      <c r="U1314" s="66">
        <v>40462</v>
      </c>
      <c r="V1314" s="79"/>
      <c r="W1314" s="66" t="s">
        <v>1585</v>
      </c>
      <c r="X1314" s="24" t="s">
        <v>1586</v>
      </c>
      <c r="Y1314" s="62"/>
      <c r="Z1314" s="169" t="s">
        <v>894</v>
      </c>
      <c r="AA1314" s="166" t="s">
        <v>798</v>
      </c>
      <c r="AB1314" s="152"/>
      <c r="AC1314" s="153"/>
      <c r="AD1314" s="154"/>
      <c r="AE1314" s="153"/>
      <c r="AF1314" s="153"/>
      <c r="AG1314" s="153"/>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53"/>
      <c r="BB1314" s="153"/>
      <c r="BC1314" s="153"/>
      <c r="BD1314" s="153"/>
      <c r="BE1314" s="153"/>
      <c r="BF1314" s="153"/>
      <c r="BG1314" s="153"/>
      <c r="BH1314" s="153"/>
      <c r="BI1314" s="153"/>
      <c r="BJ1314" s="153"/>
      <c r="BK1314" s="153"/>
      <c r="BL1314" s="153"/>
      <c r="BM1314" s="153"/>
      <c r="BN1314" s="153"/>
      <c r="BO1314" s="153"/>
      <c r="BP1314" s="153"/>
      <c r="BQ1314" s="153"/>
      <c r="BR1314" s="153"/>
      <c r="BS1314" s="153"/>
      <c r="BT1314" s="153"/>
      <c r="BU1314" s="153"/>
      <c r="BV1314" s="153"/>
      <c r="BW1314" s="153"/>
      <c r="BX1314" s="153"/>
      <c r="BY1314" s="153"/>
      <c r="BZ1314" s="153"/>
      <c r="CA1314" s="153"/>
      <c r="CB1314" s="153"/>
      <c r="CC1314" s="153"/>
      <c r="CD1314" s="155"/>
      <c r="CE1314" s="156"/>
      <c r="CF1314" s="155"/>
      <c r="CG1314" s="156"/>
      <c r="CH1314" s="155"/>
      <c r="CI1314" s="156"/>
      <c r="CJ1314" s="157">
        <f t="shared" si="174"/>
        <v>0</v>
      </c>
      <c r="CK1314" s="158"/>
      <c r="CL1314" s="159"/>
      <c r="CM1314" s="160"/>
      <c r="CN1314" s="161"/>
      <c r="CO1314" s="162"/>
      <c r="CP1314" s="161"/>
      <c r="CQ1314" s="158"/>
      <c r="CR1314" s="159"/>
      <c r="CS1314" s="68"/>
      <c r="CT1314" s="163"/>
      <c r="EC1314" s="344" t="str">
        <f t="shared" si="178"/>
        <v>META_PUERTO RICO</v>
      </c>
      <c r="ED1314" s="341"/>
      <c r="EE1314" s="341"/>
      <c r="EF1314" s="348"/>
      <c r="EG1314" s="341"/>
      <c r="EH1314" s="341"/>
      <c r="EI1314" s="341"/>
    </row>
    <row r="1315" spans="1:139" s="164" customFormat="1" ht="38.25">
      <c r="A1315" s="228">
        <v>40461</v>
      </c>
      <c r="B1315" s="205" t="s">
        <v>1196</v>
      </c>
      <c r="C1315" s="205" t="s">
        <v>3217</v>
      </c>
      <c r="D1315" s="207" t="s">
        <v>2606</v>
      </c>
      <c r="E1315" s="323" t="s">
        <v>4304</v>
      </c>
      <c r="F1315" s="323"/>
      <c r="G1315" s="204"/>
      <c r="H1315" s="151"/>
      <c r="I1315" s="151"/>
      <c r="J1315" s="151">
        <v>12</v>
      </c>
      <c r="K1315" s="151">
        <v>4</v>
      </c>
      <c r="L1315" s="1"/>
      <c r="M1315" s="73">
        <f t="shared" si="172"/>
        <v>0</v>
      </c>
      <c r="N1315" s="73">
        <f t="shared" si="176"/>
        <v>0</v>
      </c>
      <c r="O1315" s="73">
        <f t="shared" si="177"/>
        <v>0</v>
      </c>
      <c r="P1315" s="73">
        <f t="shared" si="173"/>
        <v>0</v>
      </c>
      <c r="Q1315" s="73"/>
      <c r="R1315" s="73">
        <v>0</v>
      </c>
      <c r="S1315" s="75">
        <f t="shared" si="175"/>
        <v>0</v>
      </c>
      <c r="T1315" s="77">
        <v>0</v>
      </c>
      <c r="U1315" s="66">
        <v>40462</v>
      </c>
      <c r="V1315" s="79"/>
      <c r="W1315" s="66" t="s">
        <v>1585</v>
      </c>
      <c r="X1315" s="24" t="s">
        <v>1586</v>
      </c>
      <c r="Y1315" s="62"/>
      <c r="Z1315" s="169" t="s">
        <v>894</v>
      </c>
      <c r="AA1315" s="166" t="s">
        <v>2339</v>
      </c>
      <c r="AB1315" s="152"/>
      <c r="AC1315" s="153"/>
      <c r="AD1315" s="154"/>
      <c r="AE1315" s="153"/>
      <c r="AF1315" s="153"/>
      <c r="AG1315" s="153"/>
      <c r="AH1315" s="153"/>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c r="BF1315" s="153"/>
      <c r="BG1315" s="153"/>
      <c r="BH1315" s="153"/>
      <c r="BI1315" s="153"/>
      <c r="BJ1315" s="153"/>
      <c r="BK1315" s="153"/>
      <c r="BL1315" s="153"/>
      <c r="BM1315" s="153"/>
      <c r="BN1315" s="153"/>
      <c r="BO1315" s="153"/>
      <c r="BP1315" s="153"/>
      <c r="BQ1315" s="153"/>
      <c r="BR1315" s="153"/>
      <c r="BS1315" s="153"/>
      <c r="BT1315" s="153"/>
      <c r="BU1315" s="153"/>
      <c r="BV1315" s="153"/>
      <c r="BW1315" s="153"/>
      <c r="BX1315" s="153"/>
      <c r="BY1315" s="153"/>
      <c r="BZ1315" s="153"/>
      <c r="CA1315" s="153"/>
      <c r="CB1315" s="153"/>
      <c r="CC1315" s="153"/>
      <c r="CD1315" s="155"/>
      <c r="CE1315" s="156"/>
      <c r="CF1315" s="155"/>
      <c r="CG1315" s="156"/>
      <c r="CH1315" s="155"/>
      <c r="CI1315" s="156"/>
      <c r="CJ1315" s="157">
        <f t="shared" si="174"/>
        <v>0</v>
      </c>
      <c r="CK1315" s="158"/>
      <c r="CL1315" s="159"/>
      <c r="CM1315" s="160"/>
      <c r="CN1315" s="161"/>
      <c r="CO1315" s="162"/>
      <c r="CP1315" s="161"/>
      <c r="CQ1315" s="158"/>
      <c r="CR1315" s="159"/>
      <c r="CS1315" s="68"/>
      <c r="CT1315" s="163"/>
      <c r="EC1315" s="344" t="str">
        <f t="shared" si="178"/>
        <v>PUTUMAYO_VILLAGARZON</v>
      </c>
      <c r="ED1315" s="341"/>
      <c r="EE1315" s="341"/>
      <c r="EF1315" s="348"/>
      <c r="EG1315" s="341"/>
      <c r="EH1315" s="341"/>
      <c r="EI1315" s="341"/>
    </row>
    <row r="1316" spans="1:139" s="164" customFormat="1" ht="36">
      <c r="A1316" s="228">
        <v>40461</v>
      </c>
      <c r="B1316" s="102" t="s">
        <v>1609</v>
      </c>
      <c r="C1316" s="205" t="s">
        <v>2004</v>
      </c>
      <c r="D1316" s="207" t="s">
        <v>2606</v>
      </c>
      <c r="E1316" s="323" t="s">
        <v>4050</v>
      </c>
      <c r="F1316" s="323"/>
      <c r="G1316" s="204"/>
      <c r="H1316" s="151"/>
      <c r="I1316" s="151"/>
      <c r="J1316" s="151">
        <f>16*5</f>
        <v>80</v>
      </c>
      <c r="K1316" s="151">
        <v>16</v>
      </c>
      <c r="L1316" s="1"/>
      <c r="M1316" s="73">
        <f t="shared" si="172"/>
        <v>0</v>
      </c>
      <c r="N1316" s="73">
        <f t="shared" si="176"/>
        <v>0</v>
      </c>
      <c r="O1316" s="73">
        <f t="shared" si="177"/>
        <v>0</v>
      </c>
      <c r="P1316" s="73">
        <f t="shared" si="173"/>
        <v>0</v>
      </c>
      <c r="Q1316" s="73"/>
      <c r="R1316" s="73">
        <v>0</v>
      </c>
      <c r="S1316" s="75">
        <f t="shared" si="175"/>
        <v>0</v>
      </c>
      <c r="T1316" s="77">
        <v>0</v>
      </c>
      <c r="U1316" s="66">
        <v>40462</v>
      </c>
      <c r="V1316" s="79"/>
      <c r="W1316" s="66" t="s">
        <v>1585</v>
      </c>
      <c r="X1316" s="24" t="s">
        <v>1586</v>
      </c>
      <c r="Y1316" s="62"/>
      <c r="Z1316" s="169" t="s">
        <v>894</v>
      </c>
      <c r="AA1316" s="166" t="s">
        <v>2338</v>
      </c>
      <c r="AB1316" s="152"/>
      <c r="AC1316" s="153"/>
      <c r="AD1316" s="154"/>
      <c r="AE1316" s="153"/>
      <c r="AF1316" s="153"/>
      <c r="AG1316" s="153"/>
      <c r="AH1316" s="153"/>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c r="BF1316" s="153"/>
      <c r="BG1316" s="153"/>
      <c r="BH1316" s="153"/>
      <c r="BI1316" s="153"/>
      <c r="BJ1316" s="153"/>
      <c r="BK1316" s="153"/>
      <c r="BL1316" s="153"/>
      <c r="BM1316" s="153"/>
      <c r="BN1316" s="153"/>
      <c r="BO1316" s="153"/>
      <c r="BP1316" s="153"/>
      <c r="BQ1316" s="153"/>
      <c r="BR1316" s="153"/>
      <c r="BS1316" s="153"/>
      <c r="BT1316" s="153"/>
      <c r="BU1316" s="153"/>
      <c r="BV1316" s="153"/>
      <c r="BW1316" s="153"/>
      <c r="BX1316" s="153"/>
      <c r="BY1316" s="153"/>
      <c r="BZ1316" s="153"/>
      <c r="CA1316" s="153"/>
      <c r="CB1316" s="153"/>
      <c r="CC1316" s="153"/>
      <c r="CD1316" s="155"/>
      <c r="CE1316" s="156"/>
      <c r="CF1316" s="155"/>
      <c r="CG1316" s="156"/>
      <c r="CH1316" s="155"/>
      <c r="CI1316" s="156"/>
      <c r="CJ1316" s="157">
        <f t="shared" si="174"/>
        <v>0</v>
      </c>
      <c r="CK1316" s="158"/>
      <c r="CL1316" s="159"/>
      <c r="CM1316" s="160"/>
      <c r="CN1316" s="161"/>
      <c r="CO1316" s="162"/>
      <c r="CP1316" s="161"/>
      <c r="CQ1316" s="158"/>
      <c r="CR1316" s="159"/>
      <c r="CS1316" s="68"/>
      <c r="CT1316" s="163"/>
      <c r="EC1316" s="344" t="str">
        <f t="shared" si="178"/>
        <v>RISARALDA_PEREIRA</v>
      </c>
      <c r="ED1316" s="341"/>
      <c r="EE1316" s="341"/>
      <c r="EF1316" s="348"/>
      <c r="EG1316" s="341"/>
      <c r="EH1316" s="341"/>
      <c r="EI1316" s="341"/>
    </row>
    <row r="1317" spans="1:139" s="164" customFormat="1" ht="51">
      <c r="A1317" s="228">
        <v>40462</v>
      </c>
      <c r="B1317" s="205" t="s">
        <v>1615</v>
      </c>
      <c r="C1317" s="205" t="s">
        <v>2081</v>
      </c>
      <c r="D1317" s="207" t="s">
        <v>1201</v>
      </c>
      <c r="E1317" s="323" t="s">
        <v>3407</v>
      </c>
      <c r="F1317" s="323"/>
      <c r="G1317" s="204"/>
      <c r="H1317" s="151"/>
      <c r="I1317" s="151"/>
      <c r="J1317" s="151">
        <v>500</v>
      </c>
      <c r="K1317" s="151">
        <v>100</v>
      </c>
      <c r="L1317" s="1"/>
      <c r="M1317" s="73">
        <f t="shared" si="172"/>
        <v>0</v>
      </c>
      <c r="N1317" s="73">
        <f t="shared" si="176"/>
        <v>0</v>
      </c>
      <c r="O1317" s="73">
        <f t="shared" si="177"/>
        <v>0</v>
      </c>
      <c r="P1317" s="73">
        <f t="shared" si="173"/>
        <v>0</v>
      </c>
      <c r="Q1317" s="73"/>
      <c r="R1317" s="73">
        <v>0</v>
      </c>
      <c r="S1317" s="75">
        <f t="shared" si="175"/>
        <v>0</v>
      </c>
      <c r="T1317" s="77">
        <v>0</v>
      </c>
      <c r="U1317" s="66">
        <v>40465</v>
      </c>
      <c r="V1317" s="79"/>
      <c r="W1317" s="66" t="s">
        <v>1585</v>
      </c>
      <c r="X1317" s="24" t="s">
        <v>1586</v>
      </c>
      <c r="Y1317" s="62"/>
      <c r="Z1317" s="169" t="s">
        <v>894</v>
      </c>
      <c r="AA1317" s="166" t="s">
        <v>2259</v>
      </c>
      <c r="AB1317" s="152"/>
      <c r="AC1317" s="153"/>
      <c r="AD1317" s="154"/>
      <c r="AE1317" s="153"/>
      <c r="AF1317" s="153"/>
      <c r="AG1317" s="153"/>
      <c r="AH1317" s="153"/>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c r="BF1317" s="153"/>
      <c r="BG1317" s="153"/>
      <c r="BH1317" s="153"/>
      <c r="BI1317" s="153"/>
      <c r="BJ1317" s="153"/>
      <c r="BK1317" s="153"/>
      <c r="BL1317" s="153"/>
      <c r="BM1317" s="153"/>
      <c r="BN1317" s="153"/>
      <c r="BO1317" s="153"/>
      <c r="BP1317" s="153"/>
      <c r="BQ1317" s="153"/>
      <c r="BR1317" s="153"/>
      <c r="BS1317" s="153"/>
      <c r="BT1317" s="153"/>
      <c r="BU1317" s="153"/>
      <c r="BV1317" s="153"/>
      <c r="BW1317" s="153"/>
      <c r="BX1317" s="153"/>
      <c r="BY1317" s="153"/>
      <c r="BZ1317" s="153"/>
      <c r="CA1317" s="153"/>
      <c r="CB1317" s="153"/>
      <c r="CC1317" s="153"/>
      <c r="CD1317" s="155"/>
      <c r="CE1317" s="156"/>
      <c r="CF1317" s="155"/>
      <c r="CG1317" s="156"/>
      <c r="CH1317" s="155"/>
      <c r="CI1317" s="156"/>
      <c r="CJ1317" s="157">
        <f t="shared" si="174"/>
        <v>0</v>
      </c>
      <c r="CK1317" s="158"/>
      <c r="CL1317" s="159"/>
      <c r="CM1317" s="160"/>
      <c r="CN1317" s="161"/>
      <c r="CO1317" s="162"/>
      <c r="CP1317" s="161"/>
      <c r="CQ1317" s="158"/>
      <c r="CR1317" s="159"/>
      <c r="CS1317" s="68"/>
      <c r="CT1317" s="163"/>
      <c r="EC1317" s="344" t="str">
        <f t="shared" si="178"/>
        <v>BOLIVAR_SAN JUAN NEPOMUCENO</v>
      </c>
      <c r="ED1317" s="341"/>
      <c r="EE1317" s="341"/>
      <c r="EF1317" s="348"/>
      <c r="EG1317" s="341"/>
      <c r="EH1317" s="341"/>
      <c r="EI1317" s="341"/>
    </row>
    <row r="1318" spans="1:139" s="164" customFormat="1" ht="25.5">
      <c r="A1318" s="228">
        <v>40462</v>
      </c>
      <c r="B1318" s="205" t="s">
        <v>1192</v>
      </c>
      <c r="C1318" s="205" t="s">
        <v>1934</v>
      </c>
      <c r="D1318" s="206" t="s">
        <v>1878</v>
      </c>
      <c r="E1318" s="320" t="s">
        <v>3486</v>
      </c>
      <c r="F1318" s="320"/>
      <c r="G1318" s="204"/>
      <c r="H1318" s="151"/>
      <c r="I1318" s="151"/>
      <c r="J1318" s="151"/>
      <c r="K1318" s="151"/>
      <c r="L1318" s="1"/>
      <c r="M1318" s="73">
        <f t="shared" si="172"/>
        <v>0</v>
      </c>
      <c r="N1318" s="73">
        <f t="shared" si="176"/>
        <v>0</v>
      </c>
      <c r="O1318" s="73">
        <f t="shared" si="177"/>
        <v>0</v>
      </c>
      <c r="P1318" s="73">
        <f t="shared" si="173"/>
        <v>0</v>
      </c>
      <c r="Q1318" s="73"/>
      <c r="R1318" s="73">
        <v>0</v>
      </c>
      <c r="S1318" s="75">
        <f t="shared" si="175"/>
        <v>0</v>
      </c>
      <c r="T1318" s="77">
        <v>0</v>
      </c>
      <c r="U1318" s="66">
        <v>40505</v>
      </c>
      <c r="V1318" s="79"/>
      <c r="W1318" s="66" t="s">
        <v>1585</v>
      </c>
      <c r="X1318" s="24" t="s">
        <v>1586</v>
      </c>
      <c r="Y1318" s="62"/>
      <c r="Z1318" s="169" t="s">
        <v>894</v>
      </c>
      <c r="AA1318" s="166" t="s">
        <v>2143</v>
      </c>
      <c r="AB1318" s="152"/>
      <c r="AC1318" s="153"/>
      <c r="AD1318" s="154"/>
      <c r="AE1318" s="153"/>
      <c r="AF1318" s="153"/>
      <c r="AG1318" s="153"/>
      <c r="AH1318" s="153"/>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c r="BF1318" s="153"/>
      <c r="BG1318" s="153"/>
      <c r="BH1318" s="153"/>
      <c r="BI1318" s="153"/>
      <c r="BJ1318" s="153"/>
      <c r="BK1318" s="153"/>
      <c r="BL1318" s="153"/>
      <c r="BM1318" s="153"/>
      <c r="BN1318" s="153"/>
      <c r="BO1318" s="153"/>
      <c r="BP1318" s="153"/>
      <c r="BQ1318" s="153"/>
      <c r="BR1318" s="153"/>
      <c r="BS1318" s="153"/>
      <c r="BT1318" s="153"/>
      <c r="BU1318" s="153"/>
      <c r="BV1318" s="153"/>
      <c r="BW1318" s="153"/>
      <c r="BX1318" s="153"/>
      <c r="BY1318" s="153"/>
      <c r="BZ1318" s="153"/>
      <c r="CA1318" s="153"/>
      <c r="CB1318" s="153"/>
      <c r="CC1318" s="153"/>
      <c r="CD1318" s="155"/>
      <c r="CE1318" s="156"/>
      <c r="CF1318" s="155"/>
      <c r="CG1318" s="156"/>
      <c r="CH1318" s="155"/>
      <c r="CI1318" s="156"/>
      <c r="CJ1318" s="157">
        <f t="shared" si="174"/>
        <v>0</v>
      </c>
      <c r="CK1318" s="158"/>
      <c r="CL1318" s="159"/>
      <c r="CM1318" s="160"/>
      <c r="CN1318" s="161"/>
      <c r="CO1318" s="162"/>
      <c r="CP1318" s="161"/>
      <c r="CQ1318" s="158"/>
      <c r="CR1318" s="159"/>
      <c r="CS1318" s="68"/>
      <c r="CT1318" s="163"/>
      <c r="EC1318" s="344" t="str">
        <f t="shared" si="178"/>
        <v>BOYACA_PAIPA</v>
      </c>
      <c r="ED1318" s="341"/>
      <c r="EE1318" s="341"/>
      <c r="EF1318" s="348"/>
      <c r="EG1318" s="341"/>
      <c r="EH1318" s="341"/>
      <c r="EI1318" s="341"/>
    </row>
    <row r="1319" spans="1:139" s="164" customFormat="1" ht="25.5">
      <c r="A1319" s="228">
        <v>40462</v>
      </c>
      <c r="B1319" s="205" t="s">
        <v>1996</v>
      </c>
      <c r="C1319" s="205" t="s">
        <v>1176</v>
      </c>
      <c r="D1319" s="207" t="s">
        <v>1148</v>
      </c>
      <c r="E1319" s="323" t="s">
        <v>3820</v>
      </c>
      <c r="F1319" s="323"/>
      <c r="G1319" s="204"/>
      <c r="H1319" s="151"/>
      <c r="I1319" s="151"/>
      <c r="J1319" s="151"/>
      <c r="K1319" s="151"/>
      <c r="L1319" s="1"/>
      <c r="M1319" s="73">
        <f t="shared" si="172"/>
        <v>7076000</v>
      </c>
      <c r="N1319" s="73">
        <f t="shared" si="176"/>
        <v>6970000</v>
      </c>
      <c r="O1319" s="73">
        <f t="shared" si="177"/>
        <v>0</v>
      </c>
      <c r="P1319" s="73">
        <f t="shared" si="173"/>
        <v>0</v>
      </c>
      <c r="Q1319" s="73"/>
      <c r="R1319" s="73">
        <v>0</v>
      </c>
      <c r="S1319" s="75">
        <f t="shared" si="175"/>
        <v>14046000</v>
      </c>
      <c r="T1319" s="77">
        <v>0</v>
      </c>
      <c r="U1319" s="228">
        <v>40478</v>
      </c>
      <c r="V1319" s="79"/>
      <c r="W1319" s="66" t="s">
        <v>1606</v>
      </c>
      <c r="X1319" s="24" t="s">
        <v>1607</v>
      </c>
      <c r="Y1319" s="62"/>
      <c r="Z1319" s="169" t="s">
        <v>894</v>
      </c>
      <c r="AA1319" s="166"/>
      <c r="AB1319" s="152"/>
      <c r="AC1319" s="153"/>
      <c r="AD1319" s="154"/>
      <c r="AE1319" s="153"/>
      <c r="AF1319" s="153"/>
      <c r="AG1319" s="153"/>
      <c r="AH1319" s="153"/>
      <c r="AI1319" s="153"/>
      <c r="AJ1319" s="153"/>
      <c r="AK1319" s="153"/>
      <c r="AL1319" s="153"/>
      <c r="AM1319" s="153"/>
      <c r="AN1319" s="153">
        <v>100</v>
      </c>
      <c r="AO1319" s="153">
        <f>100*56000</f>
        <v>5600000</v>
      </c>
      <c r="AP1319" s="153"/>
      <c r="AQ1319" s="153"/>
      <c r="AR1319" s="153"/>
      <c r="AS1319" s="153"/>
      <c r="AT1319" s="153"/>
      <c r="AU1319" s="153"/>
      <c r="AV1319" s="153"/>
      <c r="AW1319" s="153"/>
      <c r="AX1319" s="153"/>
      <c r="AY1319" s="153"/>
      <c r="AZ1319" s="153"/>
      <c r="BA1319" s="153"/>
      <c r="BB1319" s="153"/>
      <c r="BC1319" s="153"/>
      <c r="BD1319" s="153"/>
      <c r="BE1319" s="153"/>
      <c r="BF1319" s="153"/>
      <c r="BG1319" s="153"/>
      <c r="BH1319" s="153"/>
      <c r="BI1319" s="153"/>
      <c r="BJ1319" s="153"/>
      <c r="BK1319" s="153"/>
      <c r="BL1319" s="153"/>
      <c r="BM1319" s="153"/>
      <c r="BN1319" s="153"/>
      <c r="BO1319" s="153"/>
      <c r="BP1319" s="153"/>
      <c r="BQ1319" s="153"/>
      <c r="BR1319" s="153"/>
      <c r="BS1319" s="153"/>
      <c r="BT1319" s="153"/>
      <c r="BU1319" s="153"/>
      <c r="BV1319" s="153"/>
      <c r="BW1319" s="153"/>
      <c r="BX1319" s="153"/>
      <c r="BY1319" s="153"/>
      <c r="BZ1319" s="153"/>
      <c r="CA1319" s="153"/>
      <c r="CB1319" s="153">
        <v>82</v>
      </c>
      <c r="CC1319" s="153">
        <f>82*18000</f>
        <v>1476000</v>
      </c>
      <c r="CD1319" s="155"/>
      <c r="CE1319" s="156"/>
      <c r="CF1319" s="155"/>
      <c r="CG1319" s="156"/>
      <c r="CH1319" s="155"/>
      <c r="CI1319" s="156"/>
      <c r="CJ1319" s="157">
        <f t="shared" si="174"/>
        <v>7076000</v>
      </c>
      <c r="CK1319" s="158"/>
      <c r="CL1319" s="159"/>
      <c r="CM1319" s="160">
        <v>82</v>
      </c>
      <c r="CN1319" s="161">
        <f>82*85000</f>
        <v>6970000</v>
      </c>
      <c r="CO1319" s="162"/>
      <c r="CP1319" s="161"/>
      <c r="CQ1319" s="158"/>
      <c r="CR1319" s="159"/>
      <c r="CS1319" s="68"/>
      <c r="CT1319" s="163">
        <v>1364</v>
      </c>
      <c r="EC1319" s="344" t="str">
        <f t="shared" si="178"/>
        <v>CHOCO_TADO</v>
      </c>
      <c r="ED1319" s="341"/>
      <c r="EE1319" s="341"/>
      <c r="EF1319" s="348"/>
      <c r="EG1319" s="341"/>
      <c r="EH1319" s="341"/>
      <c r="EI1319" s="341"/>
    </row>
    <row r="1320" spans="1:139" s="164" customFormat="1" ht="45">
      <c r="A1320" s="228">
        <v>40463</v>
      </c>
      <c r="B1320" s="205" t="s">
        <v>962</v>
      </c>
      <c r="C1320" s="205" t="s">
        <v>2957</v>
      </c>
      <c r="D1320" s="207" t="s">
        <v>2606</v>
      </c>
      <c r="E1320" s="323" t="s">
        <v>3849</v>
      </c>
      <c r="F1320" s="323"/>
      <c r="G1320" s="204"/>
      <c r="H1320" s="151"/>
      <c r="I1320" s="151"/>
      <c r="J1320" s="151">
        <v>50</v>
      </c>
      <c r="K1320" s="151">
        <v>10</v>
      </c>
      <c r="L1320" s="1"/>
      <c r="M1320" s="73">
        <f t="shared" si="172"/>
        <v>0</v>
      </c>
      <c r="N1320" s="73">
        <f t="shared" si="176"/>
        <v>0</v>
      </c>
      <c r="O1320" s="73">
        <f t="shared" si="177"/>
        <v>0</v>
      </c>
      <c r="P1320" s="73">
        <f t="shared" si="173"/>
        <v>0</v>
      </c>
      <c r="Q1320" s="73"/>
      <c r="R1320" s="73">
        <v>0</v>
      </c>
      <c r="S1320" s="75">
        <f t="shared" si="175"/>
        <v>0</v>
      </c>
      <c r="T1320" s="77">
        <v>0</v>
      </c>
      <c r="U1320" s="228">
        <v>40463</v>
      </c>
      <c r="V1320" s="79"/>
      <c r="W1320" s="66" t="s">
        <v>1585</v>
      </c>
      <c r="X1320" s="264" t="s">
        <v>1586</v>
      </c>
      <c r="Y1320" s="62"/>
      <c r="Z1320" s="260" t="s">
        <v>18</v>
      </c>
      <c r="AA1320" s="166" t="s">
        <v>2867</v>
      </c>
      <c r="AB1320" s="152"/>
      <c r="AC1320" s="153"/>
      <c r="AD1320" s="154"/>
      <c r="AE1320" s="153"/>
      <c r="AF1320" s="153"/>
      <c r="AG1320" s="153"/>
      <c r="AH1320" s="153"/>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c r="BF1320" s="153"/>
      <c r="BG1320" s="153"/>
      <c r="BH1320" s="153"/>
      <c r="BI1320" s="153"/>
      <c r="BJ1320" s="153"/>
      <c r="BK1320" s="153"/>
      <c r="BL1320" s="153"/>
      <c r="BM1320" s="153"/>
      <c r="BN1320" s="153"/>
      <c r="BO1320" s="153"/>
      <c r="BP1320" s="153"/>
      <c r="BQ1320" s="153"/>
      <c r="BR1320" s="153"/>
      <c r="BS1320" s="153"/>
      <c r="BT1320" s="153"/>
      <c r="BU1320" s="153"/>
      <c r="BV1320" s="153"/>
      <c r="BW1320" s="153"/>
      <c r="BX1320" s="153"/>
      <c r="BY1320" s="153"/>
      <c r="BZ1320" s="153"/>
      <c r="CA1320" s="153"/>
      <c r="CB1320" s="153"/>
      <c r="CC1320" s="153"/>
      <c r="CD1320" s="155"/>
      <c r="CE1320" s="156"/>
      <c r="CF1320" s="155"/>
      <c r="CG1320" s="156"/>
      <c r="CH1320" s="155"/>
      <c r="CI1320" s="156"/>
      <c r="CJ1320" s="157">
        <f t="shared" si="174"/>
        <v>0</v>
      </c>
      <c r="CK1320" s="158"/>
      <c r="CL1320" s="159"/>
      <c r="CM1320" s="160"/>
      <c r="CN1320" s="161"/>
      <c r="CO1320" s="162"/>
      <c r="CP1320" s="161"/>
      <c r="CQ1320" s="158"/>
      <c r="CR1320" s="159"/>
      <c r="CS1320" s="68"/>
      <c r="CT1320" s="163"/>
      <c r="EC1320" s="344" t="str">
        <f t="shared" si="178"/>
        <v>HUILA_SALADOBLANCO</v>
      </c>
      <c r="ED1320" s="341"/>
      <c r="EE1320" s="341"/>
      <c r="EF1320" s="348"/>
      <c r="EG1320" s="341"/>
      <c r="EH1320" s="341"/>
      <c r="EI1320" s="341"/>
    </row>
    <row r="1321" spans="1:139" s="164" customFormat="1" ht="25.5">
      <c r="A1321" s="228">
        <v>40463</v>
      </c>
      <c r="B1321" s="205" t="s">
        <v>1943</v>
      </c>
      <c r="C1321" s="205" t="s">
        <v>1964</v>
      </c>
      <c r="D1321" s="207" t="s">
        <v>1316</v>
      </c>
      <c r="E1321" s="323" t="s">
        <v>4163</v>
      </c>
      <c r="F1321" s="323"/>
      <c r="G1321" s="204"/>
      <c r="H1321" s="151"/>
      <c r="I1321" s="151"/>
      <c r="J1321" s="151">
        <v>16</v>
      </c>
      <c r="K1321" s="151">
        <v>3</v>
      </c>
      <c r="L1321" s="1"/>
      <c r="M1321" s="73">
        <f t="shared" si="172"/>
        <v>0</v>
      </c>
      <c r="N1321" s="73">
        <f t="shared" si="176"/>
        <v>0</v>
      </c>
      <c r="O1321" s="73">
        <f t="shared" si="177"/>
        <v>0</v>
      </c>
      <c r="P1321" s="73">
        <f t="shared" si="173"/>
        <v>0</v>
      </c>
      <c r="Q1321" s="73"/>
      <c r="R1321" s="73">
        <v>0</v>
      </c>
      <c r="S1321" s="75">
        <f t="shared" si="175"/>
        <v>0</v>
      </c>
      <c r="T1321" s="77">
        <v>0</v>
      </c>
      <c r="U1321" s="66">
        <v>40465</v>
      </c>
      <c r="V1321" s="79"/>
      <c r="W1321" s="66" t="s">
        <v>1585</v>
      </c>
      <c r="X1321" s="24" t="s">
        <v>1586</v>
      </c>
      <c r="Y1321" s="62"/>
      <c r="Z1321" s="169" t="s">
        <v>894</v>
      </c>
      <c r="AA1321" s="166" t="s">
        <v>2263</v>
      </c>
      <c r="AB1321" s="152"/>
      <c r="AC1321" s="153"/>
      <c r="AD1321" s="154"/>
      <c r="AE1321" s="153"/>
      <c r="AF1321" s="153"/>
      <c r="AG1321" s="153"/>
      <c r="AH1321" s="153"/>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c r="BF1321" s="153"/>
      <c r="BG1321" s="153"/>
      <c r="BH1321" s="153"/>
      <c r="BI1321" s="153"/>
      <c r="BJ1321" s="153"/>
      <c r="BK1321" s="153"/>
      <c r="BL1321" s="153"/>
      <c r="BM1321" s="153"/>
      <c r="BN1321" s="153"/>
      <c r="BO1321" s="153"/>
      <c r="BP1321" s="153"/>
      <c r="BQ1321" s="153"/>
      <c r="BR1321" s="153"/>
      <c r="BS1321" s="153"/>
      <c r="BT1321" s="153"/>
      <c r="BU1321" s="153"/>
      <c r="BV1321" s="153"/>
      <c r="BW1321" s="153"/>
      <c r="BX1321" s="153"/>
      <c r="BY1321" s="153"/>
      <c r="BZ1321" s="153"/>
      <c r="CA1321" s="153"/>
      <c r="CB1321" s="153"/>
      <c r="CC1321" s="153"/>
      <c r="CD1321" s="155"/>
      <c r="CE1321" s="156"/>
      <c r="CF1321" s="155"/>
      <c r="CG1321" s="156"/>
      <c r="CH1321" s="155"/>
      <c r="CI1321" s="156"/>
      <c r="CJ1321" s="157">
        <f t="shared" si="174"/>
        <v>0</v>
      </c>
      <c r="CK1321" s="158"/>
      <c r="CL1321" s="159"/>
      <c r="CM1321" s="160"/>
      <c r="CN1321" s="161"/>
      <c r="CO1321" s="162"/>
      <c r="CP1321" s="161"/>
      <c r="CQ1321" s="158"/>
      <c r="CR1321" s="159"/>
      <c r="CS1321" s="68"/>
      <c r="CT1321" s="163"/>
      <c r="EC1321" s="344" t="str">
        <f t="shared" si="178"/>
        <v>SUCRE_MAJAGUAL</v>
      </c>
      <c r="ED1321" s="341"/>
      <c r="EE1321" s="341"/>
      <c r="EF1321" s="348"/>
      <c r="EG1321" s="341"/>
      <c r="EH1321" s="341"/>
      <c r="EI1321" s="341"/>
    </row>
    <row r="1322" spans="1:139" s="164" customFormat="1" ht="25.5">
      <c r="A1322" s="228">
        <v>40464</v>
      </c>
      <c r="B1322" s="205" t="s">
        <v>1615</v>
      </c>
      <c r="C1322" s="205" t="s">
        <v>1642</v>
      </c>
      <c r="D1322" s="207" t="s">
        <v>1201</v>
      </c>
      <c r="E1322" s="323" t="s">
        <v>3376</v>
      </c>
      <c r="F1322" s="323"/>
      <c r="G1322" s="204"/>
      <c r="H1322" s="151"/>
      <c r="I1322" s="151"/>
      <c r="J1322" s="151"/>
      <c r="K1322" s="151"/>
      <c r="L1322" s="1">
        <v>40508</v>
      </c>
      <c r="M1322" s="73">
        <f t="shared" si="172"/>
        <v>4391400</v>
      </c>
      <c r="N1322" s="73">
        <f t="shared" si="176"/>
        <v>10200000</v>
      </c>
      <c r="O1322" s="73">
        <f t="shared" si="177"/>
        <v>0</v>
      </c>
      <c r="P1322" s="73">
        <f t="shared" si="173"/>
        <v>0</v>
      </c>
      <c r="Q1322" s="73"/>
      <c r="R1322" s="73">
        <v>0</v>
      </c>
      <c r="S1322" s="75">
        <f t="shared" si="175"/>
        <v>14591400</v>
      </c>
      <c r="T1322" s="77">
        <v>0</v>
      </c>
      <c r="U1322" s="66">
        <v>40464</v>
      </c>
      <c r="V1322" s="79">
        <v>57491</v>
      </c>
      <c r="W1322" s="66" t="s">
        <v>1606</v>
      </c>
      <c r="X1322" s="24" t="s">
        <v>1607</v>
      </c>
      <c r="Y1322" s="62">
        <v>24950</v>
      </c>
      <c r="Z1322" s="169"/>
      <c r="AA1322" s="166" t="s">
        <v>1865</v>
      </c>
      <c r="AB1322" s="152"/>
      <c r="AC1322" s="153"/>
      <c r="AD1322" s="154"/>
      <c r="AE1322" s="153"/>
      <c r="AF1322" s="153"/>
      <c r="AG1322" s="153"/>
      <c r="AH1322" s="153"/>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c r="BF1322" s="153"/>
      <c r="BG1322" s="153"/>
      <c r="BH1322" s="153"/>
      <c r="BI1322" s="153"/>
      <c r="BJ1322" s="153"/>
      <c r="BK1322" s="153"/>
      <c r="BL1322" s="153"/>
      <c r="BM1322" s="153"/>
      <c r="BN1322" s="153"/>
      <c r="BO1322" s="153"/>
      <c r="BP1322" s="153"/>
      <c r="BQ1322" s="153"/>
      <c r="BR1322" s="153"/>
      <c r="BS1322" s="153"/>
      <c r="BT1322" s="153"/>
      <c r="BU1322" s="153"/>
      <c r="BV1322" s="153"/>
      <c r="BW1322" s="153"/>
      <c r="BX1322" s="153"/>
      <c r="BY1322" s="153"/>
      <c r="BZ1322" s="153"/>
      <c r="CA1322" s="153"/>
      <c r="CB1322" s="153"/>
      <c r="CC1322" s="153"/>
      <c r="CD1322" s="155">
        <v>120</v>
      </c>
      <c r="CE1322" s="156">
        <f>120*36595</f>
        <v>4391400</v>
      </c>
      <c r="CF1322" s="155"/>
      <c r="CG1322" s="156"/>
      <c r="CH1322" s="155"/>
      <c r="CI1322" s="156"/>
      <c r="CJ1322" s="157">
        <f t="shared" si="174"/>
        <v>4391400</v>
      </c>
      <c r="CK1322" s="158"/>
      <c r="CL1322" s="159"/>
      <c r="CM1322" s="160">
        <v>120</v>
      </c>
      <c r="CN1322" s="161">
        <f>120*85000</f>
        <v>10200000</v>
      </c>
      <c r="CO1322" s="162"/>
      <c r="CP1322" s="161"/>
      <c r="CQ1322" s="158"/>
      <c r="CR1322" s="159"/>
      <c r="CS1322" s="68"/>
      <c r="CT1322" s="163"/>
      <c r="EC1322" s="344" t="str">
        <f t="shared" si="178"/>
        <v>BOLIVAR_CARTAGENA</v>
      </c>
      <c r="ED1322" s="341"/>
      <c r="EE1322" s="341"/>
      <c r="EF1322" s="348"/>
      <c r="EG1322" s="341"/>
      <c r="EH1322" s="341"/>
      <c r="EI1322" s="341"/>
    </row>
    <row r="1323" spans="1:139" s="164" customFormat="1" ht="25.5">
      <c r="A1323" s="228">
        <v>40464</v>
      </c>
      <c r="B1323" s="205" t="s">
        <v>1192</v>
      </c>
      <c r="C1323" s="205" t="s">
        <v>2260</v>
      </c>
      <c r="D1323" s="206" t="s">
        <v>1878</v>
      </c>
      <c r="E1323" s="320" t="s">
        <v>3517</v>
      </c>
      <c r="F1323" s="320"/>
      <c r="G1323" s="204"/>
      <c r="H1323" s="151"/>
      <c r="I1323" s="151"/>
      <c r="J1323" s="151">
        <v>5</v>
      </c>
      <c r="K1323" s="151">
        <v>1</v>
      </c>
      <c r="L1323" s="1"/>
      <c r="M1323" s="73">
        <f t="shared" si="172"/>
        <v>0</v>
      </c>
      <c r="N1323" s="73">
        <f t="shared" si="176"/>
        <v>0</v>
      </c>
      <c r="O1323" s="73">
        <f t="shared" si="177"/>
        <v>0</v>
      </c>
      <c r="P1323" s="73">
        <f t="shared" si="173"/>
        <v>0</v>
      </c>
      <c r="Q1323" s="73"/>
      <c r="R1323" s="73">
        <v>0</v>
      </c>
      <c r="S1323" s="75">
        <f t="shared" si="175"/>
        <v>0</v>
      </c>
      <c r="T1323" s="77">
        <v>0</v>
      </c>
      <c r="U1323" s="66">
        <v>40465</v>
      </c>
      <c r="V1323" s="79"/>
      <c r="W1323" s="66" t="s">
        <v>1585</v>
      </c>
      <c r="X1323" s="24" t="s">
        <v>1586</v>
      </c>
      <c r="Y1323" s="62"/>
      <c r="Z1323" s="66" t="s">
        <v>894</v>
      </c>
      <c r="AA1323" s="166" t="s">
        <v>2261</v>
      </c>
      <c r="AB1323" s="152"/>
      <c r="AC1323" s="153"/>
      <c r="AD1323" s="154"/>
      <c r="AE1323" s="153"/>
      <c r="AF1323" s="153"/>
      <c r="AG1323" s="153"/>
      <c r="AH1323" s="153"/>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c r="BF1323" s="153"/>
      <c r="BG1323" s="153"/>
      <c r="BH1323" s="153"/>
      <c r="BI1323" s="153"/>
      <c r="BJ1323" s="153"/>
      <c r="BK1323" s="153"/>
      <c r="BL1323" s="153"/>
      <c r="BM1323" s="153"/>
      <c r="BN1323" s="153"/>
      <c r="BO1323" s="153"/>
      <c r="BP1323" s="153"/>
      <c r="BQ1323" s="153"/>
      <c r="BR1323" s="153"/>
      <c r="BS1323" s="153"/>
      <c r="BT1323" s="153"/>
      <c r="BU1323" s="153"/>
      <c r="BV1323" s="153"/>
      <c r="BW1323" s="153"/>
      <c r="BX1323" s="153"/>
      <c r="BY1323" s="153"/>
      <c r="BZ1323" s="153"/>
      <c r="CA1323" s="153"/>
      <c r="CB1323" s="153"/>
      <c r="CC1323" s="153"/>
      <c r="CD1323" s="155"/>
      <c r="CE1323" s="156"/>
      <c r="CF1323" s="155"/>
      <c r="CG1323" s="156"/>
      <c r="CH1323" s="155"/>
      <c r="CI1323" s="156"/>
      <c r="CJ1323" s="157">
        <f t="shared" si="174"/>
        <v>0</v>
      </c>
      <c r="CK1323" s="158"/>
      <c r="CL1323" s="159"/>
      <c r="CM1323" s="160"/>
      <c r="CN1323" s="161"/>
      <c r="CO1323" s="162"/>
      <c r="CP1323" s="161"/>
      <c r="CQ1323" s="158"/>
      <c r="CR1323" s="159"/>
      <c r="CS1323" s="68"/>
      <c r="CT1323" s="163"/>
      <c r="EC1323" s="344" t="str">
        <f t="shared" si="178"/>
        <v>BOYACA_SOCHA</v>
      </c>
      <c r="ED1323" s="341"/>
      <c r="EE1323" s="341"/>
      <c r="EF1323" s="348"/>
      <c r="EG1323" s="341"/>
      <c r="EH1323" s="341"/>
      <c r="EI1323" s="341"/>
    </row>
    <row r="1324" spans="1:139" s="164" customFormat="1" ht="60">
      <c r="A1324" s="228">
        <v>40464</v>
      </c>
      <c r="B1324" s="205" t="s">
        <v>1192</v>
      </c>
      <c r="C1324" s="205" t="s">
        <v>2265</v>
      </c>
      <c r="D1324" s="207" t="s">
        <v>1923</v>
      </c>
      <c r="E1324" s="323" t="s">
        <v>3526</v>
      </c>
      <c r="F1324" s="323"/>
      <c r="G1324" s="204">
        <v>2</v>
      </c>
      <c r="H1324" s="151"/>
      <c r="I1324" s="151"/>
      <c r="J1324" s="151"/>
      <c r="K1324" s="151"/>
      <c r="L1324" s="1">
        <v>40526</v>
      </c>
      <c r="M1324" s="73">
        <f t="shared" si="172"/>
        <v>0</v>
      </c>
      <c r="N1324" s="73">
        <f t="shared" si="176"/>
        <v>0</v>
      </c>
      <c r="O1324" s="73">
        <f t="shared" si="177"/>
        <v>0</v>
      </c>
      <c r="P1324" s="73">
        <f t="shared" si="173"/>
        <v>0</v>
      </c>
      <c r="Q1324" s="73"/>
      <c r="R1324" s="73">
        <v>19800000</v>
      </c>
      <c r="S1324" s="75">
        <f t="shared" si="175"/>
        <v>19800000</v>
      </c>
      <c r="T1324" s="77">
        <v>0</v>
      </c>
      <c r="U1324" s="66">
        <v>40465</v>
      </c>
      <c r="V1324" s="79"/>
      <c r="W1324" s="66" t="s">
        <v>1606</v>
      </c>
      <c r="X1324" s="24" t="s">
        <v>1607</v>
      </c>
      <c r="Y1324" s="62">
        <v>47075</v>
      </c>
      <c r="Z1324" s="169" t="s">
        <v>1272</v>
      </c>
      <c r="AA1324" s="166" t="s">
        <v>775</v>
      </c>
      <c r="AB1324" s="152"/>
      <c r="AC1324" s="153"/>
      <c r="AD1324" s="154"/>
      <c r="AE1324" s="153"/>
      <c r="AF1324" s="153"/>
      <c r="AG1324" s="153"/>
      <c r="AH1324" s="153"/>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c r="BF1324" s="153"/>
      <c r="BG1324" s="153"/>
      <c r="BH1324" s="153"/>
      <c r="BI1324" s="153"/>
      <c r="BJ1324" s="153"/>
      <c r="BK1324" s="153"/>
      <c r="BL1324" s="153"/>
      <c r="BM1324" s="153"/>
      <c r="BN1324" s="153"/>
      <c r="BO1324" s="153"/>
      <c r="BP1324" s="153"/>
      <c r="BQ1324" s="153"/>
      <c r="BR1324" s="153"/>
      <c r="BS1324" s="153"/>
      <c r="BT1324" s="153"/>
      <c r="BU1324" s="153"/>
      <c r="BV1324" s="153"/>
      <c r="BW1324" s="153"/>
      <c r="BX1324" s="153"/>
      <c r="BY1324" s="153"/>
      <c r="BZ1324" s="153"/>
      <c r="CA1324" s="153"/>
      <c r="CB1324" s="153"/>
      <c r="CC1324" s="153"/>
      <c r="CD1324" s="155"/>
      <c r="CE1324" s="156"/>
      <c r="CF1324" s="155"/>
      <c r="CG1324" s="156"/>
      <c r="CH1324" s="155"/>
      <c r="CI1324" s="156"/>
      <c r="CJ1324" s="157">
        <f t="shared" si="174"/>
        <v>0</v>
      </c>
      <c r="CK1324" s="158"/>
      <c r="CL1324" s="159"/>
      <c r="CM1324" s="160"/>
      <c r="CN1324" s="161"/>
      <c r="CO1324" s="162"/>
      <c r="CP1324" s="161"/>
      <c r="CQ1324" s="158"/>
      <c r="CR1324" s="159"/>
      <c r="CS1324" s="68">
        <v>2</v>
      </c>
      <c r="CT1324" s="163"/>
      <c r="EC1324" s="344" t="str">
        <f t="shared" si="178"/>
        <v>BOYACA_TASCO</v>
      </c>
      <c r="ED1324" s="341"/>
      <c r="EE1324" s="341"/>
      <c r="EF1324" s="348"/>
      <c r="EG1324" s="341"/>
      <c r="EH1324" s="341"/>
      <c r="EI1324" s="341"/>
    </row>
    <row r="1325" spans="1:139" s="164" customFormat="1" ht="45">
      <c r="A1325" s="235">
        <v>40464</v>
      </c>
      <c r="B1325" s="224" t="s">
        <v>1440</v>
      </c>
      <c r="C1325" s="224" t="s">
        <v>1418</v>
      </c>
      <c r="D1325" s="236" t="s">
        <v>1201</v>
      </c>
      <c r="E1325" s="324" t="s">
        <v>3875</v>
      </c>
      <c r="F1325" s="324"/>
      <c r="G1325" s="213"/>
      <c r="H1325" s="175"/>
      <c r="I1325" s="175"/>
      <c r="J1325" s="175">
        <f>60*5</f>
        <v>300</v>
      </c>
      <c r="K1325" s="175">
        <v>60</v>
      </c>
      <c r="L1325" s="1">
        <v>40508</v>
      </c>
      <c r="M1325" s="73">
        <f t="shared" si="172"/>
        <v>2195700</v>
      </c>
      <c r="N1325" s="73">
        <f t="shared" si="176"/>
        <v>5100000</v>
      </c>
      <c r="O1325" s="73">
        <f t="shared" si="177"/>
        <v>0</v>
      </c>
      <c r="P1325" s="73">
        <f t="shared" si="173"/>
        <v>0</v>
      </c>
      <c r="Q1325" s="73"/>
      <c r="R1325" s="73">
        <v>0</v>
      </c>
      <c r="S1325" s="75">
        <f t="shared" si="175"/>
        <v>7295700</v>
      </c>
      <c r="T1325" s="77">
        <v>0</v>
      </c>
      <c r="U1325" s="66">
        <v>40465</v>
      </c>
      <c r="V1325" s="79">
        <v>56167</v>
      </c>
      <c r="W1325" s="66" t="s">
        <v>1606</v>
      </c>
      <c r="X1325" s="24" t="s">
        <v>1607</v>
      </c>
      <c r="Y1325" s="62">
        <v>56167</v>
      </c>
      <c r="Z1325" s="169" t="s">
        <v>2277</v>
      </c>
      <c r="AA1325" s="166" t="s">
        <v>2278</v>
      </c>
      <c r="AB1325" s="152"/>
      <c r="AC1325" s="153"/>
      <c r="AD1325" s="154"/>
      <c r="AE1325" s="153"/>
      <c r="AF1325" s="153"/>
      <c r="AG1325" s="153"/>
      <c r="AH1325" s="153"/>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c r="BF1325" s="153"/>
      <c r="BG1325" s="153"/>
      <c r="BH1325" s="153"/>
      <c r="BI1325" s="153"/>
      <c r="BJ1325" s="153"/>
      <c r="BK1325" s="153"/>
      <c r="BL1325" s="153"/>
      <c r="BM1325" s="153"/>
      <c r="BN1325" s="153"/>
      <c r="BO1325" s="153"/>
      <c r="BP1325" s="153"/>
      <c r="BQ1325" s="153"/>
      <c r="BR1325" s="153"/>
      <c r="BS1325" s="153"/>
      <c r="BT1325" s="153"/>
      <c r="BU1325" s="153"/>
      <c r="BV1325" s="153"/>
      <c r="BW1325" s="153"/>
      <c r="BX1325" s="153"/>
      <c r="BY1325" s="153"/>
      <c r="BZ1325" s="153"/>
      <c r="CA1325" s="153"/>
      <c r="CB1325" s="153"/>
      <c r="CC1325" s="153"/>
      <c r="CD1325" s="182">
        <v>60</v>
      </c>
      <c r="CE1325" s="183">
        <f>60*36595</f>
        <v>2195700</v>
      </c>
      <c r="CF1325" s="182"/>
      <c r="CG1325" s="183"/>
      <c r="CH1325" s="182"/>
      <c r="CI1325" s="183"/>
      <c r="CJ1325" s="157">
        <f t="shared" si="174"/>
        <v>2195700</v>
      </c>
      <c r="CK1325" s="184"/>
      <c r="CL1325" s="185"/>
      <c r="CM1325" s="186">
        <v>60</v>
      </c>
      <c r="CN1325" s="187">
        <f>60*85000</f>
        <v>5100000</v>
      </c>
      <c r="CO1325" s="188"/>
      <c r="CP1325" s="187"/>
      <c r="CQ1325" s="184"/>
      <c r="CR1325" s="185"/>
      <c r="CS1325" s="68"/>
      <c r="CT1325" s="171"/>
      <c r="EC1325" s="344" t="str">
        <f t="shared" si="178"/>
        <v>MAGDALENA_SANTA MARTA</v>
      </c>
      <c r="ED1325" s="341"/>
      <c r="EE1325" s="341"/>
      <c r="EF1325" s="348"/>
      <c r="EG1325" s="341"/>
      <c r="EH1325" s="341"/>
      <c r="EI1325" s="341"/>
    </row>
    <row r="1326" spans="1:139" s="164" customFormat="1" ht="25.5">
      <c r="A1326" s="228">
        <v>40464</v>
      </c>
      <c r="B1326" s="205" t="s">
        <v>1612</v>
      </c>
      <c r="C1326" s="205" t="s">
        <v>1578</v>
      </c>
      <c r="D1326" s="207" t="s">
        <v>2606</v>
      </c>
      <c r="E1326" s="323" t="s">
        <v>4048</v>
      </c>
      <c r="F1326" s="323"/>
      <c r="G1326" s="204"/>
      <c r="H1326" s="151"/>
      <c r="I1326" s="151"/>
      <c r="J1326" s="151">
        <v>18</v>
      </c>
      <c r="K1326" s="151">
        <v>3</v>
      </c>
      <c r="L1326" s="1"/>
      <c r="M1326" s="73">
        <f t="shared" si="172"/>
        <v>0</v>
      </c>
      <c r="N1326" s="73">
        <f t="shared" si="176"/>
        <v>0</v>
      </c>
      <c r="O1326" s="73">
        <f t="shared" si="177"/>
        <v>0</v>
      </c>
      <c r="P1326" s="73">
        <f t="shared" si="173"/>
        <v>0</v>
      </c>
      <c r="Q1326" s="73"/>
      <c r="R1326" s="73">
        <v>0</v>
      </c>
      <c r="S1326" s="75">
        <f t="shared" si="175"/>
        <v>0</v>
      </c>
      <c r="T1326" s="77">
        <v>0</v>
      </c>
      <c r="U1326" s="66">
        <v>40465</v>
      </c>
      <c r="V1326" s="79"/>
      <c r="W1326" s="66" t="s">
        <v>1585</v>
      </c>
      <c r="X1326" s="24" t="s">
        <v>1586</v>
      </c>
      <c r="Y1326" s="62"/>
      <c r="Z1326" s="169" t="s">
        <v>894</v>
      </c>
      <c r="AA1326" s="166" t="s">
        <v>2264</v>
      </c>
      <c r="AB1326" s="152"/>
      <c r="AC1326" s="153"/>
      <c r="AD1326" s="154"/>
      <c r="AE1326" s="153"/>
      <c r="AF1326" s="153"/>
      <c r="AG1326" s="153"/>
      <c r="AH1326" s="153"/>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c r="BF1326" s="153"/>
      <c r="BG1326" s="153"/>
      <c r="BH1326" s="153"/>
      <c r="BI1326" s="153"/>
      <c r="BJ1326" s="153"/>
      <c r="BK1326" s="153"/>
      <c r="BL1326" s="153"/>
      <c r="BM1326" s="153"/>
      <c r="BN1326" s="153"/>
      <c r="BO1326" s="153"/>
      <c r="BP1326" s="153"/>
      <c r="BQ1326" s="153"/>
      <c r="BR1326" s="153"/>
      <c r="BS1326" s="153"/>
      <c r="BT1326" s="153"/>
      <c r="BU1326" s="153"/>
      <c r="BV1326" s="153"/>
      <c r="BW1326" s="153"/>
      <c r="BX1326" s="153"/>
      <c r="BY1326" s="153"/>
      <c r="BZ1326" s="153"/>
      <c r="CA1326" s="153"/>
      <c r="CB1326" s="153"/>
      <c r="CC1326" s="153"/>
      <c r="CD1326" s="155"/>
      <c r="CE1326" s="156"/>
      <c r="CF1326" s="155"/>
      <c r="CG1326" s="156"/>
      <c r="CH1326" s="155"/>
      <c r="CI1326" s="156"/>
      <c r="CJ1326" s="157">
        <f t="shared" si="174"/>
        <v>0</v>
      </c>
      <c r="CK1326" s="158"/>
      <c r="CL1326" s="159"/>
      <c r="CM1326" s="160"/>
      <c r="CN1326" s="161"/>
      <c r="CO1326" s="162"/>
      <c r="CP1326" s="161"/>
      <c r="CQ1326" s="158"/>
      <c r="CR1326" s="159"/>
      <c r="CS1326" s="68"/>
      <c r="CT1326" s="163"/>
      <c r="EC1326" s="344" t="str">
        <f t="shared" si="178"/>
        <v>QUINDIO_QUIMBAYA</v>
      </c>
      <c r="ED1326" s="341"/>
      <c r="EE1326" s="341"/>
      <c r="EF1326" s="348"/>
      <c r="EG1326" s="341"/>
      <c r="EH1326" s="341"/>
      <c r="EI1326" s="341"/>
    </row>
    <row r="1327" spans="1:139" s="164" customFormat="1" ht="48">
      <c r="A1327" s="228">
        <v>40465</v>
      </c>
      <c r="B1327" s="205" t="s">
        <v>653</v>
      </c>
      <c r="C1327" s="205" t="s">
        <v>399</v>
      </c>
      <c r="D1327" s="206" t="s">
        <v>1878</v>
      </c>
      <c r="E1327" s="320" t="s">
        <v>3543</v>
      </c>
      <c r="F1327" s="320"/>
      <c r="G1327" s="204">
        <v>1</v>
      </c>
      <c r="H1327" s="151"/>
      <c r="I1327" s="151"/>
      <c r="J1327" s="151"/>
      <c r="K1327" s="151"/>
      <c r="L1327" s="1"/>
      <c r="M1327" s="73">
        <f t="shared" si="172"/>
        <v>0</v>
      </c>
      <c r="N1327" s="73">
        <f t="shared" si="176"/>
        <v>0</v>
      </c>
      <c r="O1327" s="73">
        <f t="shared" si="177"/>
        <v>0</v>
      </c>
      <c r="P1327" s="73">
        <f t="shared" si="173"/>
        <v>0</v>
      </c>
      <c r="Q1327" s="73"/>
      <c r="R1327" s="73">
        <v>0</v>
      </c>
      <c r="S1327" s="75">
        <f t="shared" si="175"/>
        <v>0</v>
      </c>
      <c r="T1327" s="77">
        <v>0</v>
      </c>
      <c r="U1327" s="66">
        <v>40465</v>
      </c>
      <c r="V1327" s="79"/>
      <c r="W1327" s="66" t="s">
        <v>1606</v>
      </c>
      <c r="X1327" s="24" t="s">
        <v>1607</v>
      </c>
      <c r="Y1327" s="62"/>
      <c r="Z1327" s="176" t="s">
        <v>3056</v>
      </c>
      <c r="AA1327" s="166" t="s">
        <v>2266</v>
      </c>
      <c r="AB1327" s="152"/>
      <c r="AC1327" s="153"/>
      <c r="AD1327" s="154"/>
      <c r="AE1327" s="153"/>
      <c r="AF1327" s="153"/>
      <c r="AG1327" s="153"/>
      <c r="AH1327" s="153"/>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c r="BF1327" s="153"/>
      <c r="BG1327" s="153"/>
      <c r="BH1327" s="153"/>
      <c r="BI1327" s="153"/>
      <c r="BJ1327" s="153"/>
      <c r="BK1327" s="153"/>
      <c r="BL1327" s="153"/>
      <c r="BM1327" s="153"/>
      <c r="BN1327" s="153"/>
      <c r="BO1327" s="153"/>
      <c r="BP1327" s="153"/>
      <c r="BQ1327" s="153"/>
      <c r="BR1327" s="153"/>
      <c r="BS1327" s="153"/>
      <c r="BT1327" s="153"/>
      <c r="BU1327" s="153"/>
      <c r="BV1327" s="153"/>
      <c r="BW1327" s="153"/>
      <c r="BX1327" s="153"/>
      <c r="BY1327" s="153"/>
      <c r="BZ1327" s="153"/>
      <c r="CA1327" s="153"/>
      <c r="CB1327" s="153"/>
      <c r="CC1327" s="153"/>
      <c r="CD1327" s="155"/>
      <c r="CE1327" s="156"/>
      <c r="CF1327" s="155"/>
      <c r="CG1327" s="156"/>
      <c r="CH1327" s="155"/>
      <c r="CI1327" s="156"/>
      <c r="CJ1327" s="157">
        <f t="shared" si="174"/>
        <v>0</v>
      </c>
      <c r="CK1327" s="158"/>
      <c r="CL1327" s="159"/>
      <c r="CM1327" s="160"/>
      <c r="CN1327" s="161"/>
      <c r="CO1327" s="162"/>
      <c r="CP1327" s="161"/>
      <c r="CQ1327" s="158"/>
      <c r="CR1327" s="159"/>
      <c r="CS1327" s="68"/>
      <c r="CT1327" s="163"/>
      <c r="EC1327" s="344" t="str">
        <f t="shared" si="178"/>
        <v>CALDAS_MANIZALES</v>
      </c>
      <c r="ED1327" s="341"/>
      <c r="EE1327" s="341"/>
      <c r="EF1327" s="348"/>
      <c r="EG1327" s="341"/>
      <c r="EH1327" s="341"/>
      <c r="EI1327" s="341"/>
    </row>
    <row r="1328" spans="1:139" s="164" customFormat="1" ht="36">
      <c r="A1328" s="228">
        <v>40465</v>
      </c>
      <c r="B1328" s="205" t="s">
        <v>653</v>
      </c>
      <c r="C1328" s="205" t="s">
        <v>2729</v>
      </c>
      <c r="D1328" s="207" t="s">
        <v>2391</v>
      </c>
      <c r="E1328" s="323" t="s">
        <v>3553</v>
      </c>
      <c r="F1328" s="323"/>
      <c r="G1328" s="204">
        <v>1</v>
      </c>
      <c r="H1328" s="151">
        <v>1</v>
      </c>
      <c r="I1328" s="151"/>
      <c r="J1328" s="151"/>
      <c r="K1328" s="151"/>
      <c r="L1328" s="1"/>
      <c r="M1328" s="73">
        <f t="shared" si="172"/>
        <v>0</v>
      </c>
      <c r="N1328" s="73">
        <f t="shared" si="176"/>
        <v>0</v>
      </c>
      <c r="O1328" s="73">
        <f t="shared" si="177"/>
        <v>0</v>
      </c>
      <c r="P1328" s="73">
        <f t="shared" si="173"/>
        <v>0</v>
      </c>
      <c r="Q1328" s="73"/>
      <c r="R1328" s="73">
        <v>0</v>
      </c>
      <c r="S1328" s="75">
        <f t="shared" si="175"/>
        <v>0</v>
      </c>
      <c r="T1328" s="77">
        <v>0</v>
      </c>
      <c r="U1328" s="66">
        <v>40470</v>
      </c>
      <c r="V1328" s="79"/>
      <c r="W1328" s="66" t="s">
        <v>1585</v>
      </c>
      <c r="X1328" s="24" t="s">
        <v>1586</v>
      </c>
      <c r="Y1328" s="62"/>
      <c r="Z1328" s="169" t="s">
        <v>894</v>
      </c>
      <c r="AA1328" s="166" t="s">
        <v>405</v>
      </c>
      <c r="AB1328" s="152"/>
      <c r="AC1328" s="153"/>
      <c r="AD1328" s="154"/>
      <c r="AE1328" s="153"/>
      <c r="AF1328" s="153"/>
      <c r="AG1328" s="153"/>
      <c r="AH1328" s="153"/>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c r="BF1328" s="153"/>
      <c r="BG1328" s="153"/>
      <c r="BH1328" s="153"/>
      <c r="BI1328" s="153"/>
      <c r="BJ1328" s="153"/>
      <c r="BK1328" s="153"/>
      <c r="BL1328" s="153"/>
      <c r="BM1328" s="153"/>
      <c r="BN1328" s="153"/>
      <c r="BO1328" s="153"/>
      <c r="BP1328" s="153"/>
      <c r="BQ1328" s="153"/>
      <c r="BR1328" s="153"/>
      <c r="BS1328" s="153"/>
      <c r="BT1328" s="153"/>
      <c r="BU1328" s="153"/>
      <c r="BV1328" s="153"/>
      <c r="BW1328" s="153"/>
      <c r="BX1328" s="153"/>
      <c r="BY1328" s="153"/>
      <c r="BZ1328" s="153"/>
      <c r="CA1328" s="153"/>
      <c r="CB1328" s="153"/>
      <c r="CC1328" s="153"/>
      <c r="CD1328" s="155"/>
      <c r="CE1328" s="156"/>
      <c r="CF1328" s="155"/>
      <c r="CG1328" s="156"/>
      <c r="CH1328" s="155"/>
      <c r="CI1328" s="156"/>
      <c r="CJ1328" s="157">
        <f t="shared" si="174"/>
        <v>0</v>
      </c>
      <c r="CK1328" s="158"/>
      <c r="CL1328" s="159"/>
      <c r="CM1328" s="160"/>
      <c r="CN1328" s="161"/>
      <c r="CO1328" s="162"/>
      <c r="CP1328" s="161"/>
      <c r="CQ1328" s="158"/>
      <c r="CR1328" s="159"/>
      <c r="CS1328" s="68"/>
      <c r="CT1328" s="163"/>
      <c r="EC1328" s="344" t="str">
        <f t="shared" si="178"/>
        <v>CALDAS_MARMATO</v>
      </c>
      <c r="ED1328" s="341"/>
      <c r="EE1328" s="341"/>
      <c r="EF1328" s="348"/>
      <c r="EG1328" s="341"/>
      <c r="EH1328" s="341"/>
      <c r="EI1328" s="341"/>
    </row>
    <row r="1329" spans="1:139" s="164" customFormat="1" ht="25.5">
      <c r="A1329" s="228">
        <v>40465</v>
      </c>
      <c r="B1329" s="205" t="s">
        <v>1996</v>
      </c>
      <c r="C1329" s="205" t="s">
        <v>1945</v>
      </c>
      <c r="D1329" s="206" t="s">
        <v>1878</v>
      </c>
      <c r="E1329" s="320" t="s">
        <v>3793</v>
      </c>
      <c r="F1329" s="320"/>
      <c r="G1329" s="204"/>
      <c r="H1329" s="151"/>
      <c r="I1329" s="151"/>
      <c r="J1329" s="151">
        <v>5</v>
      </c>
      <c r="K1329" s="151">
        <v>1</v>
      </c>
      <c r="L1329" s="1"/>
      <c r="M1329" s="73">
        <f t="shared" si="172"/>
        <v>0</v>
      </c>
      <c r="N1329" s="73">
        <f t="shared" si="176"/>
        <v>0</v>
      </c>
      <c r="O1329" s="73">
        <f t="shared" si="177"/>
        <v>0</v>
      </c>
      <c r="P1329" s="73">
        <f t="shared" si="173"/>
        <v>0</v>
      </c>
      <c r="Q1329" s="73"/>
      <c r="R1329" s="73">
        <v>0</v>
      </c>
      <c r="S1329" s="75">
        <f t="shared" si="175"/>
        <v>0</v>
      </c>
      <c r="T1329" s="77">
        <v>0</v>
      </c>
      <c r="U1329" s="66">
        <v>40470</v>
      </c>
      <c r="V1329" s="79"/>
      <c r="W1329" s="66" t="s">
        <v>1585</v>
      </c>
      <c r="X1329" s="24" t="s">
        <v>1586</v>
      </c>
      <c r="Y1329" s="62"/>
      <c r="Z1329" s="169" t="s">
        <v>894</v>
      </c>
      <c r="AA1329" s="166" t="s">
        <v>404</v>
      </c>
      <c r="AB1329" s="152"/>
      <c r="AC1329" s="153"/>
      <c r="AD1329" s="154"/>
      <c r="AE1329" s="153"/>
      <c r="AF1329" s="153"/>
      <c r="AG1329" s="153"/>
      <c r="AH1329" s="153"/>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c r="BF1329" s="153"/>
      <c r="BG1329" s="153"/>
      <c r="BH1329" s="153"/>
      <c r="BI1329" s="153"/>
      <c r="BJ1329" s="153"/>
      <c r="BK1329" s="153"/>
      <c r="BL1329" s="153"/>
      <c r="BM1329" s="153"/>
      <c r="BN1329" s="153"/>
      <c r="BO1329" s="153"/>
      <c r="BP1329" s="153"/>
      <c r="BQ1329" s="153"/>
      <c r="BR1329" s="153"/>
      <c r="BS1329" s="153"/>
      <c r="BT1329" s="153"/>
      <c r="BU1329" s="153"/>
      <c r="BV1329" s="153"/>
      <c r="BW1329" s="153"/>
      <c r="BX1329" s="153"/>
      <c r="BY1329" s="153"/>
      <c r="BZ1329" s="153"/>
      <c r="CA1329" s="153"/>
      <c r="CB1329" s="153"/>
      <c r="CC1329" s="153"/>
      <c r="CD1329" s="155"/>
      <c r="CE1329" s="156"/>
      <c r="CF1329" s="155"/>
      <c r="CG1329" s="156"/>
      <c r="CH1329" s="155"/>
      <c r="CI1329" s="156"/>
      <c r="CJ1329" s="157">
        <f t="shared" si="174"/>
        <v>0</v>
      </c>
      <c r="CK1329" s="158"/>
      <c r="CL1329" s="159"/>
      <c r="CM1329" s="160"/>
      <c r="CN1329" s="161"/>
      <c r="CO1329" s="162"/>
      <c r="CP1329" s="161"/>
      <c r="CQ1329" s="158"/>
      <c r="CR1329" s="159"/>
      <c r="CS1329" s="68"/>
      <c r="CT1329" s="163"/>
      <c r="EC1329" s="344" t="str">
        <f t="shared" si="178"/>
        <v>CHOCO_QUIBDO</v>
      </c>
      <c r="ED1329" s="341"/>
      <c r="EE1329" s="341"/>
      <c r="EF1329" s="348"/>
      <c r="EG1329" s="341"/>
      <c r="EH1329" s="341"/>
      <c r="EI1329" s="341"/>
    </row>
    <row r="1330" spans="1:139" s="164" customFormat="1" ht="45">
      <c r="A1330" s="228">
        <v>40465</v>
      </c>
      <c r="B1330" s="102" t="s">
        <v>1295</v>
      </c>
      <c r="C1330" s="205" t="s">
        <v>2256</v>
      </c>
      <c r="D1330" s="207" t="s">
        <v>1201</v>
      </c>
      <c r="E1330" s="323" t="s">
        <v>3656</v>
      </c>
      <c r="F1330" s="323"/>
      <c r="G1330" s="204"/>
      <c r="H1330" s="151"/>
      <c r="I1330" s="151"/>
      <c r="J1330" s="151">
        <f>1082-257</f>
        <v>825</v>
      </c>
      <c r="K1330" s="151">
        <v>164</v>
      </c>
      <c r="L1330" s="1"/>
      <c r="M1330" s="73">
        <f t="shared" si="172"/>
        <v>0</v>
      </c>
      <c r="N1330" s="73">
        <f t="shared" si="176"/>
        <v>29750000</v>
      </c>
      <c r="O1330" s="73">
        <f t="shared" si="177"/>
        <v>0</v>
      </c>
      <c r="P1330" s="73">
        <f t="shared" si="173"/>
        <v>0</v>
      </c>
      <c r="Q1330" s="73"/>
      <c r="R1330" s="73">
        <v>0</v>
      </c>
      <c r="S1330" s="75">
        <f t="shared" si="175"/>
        <v>29750000</v>
      </c>
      <c r="T1330" s="77">
        <v>0</v>
      </c>
      <c r="U1330" s="66">
        <v>40465</v>
      </c>
      <c r="V1330" s="79"/>
      <c r="W1330" s="66" t="s">
        <v>1606</v>
      </c>
      <c r="X1330" s="24" t="s">
        <v>1607</v>
      </c>
      <c r="Y1330" s="62"/>
      <c r="Z1330" s="177" t="s">
        <v>2580</v>
      </c>
      <c r="AA1330" s="166"/>
      <c r="AB1330" s="152"/>
      <c r="AC1330" s="153"/>
      <c r="AD1330" s="154"/>
      <c r="AE1330" s="153"/>
      <c r="AF1330" s="153"/>
      <c r="AG1330" s="153"/>
      <c r="AH1330" s="153"/>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c r="BF1330" s="153"/>
      <c r="BG1330" s="153"/>
      <c r="BH1330" s="153"/>
      <c r="BI1330" s="153"/>
      <c r="BJ1330" s="153"/>
      <c r="BK1330" s="153"/>
      <c r="BL1330" s="153"/>
      <c r="BM1330" s="153"/>
      <c r="BN1330" s="153"/>
      <c r="BO1330" s="153"/>
      <c r="BP1330" s="153"/>
      <c r="BQ1330" s="153"/>
      <c r="BR1330" s="153"/>
      <c r="BS1330" s="153"/>
      <c r="BT1330" s="153"/>
      <c r="BU1330" s="153"/>
      <c r="BV1330" s="153"/>
      <c r="BW1330" s="153"/>
      <c r="BX1330" s="153"/>
      <c r="BY1330" s="153"/>
      <c r="BZ1330" s="153"/>
      <c r="CA1330" s="153"/>
      <c r="CB1330" s="153"/>
      <c r="CC1330" s="153"/>
      <c r="CD1330" s="155"/>
      <c r="CE1330" s="156"/>
      <c r="CF1330" s="155"/>
      <c r="CG1330" s="156"/>
      <c r="CH1330" s="155"/>
      <c r="CI1330" s="156"/>
      <c r="CJ1330" s="157">
        <f t="shared" si="174"/>
        <v>0</v>
      </c>
      <c r="CK1330" s="158"/>
      <c r="CL1330" s="159"/>
      <c r="CM1330" s="160">
        <f>165+185</f>
        <v>350</v>
      </c>
      <c r="CN1330" s="161">
        <f>165*85000+185*85000</f>
        <v>29750000</v>
      </c>
      <c r="CO1330" s="162"/>
      <c r="CP1330" s="161"/>
      <c r="CQ1330" s="158"/>
      <c r="CR1330" s="159"/>
      <c r="CS1330" s="68"/>
      <c r="CT1330" s="163"/>
      <c r="EC1330" s="344" t="str">
        <f t="shared" si="178"/>
        <v>CORDOBA_CANALETE</v>
      </c>
      <c r="ED1330" s="341"/>
      <c r="EE1330" s="341"/>
      <c r="EF1330" s="348"/>
      <c r="EG1330" s="341"/>
      <c r="EH1330" s="341"/>
      <c r="EI1330" s="341"/>
    </row>
    <row r="1331" spans="1:139" s="164" customFormat="1" ht="108">
      <c r="A1331" s="228">
        <v>40465</v>
      </c>
      <c r="B1331" s="102" t="s">
        <v>1295</v>
      </c>
      <c r="C1331" s="205" t="s">
        <v>1864</v>
      </c>
      <c r="D1331" s="207" t="s">
        <v>1201</v>
      </c>
      <c r="E1331" s="323" t="e">
        <v>#N/A</v>
      </c>
      <c r="F1331" s="323"/>
      <c r="G1331" s="204"/>
      <c r="H1331" s="151"/>
      <c r="I1331" s="151"/>
      <c r="J1331" s="151"/>
      <c r="K1331" s="151"/>
      <c r="L1331" s="1">
        <v>40506</v>
      </c>
      <c r="M1331" s="73">
        <f t="shared" si="172"/>
        <v>0</v>
      </c>
      <c r="N1331" s="73">
        <f t="shared" si="176"/>
        <v>0</v>
      </c>
      <c r="O1331" s="73">
        <v>106237324</v>
      </c>
      <c r="P1331" s="73">
        <f t="shared" si="173"/>
        <v>0</v>
      </c>
      <c r="Q1331" s="73"/>
      <c r="R1331" s="73">
        <v>0</v>
      </c>
      <c r="S1331" s="75">
        <f t="shared" si="175"/>
        <v>106237324</v>
      </c>
      <c r="T1331" s="77">
        <v>0</v>
      </c>
      <c r="U1331" s="66">
        <v>40465</v>
      </c>
      <c r="V1331" s="79">
        <v>56379</v>
      </c>
      <c r="W1331" s="66" t="s">
        <v>1606</v>
      </c>
      <c r="X1331" s="24" t="s">
        <v>1607</v>
      </c>
      <c r="Y1331" s="62">
        <v>23579</v>
      </c>
      <c r="Z1331" s="169"/>
      <c r="AA1331" s="166" t="s">
        <v>2784</v>
      </c>
      <c r="AB1331" s="152"/>
      <c r="AC1331" s="153"/>
      <c r="AD1331" s="154"/>
      <c r="AE1331" s="153"/>
      <c r="AF1331" s="153"/>
      <c r="AG1331" s="153"/>
      <c r="AH1331" s="153"/>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c r="BF1331" s="153"/>
      <c r="BG1331" s="153"/>
      <c r="BH1331" s="153"/>
      <c r="BI1331" s="153"/>
      <c r="BJ1331" s="153"/>
      <c r="BK1331" s="153"/>
      <c r="BL1331" s="153"/>
      <c r="BM1331" s="153"/>
      <c r="BN1331" s="153"/>
      <c r="BO1331" s="153"/>
      <c r="BP1331" s="153"/>
      <c r="BQ1331" s="153"/>
      <c r="BR1331" s="153"/>
      <c r="BS1331" s="153"/>
      <c r="BT1331" s="153"/>
      <c r="BU1331" s="153"/>
      <c r="BV1331" s="153"/>
      <c r="BW1331" s="153"/>
      <c r="BX1331" s="153"/>
      <c r="BY1331" s="153"/>
      <c r="BZ1331" s="153"/>
      <c r="CA1331" s="153"/>
      <c r="CB1331" s="153"/>
      <c r="CC1331" s="153"/>
      <c r="CD1331" s="155"/>
      <c r="CE1331" s="156"/>
      <c r="CF1331" s="155"/>
      <c r="CG1331" s="156"/>
      <c r="CH1331" s="155"/>
      <c r="CI1331" s="156"/>
      <c r="CJ1331" s="157">
        <f t="shared" si="174"/>
        <v>0</v>
      </c>
      <c r="CK1331" s="158"/>
      <c r="CL1331" s="159"/>
      <c r="CM1331" s="160"/>
      <c r="CN1331" s="161"/>
      <c r="CO1331" s="162"/>
      <c r="CP1331" s="161"/>
      <c r="CQ1331" s="158"/>
      <c r="CR1331" s="159"/>
      <c r="CS1331" s="68"/>
      <c r="CT1331" s="163"/>
      <c r="EC1331" s="344" t="str">
        <f t="shared" si="178"/>
        <v>CORDOBA_LORICA/MONTERIA</v>
      </c>
      <c r="ED1331" s="341"/>
      <c r="EE1331" s="341"/>
      <c r="EF1331" s="348"/>
      <c r="EG1331" s="341"/>
      <c r="EH1331" s="341"/>
      <c r="EI1331" s="341"/>
    </row>
    <row r="1332" spans="1:139" s="164" customFormat="1" ht="72">
      <c r="A1332" s="228">
        <v>40465</v>
      </c>
      <c r="B1332" s="205" t="s">
        <v>1440</v>
      </c>
      <c r="C1332" s="205" t="s">
        <v>1605</v>
      </c>
      <c r="D1332" s="207" t="s">
        <v>1201</v>
      </c>
      <c r="E1332" s="323" t="s">
        <v>3162</v>
      </c>
      <c r="F1332" s="323"/>
      <c r="G1332" s="204"/>
      <c r="H1332" s="151"/>
      <c r="I1332" s="151"/>
      <c r="J1332" s="151"/>
      <c r="K1332" s="151"/>
      <c r="L1332" s="1">
        <v>40511</v>
      </c>
      <c r="M1332" s="73">
        <f t="shared" si="172"/>
        <v>0</v>
      </c>
      <c r="N1332" s="73">
        <f t="shared" si="176"/>
        <v>0</v>
      </c>
      <c r="O1332" s="73">
        <f t="shared" ref="O1332:O1395" si="179">CP1332+CR1332</f>
        <v>0</v>
      </c>
      <c r="P1332" s="73">
        <f t="shared" si="173"/>
        <v>180032000</v>
      </c>
      <c r="Q1332" s="73"/>
      <c r="R1332" s="73">
        <v>0</v>
      </c>
      <c r="S1332" s="75">
        <f t="shared" si="175"/>
        <v>180032000</v>
      </c>
      <c r="T1332" s="77">
        <v>0</v>
      </c>
      <c r="U1332" s="66">
        <v>40465</v>
      </c>
      <c r="V1332" s="79">
        <v>52364</v>
      </c>
      <c r="W1332" s="66" t="s">
        <v>1606</v>
      </c>
      <c r="X1332" s="24" t="s">
        <v>1607</v>
      </c>
      <c r="Y1332" s="83" t="s">
        <v>239</v>
      </c>
      <c r="Z1332" s="169" t="s">
        <v>1050</v>
      </c>
      <c r="AA1332" s="166" t="s">
        <v>2871</v>
      </c>
      <c r="AB1332" s="152"/>
      <c r="AC1332" s="153"/>
      <c r="AD1332" s="154"/>
      <c r="AE1332" s="153"/>
      <c r="AF1332" s="153"/>
      <c r="AG1332" s="153"/>
      <c r="AH1332" s="153"/>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c r="BF1332" s="153"/>
      <c r="BG1332" s="153"/>
      <c r="BH1332" s="153"/>
      <c r="BI1332" s="153"/>
      <c r="BJ1332" s="153"/>
      <c r="BK1332" s="153"/>
      <c r="BL1332" s="153"/>
      <c r="BM1332" s="153"/>
      <c r="BN1332" s="153"/>
      <c r="BO1332" s="153"/>
      <c r="BP1332" s="153"/>
      <c r="BQ1332" s="153"/>
      <c r="BR1332" s="153"/>
      <c r="BS1332" s="153"/>
      <c r="BT1332" s="153"/>
      <c r="BU1332" s="153"/>
      <c r="BV1332" s="153"/>
      <c r="BW1332" s="153"/>
      <c r="BX1332" s="153"/>
      <c r="BY1332" s="153"/>
      <c r="BZ1332" s="153"/>
      <c r="CA1332" s="153"/>
      <c r="CB1332" s="153"/>
      <c r="CC1332" s="153"/>
      <c r="CD1332" s="155"/>
      <c r="CE1332" s="156"/>
      <c r="CF1332" s="155"/>
      <c r="CG1332" s="156"/>
      <c r="CH1332" s="155"/>
      <c r="CI1332" s="156"/>
      <c r="CJ1332" s="157">
        <f t="shared" si="174"/>
        <v>0</v>
      </c>
      <c r="CK1332" s="158">
        <f>100000+100000</f>
        <v>200000</v>
      </c>
      <c r="CL1332" s="159">
        <f>100000*900.16+100000*900.16</f>
        <v>180032000</v>
      </c>
      <c r="CM1332" s="160"/>
      <c r="CN1332" s="161"/>
      <c r="CO1332" s="162"/>
      <c r="CP1332" s="161"/>
      <c r="CQ1332" s="158"/>
      <c r="CR1332" s="159"/>
      <c r="CS1332" s="68"/>
      <c r="CT1332" s="163"/>
      <c r="EC1332" s="344" t="str">
        <f t="shared" si="178"/>
        <v>MAGDALENA_DEPARTAMENTO</v>
      </c>
      <c r="ED1332" s="341"/>
      <c r="EE1332" s="341"/>
      <c r="EF1332" s="348"/>
      <c r="EG1332" s="341"/>
      <c r="EH1332" s="341"/>
      <c r="EI1332" s="341"/>
    </row>
    <row r="1333" spans="1:139" s="164" customFormat="1" ht="25.5">
      <c r="A1333" s="228">
        <v>40465</v>
      </c>
      <c r="B1333" s="205" t="s">
        <v>2400</v>
      </c>
      <c r="C1333" s="205" t="s">
        <v>1545</v>
      </c>
      <c r="D1333" s="207" t="s">
        <v>1316</v>
      </c>
      <c r="E1333" s="323" t="s">
        <v>4177</v>
      </c>
      <c r="F1333" s="323"/>
      <c r="G1333" s="204"/>
      <c r="H1333" s="151"/>
      <c r="I1333" s="151"/>
      <c r="J1333" s="151"/>
      <c r="K1333" s="151"/>
      <c r="L1333" s="1"/>
      <c r="M1333" s="73">
        <f t="shared" si="172"/>
        <v>0</v>
      </c>
      <c r="N1333" s="73">
        <f t="shared" si="176"/>
        <v>0</v>
      </c>
      <c r="O1333" s="73">
        <f t="shared" si="179"/>
        <v>0</v>
      </c>
      <c r="P1333" s="73">
        <f t="shared" si="173"/>
        <v>0</v>
      </c>
      <c r="Q1333" s="73"/>
      <c r="R1333" s="73">
        <v>0</v>
      </c>
      <c r="S1333" s="75">
        <f t="shared" si="175"/>
        <v>0</v>
      </c>
      <c r="T1333" s="77">
        <v>0</v>
      </c>
      <c r="U1333" s="66">
        <v>40465</v>
      </c>
      <c r="V1333" s="79"/>
      <c r="W1333" s="66" t="s">
        <v>1585</v>
      </c>
      <c r="X1333" s="24" t="s">
        <v>1586</v>
      </c>
      <c r="Y1333" s="62"/>
      <c r="Z1333" s="169" t="s">
        <v>894</v>
      </c>
      <c r="AA1333" s="166" t="s">
        <v>2267</v>
      </c>
      <c r="AB1333" s="152"/>
      <c r="AC1333" s="153"/>
      <c r="AD1333" s="154"/>
      <c r="AE1333" s="153"/>
      <c r="AF1333" s="153"/>
      <c r="AG1333" s="153"/>
      <c r="AH1333" s="153"/>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c r="BF1333" s="153"/>
      <c r="BG1333" s="153"/>
      <c r="BH1333" s="153"/>
      <c r="BI1333" s="153"/>
      <c r="BJ1333" s="153"/>
      <c r="BK1333" s="153"/>
      <c r="BL1333" s="153"/>
      <c r="BM1333" s="153"/>
      <c r="BN1333" s="153"/>
      <c r="BO1333" s="153"/>
      <c r="BP1333" s="153"/>
      <c r="BQ1333" s="153"/>
      <c r="BR1333" s="153"/>
      <c r="BS1333" s="153"/>
      <c r="BT1333" s="153"/>
      <c r="BU1333" s="153"/>
      <c r="BV1333" s="153"/>
      <c r="BW1333" s="153"/>
      <c r="BX1333" s="153"/>
      <c r="BY1333" s="153"/>
      <c r="BZ1333" s="153"/>
      <c r="CA1333" s="153"/>
      <c r="CB1333" s="153"/>
      <c r="CC1333" s="153"/>
      <c r="CD1333" s="155"/>
      <c r="CE1333" s="156"/>
      <c r="CF1333" s="155"/>
      <c r="CG1333" s="156"/>
      <c r="CH1333" s="155"/>
      <c r="CI1333" s="156"/>
      <c r="CJ1333" s="157">
        <f t="shared" si="174"/>
        <v>0</v>
      </c>
      <c r="CK1333" s="158"/>
      <c r="CL1333" s="159"/>
      <c r="CM1333" s="160"/>
      <c r="CN1333" s="161"/>
      <c r="CO1333" s="162"/>
      <c r="CP1333" s="161"/>
      <c r="CQ1333" s="158"/>
      <c r="CR1333" s="159"/>
      <c r="CS1333" s="68"/>
      <c r="CT1333" s="163"/>
      <c r="EC1333" s="344" t="str">
        <f t="shared" si="178"/>
        <v>TOLIMA_IBAGUE</v>
      </c>
      <c r="ED1333" s="341"/>
      <c r="EE1333" s="341"/>
      <c r="EF1333" s="348"/>
      <c r="EG1333" s="341"/>
      <c r="EH1333" s="341"/>
      <c r="EI1333" s="341"/>
    </row>
    <row r="1334" spans="1:139" s="164" customFormat="1" ht="36">
      <c r="A1334" s="228">
        <v>40466</v>
      </c>
      <c r="B1334" s="205" t="s">
        <v>1192</v>
      </c>
      <c r="C1334" s="205" t="s">
        <v>406</v>
      </c>
      <c r="D1334" s="207" t="s">
        <v>1923</v>
      </c>
      <c r="E1334" s="323" t="s">
        <v>3534</v>
      </c>
      <c r="F1334" s="323"/>
      <c r="G1334" s="204">
        <v>1</v>
      </c>
      <c r="H1334" s="151"/>
      <c r="I1334" s="151"/>
      <c r="J1334" s="151"/>
      <c r="K1334" s="151"/>
      <c r="L1334" s="1"/>
      <c r="M1334" s="73">
        <f t="shared" si="172"/>
        <v>0</v>
      </c>
      <c r="N1334" s="73">
        <f t="shared" si="176"/>
        <v>0</v>
      </c>
      <c r="O1334" s="73">
        <f t="shared" si="179"/>
        <v>0</v>
      </c>
      <c r="P1334" s="73">
        <f t="shared" si="173"/>
        <v>0</v>
      </c>
      <c r="Q1334" s="73"/>
      <c r="R1334" s="73">
        <v>0</v>
      </c>
      <c r="S1334" s="75">
        <f t="shared" si="175"/>
        <v>0</v>
      </c>
      <c r="T1334" s="77">
        <v>0</v>
      </c>
      <c r="U1334" s="66">
        <v>40470</v>
      </c>
      <c r="V1334" s="79"/>
      <c r="W1334" s="66" t="s">
        <v>1585</v>
      </c>
      <c r="X1334" s="24" t="s">
        <v>1586</v>
      </c>
      <c r="Y1334" s="62"/>
      <c r="Z1334" s="169" t="s">
        <v>894</v>
      </c>
      <c r="AA1334" s="166" t="s">
        <v>407</v>
      </c>
      <c r="AB1334" s="152"/>
      <c r="AC1334" s="153"/>
      <c r="AD1334" s="154"/>
      <c r="AE1334" s="153"/>
      <c r="AF1334" s="153"/>
      <c r="AG1334" s="153"/>
      <c r="AH1334" s="153"/>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c r="BF1334" s="153"/>
      <c r="BG1334" s="153"/>
      <c r="BH1334" s="153"/>
      <c r="BI1334" s="153"/>
      <c r="BJ1334" s="153"/>
      <c r="BK1334" s="153"/>
      <c r="BL1334" s="153"/>
      <c r="BM1334" s="153"/>
      <c r="BN1334" s="153"/>
      <c r="BO1334" s="153"/>
      <c r="BP1334" s="153"/>
      <c r="BQ1334" s="153"/>
      <c r="BR1334" s="153"/>
      <c r="BS1334" s="153"/>
      <c r="BT1334" s="153"/>
      <c r="BU1334" s="153"/>
      <c r="BV1334" s="153"/>
      <c r="BW1334" s="153"/>
      <c r="BX1334" s="153"/>
      <c r="BY1334" s="153"/>
      <c r="BZ1334" s="153"/>
      <c r="CA1334" s="153"/>
      <c r="CB1334" s="153"/>
      <c r="CC1334" s="153"/>
      <c r="CD1334" s="155"/>
      <c r="CE1334" s="156"/>
      <c r="CF1334" s="155"/>
      <c r="CG1334" s="156"/>
      <c r="CH1334" s="155"/>
      <c r="CI1334" s="156"/>
      <c r="CJ1334" s="157">
        <f t="shared" si="174"/>
        <v>0</v>
      </c>
      <c r="CK1334" s="158"/>
      <c r="CL1334" s="159"/>
      <c r="CM1334" s="160"/>
      <c r="CN1334" s="161"/>
      <c r="CO1334" s="162"/>
      <c r="CP1334" s="161"/>
      <c r="CQ1334" s="158"/>
      <c r="CR1334" s="159"/>
      <c r="CS1334" s="68"/>
      <c r="CT1334" s="163"/>
      <c r="EC1334" s="344" t="str">
        <f t="shared" si="178"/>
        <v>BOYACA_TOPAGA</v>
      </c>
      <c r="ED1334" s="341"/>
      <c r="EE1334" s="341"/>
      <c r="EF1334" s="348"/>
      <c r="EG1334" s="341"/>
      <c r="EH1334" s="341"/>
      <c r="EI1334" s="341"/>
    </row>
    <row r="1335" spans="1:139" s="164" customFormat="1" ht="45">
      <c r="A1335" s="228">
        <v>40466</v>
      </c>
      <c r="B1335" s="205" t="s">
        <v>1998</v>
      </c>
      <c r="C1335" s="205" t="s">
        <v>1605</v>
      </c>
      <c r="D1335" s="207" t="s">
        <v>1201</v>
      </c>
      <c r="E1335" s="323" t="s">
        <v>3184</v>
      </c>
      <c r="F1335" s="323"/>
      <c r="G1335" s="263"/>
      <c r="H1335" s="151"/>
      <c r="I1335" s="151"/>
      <c r="J1335" s="151"/>
      <c r="K1335" s="151"/>
      <c r="L1335" s="1">
        <v>40479</v>
      </c>
      <c r="M1335" s="73">
        <f t="shared" si="172"/>
        <v>230898400</v>
      </c>
      <c r="N1335" s="73">
        <f t="shared" si="176"/>
        <v>170000000</v>
      </c>
      <c r="O1335" s="73">
        <f t="shared" si="179"/>
        <v>0</v>
      </c>
      <c r="P1335" s="73">
        <f t="shared" si="173"/>
        <v>0</v>
      </c>
      <c r="Q1335" s="73"/>
      <c r="R1335" s="73">
        <v>0</v>
      </c>
      <c r="S1335" s="75">
        <f t="shared" si="175"/>
        <v>400898400</v>
      </c>
      <c r="T1335" s="77">
        <v>0</v>
      </c>
      <c r="U1335" s="66">
        <v>40466</v>
      </c>
      <c r="V1335" s="79">
        <v>56322</v>
      </c>
      <c r="W1335" s="66" t="s">
        <v>1606</v>
      </c>
      <c r="X1335" s="24" t="s">
        <v>1607</v>
      </c>
      <c r="Y1335" s="83" t="s">
        <v>2514</v>
      </c>
      <c r="Z1335" s="169" t="s">
        <v>1452</v>
      </c>
      <c r="AA1335" s="166" t="s">
        <v>1867</v>
      </c>
      <c r="AB1335" s="152"/>
      <c r="AC1335" s="153"/>
      <c r="AD1335" s="154"/>
      <c r="AE1335" s="153"/>
      <c r="AF1335" s="153"/>
      <c r="AG1335" s="153"/>
      <c r="AH1335" s="153"/>
      <c r="AI1335" s="153"/>
      <c r="AJ1335" s="153"/>
      <c r="AK1335" s="153"/>
      <c r="AL1335" s="153"/>
      <c r="AM1335" s="153"/>
      <c r="AN1335" s="153"/>
      <c r="AO1335" s="153"/>
      <c r="AP1335" s="153">
        <v>1000</v>
      </c>
      <c r="AQ1335" s="153">
        <f>1000*56000</f>
        <v>56000000</v>
      </c>
      <c r="AR1335" s="153"/>
      <c r="AS1335" s="153"/>
      <c r="AT1335" s="153"/>
      <c r="AU1335" s="153"/>
      <c r="AV1335" s="153"/>
      <c r="AW1335" s="153"/>
      <c r="AX1335" s="153"/>
      <c r="AY1335" s="153"/>
      <c r="AZ1335" s="153"/>
      <c r="BA1335" s="153"/>
      <c r="BB1335" s="153"/>
      <c r="BC1335" s="153"/>
      <c r="BD1335" s="153"/>
      <c r="BE1335" s="153"/>
      <c r="BF1335" s="153"/>
      <c r="BG1335" s="153"/>
      <c r="BH1335" s="153"/>
      <c r="BI1335" s="153"/>
      <c r="BJ1335" s="153"/>
      <c r="BK1335" s="153"/>
      <c r="BL1335" s="153"/>
      <c r="BM1335" s="153"/>
      <c r="BN1335" s="153"/>
      <c r="BO1335" s="153"/>
      <c r="BP1335" s="153"/>
      <c r="BQ1335" s="153"/>
      <c r="BR1335" s="153"/>
      <c r="BS1335" s="153"/>
      <c r="BT1335" s="153"/>
      <c r="BU1335" s="153"/>
      <c r="BV1335" s="153"/>
      <c r="BW1335" s="153"/>
      <c r="BX1335" s="153">
        <v>1000</v>
      </c>
      <c r="BY1335" s="153">
        <f>1000*21500</f>
        <v>21500000</v>
      </c>
      <c r="BZ1335" s="153"/>
      <c r="CA1335" s="153"/>
      <c r="CB1335" s="153"/>
      <c r="CC1335" s="153"/>
      <c r="CD1335" s="155">
        <v>2000</v>
      </c>
      <c r="CE1335" s="156">
        <f>2000*36999.36</f>
        <v>73998720</v>
      </c>
      <c r="CF1335" s="155">
        <v>2000</v>
      </c>
      <c r="CG1335" s="156">
        <f>2000*39699.84</f>
        <v>79399680</v>
      </c>
      <c r="CH1335" s="155"/>
      <c r="CI1335" s="156"/>
      <c r="CJ1335" s="157">
        <f t="shared" si="174"/>
        <v>230898400</v>
      </c>
      <c r="CK1335" s="158"/>
      <c r="CL1335" s="159"/>
      <c r="CM1335" s="160">
        <v>2000</v>
      </c>
      <c r="CN1335" s="161">
        <f>2000*85000</f>
        <v>170000000</v>
      </c>
      <c r="CO1335" s="162"/>
      <c r="CP1335" s="161"/>
      <c r="CQ1335" s="158"/>
      <c r="CR1335" s="159"/>
      <c r="CS1335" s="68"/>
      <c r="CT1335" s="163"/>
      <c r="EC1335" s="344" t="str">
        <f t="shared" si="178"/>
        <v>SANTANDER_DEPARTAMENTO</v>
      </c>
      <c r="ED1335" s="341"/>
      <c r="EE1335" s="341"/>
      <c r="EF1335" s="348"/>
      <c r="EG1335" s="341"/>
      <c r="EH1335" s="341"/>
      <c r="EI1335" s="341"/>
    </row>
    <row r="1336" spans="1:139" s="164" customFormat="1" ht="108">
      <c r="A1336" s="235">
        <v>40467</v>
      </c>
      <c r="B1336" s="269" t="s">
        <v>1972</v>
      </c>
      <c r="C1336" s="269" t="s">
        <v>1159</v>
      </c>
      <c r="D1336" s="270" t="s">
        <v>2606</v>
      </c>
      <c r="E1336" s="327" t="s">
        <v>3327</v>
      </c>
      <c r="F1336" s="327"/>
      <c r="G1336" s="204"/>
      <c r="H1336" s="151"/>
      <c r="I1336" s="151"/>
      <c r="J1336" s="151">
        <f>533-53</f>
        <v>480</v>
      </c>
      <c r="K1336" s="175">
        <f>185-11</f>
        <v>174</v>
      </c>
      <c r="L1336" s="1">
        <v>40592</v>
      </c>
      <c r="M1336" s="73">
        <f t="shared" si="172"/>
        <v>0</v>
      </c>
      <c r="N1336" s="73">
        <f t="shared" si="176"/>
        <v>0</v>
      </c>
      <c r="O1336" s="73">
        <f t="shared" si="179"/>
        <v>0</v>
      </c>
      <c r="P1336" s="73">
        <f t="shared" si="173"/>
        <v>0</v>
      </c>
      <c r="Q1336" s="73"/>
      <c r="R1336" s="73">
        <v>150000000</v>
      </c>
      <c r="S1336" s="75">
        <f t="shared" si="175"/>
        <v>150000000</v>
      </c>
      <c r="T1336" s="77">
        <v>0</v>
      </c>
      <c r="U1336" s="66">
        <v>40595</v>
      </c>
      <c r="V1336" s="79"/>
      <c r="W1336" s="66" t="s">
        <v>1606</v>
      </c>
      <c r="X1336" s="24" t="s">
        <v>1607</v>
      </c>
      <c r="Y1336" s="62">
        <v>25</v>
      </c>
      <c r="Z1336" s="169" t="s">
        <v>106</v>
      </c>
      <c r="AA1336" s="166" t="s">
        <v>107</v>
      </c>
      <c r="AB1336" s="152"/>
      <c r="AC1336" s="153"/>
      <c r="AD1336" s="154"/>
      <c r="AE1336" s="153"/>
      <c r="AF1336" s="153"/>
      <c r="AG1336" s="153"/>
      <c r="AH1336" s="153"/>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c r="BF1336" s="153"/>
      <c r="BG1336" s="153"/>
      <c r="BH1336" s="153"/>
      <c r="BI1336" s="153"/>
      <c r="BJ1336" s="153"/>
      <c r="BK1336" s="153"/>
      <c r="BL1336" s="153"/>
      <c r="BM1336" s="153"/>
      <c r="BN1336" s="153"/>
      <c r="BO1336" s="153"/>
      <c r="BP1336" s="153"/>
      <c r="BQ1336" s="153"/>
      <c r="BR1336" s="153"/>
      <c r="BS1336" s="153"/>
      <c r="BT1336" s="153"/>
      <c r="BU1336" s="153"/>
      <c r="BV1336" s="153"/>
      <c r="BW1336" s="153"/>
      <c r="BX1336" s="153"/>
      <c r="BY1336" s="153"/>
      <c r="BZ1336" s="153"/>
      <c r="CA1336" s="153"/>
      <c r="CB1336" s="153"/>
      <c r="CC1336" s="153"/>
      <c r="CD1336" s="155"/>
      <c r="CE1336" s="156"/>
      <c r="CF1336" s="155"/>
      <c r="CG1336" s="156"/>
      <c r="CH1336" s="155"/>
      <c r="CI1336" s="156"/>
      <c r="CJ1336" s="157">
        <f t="shared" si="174"/>
        <v>0</v>
      </c>
      <c r="CK1336" s="158"/>
      <c r="CL1336" s="159"/>
      <c r="CM1336" s="160"/>
      <c r="CN1336" s="161"/>
      <c r="CO1336" s="162"/>
      <c r="CP1336" s="161"/>
      <c r="CQ1336" s="158"/>
      <c r="CR1336" s="159"/>
      <c r="CS1336" s="68">
        <v>8</v>
      </c>
      <c r="CT1336" s="163">
        <v>1586</v>
      </c>
      <c r="EC1336" s="344" t="str">
        <f t="shared" si="178"/>
        <v>ANTIOQUIA_SANTA BARBARA</v>
      </c>
      <c r="ED1336" s="341"/>
      <c r="EE1336" s="341"/>
      <c r="EF1336" s="348"/>
      <c r="EG1336" s="341"/>
      <c r="EH1336" s="341"/>
      <c r="EI1336" s="341"/>
    </row>
    <row r="1337" spans="1:139" s="164" customFormat="1" ht="25.5">
      <c r="A1337" s="228">
        <v>40467</v>
      </c>
      <c r="B1337" s="205" t="s">
        <v>1551</v>
      </c>
      <c r="C1337" s="205" t="s">
        <v>1549</v>
      </c>
      <c r="D1337" s="207" t="s">
        <v>1201</v>
      </c>
      <c r="E1337" s="323" t="s">
        <v>3360</v>
      </c>
      <c r="F1337" s="323"/>
      <c r="G1337" s="204"/>
      <c r="H1337" s="151"/>
      <c r="I1337" s="151"/>
      <c r="J1337" s="416">
        <f>58*3.7</f>
        <v>214.60000000000002</v>
      </c>
      <c r="K1337" s="151">
        <v>58</v>
      </c>
      <c r="L1337" s="1"/>
      <c r="M1337" s="73">
        <f t="shared" si="172"/>
        <v>0</v>
      </c>
      <c r="N1337" s="73">
        <f t="shared" si="176"/>
        <v>34400000</v>
      </c>
      <c r="O1337" s="73">
        <f t="shared" si="179"/>
        <v>0</v>
      </c>
      <c r="P1337" s="73">
        <f t="shared" si="173"/>
        <v>0</v>
      </c>
      <c r="Q1337" s="73"/>
      <c r="R1337" s="73">
        <v>0</v>
      </c>
      <c r="S1337" s="75">
        <f t="shared" si="175"/>
        <v>34400000</v>
      </c>
      <c r="T1337" s="77">
        <v>0</v>
      </c>
      <c r="U1337" s="66">
        <v>40471</v>
      </c>
      <c r="V1337" s="79"/>
      <c r="W1337" s="66" t="s">
        <v>1606</v>
      </c>
      <c r="X1337" s="24" t="s">
        <v>1607</v>
      </c>
      <c r="Y1337" s="62"/>
      <c r="Z1337" s="169" t="s">
        <v>894</v>
      </c>
      <c r="AA1337" s="166" t="s">
        <v>419</v>
      </c>
      <c r="AB1337" s="152"/>
      <c r="AC1337" s="153"/>
      <c r="AD1337" s="154"/>
      <c r="AE1337" s="153"/>
      <c r="AF1337" s="153"/>
      <c r="AG1337" s="153"/>
      <c r="AH1337" s="153"/>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c r="BF1337" s="153"/>
      <c r="BG1337" s="153"/>
      <c r="BH1337" s="153"/>
      <c r="BI1337" s="153"/>
      <c r="BJ1337" s="153"/>
      <c r="BK1337" s="153"/>
      <c r="BL1337" s="153"/>
      <c r="BM1337" s="153"/>
      <c r="BN1337" s="153"/>
      <c r="BO1337" s="153"/>
      <c r="BP1337" s="153"/>
      <c r="BQ1337" s="153"/>
      <c r="BR1337" s="153"/>
      <c r="BS1337" s="153"/>
      <c r="BT1337" s="153"/>
      <c r="BU1337" s="153"/>
      <c r="BV1337" s="153"/>
      <c r="BW1337" s="153"/>
      <c r="BX1337" s="153"/>
      <c r="BY1337" s="153"/>
      <c r="BZ1337" s="153"/>
      <c r="CA1337" s="153"/>
      <c r="CB1337" s="153"/>
      <c r="CC1337" s="153"/>
      <c r="CD1337" s="155"/>
      <c r="CE1337" s="156"/>
      <c r="CF1337" s="155"/>
      <c r="CG1337" s="156"/>
      <c r="CH1337" s="155"/>
      <c r="CI1337" s="156"/>
      <c r="CJ1337" s="157">
        <f t="shared" si="174"/>
        <v>0</v>
      </c>
      <c r="CK1337" s="158"/>
      <c r="CL1337" s="159"/>
      <c r="CM1337" s="160">
        <v>400</v>
      </c>
      <c r="CN1337" s="161">
        <f>400*86000</f>
        <v>34400000</v>
      </c>
      <c r="CO1337" s="162"/>
      <c r="CP1337" s="161"/>
      <c r="CQ1337" s="158"/>
      <c r="CR1337" s="159"/>
      <c r="CS1337" s="68"/>
      <c r="CT1337" s="163"/>
      <c r="EC1337" s="344" t="str">
        <f t="shared" si="178"/>
        <v>ATLANTICO_MANATI</v>
      </c>
      <c r="ED1337" s="341"/>
      <c r="EE1337" s="341"/>
      <c r="EF1337" s="348"/>
      <c r="EG1337" s="341"/>
      <c r="EH1337" s="341"/>
      <c r="EI1337" s="341"/>
    </row>
    <row r="1338" spans="1:139" s="164" customFormat="1" ht="38.25">
      <c r="A1338" s="228">
        <v>40467</v>
      </c>
      <c r="B1338" s="205" t="s">
        <v>1551</v>
      </c>
      <c r="C1338" s="205" t="s">
        <v>1057</v>
      </c>
      <c r="D1338" s="207" t="s">
        <v>1201</v>
      </c>
      <c r="E1338" s="323" t="s">
        <v>3368</v>
      </c>
      <c r="F1338" s="323"/>
      <c r="G1338" s="204"/>
      <c r="H1338" s="151"/>
      <c r="I1338" s="151"/>
      <c r="J1338" s="151">
        <f>495*5</f>
        <v>2475</v>
      </c>
      <c r="K1338" s="151">
        <v>495</v>
      </c>
      <c r="L1338" s="1"/>
      <c r="M1338" s="73">
        <f t="shared" si="172"/>
        <v>0</v>
      </c>
      <c r="N1338" s="73">
        <f t="shared" si="176"/>
        <v>42075000</v>
      </c>
      <c r="O1338" s="73">
        <f t="shared" si="179"/>
        <v>0</v>
      </c>
      <c r="P1338" s="73">
        <f t="shared" si="173"/>
        <v>0</v>
      </c>
      <c r="Q1338" s="73"/>
      <c r="R1338" s="73">
        <v>0</v>
      </c>
      <c r="S1338" s="75">
        <f t="shared" si="175"/>
        <v>42075000</v>
      </c>
      <c r="T1338" s="77">
        <v>0</v>
      </c>
      <c r="U1338" s="66">
        <v>40471</v>
      </c>
      <c r="V1338" s="79"/>
      <c r="W1338" s="66" t="s">
        <v>1606</v>
      </c>
      <c r="X1338" s="24" t="s">
        <v>1607</v>
      </c>
      <c r="Y1338" s="62"/>
      <c r="Z1338" s="169" t="s">
        <v>894</v>
      </c>
      <c r="AA1338" s="166" t="s">
        <v>417</v>
      </c>
      <c r="AB1338" s="152"/>
      <c r="AC1338" s="153"/>
      <c r="AD1338" s="154"/>
      <c r="AE1338" s="153"/>
      <c r="AF1338" s="153"/>
      <c r="AG1338" s="153"/>
      <c r="AH1338" s="153"/>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c r="BF1338" s="153"/>
      <c r="BG1338" s="153"/>
      <c r="BH1338" s="153"/>
      <c r="BI1338" s="153"/>
      <c r="BJ1338" s="153"/>
      <c r="BK1338" s="153"/>
      <c r="BL1338" s="153"/>
      <c r="BM1338" s="153"/>
      <c r="BN1338" s="153"/>
      <c r="BO1338" s="153"/>
      <c r="BP1338" s="153"/>
      <c r="BQ1338" s="153"/>
      <c r="BR1338" s="153"/>
      <c r="BS1338" s="153"/>
      <c r="BT1338" s="153"/>
      <c r="BU1338" s="153"/>
      <c r="BV1338" s="153"/>
      <c r="BW1338" s="153"/>
      <c r="BX1338" s="153"/>
      <c r="BY1338" s="153"/>
      <c r="BZ1338" s="153"/>
      <c r="CA1338" s="153"/>
      <c r="CB1338" s="153"/>
      <c r="CC1338" s="153"/>
      <c r="CD1338" s="155"/>
      <c r="CE1338" s="156"/>
      <c r="CF1338" s="155"/>
      <c r="CG1338" s="156"/>
      <c r="CH1338" s="155"/>
      <c r="CI1338" s="156"/>
      <c r="CJ1338" s="157">
        <f t="shared" si="174"/>
        <v>0</v>
      </c>
      <c r="CK1338" s="158"/>
      <c r="CL1338" s="159"/>
      <c r="CM1338" s="160">
        <v>495</v>
      </c>
      <c r="CN1338" s="161">
        <f>495*85000</f>
        <v>42075000</v>
      </c>
      <c r="CO1338" s="162"/>
      <c r="CP1338" s="161"/>
      <c r="CQ1338" s="158"/>
      <c r="CR1338" s="159"/>
      <c r="CS1338" s="68"/>
      <c r="CT1338" s="163"/>
      <c r="EC1338" s="344" t="str">
        <f t="shared" si="178"/>
        <v>ATLANTICO_SABANALARGA</v>
      </c>
      <c r="ED1338" s="341"/>
      <c r="EE1338" s="341"/>
      <c r="EF1338" s="348"/>
      <c r="EG1338" s="341"/>
      <c r="EH1338" s="341"/>
      <c r="EI1338" s="341"/>
    </row>
    <row r="1339" spans="1:139" s="164" customFormat="1" ht="72">
      <c r="A1339" s="228">
        <v>40467</v>
      </c>
      <c r="B1339" s="205" t="s">
        <v>1551</v>
      </c>
      <c r="C1339" s="205" t="s">
        <v>1061</v>
      </c>
      <c r="D1339" s="207" t="s">
        <v>1201</v>
      </c>
      <c r="E1339" s="323" t="s">
        <v>3371</v>
      </c>
      <c r="F1339" s="323"/>
      <c r="G1339" s="204"/>
      <c r="H1339" s="151"/>
      <c r="I1339" s="151"/>
      <c r="J1339" s="151">
        <f>1187*5</f>
        <v>5935</v>
      </c>
      <c r="K1339" s="151">
        <f>2700-53-1460</f>
        <v>1187</v>
      </c>
      <c r="L1339" s="1">
        <v>40505</v>
      </c>
      <c r="M1339" s="73">
        <f t="shared" si="172"/>
        <v>109900000</v>
      </c>
      <c r="N1339" s="73">
        <f t="shared" si="176"/>
        <v>314500000</v>
      </c>
      <c r="O1339" s="73">
        <f t="shared" si="179"/>
        <v>0</v>
      </c>
      <c r="P1339" s="73">
        <f t="shared" si="173"/>
        <v>0</v>
      </c>
      <c r="Q1339" s="73"/>
      <c r="R1339" s="73">
        <v>0</v>
      </c>
      <c r="S1339" s="75">
        <f t="shared" si="175"/>
        <v>424400000</v>
      </c>
      <c r="T1339" s="77">
        <v>0</v>
      </c>
      <c r="U1339" s="66">
        <v>40484</v>
      </c>
      <c r="V1339" s="79">
        <v>60524</v>
      </c>
      <c r="W1339" s="66" t="s">
        <v>1606</v>
      </c>
      <c r="X1339" s="24" t="s">
        <v>1607</v>
      </c>
      <c r="Y1339" s="62">
        <v>24401</v>
      </c>
      <c r="Z1339" s="177" t="s">
        <v>2580</v>
      </c>
      <c r="AA1339" s="166" t="s">
        <v>408</v>
      </c>
      <c r="AB1339" s="152"/>
      <c r="AC1339" s="153"/>
      <c r="AD1339" s="154"/>
      <c r="AE1339" s="153"/>
      <c r="AF1339" s="153"/>
      <c r="AG1339" s="153"/>
      <c r="AH1339" s="153"/>
      <c r="AI1339" s="153"/>
      <c r="AJ1339" s="153"/>
      <c r="AK1339" s="153"/>
      <c r="AL1339" s="153"/>
      <c r="AM1339" s="153"/>
      <c r="AN1339" s="153"/>
      <c r="AO1339" s="153"/>
      <c r="AP1339" s="153">
        <v>500</v>
      </c>
      <c r="AQ1339" s="153">
        <f>500*56000</f>
        <v>28000000</v>
      </c>
      <c r="AR1339" s="153"/>
      <c r="AS1339" s="153"/>
      <c r="AT1339" s="153"/>
      <c r="AU1339" s="153"/>
      <c r="AV1339" s="153"/>
      <c r="AW1339" s="153"/>
      <c r="AX1339" s="153"/>
      <c r="AY1339" s="153"/>
      <c r="AZ1339" s="153"/>
      <c r="BA1339" s="153"/>
      <c r="BB1339" s="153"/>
      <c r="BC1339" s="153"/>
      <c r="BD1339" s="153"/>
      <c r="BE1339" s="153"/>
      <c r="BF1339" s="153"/>
      <c r="BG1339" s="153"/>
      <c r="BH1339" s="153"/>
      <c r="BI1339" s="153"/>
      <c r="BJ1339" s="153"/>
      <c r="BK1339" s="153"/>
      <c r="BL1339" s="153"/>
      <c r="BM1339" s="153"/>
      <c r="BN1339" s="153">
        <v>10</v>
      </c>
      <c r="BO1339" s="153">
        <f>10*520000</f>
        <v>5200000</v>
      </c>
      <c r="BP1339" s="153"/>
      <c r="BQ1339" s="153"/>
      <c r="BR1339" s="153"/>
      <c r="BS1339" s="153"/>
      <c r="BT1339" s="153"/>
      <c r="BU1339" s="153"/>
      <c r="BV1339" s="153"/>
      <c r="BW1339" s="153"/>
      <c r="BX1339" s="153"/>
      <c r="BY1339" s="153"/>
      <c r="BZ1339" s="153"/>
      <c r="CA1339" s="153"/>
      <c r="CB1339" s="153"/>
      <c r="CC1339" s="153"/>
      <c r="CD1339" s="155">
        <v>1000</v>
      </c>
      <c r="CE1339" s="156">
        <f>1000*37000</f>
        <v>37000000</v>
      </c>
      <c r="CF1339" s="155">
        <v>1000</v>
      </c>
      <c r="CG1339" s="156">
        <f>1000*39700</f>
        <v>39700000</v>
      </c>
      <c r="CH1339" s="155"/>
      <c r="CI1339" s="156"/>
      <c r="CJ1339" s="157">
        <f t="shared" si="174"/>
        <v>109900000</v>
      </c>
      <c r="CK1339" s="158"/>
      <c r="CL1339" s="159"/>
      <c r="CM1339" s="160">
        <f>1000+2700</f>
        <v>3700</v>
      </c>
      <c r="CN1339" s="161">
        <f>1000*85000+2700*85000</f>
        <v>314500000</v>
      </c>
      <c r="CO1339" s="162"/>
      <c r="CP1339" s="161"/>
      <c r="CQ1339" s="158"/>
      <c r="CR1339" s="159"/>
      <c r="CS1339" s="68"/>
      <c r="CT1339" s="163"/>
      <c r="EC1339" s="344" t="str">
        <f t="shared" si="178"/>
        <v>ATLANTICO_SOLEDAD</v>
      </c>
      <c r="ED1339" s="341"/>
      <c r="EE1339" s="341"/>
      <c r="EF1339" s="348"/>
      <c r="EG1339" s="341"/>
      <c r="EH1339" s="341"/>
      <c r="EI1339" s="341"/>
    </row>
    <row r="1340" spans="1:139" s="164" customFormat="1" ht="38.25">
      <c r="A1340" s="228">
        <v>40467</v>
      </c>
      <c r="B1340" s="205" t="s">
        <v>1617</v>
      </c>
      <c r="C1340" s="205" t="s">
        <v>735</v>
      </c>
      <c r="D1340" s="207" t="s">
        <v>1201</v>
      </c>
      <c r="E1340" s="323" t="s">
        <v>4282</v>
      </c>
      <c r="F1340" s="323"/>
      <c r="G1340" s="204"/>
      <c r="H1340" s="151"/>
      <c r="I1340" s="151">
        <v>1</v>
      </c>
      <c r="J1340" s="151"/>
      <c r="K1340" s="151"/>
      <c r="L1340" s="1"/>
      <c r="M1340" s="73">
        <f t="shared" si="172"/>
        <v>0</v>
      </c>
      <c r="N1340" s="73">
        <f t="shared" si="176"/>
        <v>0</v>
      </c>
      <c r="O1340" s="73">
        <f t="shared" si="179"/>
        <v>0</v>
      </c>
      <c r="P1340" s="73">
        <f t="shared" si="173"/>
        <v>0</v>
      </c>
      <c r="Q1340" s="73"/>
      <c r="R1340" s="73">
        <v>0</v>
      </c>
      <c r="S1340" s="75">
        <f t="shared" si="175"/>
        <v>0</v>
      </c>
      <c r="T1340" s="77">
        <v>0</v>
      </c>
      <c r="U1340" s="66">
        <v>40470</v>
      </c>
      <c r="V1340" s="79"/>
      <c r="W1340" s="66" t="s">
        <v>1585</v>
      </c>
      <c r="X1340" s="24" t="s">
        <v>1586</v>
      </c>
      <c r="Y1340" s="62"/>
      <c r="Z1340" s="169" t="s">
        <v>894</v>
      </c>
      <c r="AA1340" s="166" t="s">
        <v>410</v>
      </c>
      <c r="AB1340" s="152"/>
      <c r="AC1340" s="153"/>
      <c r="AD1340" s="154"/>
      <c r="AE1340" s="153"/>
      <c r="AF1340" s="153"/>
      <c r="AG1340" s="153"/>
      <c r="AH1340" s="153"/>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c r="BF1340" s="153"/>
      <c r="BG1340" s="153"/>
      <c r="BH1340" s="153"/>
      <c r="BI1340" s="153"/>
      <c r="BJ1340" s="153"/>
      <c r="BK1340" s="153"/>
      <c r="BL1340" s="153"/>
      <c r="BM1340" s="153"/>
      <c r="BN1340" s="153"/>
      <c r="BO1340" s="153"/>
      <c r="BP1340" s="153"/>
      <c r="BQ1340" s="153"/>
      <c r="BR1340" s="153"/>
      <c r="BS1340" s="153"/>
      <c r="BT1340" s="153"/>
      <c r="BU1340" s="153"/>
      <c r="BV1340" s="153"/>
      <c r="BW1340" s="153"/>
      <c r="BX1340" s="153"/>
      <c r="BY1340" s="153"/>
      <c r="BZ1340" s="153"/>
      <c r="CA1340" s="153"/>
      <c r="CB1340" s="153"/>
      <c r="CC1340" s="153"/>
      <c r="CD1340" s="155"/>
      <c r="CE1340" s="156"/>
      <c r="CF1340" s="155"/>
      <c r="CG1340" s="156"/>
      <c r="CH1340" s="155"/>
      <c r="CI1340" s="156"/>
      <c r="CJ1340" s="157">
        <f t="shared" si="174"/>
        <v>0</v>
      </c>
      <c r="CK1340" s="158"/>
      <c r="CL1340" s="159"/>
      <c r="CM1340" s="160"/>
      <c r="CN1340" s="161"/>
      <c r="CO1340" s="162"/>
      <c r="CP1340" s="161"/>
      <c r="CQ1340" s="158"/>
      <c r="CR1340" s="159"/>
      <c r="CS1340" s="68"/>
      <c r="CT1340" s="163"/>
      <c r="EC1340" s="344" t="str">
        <f t="shared" si="178"/>
        <v>CASANARE_PAZ DE ARIPORO</v>
      </c>
      <c r="ED1340" s="341"/>
      <c r="EE1340" s="341"/>
      <c r="EF1340" s="348"/>
      <c r="EG1340" s="341"/>
      <c r="EH1340" s="341"/>
      <c r="EI1340" s="341"/>
    </row>
    <row r="1341" spans="1:139" s="164" customFormat="1" ht="25.5">
      <c r="A1341" s="228">
        <v>40467</v>
      </c>
      <c r="B1341" s="205" t="s">
        <v>962</v>
      </c>
      <c r="C1341" s="205" t="s">
        <v>1796</v>
      </c>
      <c r="D1341" s="207" t="s">
        <v>2606</v>
      </c>
      <c r="E1341" s="323" t="s">
        <v>3857</v>
      </c>
      <c r="F1341" s="323"/>
      <c r="G1341" s="204"/>
      <c r="H1341" s="151"/>
      <c r="I1341" s="151"/>
      <c r="J1341" s="151">
        <v>8</v>
      </c>
      <c r="K1341" s="151">
        <v>1</v>
      </c>
      <c r="L1341" s="1"/>
      <c r="M1341" s="73">
        <f t="shared" si="172"/>
        <v>0</v>
      </c>
      <c r="N1341" s="73">
        <f t="shared" si="176"/>
        <v>0</v>
      </c>
      <c r="O1341" s="73">
        <f t="shared" si="179"/>
        <v>0</v>
      </c>
      <c r="P1341" s="73">
        <f t="shared" si="173"/>
        <v>0</v>
      </c>
      <c r="Q1341" s="73"/>
      <c r="R1341" s="73">
        <v>0</v>
      </c>
      <c r="S1341" s="75">
        <f t="shared" si="175"/>
        <v>0</v>
      </c>
      <c r="T1341" s="77">
        <v>0</v>
      </c>
      <c r="U1341" s="66">
        <v>40471</v>
      </c>
      <c r="V1341" s="79"/>
      <c r="W1341" s="66" t="s">
        <v>1585</v>
      </c>
      <c r="X1341" s="24" t="s">
        <v>1586</v>
      </c>
      <c r="Y1341" s="62"/>
      <c r="Z1341" s="169" t="s">
        <v>894</v>
      </c>
      <c r="AA1341" s="166" t="s">
        <v>416</v>
      </c>
      <c r="AB1341" s="152"/>
      <c r="AC1341" s="153"/>
      <c r="AD1341" s="154"/>
      <c r="AE1341" s="153"/>
      <c r="AF1341" s="153"/>
      <c r="AG1341" s="153"/>
      <c r="AH1341" s="153"/>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c r="BF1341" s="153"/>
      <c r="BG1341" s="153"/>
      <c r="BH1341" s="153"/>
      <c r="BI1341" s="153"/>
      <c r="BJ1341" s="153"/>
      <c r="BK1341" s="153"/>
      <c r="BL1341" s="153"/>
      <c r="BM1341" s="153"/>
      <c r="BN1341" s="153"/>
      <c r="BO1341" s="153"/>
      <c r="BP1341" s="153"/>
      <c r="BQ1341" s="153"/>
      <c r="BR1341" s="153"/>
      <c r="BS1341" s="153"/>
      <c r="BT1341" s="153"/>
      <c r="BU1341" s="153"/>
      <c r="BV1341" s="153"/>
      <c r="BW1341" s="153"/>
      <c r="BX1341" s="153"/>
      <c r="BY1341" s="153"/>
      <c r="BZ1341" s="153"/>
      <c r="CA1341" s="153"/>
      <c r="CB1341" s="153"/>
      <c r="CC1341" s="153"/>
      <c r="CD1341" s="155"/>
      <c r="CE1341" s="156"/>
      <c r="CF1341" s="155"/>
      <c r="CG1341" s="156"/>
      <c r="CH1341" s="155"/>
      <c r="CI1341" s="156"/>
      <c r="CJ1341" s="157">
        <f t="shared" si="174"/>
        <v>0</v>
      </c>
      <c r="CK1341" s="158"/>
      <c r="CL1341" s="159"/>
      <c r="CM1341" s="160"/>
      <c r="CN1341" s="161"/>
      <c r="CO1341" s="162"/>
      <c r="CP1341" s="161"/>
      <c r="CQ1341" s="158"/>
      <c r="CR1341" s="159"/>
      <c r="CS1341" s="68"/>
      <c r="CT1341" s="163"/>
      <c r="EC1341" s="344" t="str">
        <f t="shared" si="178"/>
        <v>HUILA_TIMANA</v>
      </c>
      <c r="ED1341" s="341"/>
      <c r="EE1341" s="341"/>
      <c r="EF1341" s="348"/>
      <c r="EG1341" s="341"/>
      <c r="EH1341" s="341"/>
      <c r="EI1341" s="341"/>
    </row>
    <row r="1342" spans="1:139" s="164" customFormat="1" ht="60">
      <c r="A1342" s="228">
        <v>40467</v>
      </c>
      <c r="B1342" s="205" t="s">
        <v>396</v>
      </c>
      <c r="C1342" s="205" t="s">
        <v>414</v>
      </c>
      <c r="D1342" s="207" t="s">
        <v>1878</v>
      </c>
      <c r="E1342" s="323" t="s">
        <v>3926</v>
      </c>
      <c r="F1342" s="323"/>
      <c r="G1342" s="204"/>
      <c r="H1342" s="151"/>
      <c r="I1342" s="151"/>
      <c r="J1342" s="151">
        <f>120*5</f>
        <v>600</v>
      </c>
      <c r="K1342" s="151">
        <v>120</v>
      </c>
      <c r="L1342" s="1"/>
      <c r="M1342" s="73">
        <f t="shared" si="172"/>
        <v>0</v>
      </c>
      <c r="N1342" s="73">
        <f t="shared" si="176"/>
        <v>0</v>
      </c>
      <c r="O1342" s="73">
        <f t="shared" si="179"/>
        <v>0</v>
      </c>
      <c r="P1342" s="73">
        <f t="shared" si="173"/>
        <v>0</v>
      </c>
      <c r="Q1342" s="73"/>
      <c r="R1342" s="73">
        <v>0</v>
      </c>
      <c r="S1342" s="75">
        <f t="shared" si="175"/>
        <v>0</v>
      </c>
      <c r="T1342" s="77">
        <v>0</v>
      </c>
      <c r="U1342" s="66">
        <v>40471</v>
      </c>
      <c r="V1342" s="79"/>
      <c r="W1342" s="66" t="s">
        <v>1585</v>
      </c>
      <c r="X1342" s="24" t="s">
        <v>1586</v>
      </c>
      <c r="Y1342" s="62"/>
      <c r="Z1342" s="169" t="s">
        <v>894</v>
      </c>
      <c r="AA1342" s="166" t="s">
        <v>150</v>
      </c>
      <c r="AB1342" s="152"/>
      <c r="AC1342" s="153"/>
      <c r="AD1342" s="154"/>
      <c r="AE1342" s="153"/>
      <c r="AF1342" s="153"/>
      <c r="AG1342" s="153"/>
      <c r="AH1342" s="153"/>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c r="BF1342" s="153"/>
      <c r="BG1342" s="153"/>
      <c r="BH1342" s="153"/>
      <c r="BI1342" s="153"/>
      <c r="BJ1342" s="153"/>
      <c r="BK1342" s="153"/>
      <c r="BL1342" s="153"/>
      <c r="BM1342" s="153"/>
      <c r="BN1342" s="153"/>
      <c r="BO1342" s="153"/>
      <c r="BP1342" s="153"/>
      <c r="BQ1342" s="153"/>
      <c r="BR1342" s="153"/>
      <c r="BS1342" s="153"/>
      <c r="BT1342" s="153"/>
      <c r="BU1342" s="153"/>
      <c r="BV1342" s="153"/>
      <c r="BW1342" s="153"/>
      <c r="BX1342" s="153"/>
      <c r="BY1342" s="153"/>
      <c r="BZ1342" s="153"/>
      <c r="CA1342" s="153"/>
      <c r="CB1342" s="153"/>
      <c r="CC1342" s="153"/>
      <c r="CD1342" s="155"/>
      <c r="CE1342" s="156"/>
      <c r="CF1342" s="155"/>
      <c r="CG1342" s="156"/>
      <c r="CH1342" s="155"/>
      <c r="CI1342" s="156"/>
      <c r="CJ1342" s="157">
        <f t="shared" si="174"/>
        <v>0</v>
      </c>
      <c r="CK1342" s="158"/>
      <c r="CL1342" s="159"/>
      <c r="CM1342" s="160"/>
      <c r="CN1342" s="161"/>
      <c r="CO1342" s="162"/>
      <c r="CP1342" s="161"/>
      <c r="CQ1342" s="158"/>
      <c r="CR1342" s="159"/>
      <c r="CS1342" s="68"/>
      <c r="CT1342" s="163">
        <v>1349</v>
      </c>
      <c r="EC1342" s="344" t="str">
        <f t="shared" si="178"/>
        <v>META_PUERTO LLERAS</v>
      </c>
      <c r="ED1342" s="341"/>
      <c r="EE1342" s="341"/>
      <c r="EF1342" s="348"/>
      <c r="EG1342" s="341"/>
      <c r="EH1342" s="341"/>
      <c r="EI1342" s="341"/>
    </row>
    <row r="1343" spans="1:139" s="164" customFormat="1" ht="48">
      <c r="A1343" s="228">
        <v>40468</v>
      </c>
      <c r="B1343" s="205" t="s">
        <v>1551</v>
      </c>
      <c r="C1343" s="205" t="s">
        <v>1590</v>
      </c>
      <c r="D1343" s="206" t="s">
        <v>1878</v>
      </c>
      <c r="E1343" s="320" t="s">
        <v>3352</v>
      </c>
      <c r="F1343" s="320"/>
      <c r="G1343" s="204"/>
      <c r="H1343" s="151"/>
      <c r="I1343" s="151"/>
      <c r="J1343" s="151">
        <f>3730+125</f>
        <v>3855</v>
      </c>
      <c r="K1343" s="151">
        <f>371+400</f>
        <v>771</v>
      </c>
      <c r="L1343" s="1"/>
      <c r="M1343" s="73">
        <f t="shared" si="172"/>
        <v>0</v>
      </c>
      <c r="N1343" s="73">
        <f t="shared" si="176"/>
        <v>0</v>
      </c>
      <c r="O1343" s="73">
        <f t="shared" si="179"/>
        <v>0</v>
      </c>
      <c r="P1343" s="73">
        <f t="shared" si="173"/>
        <v>0</v>
      </c>
      <c r="Q1343" s="73"/>
      <c r="R1343" s="73">
        <v>0</v>
      </c>
      <c r="S1343" s="75">
        <f t="shared" si="175"/>
        <v>0</v>
      </c>
      <c r="T1343" s="77">
        <v>0</v>
      </c>
      <c r="U1343" s="66">
        <v>40470</v>
      </c>
      <c r="V1343" s="79"/>
      <c r="W1343" s="66" t="s">
        <v>1585</v>
      </c>
      <c r="X1343" s="24" t="s">
        <v>1586</v>
      </c>
      <c r="Y1343" s="62"/>
      <c r="Z1343" s="169" t="s">
        <v>894</v>
      </c>
      <c r="AA1343" s="166" t="s">
        <v>2540</v>
      </c>
      <c r="AB1343" s="152"/>
      <c r="AC1343" s="153"/>
      <c r="AD1343" s="154"/>
      <c r="AE1343" s="153"/>
      <c r="AF1343" s="153"/>
      <c r="AG1343" s="153"/>
      <c r="AH1343" s="153"/>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c r="BF1343" s="153"/>
      <c r="BG1343" s="153"/>
      <c r="BH1343" s="153"/>
      <c r="BI1343" s="153"/>
      <c r="BJ1343" s="153"/>
      <c r="BK1343" s="153"/>
      <c r="BL1343" s="153"/>
      <c r="BM1343" s="153"/>
      <c r="BN1343" s="153"/>
      <c r="BO1343" s="153"/>
      <c r="BP1343" s="153"/>
      <c r="BQ1343" s="153"/>
      <c r="BR1343" s="153"/>
      <c r="BS1343" s="153"/>
      <c r="BT1343" s="153"/>
      <c r="BU1343" s="153"/>
      <c r="BV1343" s="153"/>
      <c r="BW1343" s="153"/>
      <c r="BX1343" s="153"/>
      <c r="BY1343" s="153"/>
      <c r="BZ1343" s="153"/>
      <c r="CA1343" s="153"/>
      <c r="CB1343" s="153"/>
      <c r="CC1343" s="153"/>
      <c r="CD1343" s="155"/>
      <c r="CE1343" s="156"/>
      <c r="CF1343" s="155"/>
      <c r="CG1343" s="156"/>
      <c r="CH1343" s="155"/>
      <c r="CI1343" s="156"/>
      <c r="CJ1343" s="157">
        <f t="shared" si="174"/>
        <v>0</v>
      </c>
      <c r="CK1343" s="158"/>
      <c r="CL1343" s="159"/>
      <c r="CM1343" s="160"/>
      <c r="CN1343" s="161"/>
      <c r="CO1343" s="162"/>
      <c r="CP1343" s="161"/>
      <c r="CQ1343" s="158"/>
      <c r="CR1343" s="159"/>
      <c r="CS1343" s="68"/>
      <c r="CT1343" s="163"/>
      <c r="EC1343" s="344" t="str">
        <f t="shared" si="178"/>
        <v>ATLANTICO_BARRANQUILLA</v>
      </c>
      <c r="ED1343" s="341"/>
      <c r="EE1343" s="341"/>
      <c r="EF1343" s="348"/>
      <c r="EG1343" s="341"/>
      <c r="EH1343" s="341"/>
      <c r="EI1343" s="341"/>
    </row>
    <row r="1344" spans="1:139" s="164" customFormat="1" ht="48">
      <c r="A1344" s="228">
        <v>40468</v>
      </c>
      <c r="B1344" s="205" t="s">
        <v>1615</v>
      </c>
      <c r="C1344" s="205" t="s">
        <v>1559</v>
      </c>
      <c r="D1344" s="207" t="s">
        <v>1201</v>
      </c>
      <c r="E1344" s="323" t="s">
        <v>3389</v>
      </c>
      <c r="F1344" s="323"/>
      <c r="G1344" s="204"/>
      <c r="H1344" s="151"/>
      <c r="I1344" s="151"/>
      <c r="J1344" s="151">
        <f>673*5</f>
        <v>3365</v>
      </c>
      <c r="K1344" s="151">
        <v>673</v>
      </c>
      <c r="L1344" s="1">
        <v>40508</v>
      </c>
      <c r="M1344" s="73">
        <f t="shared" si="172"/>
        <v>88836000</v>
      </c>
      <c r="N1344" s="73">
        <f t="shared" si="176"/>
        <v>114410000</v>
      </c>
      <c r="O1344" s="73">
        <f t="shared" si="179"/>
        <v>0</v>
      </c>
      <c r="P1344" s="73">
        <f t="shared" si="173"/>
        <v>19000000</v>
      </c>
      <c r="Q1344" s="73">
        <f>673*18000</f>
        <v>12114000</v>
      </c>
      <c r="R1344" s="73">
        <v>0</v>
      </c>
      <c r="S1344" s="75">
        <f t="shared" si="175"/>
        <v>234360000</v>
      </c>
      <c r="T1344" s="77">
        <v>0</v>
      </c>
      <c r="U1344" s="66">
        <v>40476</v>
      </c>
      <c r="V1344" s="79">
        <v>57681</v>
      </c>
      <c r="W1344" s="66" t="s">
        <v>1606</v>
      </c>
      <c r="X1344" s="24" t="s">
        <v>1607</v>
      </c>
      <c r="Y1344" s="62">
        <v>24643</v>
      </c>
      <c r="Z1344" s="177" t="s">
        <v>2580</v>
      </c>
      <c r="AA1344" s="165" t="s">
        <v>3089</v>
      </c>
      <c r="AB1344" s="152"/>
      <c r="AC1344" s="153"/>
      <c r="AD1344" s="154"/>
      <c r="AE1344" s="153"/>
      <c r="AF1344" s="153"/>
      <c r="AG1344" s="153"/>
      <c r="AH1344" s="153"/>
      <c r="AI1344" s="153"/>
      <c r="AJ1344" s="153"/>
      <c r="AK1344" s="153"/>
      <c r="AL1344" s="153"/>
      <c r="AM1344" s="153"/>
      <c r="AN1344" s="153"/>
      <c r="AO1344" s="153"/>
      <c r="AP1344" s="153">
        <v>673</v>
      </c>
      <c r="AQ1344" s="153">
        <f>673*56000</f>
        <v>37688000</v>
      </c>
      <c r="AR1344" s="153"/>
      <c r="AS1344" s="153"/>
      <c r="AT1344" s="153"/>
      <c r="AU1344" s="153"/>
      <c r="AV1344" s="153"/>
      <c r="AW1344" s="153"/>
      <c r="AX1344" s="153"/>
      <c r="AY1344" s="153"/>
      <c r="AZ1344" s="153"/>
      <c r="BA1344" s="153"/>
      <c r="BB1344" s="153"/>
      <c r="BC1344" s="153"/>
      <c r="BD1344" s="153"/>
      <c r="BE1344" s="153"/>
      <c r="BF1344" s="153"/>
      <c r="BG1344" s="153"/>
      <c r="BH1344" s="153"/>
      <c r="BI1344" s="153"/>
      <c r="BJ1344" s="153"/>
      <c r="BK1344" s="153"/>
      <c r="BL1344" s="153"/>
      <c r="BM1344" s="153"/>
      <c r="BN1344" s="153"/>
      <c r="BO1344" s="153"/>
      <c r="BP1344" s="153"/>
      <c r="BQ1344" s="153"/>
      <c r="BR1344" s="153"/>
      <c r="BS1344" s="153"/>
      <c r="BT1344" s="153"/>
      <c r="BU1344" s="153"/>
      <c r="BV1344" s="153"/>
      <c r="BW1344" s="153"/>
      <c r="BX1344" s="153">
        <v>673</v>
      </c>
      <c r="BY1344" s="153">
        <f>673*21000</f>
        <v>14133000</v>
      </c>
      <c r="BZ1344" s="153"/>
      <c r="CA1344" s="153"/>
      <c r="CB1344" s="153">
        <v>673</v>
      </c>
      <c r="CC1344" s="153">
        <f>673*18000</f>
        <v>12114000</v>
      </c>
      <c r="CD1344" s="155">
        <v>673</v>
      </c>
      <c r="CE1344" s="156">
        <f>673*37000</f>
        <v>24901000</v>
      </c>
      <c r="CF1344" s="155"/>
      <c r="CG1344" s="156"/>
      <c r="CH1344" s="155"/>
      <c r="CI1344" s="156"/>
      <c r="CJ1344" s="157">
        <f t="shared" si="174"/>
        <v>88836000</v>
      </c>
      <c r="CK1344" s="158">
        <v>20000</v>
      </c>
      <c r="CL1344" s="159">
        <f>+CK1344*950</f>
        <v>19000000</v>
      </c>
      <c r="CM1344" s="160">
        <f>673+673</f>
        <v>1346</v>
      </c>
      <c r="CN1344" s="161">
        <f>673*85000+673*85000</f>
        <v>114410000</v>
      </c>
      <c r="CO1344" s="162"/>
      <c r="CP1344" s="161"/>
      <c r="CQ1344" s="158"/>
      <c r="CR1344" s="159"/>
      <c r="CS1344" s="68"/>
      <c r="CT1344" s="163"/>
      <c r="EC1344" s="344" t="str">
        <f t="shared" si="178"/>
        <v>BOLIVAR_EL GUAMO</v>
      </c>
      <c r="ED1344" s="341"/>
      <c r="EE1344" s="341"/>
      <c r="EF1344" s="348"/>
      <c r="EG1344" s="341"/>
      <c r="EH1344" s="341"/>
      <c r="EI1344" s="341"/>
    </row>
    <row r="1345" spans="1:139" s="164" customFormat="1" ht="48">
      <c r="A1345" s="228">
        <v>40468</v>
      </c>
      <c r="B1345" s="205" t="s">
        <v>1615</v>
      </c>
      <c r="C1345" s="205" t="s">
        <v>1105</v>
      </c>
      <c r="D1345" s="207" t="s">
        <v>1201</v>
      </c>
      <c r="E1345" s="323" t="s">
        <v>3391</v>
      </c>
      <c r="F1345" s="323"/>
      <c r="G1345" s="204"/>
      <c r="H1345" s="151"/>
      <c r="I1345" s="151"/>
      <c r="J1345" s="151">
        <f>2028*5</f>
        <v>10140</v>
      </c>
      <c r="K1345" s="151">
        <v>2028</v>
      </c>
      <c r="L1345" s="1">
        <v>40505</v>
      </c>
      <c r="M1345" s="73">
        <f t="shared" si="172"/>
        <v>255996000</v>
      </c>
      <c r="N1345" s="73">
        <f t="shared" si="176"/>
        <v>318240000</v>
      </c>
      <c r="O1345" s="73">
        <f t="shared" si="179"/>
        <v>0</v>
      </c>
      <c r="P1345" s="73">
        <f t="shared" si="173"/>
        <v>0</v>
      </c>
      <c r="Q1345" s="73">
        <f>500*24000</f>
        <v>12000000</v>
      </c>
      <c r="R1345" s="73">
        <v>0</v>
      </c>
      <c r="S1345" s="75">
        <f t="shared" si="175"/>
        <v>586236000</v>
      </c>
      <c r="T1345" s="77">
        <v>0</v>
      </c>
      <c r="U1345" s="66">
        <v>40476</v>
      </c>
      <c r="V1345" s="79">
        <v>57681</v>
      </c>
      <c r="W1345" s="66" t="s">
        <v>1606</v>
      </c>
      <c r="X1345" s="24" t="s">
        <v>1607</v>
      </c>
      <c r="Y1345" s="62">
        <v>24407</v>
      </c>
      <c r="Z1345" s="177" t="s">
        <v>2580</v>
      </c>
      <c r="AA1345" s="165" t="s">
        <v>3093</v>
      </c>
      <c r="AB1345" s="152"/>
      <c r="AC1345" s="153"/>
      <c r="AD1345" s="154"/>
      <c r="AE1345" s="153"/>
      <c r="AF1345" s="153"/>
      <c r="AG1345" s="153"/>
      <c r="AH1345" s="153"/>
      <c r="AI1345" s="153"/>
      <c r="AJ1345" s="153"/>
      <c r="AK1345" s="153"/>
      <c r="AL1345" s="153"/>
      <c r="AM1345" s="153"/>
      <c r="AN1345" s="153"/>
      <c r="AO1345" s="153"/>
      <c r="AP1345" s="153">
        <v>2028</v>
      </c>
      <c r="AQ1345" s="153">
        <f>2028*56000</f>
        <v>113568000</v>
      </c>
      <c r="AR1345" s="153"/>
      <c r="AS1345" s="153"/>
      <c r="AT1345" s="153"/>
      <c r="AU1345" s="153"/>
      <c r="AV1345" s="153"/>
      <c r="AW1345" s="153"/>
      <c r="AX1345" s="153"/>
      <c r="AY1345" s="153"/>
      <c r="AZ1345" s="153"/>
      <c r="BA1345" s="153"/>
      <c r="BB1345" s="153"/>
      <c r="BC1345" s="153"/>
      <c r="BD1345" s="153"/>
      <c r="BE1345" s="153"/>
      <c r="BF1345" s="153"/>
      <c r="BG1345" s="153"/>
      <c r="BH1345" s="153"/>
      <c r="BI1345" s="153"/>
      <c r="BJ1345" s="153"/>
      <c r="BK1345" s="153"/>
      <c r="BL1345" s="153"/>
      <c r="BM1345" s="153"/>
      <c r="BN1345" s="153"/>
      <c r="BO1345" s="153"/>
      <c r="BP1345" s="153"/>
      <c r="BQ1345" s="153"/>
      <c r="BR1345" s="153"/>
      <c r="BS1345" s="153"/>
      <c r="BT1345" s="153"/>
      <c r="BU1345" s="153"/>
      <c r="BV1345" s="153"/>
      <c r="BW1345" s="153"/>
      <c r="BX1345" s="153"/>
      <c r="BY1345" s="153"/>
      <c r="BZ1345" s="153"/>
      <c r="CA1345" s="153"/>
      <c r="CB1345" s="153">
        <f>1716+2028</f>
        <v>3744</v>
      </c>
      <c r="CC1345" s="153">
        <f>1716*18000+2028*18000</f>
        <v>67392000</v>
      </c>
      <c r="CD1345" s="155">
        <v>2028</v>
      </c>
      <c r="CE1345" s="156">
        <f>2028*37000</f>
        <v>75036000</v>
      </c>
      <c r="CF1345" s="155"/>
      <c r="CG1345" s="156"/>
      <c r="CH1345" s="155"/>
      <c r="CI1345" s="156"/>
      <c r="CJ1345" s="157">
        <f t="shared" si="174"/>
        <v>255996000</v>
      </c>
      <c r="CK1345" s="158"/>
      <c r="CL1345" s="159"/>
      <c r="CM1345" s="160">
        <f>1716+2028</f>
        <v>3744</v>
      </c>
      <c r="CN1345" s="161">
        <f>1716*85000+2028*85000</f>
        <v>318240000</v>
      </c>
      <c r="CO1345" s="162"/>
      <c r="CP1345" s="161"/>
      <c r="CQ1345" s="158"/>
      <c r="CR1345" s="159"/>
      <c r="CS1345" s="68"/>
      <c r="CT1345" s="163"/>
      <c r="EC1345" s="344" t="str">
        <f t="shared" si="178"/>
        <v>BOLIVAR_HATILLO DE LOBA</v>
      </c>
      <c r="ED1345" s="341"/>
      <c r="EE1345" s="341"/>
      <c r="EF1345" s="348"/>
      <c r="EG1345" s="341"/>
      <c r="EH1345" s="341"/>
      <c r="EI1345" s="341"/>
    </row>
    <row r="1346" spans="1:139" s="164" customFormat="1" ht="36">
      <c r="A1346" s="228">
        <v>40468</v>
      </c>
      <c r="B1346" s="205" t="s">
        <v>1615</v>
      </c>
      <c r="C1346" s="205" t="s">
        <v>1555</v>
      </c>
      <c r="D1346" s="207" t="s">
        <v>1201</v>
      </c>
      <c r="E1346" s="323" t="s">
        <v>3393</v>
      </c>
      <c r="F1346" s="323"/>
      <c r="G1346" s="204"/>
      <c r="H1346" s="151"/>
      <c r="I1346" s="151"/>
      <c r="J1346" s="151">
        <f>282*5</f>
        <v>1410</v>
      </c>
      <c r="K1346" s="151">
        <v>282</v>
      </c>
      <c r="L1346" s="1"/>
      <c r="M1346" s="73">
        <f t="shared" si="172"/>
        <v>10434000</v>
      </c>
      <c r="N1346" s="73">
        <f t="shared" si="176"/>
        <v>23970000</v>
      </c>
      <c r="O1346" s="73">
        <f t="shared" si="179"/>
        <v>0</v>
      </c>
      <c r="P1346" s="73">
        <f t="shared" si="173"/>
        <v>0</v>
      </c>
      <c r="Q1346" s="73">
        <f>100*24000</f>
        <v>2400000</v>
      </c>
      <c r="R1346" s="73">
        <v>0</v>
      </c>
      <c r="S1346" s="75">
        <f t="shared" si="175"/>
        <v>36804000</v>
      </c>
      <c r="T1346" s="77">
        <v>0</v>
      </c>
      <c r="U1346" s="66">
        <v>40476</v>
      </c>
      <c r="V1346" s="79"/>
      <c r="W1346" s="66" t="s">
        <v>1606</v>
      </c>
      <c r="X1346" s="24" t="s">
        <v>1607</v>
      </c>
      <c r="Y1346" s="62"/>
      <c r="Z1346" s="169" t="s">
        <v>894</v>
      </c>
      <c r="AA1346" s="165" t="s">
        <v>3092</v>
      </c>
      <c r="AB1346" s="152"/>
      <c r="AC1346" s="153"/>
      <c r="AD1346" s="154"/>
      <c r="AE1346" s="153"/>
      <c r="AF1346" s="153"/>
      <c r="AG1346" s="153"/>
      <c r="AH1346" s="153"/>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c r="BF1346" s="153"/>
      <c r="BG1346" s="153"/>
      <c r="BH1346" s="153"/>
      <c r="BI1346" s="153"/>
      <c r="BJ1346" s="153"/>
      <c r="BK1346" s="153"/>
      <c r="BL1346" s="153"/>
      <c r="BM1346" s="153"/>
      <c r="BN1346" s="153"/>
      <c r="BO1346" s="153"/>
      <c r="BP1346" s="153"/>
      <c r="BQ1346" s="153"/>
      <c r="BR1346" s="153"/>
      <c r="BS1346" s="153"/>
      <c r="BT1346" s="153"/>
      <c r="BU1346" s="153"/>
      <c r="BV1346" s="153"/>
      <c r="BW1346" s="153"/>
      <c r="BX1346" s="153"/>
      <c r="BY1346" s="153"/>
      <c r="BZ1346" s="153"/>
      <c r="CA1346" s="153"/>
      <c r="CB1346" s="153"/>
      <c r="CC1346" s="153"/>
      <c r="CD1346" s="155">
        <v>282</v>
      </c>
      <c r="CE1346" s="156">
        <f>282*37000</f>
        <v>10434000</v>
      </c>
      <c r="CF1346" s="155"/>
      <c r="CG1346" s="156"/>
      <c r="CH1346" s="155"/>
      <c r="CI1346" s="156"/>
      <c r="CJ1346" s="157">
        <f t="shared" si="174"/>
        <v>10434000</v>
      </c>
      <c r="CK1346" s="158"/>
      <c r="CL1346" s="159"/>
      <c r="CM1346" s="160">
        <v>282</v>
      </c>
      <c r="CN1346" s="161">
        <f>282*85000</f>
        <v>23970000</v>
      </c>
      <c r="CO1346" s="162"/>
      <c r="CP1346" s="161"/>
      <c r="CQ1346" s="158"/>
      <c r="CR1346" s="159"/>
      <c r="CS1346" s="68"/>
      <c r="CT1346" s="163"/>
      <c r="EC1346" s="344" t="str">
        <f t="shared" si="178"/>
        <v>BOLIVAR_MAHATES</v>
      </c>
      <c r="ED1346" s="341"/>
      <c r="EE1346" s="341"/>
      <c r="EF1346" s="348"/>
      <c r="EG1346" s="341"/>
      <c r="EH1346" s="341"/>
      <c r="EI1346" s="341"/>
    </row>
    <row r="1347" spans="1:139" s="164" customFormat="1" ht="45">
      <c r="A1347" s="228">
        <v>40468</v>
      </c>
      <c r="B1347" s="205" t="s">
        <v>1615</v>
      </c>
      <c r="C1347" s="205" t="s">
        <v>1116</v>
      </c>
      <c r="D1347" s="207" t="s">
        <v>1201</v>
      </c>
      <c r="E1347" s="323" t="s">
        <v>3408</v>
      </c>
      <c r="F1347" s="323"/>
      <c r="G1347" s="204"/>
      <c r="H1347" s="151"/>
      <c r="I1347" s="151"/>
      <c r="J1347" s="151">
        <f>578*5</f>
        <v>2890</v>
      </c>
      <c r="K1347" s="151">
        <v>578</v>
      </c>
      <c r="L1347" s="1">
        <v>40505</v>
      </c>
      <c r="M1347" s="73">
        <f t="shared" ref="M1347:M1410" si="180">CJ1347</f>
        <v>66816000</v>
      </c>
      <c r="N1347" s="73">
        <f t="shared" si="176"/>
        <v>13600000</v>
      </c>
      <c r="O1347" s="73">
        <f t="shared" si="179"/>
        <v>0</v>
      </c>
      <c r="P1347" s="73">
        <f t="shared" ref="P1347:P1410" si="181">CL1347</f>
        <v>9500000</v>
      </c>
      <c r="Q1347" s="73">
        <f>576*18000</f>
        <v>10368000</v>
      </c>
      <c r="R1347" s="73">
        <v>0</v>
      </c>
      <c r="S1347" s="75">
        <f t="shared" si="175"/>
        <v>100284000</v>
      </c>
      <c r="T1347" s="77">
        <v>0</v>
      </c>
      <c r="U1347" s="66">
        <v>40476</v>
      </c>
      <c r="V1347" s="79">
        <v>57681</v>
      </c>
      <c r="W1347" s="66" t="s">
        <v>1606</v>
      </c>
      <c r="X1347" s="24" t="s">
        <v>1607</v>
      </c>
      <c r="Y1347" s="62">
        <v>24407</v>
      </c>
      <c r="Z1347" s="177" t="s">
        <v>2580</v>
      </c>
      <c r="AA1347" s="165" t="s">
        <v>3090</v>
      </c>
      <c r="AB1347" s="152"/>
      <c r="AC1347" s="153"/>
      <c r="AD1347" s="154"/>
      <c r="AE1347" s="153"/>
      <c r="AF1347" s="153"/>
      <c r="AG1347" s="153"/>
      <c r="AH1347" s="153"/>
      <c r="AI1347" s="153"/>
      <c r="AJ1347" s="153"/>
      <c r="AK1347" s="153"/>
      <c r="AL1347" s="153"/>
      <c r="AM1347" s="153"/>
      <c r="AN1347" s="153"/>
      <c r="AO1347" s="153"/>
      <c r="AP1347" s="153">
        <v>576</v>
      </c>
      <c r="AQ1347" s="153">
        <f>576*56000</f>
        <v>32256000</v>
      </c>
      <c r="AR1347" s="153"/>
      <c r="AS1347" s="153"/>
      <c r="AT1347" s="153"/>
      <c r="AU1347" s="153"/>
      <c r="AV1347" s="153"/>
      <c r="AW1347" s="153"/>
      <c r="AX1347" s="153"/>
      <c r="AY1347" s="153"/>
      <c r="AZ1347" s="153"/>
      <c r="BA1347" s="153"/>
      <c r="BB1347" s="153"/>
      <c r="BC1347" s="153"/>
      <c r="BD1347" s="153"/>
      <c r="BE1347" s="153"/>
      <c r="BF1347" s="153"/>
      <c r="BG1347" s="153"/>
      <c r="BH1347" s="153"/>
      <c r="BI1347" s="153"/>
      <c r="BJ1347" s="153"/>
      <c r="BK1347" s="153"/>
      <c r="BL1347" s="153"/>
      <c r="BM1347" s="153"/>
      <c r="BN1347" s="153"/>
      <c r="BO1347" s="153"/>
      <c r="BP1347" s="153"/>
      <c r="BQ1347" s="153"/>
      <c r="BR1347" s="153"/>
      <c r="BS1347" s="153"/>
      <c r="BT1347" s="153"/>
      <c r="BU1347" s="153"/>
      <c r="BV1347" s="153"/>
      <c r="BW1347" s="153"/>
      <c r="BX1347" s="153"/>
      <c r="BY1347" s="153"/>
      <c r="BZ1347" s="153"/>
      <c r="CA1347" s="153"/>
      <c r="CB1347" s="153">
        <v>160576</v>
      </c>
      <c r="CC1347" s="153">
        <f>160*18000+576*18000</f>
        <v>13248000</v>
      </c>
      <c r="CD1347" s="155">
        <v>576</v>
      </c>
      <c r="CE1347" s="156">
        <f>576*37000</f>
        <v>21312000</v>
      </c>
      <c r="CF1347" s="155"/>
      <c r="CG1347" s="156"/>
      <c r="CH1347" s="155"/>
      <c r="CI1347" s="156"/>
      <c r="CJ1347" s="157">
        <f t="shared" ref="CJ1347:CJ1410" si="182">AC1347+AE1347+AG1347+AI1347+AK1347+AM1347+AO1347+AQ1347+AS1347+AU1347+AW1347+AY1347+BA1347+BC1347+BE1347+BG1347+BI1347+BK1347+BM1347+BO1347+BQ1347+BS1347+BU1347+BW1347+BY1347+CA1347+CC1347+CE1347+CG1347+CI1347</f>
        <v>66816000</v>
      </c>
      <c r="CK1347" s="158">
        <v>10000</v>
      </c>
      <c r="CL1347" s="159">
        <f>10000*950</f>
        <v>9500000</v>
      </c>
      <c r="CM1347" s="160">
        <v>160</v>
      </c>
      <c r="CN1347" s="161">
        <f>160*85000</f>
        <v>13600000</v>
      </c>
      <c r="CO1347" s="162"/>
      <c r="CP1347" s="161"/>
      <c r="CQ1347" s="158"/>
      <c r="CR1347" s="159"/>
      <c r="CS1347" s="68"/>
      <c r="CT1347" s="163">
        <v>1361</v>
      </c>
      <c r="EC1347" s="344" t="str">
        <f t="shared" si="178"/>
        <v>BOLIVAR_SAN MARTIN DE LOBA</v>
      </c>
      <c r="ED1347" s="341"/>
      <c r="EE1347" s="341"/>
      <c r="EF1347" s="348"/>
      <c r="EG1347" s="341"/>
      <c r="EH1347" s="341"/>
      <c r="EI1347" s="341"/>
    </row>
    <row r="1348" spans="1:139" s="164" customFormat="1" ht="25.5">
      <c r="A1348" s="228">
        <v>40468</v>
      </c>
      <c r="B1348" s="205" t="s">
        <v>1615</v>
      </c>
      <c r="C1348" s="205" t="s">
        <v>1557</v>
      </c>
      <c r="D1348" s="207" t="s">
        <v>1201</v>
      </c>
      <c r="E1348" s="323" t="s">
        <v>3418</v>
      </c>
      <c r="F1348" s="323"/>
      <c r="G1348" s="204"/>
      <c r="H1348" s="151"/>
      <c r="I1348" s="151"/>
      <c r="J1348" s="151">
        <f>541*5</f>
        <v>2705</v>
      </c>
      <c r="K1348" s="151">
        <v>541</v>
      </c>
      <c r="L1348" s="1"/>
      <c r="M1348" s="73">
        <f t="shared" si="180"/>
        <v>51150000</v>
      </c>
      <c r="N1348" s="73">
        <f t="shared" si="176"/>
        <v>46750000</v>
      </c>
      <c r="O1348" s="73">
        <f t="shared" si="179"/>
        <v>0</v>
      </c>
      <c r="P1348" s="73">
        <f t="shared" si="181"/>
        <v>47500000</v>
      </c>
      <c r="Q1348" s="73"/>
      <c r="R1348" s="73">
        <v>0</v>
      </c>
      <c r="S1348" s="75">
        <f t="shared" si="175"/>
        <v>145400000</v>
      </c>
      <c r="T1348" s="77">
        <v>0</v>
      </c>
      <c r="U1348" s="66">
        <v>40476</v>
      </c>
      <c r="V1348" s="79"/>
      <c r="W1348" s="66" t="s">
        <v>1606</v>
      </c>
      <c r="X1348" s="24" t="s">
        <v>1607</v>
      </c>
      <c r="Y1348" s="62"/>
      <c r="Z1348" s="169" t="s">
        <v>894</v>
      </c>
      <c r="AA1348" s="166" t="s">
        <v>1103</v>
      </c>
      <c r="AB1348" s="152"/>
      <c r="AC1348" s="153"/>
      <c r="AD1348" s="154"/>
      <c r="AE1348" s="153"/>
      <c r="AF1348" s="153"/>
      <c r="AG1348" s="153"/>
      <c r="AH1348" s="153"/>
      <c r="AI1348" s="153"/>
      <c r="AJ1348" s="153"/>
      <c r="AK1348" s="153"/>
      <c r="AL1348" s="153"/>
      <c r="AM1348" s="153"/>
      <c r="AN1348" s="153">
        <v>550</v>
      </c>
      <c r="AO1348" s="153">
        <f>550*56000</f>
        <v>30800000</v>
      </c>
      <c r="AP1348" s="153"/>
      <c r="AQ1348" s="153"/>
      <c r="AR1348" s="153"/>
      <c r="AS1348" s="153"/>
      <c r="AT1348" s="153"/>
      <c r="AU1348" s="153"/>
      <c r="AV1348" s="153"/>
      <c r="AW1348" s="153"/>
      <c r="AX1348" s="153"/>
      <c r="AY1348" s="153"/>
      <c r="AZ1348" s="153"/>
      <c r="BA1348" s="153"/>
      <c r="BB1348" s="153"/>
      <c r="BC1348" s="153"/>
      <c r="BD1348" s="153"/>
      <c r="BE1348" s="153"/>
      <c r="BF1348" s="153"/>
      <c r="BG1348" s="153"/>
      <c r="BH1348" s="153"/>
      <c r="BI1348" s="153"/>
      <c r="BJ1348" s="153"/>
      <c r="BK1348" s="153"/>
      <c r="BL1348" s="153"/>
      <c r="BM1348" s="153"/>
      <c r="BN1348" s="153"/>
      <c r="BO1348" s="153"/>
      <c r="BP1348" s="153"/>
      <c r="BQ1348" s="153"/>
      <c r="BR1348" s="153"/>
      <c r="BS1348" s="153"/>
      <c r="BT1348" s="153"/>
      <c r="BU1348" s="153"/>
      <c r="BV1348" s="153"/>
      <c r="BW1348" s="153"/>
      <c r="BX1348" s="153"/>
      <c r="BY1348" s="153"/>
      <c r="BZ1348" s="153"/>
      <c r="CA1348" s="153"/>
      <c r="CB1348" s="153"/>
      <c r="CC1348" s="153"/>
      <c r="CD1348" s="155">
        <v>550</v>
      </c>
      <c r="CE1348" s="156">
        <f>550*37000</f>
        <v>20350000</v>
      </c>
      <c r="CF1348" s="155"/>
      <c r="CG1348" s="156"/>
      <c r="CH1348" s="155"/>
      <c r="CI1348" s="156"/>
      <c r="CJ1348" s="157">
        <f t="shared" si="182"/>
        <v>51150000</v>
      </c>
      <c r="CK1348" s="158">
        <v>50000</v>
      </c>
      <c r="CL1348" s="159">
        <f>50000*950</f>
        <v>47500000</v>
      </c>
      <c r="CM1348" s="160">
        <v>550</v>
      </c>
      <c r="CN1348" s="161">
        <f>550*85000</f>
        <v>46750000</v>
      </c>
      <c r="CO1348" s="162"/>
      <c r="CP1348" s="161"/>
      <c r="CQ1348" s="158"/>
      <c r="CR1348" s="159"/>
      <c r="CS1348" s="68"/>
      <c r="CT1348" s="163"/>
      <c r="EC1348" s="344" t="str">
        <f t="shared" si="178"/>
        <v>BOLIVAR_TURBANA</v>
      </c>
      <c r="ED1348" s="341"/>
      <c r="EE1348" s="341"/>
      <c r="EF1348" s="348"/>
      <c r="EG1348" s="341"/>
      <c r="EH1348" s="341"/>
      <c r="EI1348" s="341"/>
    </row>
    <row r="1349" spans="1:139" s="164" customFormat="1" ht="45">
      <c r="A1349" s="228">
        <v>40468</v>
      </c>
      <c r="B1349" s="205" t="s">
        <v>1615</v>
      </c>
      <c r="C1349" s="205" t="s">
        <v>1445</v>
      </c>
      <c r="D1349" s="207" t="s">
        <v>1201</v>
      </c>
      <c r="E1349" s="323" t="s">
        <v>3420</v>
      </c>
      <c r="F1349" s="323"/>
      <c r="G1349" s="204"/>
      <c r="H1349" s="151"/>
      <c r="I1349" s="151"/>
      <c r="J1349" s="151">
        <f>903*5</f>
        <v>4515</v>
      </c>
      <c r="K1349" s="151">
        <f>1316-12-200-1-200</f>
        <v>903</v>
      </c>
      <c r="L1349" s="1">
        <v>40508</v>
      </c>
      <c r="M1349" s="73">
        <f t="shared" si="180"/>
        <v>23688000</v>
      </c>
      <c r="N1349" s="73">
        <f t="shared" si="176"/>
        <v>111860000</v>
      </c>
      <c r="O1349" s="73">
        <f t="shared" si="179"/>
        <v>0</v>
      </c>
      <c r="P1349" s="73">
        <f t="shared" si="181"/>
        <v>0</v>
      </c>
      <c r="Q1349" s="73"/>
      <c r="R1349" s="73">
        <v>0</v>
      </c>
      <c r="S1349" s="75">
        <f t="shared" si="175"/>
        <v>135548000</v>
      </c>
      <c r="T1349" s="77">
        <v>0</v>
      </c>
      <c r="U1349" s="66">
        <v>40476</v>
      </c>
      <c r="V1349" s="79">
        <v>57681</v>
      </c>
      <c r="W1349" s="66" t="s">
        <v>1606</v>
      </c>
      <c r="X1349" s="24" t="s">
        <v>1607</v>
      </c>
      <c r="Y1349" s="62">
        <v>24643</v>
      </c>
      <c r="Z1349" s="177" t="s">
        <v>2580</v>
      </c>
      <c r="AA1349" s="166" t="s">
        <v>1104</v>
      </c>
      <c r="AB1349" s="152"/>
      <c r="AC1349" s="153"/>
      <c r="AD1349" s="154"/>
      <c r="AE1349" s="153"/>
      <c r="AF1349" s="153"/>
      <c r="AG1349" s="153"/>
      <c r="AH1349" s="153"/>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c r="BF1349" s="153"/>
      <c r="BG1349" s="153"/>
      <c r="BH1349" s="153"/>
      <c r="BI1349" s="153"/>
      <c r="BJ1349" s="153"/>
      <c r="BK1349" s="153"/>
      <c r="BL1349" s="153"/>
      <c r="BM1349" s="153"/>
      <c r="BN1349" s="153"/>
      <c r="BO1349" s="153"/>
      <c r="BP1349" s="153"/>
      <c r="BQ1349" s="153"/>
      <c r="BR1349" s="153"/>
      <c r="BS1349" s="153"/>
      <c r="BT1349" s="153"/>
      <c r="BU1349" s="153"/>
      <c r="BV1349" s="153"/>
      <c r="BW1349" s="153"/>
      <c r="BX1349" s="153"/>
      <c r="BY1349" s="153"/>
      <c r="BZ1349" s="153"/>
      <c r="CA1349" s="153"/>
      <c r="CB1349" s="153">
        <v>1316</v>
      </c>
      <c r="CC1349" s="153">
        <f>1316*18000</f>
        <v>23688000</v>
      </c>
      <c r="CD1349" s="155"/>
      <c r="CE1349" s="156"/>
      <c r="CF1349" s="155"/>
      <c r="CG1349" s="156"/>
      <c r="CH1349" s="155"/>
      <c r="CI1349" s="156"/>
      <c r="CJ1349" s="157">
        <f t="shared" si="182"/>
        <v>23688000</v>
      </c>
      <c r="CK1349" s="158"/>
      <c r="CL1349" s="159"/>
      <c r="CM1349" s="160">
        <v>1316</v>
      </c>
      <c r="CN1349" s="161">
        <f>1316*85000</f>
        <v>111860000</v>
      </c>
      <c r="CO1349" s="162"/>
      <c r="CP1349" s="161"/>
      <c r="CQ1349" s="158"/>
      <c r="CR1349" s="159"/>
      <c r="CS1349" s="68"/>
      <c r="CT1349" s="163"/>
      <c r="EC1349" s="344" t="str">
        <f t="shared" si="178"/>
        <v>BOLIVAR_ZAMBRANO</v>
      </c>
      <c r="ED1349" s="341"/>
      <c r="EE1349" s="341"/>
      <c r="EF1349" s="348"/>
      <c r="EG1349" s="341"/>
      <c r="EH1349" s="341"/>
      <c r="EI1349" s="341"/>
    </row>
    <row r="1350" spans="1:139" s="164" customFormat="1" ht="38.25">
      <c r="A1350" s="228">
        <v>40468</v>
      </c>
      <c r="B1350" s="205" t="s">
        <v>1998</v>
      </c>
      <c r="C1350" s="205" t="s">
        <v>3053</v>
      </c>
      <c r="D1350" s="207" t="s">
        <v>2606</v>
      </c>
      <c r="E1350" s="323" t="s">
        <v>4103</v>
      </c>
      <c r="F1350" s="323"/>
      <c r="G1350" s="263"/>
      <c r="H1350" s="151"/>
      <c r="I1350" s="151"/>
      <c r="J1350" s="151">
        <v>50</v>
      </c>
      <c r="K1350" s="151">
        <v>10</v>
      </c>
      <c r="L1350" s="1"/>
      <c r="M1350" s="73">
        <f t="shared" si="180"/>
        <v>0</v>
      </c>
      <c r="N1350" s="73">
        <f t="shared" si="176"/>
        <v>0</v>
      </c>
      <c r="O1350" s="73">
        <f t="shared" si="179"/>
        <v>0</v>
      </c>
      <c r="P1350" s="73">
        <f t="shared" si="181"/>
        <v>0</v>
      </c>
      <c r="Q1350" s="73"/>
      <c r="R1350" s="73">
        <v>0</v>
      </c>
      <c r="S1350" s="75">
        <f t="shared" si="175"/>
        <v>0</v>
      </c>
      <c r="T1350" s="77">
        <v>0</v>
      </c>
      <c r="U1350" s="66">
        <v>40470</v>
      </c>
      <c r="V1350" s="79"/>
      <c r="W1350" s="66" t="s">
        <v>1585</v>
      </c>
      <c r="X1350" s="24" t="s">
        <v>1586</v>
      </c>
      <c r="Y1350" s="62"/>
      <c r="Z1350" s="169" t="s">
        <v>894</v>
      </c>
      <c r="AA1350" s="166" t="s">
        <v>409</v>
      </c>
      <c r="AB1350" s="152"/>
      <c r="AC1350" s="153"/>
      <c r="AD1350" s="154"/>
      <c r="AE1350" s="153"/>
      <c r="AF1350" s="153"/>
      <c r="AG1350" s="153"/>
      <c r="AH1350" s="153"/>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c r="BF1350" s="153"/>
      <c r="BG1350" s="153"/>
      <c r="BH1350" s="153"/>
      <c r="BI1350" s="153"/>
      <c r="BJ1350" s="153"/>
      <c r="BK1350" s="153"/>
      <c r="BL1350" s="153"/>
      <c r="BM1350" s="153"/>
      <c r="BN1350" s="153"/>
      <c r="BO1350" s="153"/>
      <c r="BP1350" s="153"/>
      <c r="BQ1350" s="153"/>
      <c r="BR1350" s="153"/>
      <c r="BS1350" s="153"/>
      <c r="BT1350" s="153"/>
      <c r="BU1350" s="153"/>
      <c r="BV1350" s="153"/>
      <c r="BW1350" s="153"/>
      <c r="BX1350" s="153"/>
      <c r="BY1350" s="153"/>
      <c r="BZ1350" s="153"/>
      <c r="CA1350" s="153"/>
      <c r="CB1350" s="153"/>
      <c r="CC1350" s="153"/>
      <c r="CD1350" s="155"/>
      <c r="CE1350" s="156"/>
      <c r="CF1350" s="155"/>
      <c r="CG1350" s="156"/>
      <c r="CH1350" s="155"/>
      <c r="CI1350" s="156"/>
      <c r="CJ1350" s="157">
        <f t="shared" si="182"/>
        <v>0</v>
      </c>
      <c r="CK1350" s="158"/>
      <c r="CL1350" s="159"/>
      <c r="CM1350" s="160"/>
      <c r="CN1350" s="161"/>
      <c r="CO1350" s="162"/>
      <c r="CP1350" s="161"/>
      <c r="CQ1350" s="158"/>
      <c r="CR1350" s="159"/>
      <c r="CS1350" s="68"/>
      <c r="CT1350" s="163"/>
      <c r="EC1350" s="344" t="str">
        <f t="shared" si="178"/>
        <v>SANTANDER_GUAVATA</v>
      </c>
      <c r="ED1350" s="341"/>
      <c r="EE1350" s="341"/>
      <c r="EF1350" s="348"/>
      <c r="EG1350" s="341"/>
      <c r="EH1350" s="341"/>
      <c r="EI1350" s="341"/>
    </row>
    <row r="1351" spans="1:139" s="164" customFormat="1" ht="60">
      <c r="A1351" s="228">
        <v>40469</v>
      </c>
      <c r="B1351" s="205" t="s">
        <v>1972</v>
      </c>
      <c r="C1351" s="205" t="s">
        <v>2297</v>
      </c>
      <c r="D1351" s="207" t="s">
        <v>329</v>
      </c>
      <c r="E1351" s="323" t="s">
        <v>3240</v>
      </c>
      <c r="F1351" s="323"/>
      <c r="G1351" s="204"/>
      <c r="H1351" s="151">
        <v>4</v>
      </c>
      <c r="I1351" s="151"/>
      <c r="J1351" s="151"/>
      <c r="K1351" s="151"/>
      <c r="L1351" s="1"/>
      <c r="M1351" s="73">
        <f t="shared" si="180"/>
        <v>0</v>
      </c>
      <c r="N1351" s="73">
        <f t="shared" si="176"/>
        <v>0</v>
      </c>
      <c r="O1351" s="73">
        <f t="shared" si="179"/>
        <v>0</v>
      </c>
      <c r="P1351" s="73">
        <f t="shared" si="181"/>
        <v>0</v>
      </c>
      <c r="Q1351" s="73"/>
      <c r="R1351" s="73">
        <v>0</v>
      </c>
      <c r="S1351" s="75">
        <f t="shared" si="175"/>
        <v>0</v>
      </c>
      <c r="T1351" s="77">
        <v>0</v>
      </c>
      <c r="U1351" s="66">
        <v>40470</v>
      </c>
      <c r="V1351" s="79"/>
      <c r="W1351" s="66" t="s">
        <v>1585</v>
      </c>
      <c r="X1351" s="24" t="s">
        <v>1586</v>
      </c>
      <c r="Y1351" s="62"/>
      <c r="Z1351" s="169" t="s">
        <v>894</v>
      </c>
      <c r="AA1351" s="166" t="s">
        <v>415</v>
      </c>
      <c r="AB1351" s="152"/>
      <c r="AC1351" s="153"/>
      <c r="AD1351" s="154"/>
      <c r="AE1351" s="153"/>
      <c r="AF1351" s="153"/>
      <c r="AG1351" s="153"/>
      <c r="AH1351" s="153"/>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c r="BF1351" s="153"/>
      <c r="BG1351" s="153"/>
      <c r="BH1351" s="153"/>
      <c r="BI1351" s="153"/>
      <c r="BJ1351" s="153"/>
      <c r="BK1351" s="153"/>
      <c r="BL1351" s="153"/>
      <c r="BM1351" s="153"/>
      <c r="BN1351" s="153"/>
      <c r="BO1351" s="153"/>
      <c r="BP1351" s="153"/>
      <c r="BQ1351" s="153"/>
      <c r="BR1351" s="153"/>
      <c r="BS1351" s="153"/>
      <c r="BT1351" s="153"/>
      <c r="BU1351" s="153"/>
      <c r="BV1351" s="153"/>
      <c r="BW1351" s="153"/>
      <c r="BX1351" s="153"/>
      <c r="BY1351" s="153"/>
      <c r="BZ1351" s="153"/>
      <c r="CA1351" s="153"/>
      <c r="CB1351" s="153"/>
      <c r="CC1351" s="153"/>
      <c r="CD1351" s="155"/>
      <c r="CE1351" s="156"/>
      <c r="CF1351" s="155"/>
      <c r="CG1351" s="156"/>
      <c r="CH1351" s="155"/>
      <c r="CI1351" s="156"/>
      <c r="CJ1351" s="157">
        <f t="shared" si="182"/>
        <v>0</v>
      </c>
      <c r="CK1351" s="158"/>
      <c r="CL1351" s="159"/>
      <c r="CM1351" s="160"/>
      <c r="CN1351" s="161"/>
      <c r="CO1351" s="162"/>
      <c r="CP1351" s="161"/>
      <c r="CQ1351" s="158"/>
      <c r="CR1351" s="159"/>
      <c r="CS1351" s="68"/>
      <c r="CT1351" s="163"/>
      <c r="EC1351" s="344" t="str">
        <f t="shared" si="178"/>
        <v>ANTIOQUIA_ARBOLETES</v>
      </c>
      <c r="ED1351" s="341"/>
      <c r="EE1351" s="341"/>
      <c r="EF1351" s="348"/>
      <c r="EG1351" s="341"/>
      <c r="EH1351" s="341"/>
      <c r="EI1351" s="341"/>
    </row>
    <row r="1352" spans="1:139" s="164" customFormat="1" ht="38.25">
      <c r="A1352" s="228">
        <v>40469</v>
      </c>
      <c r="B1352" s="205" t="s">
        <v>1551</v>
      </c>
      <c r="C1352" s="205" t="s">
        <v>1605</v>
      </c>
      <c r="D1352" s="207" t="s">
        <v>1201</v>
      </c>
      <c r="E1352" s="323" t="s">
        <v>3110</v>
      </c>
      <c r="F1352" s="323"/>
      <c r="G1352" s="204"/>
      <c r="H1352" s="151"/>
      <c r="I1352" s="151"/>
      <c r="J1352" s="151"/>
      <c r="K1352" s="151"/>
      <c r="L1352" s="1">
        <v>40508</v>
      </c>
      <c r="M1352" s="73">
        <f t="shared" si="180"/>
        <v>0</v>
      </c>
      <c r="N1352" s="73">
        <f t="shared" si="176"/>
        <v>0</v>
      </c>
      <c r="O1352" s="73">
        <f t="shared" si="179"/>
        <v>0</v>
      </c>
      <c r="P1352" s="73">
        <f t="shared" si="181"/>
        <v>180032000</v>
      </c>
      <c r="Q1352" s="73"/>
      <c r="R1352" s="73">
        <v>0</v>
      </c>
      <c r="S1352" s="75">
        <f t="shared" si="175"/>
        <v>180032000</v>
      </c>
      <c r="T1352" s="77">
        <v>0</v>
      </c>
      <c r="U1352" s="66">
        <v>40469</v>
      </c>
      <c r="V1352" s="79">
        <v>53053</v>
      </c>
      <c r="W1352" s="66" t="s">
        <v>1606</v>
      </c>
      <c r="X1352" s="24" t="s">
        <v>1607</v>
      </c>
      <c r="Y1352" s="83" t="s">
        <v>238</v>
      </c>
      <c r="Z1352" s="169" t="s">
        <v>1435</v>
      </c>
      <c r="AA1352" s="166" t="s">
        <v>362</v>
      </c>
      <c r="AB1352" s="152"/>
      <c r="AC1352" s="153"/>
      <c r="AD1352" s="154"/>
      <c r="AE1352" s="153"/>
      <c r="AF1352" s="153"/>
      <c r="AG1352" s="153"/>
      <c r="AH1352" s="153"/>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c r="BF1352" s="153"/>
      <c r="BG1352" s="153"/>
      <c r="BH1352" s="153"/>
      <c r="BI1352" s="153"/>
      <c r="BJ1352" s="153"/>
      <c r="BK1352" s="153"/>
      <c r="BL1352" s="153"/>
      <c r="BM1352" s="153"/>
      <c r="BN1352" s="153"/>
      <c r="BO1352" s="153"/>
      <c r="BP1352" s="153"/>
      <c r="BQ1352" s="153"/>
      <c r="BR1352" s="153"/>
      <c r="BS1352" s="153"/>
      <c r="BT1352" s="153"/>
      <c r="BU1352" s="153"/>
      <c r="BV1352" s="153"/>
      <c r="BW1352" s="153"/>
      <c r="BX1352" s="153"/>
      <c r="BY1352" s="153"/>
      <c r="BZ1352" s="153"/>
      <c r="CA1352" s="153"/>
      <c r="CB1352" s="153"/>
      <c r="CC1352" s="153"/>
      <c r="CD1352" s="155"/>
      <c r="CE1352" s="156"/>
      <c r="CF1352" s="155"/>
      <c r="CG1352" s="156"/>
      <c r="CH1352" s="155"/>
      <c r="CI1352" s="156"/>
      <c r="CJ1352" s="157">
        <f t="shared" si="182"/>
        <v>0</v>
      </c>
      <c r="CK1352" s="158">
        <f>100000+100000</f>
        <v>200000</v>
      </c>
      <c r="CL1352" s="159">
        <f>100000*900.16+100000*900.16</f>
        <v>180032000</v>
      </c>
      <c r="CM1352" s="160"/>
      <c r="CN1352" s="161"/>
      <c r="CO1352" s="162"/>
      <c r="CP1352" s="161"/>
      <c r="CQ1352" s="158"/>
      <c r="CR1352" s="159"/>
      <c r="CS1352" s="68"/>
      <c r="CT1352" s="163">
        <v>1380</v>
      </c>
      <c r="EC1352" s="344" t="str">
        <f t="shared" si="178"/>
        <v>ATLANTICO_DEPARTAMENTO</v>
      </c>
      <c r="ED1352" s="341"/>
      <c r="EE1352" s="341"/>
      <c r="EF1352" s="348"/>
      <c r="EG1352" s="341"/>
      <c r="EH1352" s="341"/>
      <c r="EI1352" s="341"/>
    </row>
    <row r="1353" spans="1:139" s="164" customFormat="1" ht="84">
      <c r="A1353" s="228">
        <v>40469</v>
      </c>
      <c r="B1353" s="205" t="s">
        <v>1551</v>
      </c>
      <c r="C1353" s="205" t="s">
        <v>386</v>
      </c>
      <c r="D1353" s="207" t="s">
        <v>1201</v>
      </c>
      <c r="E1353" s="323" t="s">
        <v>3361</v>
      </c>
      <c r="F1353" s="323"/>
      <c r="G1353" s="204"/>
      <c r="H1353" s="151"/>
      <c r="I1353" s="151"/>
      <c r="J1353" s="151">
        <f>1300*5</f>
        <v>6500</v>
      </c>
      <c r="K1353" s="151">
        <v>1300</v>
      </c>
      <c r="L1353" s="1">
        <v>40487</v>
      </c>
      <c r="M1353" s="73">
        <f t="shared" si="180"/>
        <v>0</v>
      </c>
      <c r="N1353" s="73">
        <f t="shared" si="176"/>
        <v>110500000</v>
      </c>
      <c r="O1353" s="73">
        <f t="shared" si="179"/>
        <v>0</v>
      </c>
      <c r="P1353" s="73">
        <f t="shared" si="181"/>
        <v>0</v>
      </c>
      <c r="Q1353" s="73"/>
      <c r="R1353" s="73">
        <v>37000000</v>
      </c>
      <c r="S1353" s="75">
        <f t="shared" ref="S1353:S1416" si="183">M1353+N1353+O1353+P1353+Q1353+R1353</f>
        <v>147500000</v>
      </c>
      <c r="T1353" s="77">
        <v>0</v>
      </c>
      <c r="U1353" s="66">
        <v>40470</v>
      </c>
      <c r="V1353" s="79"/>
      <c r="W1353" s="66" t="s">
        <v>1606</v>
      </c>
      <c r="X1353" s="24" t="s">
        <v>1607</v>
      </c>
      <c r="Y1353" s="62">
        <v>27459</v>
      </c>
      <c r="Z1353" s="169" t="s">
        <v>2580</v>
      </c>
      <c r="AA1353" s="166" t="s">
        <v>2561</v>
      </c>
      <c r="AB1353" s="152"/>
      <c r="AC1353" s="153"/>
      <c r="AD1353" s="154"/>
      <c r="AE1353" s="153"/>
      <c r="AF1353" s="153"/>
      <c r="AG1353" s="153"/>
      <c r="AH1353" s="153"/>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c r="BF1353" s="153"/>
      <c r="BG1353" s="153"/>
      <c r="BH1353" s="153"/>
      <c r="BI1353" s="153"/>
      <c r="BJ1353" s="153"/>
      <c r="BK1353" s="153"/>
      <c r="BL1353" s="153"/>
      <c r="BM1353" s="153"/>
      <c r="BN1353" s="153"/>
      <c r="BO1353" s="153"/>
      <c r="BP1353" s="153"/>
      <c r="BQ1353" s="153"/>
      <c r="BR1353" s="153"/>
      <c r="BS1353" s="153"/>
      <c r="BT1353" s="153"/>
      <c r="BU1353" s="153"/>
      <c r="BV1353" s="153"/>
      <c r="BW1353" s="153"/>
      <c r="BX1353" s="153"/>
      <c r="BY1353" s="153"/>
      <c r="BZ1353" s="153"/>
      <c r="CA1353" s="153"/>
      <c r="CB1353" s="153"/>
      <c r="CC1353" s="153"/>
      <c r="CD1353" s="155"/>
      <c r="CE1353" s="156"/>
      <c r="CF1353" s="155"/>
      <c r="CG1353" s="156"/>
      <c r="CH1353" s="155"/>
      <c r="CI1353" s="156"/>
      <c r="CJ1353" s="157">
        <f t="shared" si="182"/>
        <v>0</v>
      </c>
      <c r="CK1353" s="158"/>
      <c r="CL1353" s="159"/>
      <c r="CM1353" s="160">
        <v>1300</v>
      </c>
      <c r="CN1353" s="161">
        <f>1300*85000</f>
        <v>110500000</v>
      </c>
      <c r="CO1353" s="162"/>
      <c r="CP1353" s="161"/>
      <c r="CQ1353" s="158"/>
      <c r="CR1353" s="159"/>
      <c r="CS1353" s="68"/>
      <c r="CT1353" s="163"/>
      <c r="EC1353" s="344" t="str">
        <f t="shared" si="178"/>
        <v>ATLANTICO_PALMAR DE VARELA</v>
      </c>
      <c r="ED1353" s="341"/>
      <c r="EE1353" s="341"/>
      <c r="EF1353" s="348"/>
      <c r="EG1353" s="341"/>
      <c r="EH1353" s="341"/>
      <c r="EI1353" s="341"/>
    </row>
    <row r="1354" spans="1:139" s="164" customFormat="1" ht="60">
      <c r="A1354" s="228">
        <v>40469</v>
      </c>
      <c r="B1354" s="205" t="s">
        <v>1551</v>
      </c>
      <c r="C1354" s="205" t="s">
        <v>319</v>
      </c>
      <c r="D1354" s="207" t="s">
        <v>1201</v>
      </c>
      <c r="E1354" s="323" t="s">
        <v>3365</v>
      </c>
      <c r="F1354" s="323"/>
      <c r="G1354" s="204"/>
      <c r="H1354" s="151"/>
      <c r="I1354" s="151"/>
      <c r="J1354" s="151">
        <f>1096*5</f>
        <v>5480</v>
      </c>
      <c r="K1354" s="151">
        <f>1371-50-225</f>
        <v>1096</v>
      </c>
      <c r="L1354" s="1"/>
      <c r="M1354" s="73">
        <f t="shared" si="180"/>
        <v>0</v>
      </c>
      <c r="N1354" s="73">
        <f t="shared" si="176"/>
        <v>116535000</v>
      </c>
      <c r="O1354" s="73">
        <f t="shared" si="179"/>
        <v>0</v>
      </c>
      <c r="P1354" s="73">
        <f t="shared" si="181"/>
        <v>0</v>
      </c>
      <c r="Q1354" s="73"/>
      <c r="R1354" s="73">
        <v>0</v>
      </c>
      <c r="S1354" s="75">
        <f t="shared" si="183"/>
        <v>116535000</v>
      </c>
      <c r="T1354" s="77">
        <v>0</v>
      </c>
      <c r="U1354" s="66">
        <v>40470</v>
      </c>
      <c r="V1354" s="79"/>
      <c r="W1354" s="66" t="s">
        <v>1606</v>
      </c>
      <c r="X1354" s="24" t="s">
        <v>1607</v>
      </c>
      <c r="Y1354" s="62"/>
      <c r="Z1354" s="169" t="s">
        <v>894</v>
      </c>
      <c r="AA1354" s="166" t="s">
        <v>411</v>
      </c>
      <c r="AB1354" s="152"/>
      <c r="AC1354" s="153"/>
      <c r="AD1354" s="154"/>
      <c r="AE1354" s="153"/>
      <c r="AF1354" s="153"/>
      <c r="AG1354" s="153"/>
      <c r="AH1354" s="153"/>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c r="BF1354" s="153"/>
      <c r="BG1354" s="153"/>
      <c r="BH1354" s="153"/>
      <c r="BI1354" s="153"/>
      <c r="BJ1354" s="153"/>
      <c r="BK1354" s="153"/>
      <c r="BL1354" s="153"/>
      <c r="BM1354" s="153"/>
      <c r="BN1354" s="153"/>
      <c r="BO1354" s="153"/>
      <c r="BP1354" s="153"/>
      <c r="BQ1354" s="153"/>
      <c r="BR1354" s="153"/>
      <c r="BS1354" s="153"/>
      <c r="BT1354" s="153"/>
      <c r="BU1354" s="153"/>
      <c r="BV1354" s="153"/>
      <c r="BW1354" s="153"/>
      <c r="BX1354" s="153"/>
      <c r="BY1354" s="153"/>
      <c r="BZ1354" s="153"/>
      <c r="CA1354" s="153"/>
      <c r="CB1354" s="153"/>
      <c r="CC1354" s="153"/>
      <c r="CD1354" s="155"/>
      <c r="CE1354" s="156"/>
      <c r="CF1354" s="155"/>
      <c r="CG1354" s="156"/>
      <c r="CH1354" s="155"/>
      <c r="CI1354" s="156"/>
      <c r="CJ1354" s="157">
        <f t="shared" si="182"/>
        <v>0</v>
      </c>
      <c r="CK1354" s="158"/>
      <c r="CL1354" s="159"/>
      <c r="CM1354" s="160">
        <v>1371</v>
      </c>
      <c r="CN1354" s="161">
        <f>1371*85000</f>
        <v>116535000</v>
      </c>
      <c r="CO1354" s="162"/>
      <c r="CP1354" s="161"/>
      <c r="CQ1354" s="158"/>
      <c r="CR1354" s="159"/>
      <c r="CS1354" s="68"/>
      <c r="CT1354" s="163"/>
      <c r="EC1354" s="344" t="str">
        <f t="shared" si="178"/>
        <v>ATLANTICO_PUERTO COLOMBIA</v>
      </c>
      <c r="ED1354" s="341"/>
      <c r="EE1354" s="341"/>
      <c r="EF1354" s="348"/>
      <c r="EG1354" s="341"/>
      <c r="EH1354" s="341"/>
      <c r="EI1354" s="341"/>
    </row>
    <row r="1355" spans="1:139" s="164" customFormat="1" ht="48">
      <c r="A1355" s="228">
        <v>40469</v>
      </c>
      <c r="B1355" s="102" t="s">
        <v>4321</v>
      </c>
      <c r="C1355" s="205" t="s">
        <v>699</v>
      </c>
      <c r="D1355" s="207" t="s">
        <v>1201</v>
      </c>
      <c r="E1355" s="323" t="s">
        <v>3860</v>
      </c>
      <c r="F1355" s="323"/>
      <c r="G1355" s="204"/>
      <c r="H1355" s="151"/>
      <c r="I1355" s="151"/>
      <c r="J1355" s="151">
        <v>105</v>
      </c>
      <c r="K1355" s="151">
        <v>21</v>
      </c>
      <c r="L1355" s="1"/>
      <c r="M1355" s="73">
        <f t="shared" si="180"/>
        <v>0</v>
      </c>
      <c r="N1355" s="73">
        <f t="shared" si="176"/>
        <v>0</v>
      </c>
      <c r="O1355" s="73">
        <f t="shared" si="179"/>
        <v>0</v>
      </c>
      <c r="P1355" s="73">
        <f t="shared" si="181"/>
        <v>0</v>
      </c>
      <c r="Q1355" s="73"/>
      <c r="R1355" s="73">
        <v>0</v>
      </c>
      <c r="S1355" s="75">
        <f t="shared" si="183"/>
        <v>0</v>
      </c>
      <c r="T1355" s="77">
        <v>0</v>
      </c>
      <c r="U1355" s="66">
        <v>40470</v>
      </c>
      <c r="V1355" s="79"/>
      <c r="W1355" s="66" t="s">
        <v>1585</v>
      </c>
      <c r="X1355" s="24" t="s">
        <v>1586</v>
      </c>
      <c r="Y1355" s="62"/>
      <c r="Z1355" s="169" t="s">
        <v>894</v>
      </c>
      <c r="AA1355" s="166" t="s">
        <v>412</v>
      </c>
      <c r="AB1355" s="152"/>
      <c r="AC1355" s="153"/>
      <c r="AD1355" s="154"/>
      <c r="AE1355" s="153"/>
      <c r="AF1355" s="153"/>
      <c r="AG1355" s="153"/>
      <c r="AH1355" s="153"/>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c r="BF1355" s="153"/>
      <c r="BG1355" s="153"/>
      <c r="BH1355" s="153"/>
      <c r="BI1355" s="153"/>
      <c r="BJ1355" s="153"/>
      <c r="BK1355" s="153"/>
      <c r="BL1355" s="153"/>
      <c r="BM1355" s="153"/>
      <c r="BN1355" s="153"/>
      <c r="BO1355" s="153"/>
      <c r="BP1355" s="153"/>
      <c r="BQ1355" s="153"/>
      <c r="BR1355" s="153"/>
      <c r="BS1355" s="153"/>
      <c r="BT1355" s="153"/>
      <c r="BU1355" s="153"/>
      <c r="BV1355" s="153"/>
      <c r="BW1355" s="153"/>
      <c r="BX1355" s="153"/>
      <c r="BY1355" s="153"/>
      <c r="BZ1355" s="153"/>
      <c r="CA1355" s="153"/>
      <c r="CB1355" s="153"/>
      <c r="CC1355" s="153"/>
      <c r="CD1355" s="155"/>
      <c r="CE1355" s="156"/>
      <c r="CF1355" s="155"/>
      <c r="CG1355" s="156"/>
      <c r="CH1355" s="155"/>
      <c r="CI1355" s="156"/>
      <c r="CJ1355" s="157">
        <f t="shared" si="182"/>
        <v>0</v>
      </c>
      <c r="CK1355" s="158"/>
      <c r="CL1355" s="159"/>
      <c r="CM1355" s="160"/>
      <c r="CN1355" s="161"/>
      <c r="CO1355" s="162"/>
      <c r="CP1355" s="161"/>
      <c r="CQ1355" s="158"/>
      <c r="CR1355" s="159"/>
      <c r="CS1355" s="68"/>
      <c r="CT1355" s="163"/>
      <c r="EC1355" s="344" t="str">
        <f t="shared" si="178"/>
        <v>LA GUAJIRA_RIOHACHA</v>
      </c>
      <c r="ED1355" s="341"/>
      <c r="EE1355" s="341"/>
      <c r="EF1355" s="348"/>
      <c r="EG1355" s="341"/>
      <c r="EH1355" s="341"/>
      <c r="EI1355" s="341"/>
    </row>
    <row r="1356" spans="1:139" s="164" customFormat="1" ht="38.25">
      <c r="A1356" s="235">
        <v>40470</v>
      </c>
      <c r="B1356" s="269" t="s">
        <v>1972</v>
      </c>
      <c r="C1356" s="269" t="s">
        <v>421</v>
      </c>
      <c r="D1356" s="270" t="s">
        <v>2606</v>
      </c>
      <c r="E1356" s="327" t="s">
        <v>3273</v>
      </c>
      <c r="F1356" s="327"/>
      <c r="G1356" s="204"/>
      <c r="H1356" s="151"/>
      <c r="I1356" s="151"/>
      <c r="J1356" s="151">
        <v>57</v>
      </c>
      <c r="K1356" s="151">
        <v>15</v>
      </c>
      <c r="L1356" s="1"/>
      <c r="M1356" s="73">
        <f t="shared" si="180"/>
        <v>0</v>
      </c>
      <c r="N1356" s="73">
        <f t="shared" si="176"/>
        <v>0</v>
      </c>
      <c r="O1356" s="73">
        <f t="shared" si="179"/>
        <v>0</v>
      </c>
      <c r="P1356" s="73">
        <f t="shared" si="181"/>
        <v>0</v>
      </c>
      <c r="Q1356" s="73"/>
      <c r="R1356" s="73">
        <v>0</v>
      </c>
      <c r="S1356" s="75">
        <f t="shared" si="183"/>
        <v>0</v>
      </c>
      <c r="T1356" s="77">
        <v>0</v>
      </c>
      <c r="U1356" s="66">
        <v>40471</v>
      </c>
      <c r="V1356" s="79"/>
      <c r="W1356" s="66" t="s">
        <v>1585</v>
      </c>
      <c r="X1356" s="24" t="s">
        <v>1586</v>
      </c>
      <c r="Y1356" s="62"/>
      <c r="Z1356" s="169" t="s">
        <v>894</v>
      </c>
      <c r="AA1356" s="166" t="s">
        <v>422</v>
      </c>
      <c r="AB1356" s="152"/>
      <c r="AC1356" s="153"/>
      <c r="AD1356" s="154"/>
      <c r="AE1356" s="153"/>
      <c r="AF1356" s="153"/>
      <c r="AG1356" s="153"/>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c r="BI1356" s="153"/>
      <c r="BJ1356" s="153"/>
      <c r="BK1356" s="153"/>
      <c r="BL1356" s="153"/>
      <c r="BM1356" s="153"/>
      <c r="BN1356" s="153"/>
      <c r="BO1356" s="153"/>
      <c r="BP1356" s="153"/>
      <c r="BQ1356" s="153"/>
      <c r="BR1356" s="153"/>
      <c r="BS1356" s="153"/>
      <c r="BT1356" s="153"/>
      <c r="BU1356" s="153"/>
      <c r="BV1356" s="153"/>
      <c r="BW1356" s="153"/>
      <c r="BX1356" s="153"/>
      <c r="BY1356" s="153"/>
      <c r="BZ1356" s="153"/>
      <c r="CA1356" s="153"/>
      <c r="CB1356" s="153"/>
      <c r="CC1356" s="153"/>
      <c r="CD1356" s="155"/>
      <c r="CE1356" s="156"/>
      <c r="CF1356" s="155"/>
      <c r="CG1356" s="156"/>
      <c r="CH1356" s="155"/>
      <c r="CI1356" s="156"/>
      <c r="CJ1356" s="157">
        <f t="shared" si="182"/>
        <v>0</v>
      </c>
      <c r="CK1356" s="158"/>
      <c r="CL1356" s="159"/>
      <c r="CM1356" s="160"/>
      <c r="CN1356" s="161"/>
      <c r="CO1356" s="162"/>
      <c r="CP1356" s="161"/>
      <c r="CQ1356" s="158"/>
      <c r="CR1356" s="159"/>
      <c r="CS1356" s="68"/>
      <c r="CT1356" s="163"/>
      <c r="EC1356" s="344" t="str">
        <f t="shared" si="178"/>
        <v>ANTIOQUIA_ENVIGADO</v>
      </c>
      <c r="ED1356" s="341"/>
      <c r="EE1356" s="341"/>
      <c r="EF1356" s="348"/>
      <c r="EG1356" s="341"/>
      <c r="EH1356" s="341"/>
      <c r="EI1356" s="341"/>
    </row>
    <row r="1357" spans="1:139" s="164" customFormat="1" ht="25.5">
      <c r="A1357" s="228">
        <v>40470</v>
      </c>
      <c r="B1357" s="205" t="s">
        <v>1192</v>
      </c>
      <c r="C1357" s="205" t="s">
        <v>1671</v>
      </c>
      <c r="D1357" s="207" t="s">
        <v>2606</v>
      </c>
      <c r="E1357" s="323" t="s">
        <v>3491</v>
      </c>
      <c r="F1357" s="323"/>
      <c r="G1357" s="204"/>
      <c r="H1357" s="151"/>
      <c r="I1357" s="151"/>
      <c r="J1357" s="151">
        <f>140*5</f>
        <v>700</v>
      </c>
      <c r="K1357" s="151">
        <v>140</v>
      </c>
      <c r="L1357" s="1">
        <v>40530</v>
      </c>
      <c r="M1357" s="73">
        <f t="shared" si="180"/>
        <v>21978934.120000001</v>
      </c>
      <c r="N1357" s="73">
        <f t="shared" si="176"/>
        <v>12155000</v>
      </c>
      <c r="O1357" s="73">
        <f t="shared" si="179"/>
        <v>0</v>
      </c>
      <c r="P1357" s="73">
        <f t="shared" si="181"/>
        <v>0</v>
      </c>
      <c r="Q1357" s="73"/>
      <c r="R1357" s="73">
        <v>0</v>
      </c>
      <c r="S1357" s="75">
        <f t="shared" si="183"/>
        <v>34133934.120000005</v>
      </c>
      <c r="T1357" s="77">
        <v>0</v>
      </c>
      <c r="U1357" s="66">
        <v>40484</v>
      </c>
      <c r="V1357" s="79"/>
      <c r="W1357" s="66" t="s">
        <v>1606</v>
      </c>
      <c r="X1357" s="24" t="s">
        <v>1607</v>
      </c>
      <c r="Y1357" s="83" t="s">
        <v>237</v>
      </c>
      <c r="Z1357" s="169" t="s">
        <v>894</v>
      </c>
      <c r="AA1357" s="166" t="s">
        <v>1672</v>
      </c>
      <c r="AB1357" s="152"/>
      <c r="AC1357" s="153"/>
      <c r="AD1357" s="154"/>
      <c r="AE1357" s="153"/>
      <c r="AF1357" s="153"/>
      <c r="AG1357" s="153"/>
      <c r="AH1357" s="153"/>
      <c r="AI1357" s="153"/>
      <c r="AJ1357" s="153"/>
      <c r="AK1357" s="153"/>
      <c r="AL1357" s="153"/>
      <c r="AM1357" s="153"/>
      <c r="AN1357" s="153">
        <v>143</v>
      </c>
      <c r="AO1357" s="153">
        <f>143*56000</f>
        <v>8008000</v>
      </c>
      <c r="AP1357" s="153"/>
      <c r="AQ1357" s="153"/>
      <c r="AR1357" s="153"/>
      <c r="AS1357" s="153"/>
      <c r="AT1357" s="153"/>
      <c r="AU1357" s="153"/>
      <c r="AV1357" s="153"/>
      <c r="AW1357" s="153"/>
      <c r="AX1357" s="153"/>
      <c r="AY1357" s="153"/>
      <c r="AZ1357" s="153"/>
      <c r="BA1357" s="153"/>
      <c r="BB1357" s="153"/>
      <c r="BC1357" s="153"/>
      <c r="BD1357" s="153"/>
      <c r="BE1357" s="153"/>
      <c r="BF1357" s="153"/>
      <c r="BG1357" s="153"/>
      <c r="BH1357" s="153"/>
      <c r="BI1357" s="153"/>
      <c r="BJ1357" s="153"/>
      <c r="BK1357" s="153"/>
      <c r="BL1357" s="153"/>
      <c r="BM1357" s="153"/>
      <c r="BN1357" s="153"/>
      <c r="BO1357" s="153"/>
      <c r="BP1357" s="153"/>
      <c r="BQ1357" s="153"/>
      <c r="BR1357" s="153"/>
      <c r="BS1357" s="153"/>
      <c r="BT1357" s="153"/>
      <c r="BU1357" s="153"/>
      <c r="BV1357" s="153"/>
      <c r="BW1357" s="153"/>
      <c r="BX1357" s="153">
        <v>143</v>
      </c>
      <c r="BY1357" s="153">
        <f>143*20999.48</f>
        <v>3002925.64</v>
      </c>
      <c r="BZ1357" s="153"/>
      <c r="CA1357" s="153"/>
      <c r="CB1357" s="153"/>
      <c r="CC1357" s="153"/>
      <c r="CD1357" s="155">
        <v>143</v>
      </c>
      <c r="CE1357" s="156">
        <f>143*36999.36</f>
        <v>5290908.4800000004</v>
      </c>
      <c r="CF1357" s="155">
        <v>143</v>
      </c>
      <c r="CG1357" s="156">
        <f>143*39700</f>
        <v>5677100</v>
      </c>
      <c r="CH1357" s="155"/>
      <c r="CI1357" s="156"/>
      <c r="CJ1357" s="157">
        <f t="shared" si="182"/>
        <v>21978934.120000001</v>
      </c>
      <c r="CK1357" s="158"/>
      <c r="CL1357" s="159"/>
      <c r="CM1357" s="160">
        <v>143</v>
      </c>
      <c r="CN1357" s="161">
        <f>143*85000</f>
        <v>12155000</v>
      </c>
      <c r="CO1357" s="162"/>
      <c r="CP1357" s="161"/>
      <c r="CQ1357" s="158"/>
      <c r="CR1357" s="159"/>
      <c r="CS1357" s="68"/>
      <c r="CT1357" s="163"/>
      <c r="EC1357" s="344" t="str">
        <f t="shared" si="178"/>
        <v>BOYACA_PAZ DE RIO</v>
      </c>
      <c r="ED1357" s="341"/>
      <c r="EE1357" s="341"/>
      <c r="EF1357" s="348"/>
      <c r="EG1357" s="341"/>
      <c r="EH1357" s="341"/>
      <c r="EI1357" s="341"/>
    </row>
    <row r="1358" spans="1:139" s="164" customFormat="1" ht="60">
      <c r="A1358" s="228">
        <v>40470</v>
      </c>
      <c r="B1358" s="205" t="s">
        <v>1314</v>
      </c>
      <c r="C1358" s="205" t="s">
        <v>1588</v>
      </c>
      <c r="D1358" s="207" t="s">
        <v>1923</v>
      </c>
      <c r="E1358" s="323" t="s">
        <v>3616</v>
      </c>
      <c r="F1358" s="323"/>
      <c r="G1358" s="204"/>
      <c r="H1358" s="151"/>
      <c r="I1358" s="151"/>
      <c r="J1358" s="151"/>
      <c r="K1358" s="151"/>
      <c r="L1358" s="1">
        <v>40513</v>
      </c>
      <c r="M1358" s="73">
        <f t="shared" si="180"/>
        <v>0</v>
      </c>
      <c r="N1358" s="73">
        <f t="shared" ref="N1358:N1421" si="184">CN1358</f>
        <v>0</v>
      </c>
      <c r="O1358" s="73">
        <f t="shared" si="179"/>
        <v>0</v>
      </c>
      <c r="P1358" s="73">
        <f t="shared" si="181"/>
        <v>0</v>
      </c>
      <c r="Q1358" s="73"/>
      <c r="R1358" s="73">
        <v>50000000</v>
      </c>
      <c r="S1358" s="75">
        <f t="shared" si="183"/>
        <v>50000000</v>
      </c>
      <c r="T1358" s="77">
        <v>0</v>
      </c>
      <c r="U1358" s="66">
        <v>40472</v>
      </c>
      <c r="V1358" s="79">
        <v>57871</v>
      </c>
      <c r="W1358" s="66" t="s">
        <v>1606</v>
      </c>
      <c r="X1358" s="24" t="s">
        <v>1607</v>
      </c>
      <c r="Y1358" s="62">
        <v>45388</v>
      </c>
      <c r="Z1358" s="169" t="s">
        <v>1224</v>
      </c>
      <c r="AA1358" s="170" t="s">
        <v>799</v>
      </c>
      <c r="AB1358" s="152"/>
      <c r="AC1358" s="153"/>
      <c r="AD1358" s="154"/>
      <c r="AE1358" s="153"/>
      <c r="AF1358" s="153"/>
      <c r="AG1358" s="153"/>
      <c r="AH1358" s="153"/>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c r="BF1358" s="153"/>
      <c r="BG1358" s="153"/>
      <c r="BH1358" s="153"/>
      <c r="BI1358" s="153"/>
      <c r="BJ1358" s="153"/>
      <c r="BK1358" s="153"/>
      <c r="BL1358" s="153"/>
      <c r="BM1358" s="153"/>
      <c r="BN1358" s="153"/>
      <c r="BO1358" s="153"/>
      <c r="BP1358" s="153"/>
      <c r="BQ1358" s="153"/>
      <c r="BR1358" s="153"/>
      <c r="BS1358" s="153"/>
      <c r="BT1358" s="153"/>
      <c r="BU1358" s="153"/>
      <c r="BV1358" s="153"/>
      <c r="BW1358" s="153"/>
      <c r="BX1358" s="153"/>
      <c r="BY1358" s="153"/>
      <c r="BZ1358" s="153"/>
      <c r="CA1358" s="153"/>
      <c r="CB1358" s="153"/>
      <c r="CC1358" s="153"/>
      <c r="CD1358" s="155"/>
      <c r="CE1358" s="156"/>
      <c r="CF1358" s="155"/>
      <c r="CG1358" s="156"/>
      <c r="CH1358" s="155"/>
      <c r="CI1358" s="156"/>
      <c r="CJ1358" s="157">
        <f t="shared" si="182"/>
        <v>0</v>
      </c>
      <c r="CK1358" s="158"/>
      <c r="CL1358" s="159"/>
      <c r="CM1358" s="160"/>
      <c r="CN1358" s="161"/>
      <c r="CO1358" s="162"/>
      <c r="CP1358" s="161"/>
      <c r="CQ1358" s="158"/>
      <c r="CR1358" s="159"/>
      <c r="CS1358" s="68">
        <v>4</v>
      </c>
      <c r="CT1358" s="163"/>
      <c r="EC1358" s="344" t="str">
        <f t="shared" si="178"/>
        <v>CAUCA_SAN SEBASTIAN</v>
      </c>
      <c r="ED1358" s="341"/>
      <c r="EE1358" s="341"/>
      <c r="EF1358" s="348"/>
      <c r="EG1358" s="341"/>
      <c r="EH1358" s="341"/>
      <c r="EI1358" s="341"/>
    </row>
    <row r="1359" spans="1:139" s="164" customFormat="1" ht="38.25">
      <c r="A1359" s="228">
        <v>40470</v>
      </c>
      <c r="B1359" s="205" t="s">
        <v>1604</v>
      </c>
      <c r="C1359" s="205" t="s">
        <v>183</v>
      </c>
      <c r="D1359" s="207" t="s">
        <v>1201</v>
      </c>
      <c r="E1359" s="323" t="s">
        <v>3740</v>
      </c>
      <c r="F1359" s="323"/>
      <c r="G1359" s="204"/>
      <c r="H1359" s="151"/>
      <c r="I1359" s="151"/>
      <c r="J1359" s="151">
        <v>244</v>
      </c>
      <c r="K1359" s="151">
        <v>76</v>
      </c>
      <c r="L1359" s="1"/>
      <c r="M1359" s="73">
        <f t="shared" si="180"/>
        <v>0</v>
      </c>
      <c r="N1359" s="73">
        <f t="shared" si="184"/>
        <v>0</v>
      </c>
      <c r="O1359" s="73">
        <f t="shared" si="179"/>
        <v>0</v>
      </c>
      <c r="P1359" s="73">
        <f t="shared" si="181"/>
        <v>0</v>
      </c>
      <c r="Q1359" s="73"/>
      <c r="R1359" s="73">
        <v>0</v>
      </c>
      <c r="S1359" s="75">
        <f t="shared" si="183"/>
        <v>0</v>
      </c>
      <c r="T1359" s="77">
        <v>0</v>
      </c>
      <c r="U1359" s="66">
        <v>40612</v>
      </c>
      <c r="V1359" s="79"/>
      <c r="W1359" s="66" t="s">
        <v>1585</v>
      </c>
      <c r="X1359" s="24" t="s">
        <v>1586</v>
      </c>
      <c r="Y1359" s="62"/>
      <c r="Z1359" s="169" t="s">
        <v>894</v>
      </c>
      <c r="AA1359" s="166" t="s">
        <v>155</v>
      </c>
      <c r="AB1359" s="152"/>
      <c r="AC1359" s="153"/>
      <c r="AD1359" s="154"/>
      <c r="AE1359" s="153"/>
      <c r="AF1359" s="153"/>
      <c r="AG1359" s="153"/>
      <c r="AH1359" s="153"/>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c r="BF1359" s="153"/>
      <c r="BG1359" s="153"/>
      <c r="BH1359" s="153"/>
      <c r="BI1359" s="153"/>
      <c r="BJ1359" s="153"/>
      <c r="BK1359" s="153"/>
      <c r="BL1359" s="153"/>
      <c r="BM1359" s="153"/>
      <c r="BN1359" s="153"/>
      <c r="BO1359" s="153"/>
      <c r="BP1359" s="153"/>
      <c r="BQ1359" s="153"/>
      <c r="BR1359" s="153"/>
      <c r="BS1359" s="153"/>
      <c r="BT1359" s="153"/>
      <c r="BU1359" s="153"/>
      <c r="BV1359" s="153"/>
      <c r="BW1359" s="153"/>
      <c r="BX1359" s="153"/>
      <c r="BY1359" s="153"/>
      <c r="BZ1359" s="153"/>
      <c r="CA1359" s="153"/>
      <c r="CB1359" s="153"/>
      <c r="CC1359" s="153"/>
      <c r="CD1359" s="155"/>
      <c r="CE1359" s="156"/>
      <c r="CF1359" s="155"/>
      <c r="CG1359" s="156"/>
      <c r="CH1359" s="155"/>
      <c r="CI1359" s="156"/>
      <c r="CJ1359" s="157">
        <f t="shared" si="182"/>
        <v>0</v>
      </c>
      <c r="CK1359" s="158"/>
      <c r="CL1359" s="159"/>
      <c r="CM1359" s="160"/>
      <c r="CN1359" s="161"/>
      <c r="CO1359" s="162"/>
      <c r="CP1359" s="161"/>
      <c r="CQ1359" s="158"/>
      <c r="CR1359" s="159"/>
      <c r="CS1359" s="68"/>
      <c r="CT1359" s="163"/>
      <c r="EC1359" s="344" t="str">
        <f t="shared" si="178"/>
        <v>CUNDINAMARCA_NOCAIMA</v>
      </c>
      <c r="ED1359" s="341"/>
      <c r="EE1359" s="341"/>
      <c r="EF1359" s="348"/>
      <c r="EG1359" s="341"/>
      <c r="EH1359" s="341"/>
      <c r="EI1359" s="341"/>
    </row>
    <row r="1360" spans="1:139" s="164" customFormat="1" ht="45">
      <c r="A1360" s="228">
        <v>40470</v>
      </c>
      <c r="B1360" s="205" t="s">
        <v>962</v>
      </c>
      <c r="C1360" s="205" t="s">
        <v>599</v>
      </c>
      <c r="D1360" s="207" t="s">
        <v>1878</v>
      </c>
      <c r="E1360" s="323" t="s">
        <v>3823</v>
      </c>
      <c r="F1360" s="323"/>
      <c r="G1360" s="204"/>
      <c r="H1360" s="151"/>
      <c r="I1360" s="151"/>
      <c r="J1360" s="151">
        <v>5</v>
      </c>
      <c r="K1360" s="151">
        <v>1</v>
      </c>
      <c r="L1360" s="1"/>
      <c r="M1360" s="73">
        <f t="shared" si="180"/>
        <v>0</v>
      </c>
      <c r="N1360" s="73">
        <f t="shared" si="184"/>
        <v>0</v>
      </c>
      <c r="O1360" s="73">
        <f t="shared" si="179"/>
        <v>0</v>
      </c>
      <c r="P1360" s="73">
        <f t="shared" si="181"/>
        <v>0</v>
      </c>
      <c r="Q1360" s="73"/>
      <c r="R1360" s="73">
        <v>0</v>
      </c>
      <c r="S1360" s="75">
        <f t="shared" si="183"/>
        <v>0</v>
      </c>
      <c r="T1360" s="77">
        <v>0</v>
      </c>
      <c r="U1360" s="66">
        <v>40470</v>
      </c>
      <c r="V1360" s="79"/>
      <c r="W1360" s="66" t="s">
        <v>1585</v>
      </c>
      <c r="X1360" s="264" t="s">
        <v>1586</v>
      </c>
      <c r="Y1360" s="62"/>
      <c r="Z1360" s="260" t="s">
        <v>18</v>
      </c>
      <c r="AA1360" s="166" t="s">
        <v>2953</v>
      </c>
      <c r="AB1360" s="152"/>
      <c r="AC1360" s="153"/>
      <c r="AD1360" s="154"/>
      <c r="AE1360" s="153"/>
      <c r="AF1360" s="153"/>
      <c r="AG1360" s="153"/>
      <c r="AH1360" s="153"/>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c r="BF1360" s="153"/>
      <c r="BG1360" s="153"/>
      <c r="BH1360" s="153"/>
      <c r="BI1360" s="153"/>
      <c r="BJ1360" s="153"/>
      <c r="BK1360" s="153"/>
      <c r="BL1360" s="153"/>
      <c r="BM1360" s="153"/>
      <c r="BN1360" s="153"/>
      <c r="BO1360" s="153"/>
      <c r="BP1360" s="153"/>
      <c r="BQ1360" s="153"/>
      <c r="BR1360" s="153"/>
      <c r="BS1360" s="153"/>
      <c r="BT1360" s="153"/>
      <c r="BU1360" s="153"/>
      <c r="BV1360" s="153"/>
      <c r="BW1360" s="153"/>
      <c r="BX1360" s="153"/>
      <c r="BY1360" s="153"/>
      <c r="BZ1360" s="153"/>
      <c r="CA1360" s="153"/>
      <c r="CB1360" s="153"/>
      <c r="CC1360" s="153"/>
      <c r="CD1360" s="155"/>
      <c r="CE1360" s="156"/>
      <c r="CF1360" s="155"/>
      <c r="CG1360" s="156"/>
      <c r="CH1360" s="155"/>
      <c r="CI1360" s="156"/>
      <c r="CJ1360" s="157">
        <f t="shared" si="182"/>
        <v>0</v>
      </c>
      <c r="CK1360" s="158"/>
      <c r="CL1360" s="159"/>
      <c r="CM1360" s="160"/>
      <c r="CN1360" s="161"/>
      <c r="CO1360" s="162"/>
      <c r="CP1360" s="161"/>
      <c r="CQ1360" s="158"/>
      <c r="CR1360" s="159"/>
      <c r="CS1360" s="68"/>
      <c r="CT1360" s="163"/>
      <c r="EC1360" s="344" t="str">
        <f t="shared" si="178"/>
        <v>HUILA_NEIVA</v>
      </c>
      <c r="ED1360" s="341"/>
      <c r="EE1360" s="341"/>
      <c r="EF1360" s="348"/>
      <c r="EG1360" s="341"/>
      <c r="EH1360" s="341"/>
      <c r="EI1360" s="341"/>
    </row>
    <row r="1361" spans="1:139" s="164" customFormat="1" ht="45">
      <c r="A1361" s="228">
        <v>40470</v>
      </c>
      <c r="B1361" s="205" t="s">
        <v>962</v>
      </c>
      <c r="C1361" s="205" t="s">
        <v>1796</v>
      </c>
      <c r="D1361" s="207" t="s">
        <v>1201</v>
      </c>
      <c r="E1361" s="323" t="s">
        <v>3857</v>
      </c>
      <c r="F1361" s="323"/>
      <c r="G1361" s="204"/>
      <c r="H1361" s="151"/>
      <c r="I1361" s="151"/>
      <c r="J1361" s="151">
        <v>11</v>
      </c>
      <c r="K1361" s="151">
        <v>2</v>
      </c>
      <c r="L1361" s="1"/>
      <c r="M1361" s="73">
        <f t="shared" si="180"/>
        <v>0</v>
      </c>
      <c r="N1361" s="73">
        <f t="shared" si="184"/>
        <v>0</v>
      </c>
      <c r="O1361" s="73">
        <f t="shared" si="179"/>
        <v>0</v>
      </c>
      <c r="P1361" s="73">
        <f t="shared" si="181"/>
        <v>0</v>
      </c>
      <c r="Q1361" s="73"/>
      <c r="R1361" s="73">
        <v>0</v>
      </c>
      <c r="S1361" s="75">
        <f t="shared" si="183"/>
        <v>0</v>
      </c>
      <c r="T1361" s="77">
        <v>0</v>
      </c>
      <c r="U1361" s="66">
        <v>40470</v>
      </c>
      <c r="V1361" s="79"/>
      <c r="W1361" s="66" t="s">
        <v>1585</v>
      </c>
      <c r="X1361" s="264" t="s">
        <v>1586</v>
      </c>
      <c r="Y1361" s="62"/>
      <c r="Z1361" s="260" t="s">
        <v>18</v>
      </c>
      <c r="AA1361" s="166" t="s">
        <v>2956</v>
      </c>
      <c r="AB1361" s="152"/>
      <c r="AC1361" s="153"/>
      <c r="AD1361" s="154"/>
      <c r="AE1361" s="153"/>
      <c r="AF1361" s="153"/>
      <c r="AG1361" s="153"/>
      <c r="AH1361" s="153"/>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c r="BF1361" s="153"/>
      <c r="BG1361" s="153"/>
      <c r="BH1361" s="153"/>
      <c r="BI1361" s="153"/>
      <c r="BJ1361" s="153"/>
      <c r="BK1361" s="153"/>
      <c r="BL1361" s="153"/>
      <c r="BM1361" s="153"/>
      <c r="BN1361" s="153"/>
      <c r="BO1361" s="153"/>
      <c r="BP1361" s="153"/>
      <c r="BQ1361" s="153"/>
      <c r="BR1361" s="153"/>
      <c r="BS1361" s="153"/>
      <c r="BT1361" s="153"/>
      <c r="BU1361" s="153"/>
      <c r="BV1361" s="153"/>
      <c r="BW1361" s="153"/>
      <c r="BX1361" s="153"/>
      <c r="BY1361" s="153"/>
      <c r="BZ1361" s="153"/>
      <c r="CA1361" s="153"/>
      <c r="CB1361" s="153"/>
      <c r="CC1361" s="153"/>
      <c r="CD1361" s="155"/>
      <c r="CE1361" s="156"/>
      <c r="CF1361" s="155"/>
      <c r="CG1361" s="156"/>
      <c r="CH1361" s="155"/>
      <c r="CI1361" s="156"/>
      <c r="CJ1361" s="157">
        <f t="shared" si="182"/>
        <v>0</v>
      </c>
      <c r="CK1361" s="158"/>
      <c r="CL1361" s="159"/>
      <c r="CM1361" s="160"/>
      <c r="CN1361" s="161"/>
      <c r="CO1361" s="162"/>
      <c r="CP1361" s="161"/>
      <c r="CQ1361" s="158"/>
      <c r="CR1361" s="159"/>
      <c r="CS1361" s="68"/>
      <c r="CT1361" s="163"/>
      <c r="EC1361" s="344" t="str">
        <f t="shared" si="178"/>
        <v>HUILA_TIMANA</v>
      </c>
      <c r="ED1361" s="341"/>
      <c r="EE1361" s="341"/>
      <c r="EF1361" s="348"/>
      <c r="EG1361" s="341"/>
      <c r="EH1361" s="341"/>
      <c r="EI1361" s="341"/>
    </row>
    <row r="1362" spans="1:139" s="164" customFormat="1" ht="72">
      <c r="A1362" s="228">
        <v>40470</v>
      </c>
      <c r="B1362" s="205" t="s">
        <v>1943</v>
      </c>
      <c r="C1362" s="205" t="s">
        <v>514</v>
      </c>
      <c r="D1362" s="207" t="s">
        <v>1201</v>
      </c>
      <c r="E1362" s="323" t="s">
        <v>4161</v>
      </c>
      <c r="F1362" s="323"/>
      <c r="G1362" s="204"/>
      <c r="H1362" s="151"/>
      <c r="I1362" s="151"/>
      <c r="J1362" s="151">
        <f>550*5</f>
        <v>2750</v>
      </c>
      <c r="K1362" s="151">
        <v>550</v>
      </c>
      <c r="L1362" s="1">
        <v>40530</v>
      </c>
      <c r="M1362" s="73">
        <f t="shared" si="180"/>
        <v>16300000</v>
      </c>
      <c r="N1362" s="73">
        <f t="shared" si="184"/>
        <v>46750000</v>
      </c>
      <c r="O1362" s="73">
        <f t="shared" si="179"/>
        <v>0</v>
      </c>
      <c r="P1362" s="73">
        <f t="shared" si="181"/>
        <v>0</v>
      </c>
      <c r="Q1362" s="73"/>
      <c r="R1362" s="73">
        <v>184762510.58000001</v>
      </c>
      <c r="S1362" s="75">
        <f t="shared" si="183"/>
        <v>247812510.58000001</v>
      </c>
      <c r="T1362" s="77">
        <v>0</v>
      </c>
      <c r="U1362" s="66">
        <v>40484</v>
      </c>
      <c r="V1362" s="79">
        <v>61168</v>
      </c>
      <c r="W1362" s="66" t="s">
        <v>1606</v>
      </c>
      <c r="X1362" s="24" t="s">
        <v>1607</v>
      </c>
      <c r="Y1362" s="244" t="s">
        <v>3064</v>
      </c>
      <c r="Z1362" s="177" t="s">
        <v>2580</v>
      </c>
      <c r="AA1362" s="166" t="s">
        <v>3065</v>
      </c>
      <c r="AB1362" s="152"/>
      <c r="AC1362" s="153"/>
      <c r="AD1362" s="154"/>
      <c r="AE1362" s="153"/>
      <c r="AF1362" s="153"/>
      <c r="AG1362" s="153"/>
      <c r="AH1362" s="153"/>
      <c r="AI1362" s="153"/>
      <c r="AJ1362" s="153"/>
      <c r="AK1362" s="153"/>
      <c r="AL1362" s="153"/>
      <c r="AM1362" s="153"/>
      <c r="AN1362" s="153">
        <v>200</v>
      </c>
      <c r="AO1362" s="153">
        <f>200*56000</f>
        <v>11200000</v>
      </c>
      <c r="AP1362" s="153"/>
      <c r="AQ1362" s="153"/>
      <c r="AR1362" s="153"/>
      <c r="AS1362" s="153"/>
      <c r="AT1362" s="153"/>
      <c r="AU1362" s="153"/>
      <c r="AV1362" s="153"/>
      <c r="AW1362" s="153"/>
      <c r="AX1362" s="153"/>
      <c r="AY1362" s="153"/>
      <c r="AZ1362" s="153">
        <v>200</v>
      </c>
      <c r="BA1362" s="153">
        <f>200*25500</f>
        <v>5100000</v>
      </c>
      <c r="BB1362" s="153"/>
      <c r="BC1362" s="153"/>
      <c r="BD1362" s="153"/>
      <c r="BE1362" s="153"/>
      <c r="BF1362" s="153"/>
      <c r="BG1362" s="153"/>
      <c r="BH1362" s="153"/>
      <c r="BI1362" s="153"/>
      <c r="BJ1362" s="153"/>
      <c r="BK1362" s="153"/>
      <c r="BL1362" s="153"/>
      <c r="BM1362" s="153"/>
      <c r="BN1362" s="153"/>
      <c r="BO1362" s="153"/>
      <c r="BP1362" s="153"/>
      <c r="BQ1362" s="153"/>
      <c r="BR1362" s="153"/>
      <c r="BS1362" s="153"/>
      <c r="BT1362" s="153"/>
      <c r="BU1362" s="153"/>
      <c r="BV1362" s="153"/>
      <c r="BW1362" s="153"/>
      <c r="BX1362" s="153"/>
      <c r="BY1362" s="153"/>
      <c r="BZ1362" s="153"/>
      <c r="CA1362" s="153"/>
      <c r="CB1362" s="153"/>
      <c r="CC1362" s="153"/>
      <c r="CD1362" s="155"/>
      <c r="CE1362" s="156"/>
      <c r="CF1362" s="155"/>
      <c r="CG1362" s="156"/>
      <c r="CH1362" s="155"/>
      <c r="CI1362" s="156"/>
      <c r="CJ1362" s="157">
        <f t="shared" si="182"/>
        <v>16300000</v>
      </c>
      <c r="CK1362" s="158"/>
      <c r="CL1362" s="159"/>
      <c r="CM1362" s="160">
        <v>550</v>
      </c>
      <c r="CN1362" s="161">
        <f>550*85000</f>
        <v>46750000</v>
      </c>
      <c r="CO1362" s="162"/>
      <c r="CP1362" s="161"/>
      <c r="CQ1362" s="158"/>
      <c r="CR1362" s="159"/>
      <c r="CS1362" s="68">
        <v>4</v>
      </c>
      <c r="CT1362" s="163">
        <v>1378</v>
      </c>
      <c r="EC1362" s="344" t="str">
        <f t="shared" si="178"/>
        <v>SUCRE_LA UNION</v>
      </c>
      <c r="ED1362" s="341"/>
      <c r="EE1362" s="341"/>
      <c r="EF1362" s="348"/>
      <c r="EG1362" s="341"/>
      <c r="EH1362" s="341"/>
      <c r="EI1362" s="341"/>
    </row>
    <row r="1363" spans="1:139" s="164" customFormat="1" ht="60">
      <c r="A1363" s="228">
        <v>40470</v>
      </c>
      <c r="B1363" s="205" t="s">
        <v>1943</v>
      </c>
      <c r="C1363" s="205" t="s">
        <v>1968</v>
      </c>
      <c r="D1363" s="207" t="s">
        <v>1201</v>
      </c>
      <c r="E1363" s="323" t="s">
        <v>4162</v>
      </c>
      <c r="F1363" s="323"/>
      <c r="G1363" s="204"/>
      <c r="H1363" s="151"/>
      <c r="I1363" s="151"/>
      <c r="J1363" s="151"/>
      <c r="K1363" s="151"/>
      <c r="L1363" s="1">
        <v>40520</v>
      </c>
      <c r="M1363" s="73">
        <f t="shared" si="180"/>
        <v>0</v>
      </c>
      <c r="N1363" s="73">
        <f t="shared" si="184"/>
        <v>0</v>
      </c>
      <c r="O1363" s="73">
        <f t="shared" si="179"/>
        <v>0</v>
      </c>
      <c r="P1363" s="73">
        <f t="shared" si="181"/>
        <v>0</v>
      </c>
      <c r="Q1363" s="73"/>
      <c r="R1363" s="73">
        <v>94694816</v>
      </c>
      <c r="S1363" s="75">
        <f t="shared" si="183"/>
        <v>94694816</v>
      </c>
      <c r="T1363" s="77">
        <v>0</v>
      </c>
      <c r="U1363" s="66">
        <v>40470</v>
      </c>
      <c r="V1363" s="79"/>
      <c r="W1363" s="66" t="s">
        <v>1606</v>
      </c>
      <c r="X1363" s="24" t="s">
        <v>1607</v>
      </c>
      <c r="Y1363" s="62">
        <v>46552</v>
      </c>
      <c r="Z1363" s="169" t="s">
        <v>1224</v>
      </c>
      <c r="AA1363" s="170" t="s">
        <v>2999</v>
      </c>
      <c r="AB1363" s="152"/>
      <c r="AC1363" s="153"/>
      <c r="AD1363" s="154"/>
      <c r="AE1363" s="153"/>
      <c r="AF1363" s="153"/>
      <c r="AG1363" s="153"/>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c r="BF1363" s="153"/>
      <c r="BG1363" s="153"/>
      <c r="BH1363" s="153"/>
      <c r="BI1363" s="153"/>
      <c r="BJ1363" s="153"/>
      <c r="BK1363" s="153"/>
      <c r="BL1363" s="153"/>
      <c r="BM1363" s="153"/>
      <c r="BN1363" s="153"/>
      <c r="BO1363" s="153"/>
      <c r="BP1363" s="153"/>
      <c r="BQ1363" s="153"/>
      <c r="BR1363" s="153"/>
      <c r="BS1363" s="153"/>
      <c r="BT1363" s="153"/>
      <c r="BU1363" s="153"/>
      <c r="BV1363" s="153"/>
      <c r="BW1363" s="153"/>
      <c r="BX1363" s="153"/>
      <c r="BY1363" s="153"/>
      <c r="BZ1363" s="153"/>
      <c r="CA1363" s="153"/>
      <c r="CB1363" s="153"/>
      <c r="CC1363" s="153"/>
      <c r="CD1363" s="155"/>
      <c r="CE1363" s="156"/>
      <c r="CF1363" s="155"/>
      <c r="CG1363" s="156"/>
      <c r="CH1363" s="155"/>
      <c r="CI1363" s="156"/>
      <c r="CJ1363" s="157">
        <f t="shared" si="182"/>
        <v>0</v>
      </c>
      <c r="CK1363" s="158"/>
      <c r="CL1363" s="159"/>
      <c r="CM1363" s="160"/>
      <c r="CN1363" s="161"/>
      <c r="CO1363" s="162"/>
      <c r="CP1363" s="161"/>
      <c r="CQ1363" s="158"/>
      <c r="CR1363" s="159"/>
      <c r="CS1363" s="68">
        <v>4</v>
      </c>
      <c r="CT1363" s="163"/>
      <c r="EC1363" s="344" t="str">
        <f t="shared" si="178"/>
        <v>SUCRE_LOS PALMITOS</v>
      </c>
      <c r="ED1363" s="341"/>
      <c r="EE1363" s="341"/>
      <c r="EF1363" s="348"/>
      <c r="EG1363" s="341"/>
      <c r="EH1363" s="341"/>
      <c r="EI1363" s="341"/>
    </row>
    <row r="1364" spans="1:139" s="164" customFormat="1" ht="38.25">
      <c r="A1364" s="228">
        <v>40470</v>
      </c>
      <c r="B1364" s="205" t="s">
        <v>1088</v>
      </c>
      <c r="C1364" s="205" t="s">
        <v>1227</v>
      </c>
      <c r="D1364" s="206" t="s">
        <v>1878</v>
      </c>
      <c r="E1364" s="320" t="s">
        <v>4238</v>
      </c>
      <c r="F1364" s="320"/>
      <c r="G1364" s="204"/>
      <c r="H1364" s="151"/>
      <c r="I1364" s="151"/>
      <c r="J1364" s="151"/>
      <c r="K1364" s="151"/>
      <c r="L1364" s="1"/>
      <c r="M1364" s="73">
        <f t="shared" si="180"/>
        <v>0</v>
      </c>
      <c r="N1364" s="73">
        <f t="shared" si="184"/>
        <v>0</v>
      </c>
      <c r="O1364" s="73">
        <f t="shared" si="179"/>
        <v>0</v>
      </c>
      <c r="P1364" s="73">
        <f t="shared" si="181"/>
        <v>0</v>
      </c>
      <c r="Q1364" s="73"/>
      <c r="R1364" s="73">
        <v>0</v>
      </c>
      <c r="S1364" s="75">
        <f t="shared" si="183"/>
        <v>0</v>
      </c>
      <c r="T1364" s="77">
        <v>0</v>
      </c>
      <c r="U1364" s="66">
        <v>40471</v>
      </c>
      <c r="V1364" s="79"/>
      <c r="W1364" s="66" t="s">
        <v>1585</v>
      </c>
      <c r="X1364" s="24" t="s">
        <v>1586</v>
      </c>
      <c r="Y1364" s="62"/>
      <c r="Z1364" s="169" t="s">
        <v>894</v>
      </c>
      <c r="AA1364" s="166" t="s">
        <v>420</v>
      </c>
      <c r="AB1364" s="152"/>
      <c r="AC1364" s="153"/>
      <c r="AD1364" s="154"/>
      <c r="AE1364" s="153"/>
      <c r="AF1364" s="153"/>
      <c r="AG1364" s="153"/>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53"/>
      <c r="BB1364" s="153"/>
      <c r="BC1364" s="153"/>
      <c r="BD1364" s="153"/>
      <c r="BE1364" s="153"/>
      <c r="BF1364" s="153"/>
      <c r="BG1364" s="153"/>
      <c r="BH1364" s="153"/>
      <c r="BI1364" s="153"/>
      <c r="BJ1364" s="153"/>
      <c r="BK1364" s="153"/>
      <c r="BL1364" s="153"/>
      <c r="BM1364" s="153"/>
      <c r="BN1364" s="153"/>
      <c r="BO1364" s="153"/>
      <c r="BP1364" s="153"/>
      <c r="BQ1364" s="153"/>
      <c r="BR1364" s="153"/>
      <c r="BS1364" s="153"/>
      <c r="BT1364" s="153"/>
      <c r="BU1364" s="153"/>
      <c r="BV1364" s="153"/>
      <c r="BW1364" s="153"/>
      <c r="BX1364" s="153"/>
      <c r="BY1364" s="153"/>
      <c r="BZ1364" s="153"/>
      <c r="CA1364" s="153"/>
      <c r="CB1364" s="153"/>
      <c r="CC1364" s="153"/>
      <c r="CD1364" s="155"/>
      <c r="CE1364" s="156"/>
      <c r="CF1364" s="155"/>
      <c r="CG1364" s="156"/>
      <c r="CH1364" s="155"/>
      <c r="CI1364" s="156"/>
      <c r="CJ1364" s="157">
        <f t="shared" si="182"/>
        <v>0</v>
      </c>
      <c r="CK1364" s="158"/>
      <c r="CL1364" s="159"/>
      <c r="CM1364" s="160"/>
      <c r="CN1364" s="161"/>
      <c r="CO1364" s="162"/>
      <c r="CP1364" s="161"/>
      <c r="CQ1364" s="158"/>
      <c r="CR1364" s="159"/>
      <c r="CS1364" s="68"/>
      <c r="CT1364" s="163"/>
      <c r="EC1364" s="344" t="str">
        <f t="shared" si="178"/>
        <v>VALLE DEL CAUCA_EL AGUILA</v>
      </c>
      <c r="ED1364" s="341"/>
      <c r="EE1364" s="341"/>
      <c r="EF1364" s="348"/>
      <c r="EG1364" s="341"/>
      <c r="EH1364" s="341"/>
      <c r="EI1364" s="341"/>
    </row>
    <row r="1365" spans="1:139" s="164" customFormat="1" ht="38.25">
      <c r="A1365" s="228">
        <v>40470</v>
      </c>
      <c r="B1365" s="205" t="s">
        <v>1088</v>
      </c>
      <c r="C1365" s="205" t="s">
        <v>1107</v>
      </c>
      <c r="D1365" s="207" t="s">
        <v>2606</v>
      </c>
      <c r="E1365" s="323" t="s">
        <v>4256</v>
      </c>
      <c r="F1365" s="323"/>
      <c r="G1365" s="204"/>
      <c r="H1365" s="151"/>
      <c r="I1365" s="151"/>
      <c r="J1365" s="151">
        <v>270</v>
      </c>
      <c r="K1365" s="151">
        <v>60</v>
      </c>
      <c r="L1365" s="1"/>
      <c r="M1365" s="73">
        <f t="shared" si="180"/>
        <v>0</v>
      </c>
      <c r="N1365" s="73">
        <f t="shared" si="184"/>
        <v>0</v>
      </c>
      <c r="O1365" s="73">
        <f t="shared" si="179"/>
        <v>0</v>
      </c>
      <c r="P1365" s="73">
        <f t="shared" si="181"/>
        <v>0</v>
      </c>
      <c r="Q1365" s="73"/>
      <c r="R1365" s="73">
        <v>0</v>
      </c>
      <c r="S1365" s="75">
        <f t="shared" si="183"/>
        <v>0</v>
      </c>
      <c r="T1365" s="77">
        <v>0</v>
      </c>
      <c r="U1365" s="66">
        <v>40476</v>
      </c>
      <c r="V1365" s="79"/>
      <c r="W1365" s="66" t="s">
        <v>1606</v>
      </c>
      <c r="X1365" s="24" t="s">
        <v>1607</v>
      </c>
      <c r="Y1365" s="62"/>
      <c r="Z1365" s="176" t="s">
        <v>1435</v>
      </c>
      <c r="AA1365" s="166" t="s">
        <v>1108</v>
      </c>
      <c r="AB1365" s="152"/>
      <c r="AC1365" s="153"/>
      <c r="AD1365" s="154"/>
      <c r="AE1365" s="153"/>
      <c r="AF1365" s="153"/>
      <c r="AG1365" s="153"/>
      <c r="AH1365" s="153"/>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c r="BI1365" s="153"/>
      <c r="BJ1365" s="153"/>
      <c r="BK1365" s="153"/>
      <c r="BL1365" s="153"/>
      <c r="BM1365" s="153"/>
      <c r="BN1365" s="153"/>
      <c r="BO1365" s="153"/>
      <c r="BP1365" s="153"/>
      <c r="BQ1365" s="153"/>
      <c r="BR1365" s="153"/>
      <c r="BS1365" s="153"/>
      <c r="BT1365" s="153"/>
      <c r="BU1365" s="153"/>
      <c r="BV1365" s="153"/>
      <c r="BW1365" s="153"/>
      <c r="BX1365" s="153"/>
      <c r="BY1365" s="153"/>
      <c r="BZ1365" s="153"/>
      <c r="CA1365" s="153"/>
      <c r="CB1365" s="153"/>
      <c r="CC1365" s="153"/>
      <c r="CD1365" s="155"/>
      <c r="CE1365" s="156"/>
      <c r="CF1365" s="155"/>
      <c r="CG1365" s="156"/>
      <c r="CH1365" s="155"/>
      <c r="CI1365" s="156"/>
      <c r="CJ1365" s="157">
        <f t="shared" si="182"/>
        <v>0</v>
      </c>
      <c r="CK1365" s="158"/>
      <c r="CL1365" s="159"/>
      <c r="CM1365" s="160"/>
      <c r="CN1365" s="161"/>
      <c r="CO1365" s="162"/>
      <c r="CP1365" s="161"/>
      <c r="CQ1365" s="158"/>
      <c r="CR1365" s="159"/>
      <c r="CS1365" s="68"/>
      <c r="CT1365" s="163"/>
      <c r="EC1365" s="344" t="str">
        <f t="shared" si="178"/>
        <v>VALLE DEL CAUCA_SEVILLA</v>
      </c>
      <c r="ED1365" s="341"/>
      <c r="EE1365" s="341"/>
      <c r="EF1365" s="348"/>
      <c r="EG1365" s="341"/>
      <c r="EH1365" s="341"/>
      <c r="EI1365" s="341"/>
    </row>
    <row r="1366" spans="1:139" s="164" customFormat="1" ht="25.5">
      <c r="A1366" s="228">
        <v>40471</v>
      </c>
      <c r="B1366" s="205" t="s">
        <v>1314</v>
      </c>
      <c r="C1366" s="205" t="s">
        <v>423</v>
      </c>
      <c r="D1366" s="207" t="s">
        <v>2606</v>
      </c>
      <c r="E1366" s="323" t="s">
        <v>3594</v>
      </c>
      <c r="F1366" s="323"/>
      <c r="G1366" s="204"/>
      <c r="H1366" s="151"/>
      <c r="I1366" s="151"/>
      <c r="J1366" s="151">
        <v>70</v>
      </c>
      <c r="K1366" s="151">
        <v>14</v>
      </c>
      <c r="L1366" s="1"/>
      <c r="M1366" s="73">
        <f t="shared" si="180"/>
        <v>0</v>
      </c>
      <c r="N1366" s="73">
        <f t="shared" si="184"/>
        <v>0</v>
      </c>
      <c r="O1366" s="73">
        <f t="shared" si="179"/>
        <v>0</v>
      </c>
      <c r="P1366" s="73">
        <f t="shared" si="181"/>
        <v>0</v>
      </c>
      <c r="Q1366" s="73"/>
      <c r="R1366" s="73">
        <v>0</v>
      </c>
      <c r="S1366" s="75">
        <f t="shared" si="183"/>
        <v>0</v>
      </c>
      <c r="T1366" s="77">
        <v>0</v>
      </c>
      <c r="U1366" s="66">
        <v>40471</v>
      </c>
      <c r="V1366" s="79"/>
      <c r="W1366" s="66" t="s">
        <v>1585</v>
      </c>
      <c r="X1366" s="24" t="s">
        <v>1586</v>
      </c>
      <c r="Y1366" s="62"/>
      <c r="Z1366" s="169" t="s">
        <v>894</v>
      </c>
      <c r="AA1366" s="166" t="s">
        <v>424</v>
      </c>
      <c r="AB1366" s="152"/>
      <c r="AC1366" s="153"/>
      <c r="AD1366" s="154"/>
      <c r="AE1366" s="153"/>
      <c r="AF1366" s="153"/>
      <c r="AG1366" s="153"/>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c r="BI1366" s="153"/>
      <c r="BJ1366" s="153"/>
      <c r="BK1366" s="153"/>
      <c r="BL1366" s="153"/>
      <c r="BM1366" s="153"/>
      <c r="BN1366" s="153"/>
      <c r="BO1366" s="153"/>
      <c r="BP1366" s="153"/>
      <c r="BQ1366" s="153"/>
      <c r="BR1366" s="153"/>
      <c r="BS1366" s="153"/>
      <c r="BT1366" s="153"/>
      <c r="BU1366" s="153"/>
      <c r="BV1366" s="153"/>
      <c r="BW1366" s="153"/>
      <c r="BX1366" s="153"/>
      <c r="BY1366" s="153"/>
      <c r="BZ1366" s="153"/>
      <c r="CA1366" s="153"/>
      <c r="CB1366" s="153"/>
      <c r="CC1366" s="153"/>
      <c r="CD1366" s="155"/>
      <c r="CE1366" s="156"/>
      <c r="CF1366" s="155"/>
      <c r="CG1366" s="156"/>
      <c r="CH1366" s="155"/>
      <c r="CI1366" s="156"/>
      <c r="CJ1366" s="157">
        <f t="shared" si="182"/>
        <v>0</v>
      </c>
      <c r="CK1366" s="158"/>
      <c r="CL1366" s="159"/>
      <c r="CM1366" s="160"/>
      <c r="CN1366" s="161"/>
      <c r="CO1366" s="162"/>
      <c r="CP1366" s="161"/>
      <c r="CQ1366" s="158"/>
      <c r="CR1366" s="159"/>
      <c r="CS1366" s="68"/>
      <c r="CT1366" s="163"/>
      <c r="EC1366" s="344" t="str">
        <f t="shared" ref="EC1366:EC1428" si="185">B1366&amp;"_"&amp;C1366</f>
        <v>CAUCA_CALOTO</v>
      </c>
      <c r="ED1366" s="341"/>
      <c r="EE1366" s="341"/>
      <c r="EF1366" s="348"/>
      <c r="EG1366" s="341"/>
      <c r="EH1366" s="341"/>
      <c r="EI1366" s="341"/>
    </row>
    <row r="1367" spans="1:139" s="164" customFormat="1" ht="60">
      <c r="A1367" s="228">
        <v>40471</v>
      </c>
      <c r="B1367" s="205" t="s">
        <v>1314</v>
      </c>
      <c r="C1367" s="205" t="s">
        <v>1101</v>
      </c>
      <c r="D1367" s="207" t="s">
        <v>2606</v>
      </c>
      <c r="E1367" s="323" t="s">
        <v>3595</v>
      </c>
      <c r="F1367" s="323"/>
      <c r="G1367" s="204"/>
      <c r="H1367" s="151"/>
      <c r="I1367" s="151"/>
      <c r="J1367" s="151">
        <f>183*5</f>
        <v>915</v>
      </c>
      <c r="K1367" s="151">
        <v>183</v>
      </c>
      <c r="L1367" s="1"/>
      <c r="M1367" s="73">
        <f t="shared" si="180"/>
        <v>0</v>
      </c>
      <c r="N1367" s="73">
        <f t="shared" si="184"/>
        <v>0</v>
      </c>
      <c r="O1367" s="73">
        <f t="shared" si="179"/>
        <v>0</v>
      </c>
      <c r="P1367" s="73">
        <f t="shared" si="181"/>
        <v>0</v>
      </c>
      <c r="Q1367" s="73"/>
      <c r="R1367" s="73">
        <v>0</v>
      </c>
      <c r="S1367" s="75">
        <f t="shared" si="183"/>
        <v>0</v>
      </c>
      <c r="T1367" s="77">
        <v>0</v>
      </c>
      <c r="U1367" s="66">
        <v>40476</v>
      </c>
      <c r="V1367" s="79"/>
      <c r="W1367" s="66" t="s">
        <v>1585</v>
      </c>
      <c r="X1367" s="24" t="s">
        <v>1586</v>
      </c>
      <c r="Y1367" s="62"/>
      <c r="Z1367" s="169" t="s">
        <v>894</v>
      </c>
      <c r="AA1367" s="166" t="s">
        <v>2575</v>
      </c>
      <c r="AB1367" s="152"/>
      <c r="AC1367" s="153"/>
      <c r="AD1367" s="154"/>
      <c r="AE1367" s="153"/>
      <c r="AF1367" s="153"/>
      <c r="AG1367" s="153"/>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53"/>
      <c r="BB1367" s="153"/>
      <c r="BC1367" s="153"/>
      <c r="BD1367" s="153"/>
      <c r="BE1367" s="153"/>
      <c r="BF1367" s="153"/>
      <c r="BG1367" s="153"/>
      <c r="BH1367" s="153"/>
      <c r="BI1367" s="153"/>
      <c r="BJ1367" s="153"/>
      <c r="BK1367" s="153"/>
      <c r="BL1367" s="153"/>
      <c r="BM1367" s="153"/>
      <c r="BN1367" s="153"/>
      <c r="BO1367" s="153"/>
      <c r="BP1367" s="153"/>
      <c r="BQ1367" s="153"/>
      <c r="BR1367" s="153"/>
      <c r="BS1367" s="153"/>
      <c r="BT1367" s="153"/>
      <c r="BU1367" s="153"/>
      <c r="BV1367" s="153"/>
      <c r="BW1367" s="153"/>
      <c r="BX1367" s="153"/>
      <c r="BY1367" s="153"/>
      <c r="BZ1367" s="153"/>
      <c r="CA1367" s="153"/>
      <c r="CB1367" s="153"/>
      <c r="CC1367" s="153"/>
      <c r="CD1367" s="155"/>
      <c r="CE1367" s="156"/>
      <c r="CF1367" s="155"/>
      <c r="CG1367" s="156"/>
      <c r="CH1367" s="155"/>
      <c r="CI1367" s="156"/>
      <c r="CJ1367" s="157">
        <f t="shared" si="182"/>
        <v>0</v>
      </c>
      <c r="CK1367" s="158"/>
      <c r="CL1367" s="159"/>
      <c r="CM1367" s="160"/>
      <c r="CN1367" s="161"/>
      <c r="CO1367" s="162"/>
      <c r="CP1367" s="161"/>
      <c r="CQ1367" s="158"/>
      <c r="CR1367" s="159"/>
      <c r="CS1367" s="68"/>
      <c r="CT1367" s="163"/>
      <c r="EC1367" s="344" t="str">
        <f t="shared" si="185"/>
        <v>CAUCA_CORINTO</v>
      </c>
      <c r="ED1367" s="341"/>
      <c r="EE1367" s="341"/>
      <c r="EF1367" s="348"/>
      <c r="EG1367" s="341"/>
      <c r="EH1367" s="341"/>
      <c r="EI1367" s="341"/>
    </row>
    <row r="1368" spans="1:139" s="164" customFormat="1" ht="36">
      <c r="A1368" s="228">
        <v>40471</v>
      </c>
      <c r="B1368" s="205" t="s">
        <v>1821</v>
      </c>
      <c r="C1368" s="205" t="s">
        <v>595</v>
      </c>
      <c r="D1368" s="207" t="s">
        <v>1201</v>
      </c>
      <c r="E1368" s="323" t="s">
        <v>3628</v>
      </c>
      <c r="F1368" s="323"/>
      <c r="G1368" s="204"/>
      <c r="H1368" s="151"/>
      <c r="I1368" s="151"/>
      <c r="J1368" s="151">
        <f>1096*5</f>
        <v>5480</v>
      </c>
      <c r="K1368" s="151">
        <v>1096</v>
      </c>
      <c r="L1368" s="1"/>
      <c r="M1368" s="73">
        <f t="shared" si="180"/>
        <v>0</v>
      </c>
      <c r="N1368" s="73">
        <f t="shared" si="184"/>
        <v>0</v>
      </c>
      <c r="O1368" s="73">
        <f t="shared" si="179"/>
        <v>0</v>
      </c>
      <c r="P1368" s="73">
        <f t="shared" si="181"/>
        <v>0</v>
      </c>
      <c r="Q1368" s="73"/>
      <c r="R1368" s="73">
        <v>0</v>
      </c>
      <c r="S1368" s="75">
        <f t="shared" si="183"/>
        <v>0</v>
      </c>
      <c r="T1368" s="77">
        <v>0</v>
      </c>
      <c r="U1368" s="66">
        <v>40476</v>
      </c>
      <c r="V1368" s="79"/>
      <c r="W1368" s="66" t="s">
        <v>1585</v>
      </c>
      <c r="X1368" s="24" t="s">
        <v>1586</v>
      </c>
      <c r="Y1368" s="62"/>
      <c r="Z1368" s="169" t="s">
        <v>894</v>
      </c>
      <c r="AA1368" s="166" t="s">
        <v>1113</v>
      </c>
      <c r="AB1368" s="152"/>
      <c r="AC1368" s="153"/>
      <c r="AD1368" s="154"/>
      <c r="AE1368" s="153"/>
      <c r="AF1368" s="153"/>
      <c r="AG1368" s="153"/>
      <c r="AH1368" s="153"/>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c r="BI1368" s="153"/>
      <c r="BJ1368" s="153"/>
      <c r="BK1368" s="153"/>
      <c r="BL1368" s="153"/>
      <c r="BM1368" s="153"/>
      <c r="BN1368" s="153"/>
      <c r="BO1368" s="153"/>
      <c r="BP1368" s="153"/>
      <c r="BQ1368" s="153"/>
      <c r="BR1368" s="153"/>
      <c r="BS1368" s="153"/>
      <c r="BT1368" s="153"/>
      <c r="BU1368" s="153"/>
      <c r="BV1368" s="153"/>
      <c r="BW1368" s="153"/>
      <c r="BX1368" s="153"/>
      <c r="BY1368" s="153"/>
      <c r="BZ1368" s="153"/>
      <c r="CA1368" s="153"/>
      <c r="CB1368" s="153"/>
      <c r="CC1368" s="153"/>
      <c r="CD1368" s="155"/>
      <c r="CE1368" s="156"/>
      <c r="CF1368" s="155"/>
      <c r="CG1368" s="156"/>
      <c r="CH1368" s="155"/>
      <c r="CI1368" s="156"/>
      <c r="CJ1368" s="157">
        <f t="shared" si="182"/>
        <v>0</v>
      </c>
      <c r="CK1368" s="158"/>
      <c r="CL1368" s="159"/>
      <c r="CM1368" s="160"/>
      <c r="CN1368" s="161"/>
      <c r="CO1368" s="162"/>
      <c r="CP1368" s="161"/>
      <c r="CQ1368" s="158"/>
      <c r="CR1368" s="159"/>
      <c r="CS1368" s="68"/>
      <c r="CT1368" s="163"/>
      <c r="EC1368" s="344" t="str">
        <f t="shared" si="185"/>
        <v>CESAR_VALLEDUPAR</v>
      </c>
      <c r="ED1368" s="341"/>
      <c r="EE1368" s="341"/>
      <c r="EF1368" s="348"/>
      <c r="EG1368" s="341"/>
      <c r="EH1368" s="341"/>
      <c r="EI1368" s="341"/>
    </row>
    <row r="1369" spans="1:139" s="164" customFormat="1" ht="25.5">
      <c r="A1369" s="228">
        <v>40471</v>
      </c>
      <c r="B1369" s="205" t="s">
        <v>1996</v>
      </c>
      <c r="C1369" s="205" t="s">
        <v>1945</v>
      </c>
      <c r="D1369" s="207" t="s">
        <v>1316</v>
      </c>
      <c r="E1369" s="323" t="s">
        <v>3793</v>
      </c>
      <c r="F1369" s="323"/>
      <c r="G1369" s="204"/>
      <c r="H1369" s="151"/>
      <c r="I1369" s="151"/>
      <c r="J1369" s="151">
        <v>4</v>
      </c>
      <c r="K1369" s="151">
        <v>1</v>
      </c>
      <c r="L1369" s="1"/>
      <c r="M1369" s="73">
        <f t="shared" si="180"/>
        <v>0</v>
      </c>
      <c r="N1369" s="73">
        <f t="shared" si="184"/>
        <v>0</v>
      </c>
      <c r="O1369" s="73">
        <f t="shared" si="179"/>
        <v>0</v>
      </c>
      <c r="P1369" s="73">
        <f t="shared" si="181"/>
        <v>0</v>
      </c>
      <c r="Q1369" s="73"/>
      <c r="R1369" s="73">
        <v>0</v>
      </c>
      <c r="S1369" s="75">
        <f t="shared" si="183"/>
        <v>0</v>
      </c>
      <c r="T1369" s="77">
        <v>0</v>
      </c>
      <c r="U1369" s="66">
        <v>40476</v>
      </c>
      <c r="V1369" s="79"/>
      <c r="W1369" s="66" t="s">
        <v>1585</v>
      </c>
      <c r="X1369" s="24" t="s">
        <v>1586</v>
      </c>
      <c r="Y1369" s="62"/>
      <c r="Z1369" s="169" t="s">
        <v>894</v>
      </c>
      <c r="AA1369" s="166" t="s">
        <v>2610</v>
      </c>
      <c r="AB1369" s="152"/>
      <c r="AC1369" s="153"/>
      <c r="AD1369" s="154"/>
      <c r="AE1369" s="153"/>
      <c r="AF1369" s="153"/>
      <c r="AG1369" s="153"/>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c r="BI1369" s="153"/>
      <c r="BJ1369" s="153"/>
      <c r="BK1369" s="153"/>
      <c r="BL1369" s="153"/>
      <c r="BM1369" s="153"/>
      <c r="BN1369" s="153"/>
      <c r="BO1369" s="153"/>
      <c r="BP1369" s="153"/>
      <c r="BQ1369" s="153"/>
      <c r="BR1369" s="153"/>
      <c r="BS1369" s="153"/>
      <c r="BT1369" s="153"/>
      <c r="BU1369" s="153"/>
      <c r="BV1369" s="153"/>
      <c r="BW1369" s="153"/>
      <c r="BX1369" s="153"/>
      <c r="BY1369" s="153"/>
      <c r="BZ1369" s="153"/>
      <c r="CA1369" s="153"/>
      <c r="CB1369" s="153"/>
      <c r="CC1369" s="153"/>
      <c r="CD1369" s="155"/>
      <c r="CE1369" s="156"/>
      <c r="CF1369" s="155"/>
      <c r="CG1369" s="156"/>
      <c r="CH1369" s="155"/>
      <c r="CI1369" s="156"/>
      <c r="CJ1369" s="157">
        <f t="shared" si="182"/>
        <v>0</v>
      </c>
      <c r="CK1369" s="158"/>
      <c r="CL1369" s="159"/>
      <c r="CM1369" s="160"/>
      <c r="CN1369" s="161"/>
      <c r="CO1369" s="162"/>
      <c r="CP1369" s="161"/>
      <c r="CQ1369" s="158"/>
      <c r="CR1369" s="159"/>
      <c r="CS1369" s="68"/>
      <c r="CT1369" s="163"/>
      <c r="EC1369" s="344" t="str">
        <f t="shared" si="185"/>
        <v>CHOCO_QUIBDO</v>
      </c>
      <c r="ED1369" s="341"/>
      <c r="EE1369" s="341"/>
      <c r="EF1369" s="348"/>
      <c r="EG1369" s="341"/>
      <c r="EH1369" s="341"/>
      <c r="EI1369" s="341"/>
    </row>
    <row r="1370" spans="1:139" s="164" customFormat="1" ht="25.5">
      <c r="A1370" s="228">
        <v>40471</v>
      </c>
      <c r="B1370" s="205" t="s">
        <v>962</v>
      </c>
      <c r="C1370" s="205" t="s">
        <v>997</v>
      </c>
      <c r="D1370" s="207" t="s">
        <v>2391</v>
      </c>
      <c r="E1370" s="323" t="s">
        <v>3859</v>
      </c>
      <c r="F1370" s="323"/>
      <c r="G1370" s="204"/>
      <c r="H1370" s="151">
        <v>3</v>
      </c>
      <c r="I1370" s="151"/>
      <c r="J1370" s="151"/>
      <c r="K1370" s="151"/>
      <c r="L1370" s="1"/>
      <c r="M1370" s="73">
        <f t="shared" si="180"/>
        <v>0</v>
      </c>
      <c r="N1370" s="73">
        <f t="shared" si="184"/>
        <v>0</v>
      </c>
      <c r="O1370" s="73">
        <f t="shared" si="179"/>
        <v>0</v>
      </c>
      <c r="P1370" s="73">
        <f t="shared" si="181"/>
        <v>0</v>
      </c>
      <c r="Q1370" s="73"/>
      <c r="R1370" s="73">
        <v>0</v>
      </c>
      <c r="S1370" s="75">
        <f t="shared" si="183"/>
        <v>0</v>
      </c>
      <c r="T1370" s="77">
        <v>0</v>
      </c>
      <c r="U1370" s="66">
        <v>40471</v>
      </c>
      <c r="V1370" s="79"/>
      <c r="W1370" s="66" t="s">
        <v>1585</v>
      </c>
      <c r="X1370" s="24" t="s">
        <v>1586</v>
      </c>
      <c r="Y1370" s="62"/>
      <c r="Z1370" s="169" t="s">
        <v>894</v>
      </c>
      <c r="AA1370" s="166" t="s">
        <v>426</v>
      </c>
      <c r="AB1370" s="152"/>
      <c r="AC1370" s="153"/>
      <c r="AD1370" s="154"/>
      <c r="AE1370" s="153"/>
      <c r="AF1370" s="153"/>
      <c r="AG1370" s="153"/>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53"/>
      <c r="BB1370" s="153"/>
      <c r="BC1370" s="153"/>
      <c r="BD1370" s="153"/>
      <c r="BE1370" s="153"/>
      <c r="BF1370" s="153"/>
      <c r="BG1370" s="153"/>
      <c r="BH1370" s="153"/>
      <c r="BI1370" s="153"/>
      <c r="BJ1370" s="153"/>
      <c r="BK1370" s="153"/>
      <c r="BL1370" s="153"/>
      <c r="BM1370" s="153"/>
      <c r="BN1370" s="153"/>
      <c r="BO1370" s="153"/>
      <c r="BP1370" s="153"/>
      <c r="BQ1370" s="153"/>
      <c r="BR1370" s="153"/>
      <c r="BS1370" s="153"/>
      <c r="BT1370" s="153"/>
      <c r="BU1370" s="153"/>
      <c r="BV1370" s="153"/>
      <c r="BW1370" s="153"/>
      <c r="BX1370" s="153"/>
      <c r="BY1370" s="153"/>
      <c r="BZ1370" s="153"/>
      <c r="CA1370" s="153"/>
      <c r="CB1370" s="153"/>
      <c r="CC1370" s="153"/>
      <c r="CD1370" s="155"/>
      <c r="CE1370" s="156"/>
      <c r="CF1370" s="155"/>
      <c r="CG1370" s="156"/>
      <c r="CH1370" s="155"/>
      <c r="CI1370" s="156"/>
      <c r="CJ1370" s="157">
        <f t="shared" si="182"/>
        <v>0</v>
      </c>
      <c r="CK1370" s="158"/>
      <c r="CL1370" s="159"/>
      <c r="CM1370" s="160"/>
      <c r="CN1370" s="161"/>
      <c r="CO1370" s="162"/>
      <c r="CP1370" s="161"/>
      <c r="CQ1370" s="158"/>
      <c r="CR1370" s="159"/>
      <c r="CS1370" s="68"/>
      <c r="CT1370" s="163"/>
      <c r="EC1370" s="344" t="str">
        <f t="shared" si="185"/>
        <v>HUILA_YAGUARA</v>
      </c>
      <c r="ED1370" s="341"/>
      <c r="EE1370" s="341"/>
      <c r="EF1370" s="348"/>
      <c r="EG1370" s="341"/>
      <c r="EH1370" s="341"/>
      <c r="EI1370" s="341"/>
    </row>
    <row r="1371" spans="1:139" s="164" customFormat="1" ht="25.5">
      <c r="A1371" s="228">
        <v>40471</v>
      </c>
      <c r="B1371" s="205" t="s">
        <v>1611</v>
      </c>
      <c r="C1371" s="205" t="s">
        <v>1611</v>
      </c>
      <c r="D1371" s="207" t="s">
        <v>1201</v>
      </c>
      <c r="E1371" s="323" t="e">
        <v>#N/A</v>
      </c>
      <c r="F1371" s="323"/>
      <c r="G1371" s="204"/>
      <c r="H1371" s="151"/>
      <c r="I1371" s="151"/>
      <c r="J1371" s="151"/>
      <c r="K1371" s="151"/>
      <c r="L1371" s="1">
        <v>40490</v>
      </c>
      <c r="M1371" s="73">
        <f t="shared" si="180"/>
        <v>0</v>
      </c>
      <c r="N1371" s="73">
        <f t="shared" si="184"/>
        <v>0</v>
      </c>
      <c r="O1371" s="73">
        <f t="shared" si="179"/>
        <v>0</v>
      </c>
      <c r="P1371" s="73">
        <f t="shared" si="181"/>
        <v>72400000</v>
      </c>
      <c r="Q1371" s="73"/>
      <c r="R1371" s="73">
        <v>0</v>
      </c>
      <c r="S1371" s="75">
        <f t="shared" si="183"/>
        <v>72400000</v>
      </c>
      <c r="T1371" s="77">
        <v>0</v>
      </c>
      <c r="U1371" s="66">
        <v>40471</v>
      </c>
      <c r="V1371" s="79">
        <v>57412</v>
      </c>
      <c r="W1371" s="66" t="s">
        <v>1606</v>
      </c>
      <c r="X1371" s="24" t="s">
        <v>1607</v>
      </c>
      <c r="Y1371" s="62">
        <v>23563</v>
      </c>
      <c r="Z1371" s="169" t="s">
        <v>1435</v>
      </c>
      <c r="AA1371" s="166" t="s">
        <v>2560</v>
      </c>
      <c r="AB1371" s="152"/>
      <c r="AC1371" s="153"/>
      <c r="AD1371" s="154"/>
      <c r="AE1371" s="153"/>
      <c r="AF1371" s="153"/>
      <c r="AG1371" s="153"/>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c r="BI1371" s="153"/>
      <c r="BJ1371" s="153"/>
      <c r="BK1371" s="153"/>
      <c r="BL1371" s="153"/>
      <c r="BM1371" s="153"/>
      <c r="BN1371" s="153"/>
      <c r="BO1371" s="153"/>
      <c r="BP1371" s="153"/>
      <c r="BQ1371" s="153"/>
      <c r="BR1371" s="153"/>
      <c r="BS1371" s="153"/>
      <c r="BT1371" s="153"/>
      <c r="BU1371" s="153"/>
      <c r="BV1371" s="153"/>
      <c r="BW1371" s="153"/>
      <c r="BX1371" s="153"/>
      <c r="BY1371" s="153"/>
      <c r="BZ1371" s="153"/>
      <c r="CA1371" s="153"/>
      <c r="CB1371" s="153"/>
      <c r="CC1371" s="153"/>
      <c r="CD1371" s="155"/>
      <c r="CE1371" s="156"/>
      <c r="CF1371" s="155"/>
      <c r="CG1371" s="156"/>
      <c r="CH1371" s="155"/>
      <c r="CI1371" s="156"/>
      <c r="CJ1371" s="157">
        <f t="shared" si="182"/>
        <v>0</v>
      </c>
      <c r="CK1371" s="158">
        <v>80000</v>
      </c>
      <c r="CL1371" s="159">
        <f>80000*905</f>
        <v>72400000</v>
      </c>
      <c r="CM1371" s="160"/>
      <c r="CN1371" s="161"/>
      <c r="CO1371" s="162"/>
      <c r="CP1371" s="161"/>
      <c r="CQ1371" s="158"/>
      <c r="CR1371" s="159"/>
      <c r="CS1371" s="68"/>
      <c r="CT1371" s="163"/>
      <c r="EC1371" s="344" t="str">
        <f t="shared" si="185"/>
        <v>NACION_NACION</v>
      </c>
      <c r="ED1371" s="341"/>
      <c r="EE1371" s="341"/>
      <c r="EF1371" s="348"/>
      <c r="EG1371" s="341"/>
      <c r="EH1371" s="341"/>
      <c r="EI1371" s="341"/>
    </row>
    <row r="1372" spans="1:139" s="164" customFormat="1" ht="38.25">
      <c r="A1372" s="228">
        <v>40472</v>
      </c>
      <c r="B1372" s="205" t="s">
        <v>1088</v>
      </c>
      <c r="C1372" s="205" t="s">
        <v>994</v>
      </c>
      <c r="D1372" s="207" t="s">
        <v>1201</v>
      </c>
      <c r="E1372" s="323" t="s">
        <v>4250</v>
      </c>
      <c r="F1372" s="323"/>
      <c r="G1372" s="204"/>
      <c r="H1372" s="151"/>
      <c r="I1372" s="151"/>
      <c r="J1372" s="151">
        <v>15</v>
      </c>
      <c r="K1372" s="151">
        <v>3</v>
      </c>
      <c r="L1372" s="1"/>
      <c r="M1372" s="73">
        <f t="shared" si="180"/>
        <v>0</v>
      </c>
      <c r="N1372" s="73">
        <f t="shared" si="184"/>
        <v>0</v>
      </c>
      <c r="O1372" s="73">
        <f t="shared" si="179"/>
        <v>0</v>
      </c>
      <c r="P1372" s="73">
        <f t="shared" si="181"/>
        <v>0</v>
      </c>
      <c r="Q1372" s="73"/>
      <c r="R1372" s="73">
        <v>0</v>
      </c>
      <c r="S1372" s="75">
        <f t="shared" si="183"/>
        <v>0</v>
      </c>
      <c r="T1372" s="77">
        <v>0</v>
      </c>
      <c r="U1372" s="66">
        <v>40476</v>
      </c>
      <c r="V1372" s="79"/>
      <c r="W1372" s="66" t="s">
        <v>1585</v>
      </c>
      <c r="X1372" s="24" t="s">
        <v>1586</v>
      </c>
      <c r="Y1372" s="62"/>
      <c r="Z1372" s="169" t="s">
        <v>894</v>
      </c>
      <c r="AA1372" s="166" t="s">
        <v>1106</v>
      </c>
      <c r="AB1372" s="152"/>
      <c r="AC1372" s="153"/>
      <c r="AD1372" s="154"/>
      <c r="AE1372" s="153"/>
      <c r="AF1372" s="153"/>
      <c r="AG1372" s="153"/>
      <c r="AH1372" s="153"/>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c r="BI1372" s="153"/>
      <c r="BJ1372" s="153"/>
      <c r="BK1372" s="153"/>
      <c r="BL1372" s="153"/>
      <c r="BM1372" s="153"/>
      <c r="BN1372" s="153"/>
      <c r="BO1372" s="153"/>
      <c r="BP1372" s="153"/>
      <c r="BQ1372" s="153"/>
      <c r="BR1372" s="153"/>
      <c r="BS1372" s="153"/>
      <c r="BT1372" s="153"/>
      <c r="BU1372" s="153"/>
      <c r="BV1372" s="153"/>
      <c r="BW1372" s="153"/>
      <c r="BX1372" s="153"/>
      <c r="BY1372" s="153"/>
      <c r="BZ1372" s="153"/>
      <c r="CA1372" s="153"/>
      <c r="CB1372" s="153"/>
      <c r="CC1372" s="153"/>
      <c r="CD1372" s="155"/>
      <c r="CE1372" s="156"/>
      <c r="CF1372" s="155"/>
      <c r="CG1372" s="156"/>
      <c r="CH1372" s="155"/>
      <c r="CI1372" s="156"/>
      <c r="CJ1372" s="157">
        <f t="shared" si="182"/>
        <v>0</v>
      </c>
      <c r="CK1372" s="158"/>
      <c r="CL1372" s="159"/>
      <c r="CM1372" s="160"/>
      <c r="CN1372" s="161"/>
      <c r="CO1372" s="162"/>
      <c r="CP1372" s="161"/>
      <c r="CQ1372" s="158"/>
      <c r="CR1372" s="159"/>
      <c r="CS1372" s="68"/>
      <c r="CT1372" s="163"/>
      <c r="EC1372" s="344" t="str">
        <f t="shared" si="185"/>
        <v>VALLE DEL CAUCA_PALMIRA</v>
      </c>
      <c r="ED1372" s="341"/>
      <c r="EE1372" s="341"/>
      <c r="EF1372" s="348"/>
      <c r="EG1372" s="341"/>
      <c r="EH1372" s="341"/>
      <c r="EI1372" s="341"/>
    </row>
    <row r="1373" spans="1:139" s="164" customFormat="1" ht="38.25">
      <c r="A1373" s="228">
        <v>40472.59375</v>
      </c>
      <c r="B1373" s="205" t="s">
        <v>2298</v>
      </c>
      <c r="C1373" s="205" t="s">
        <v>1610</v>
      </c>
      <c r="D1373" s="207" t="s">
        <v>2606</v>
      </c>
      <c r="E1373" s="323"/>
      <c r="F1373" s="323"/>
      <c r="G1373" s="204"/>
      <c r="H1373" s="151">
        <v>5</v>
      </c>
      <c r="I1373" s="151"/>
      <c r="J1373" s="151"/>
      <c r="K1373" s="409"/>
      <c r="L1373" s="1"/>
      <c r="M1373" s="73">
        <f t="shared" si="180"/>
        <v>0</v>
      </c>
      <c r="N1373" s="73">
        <f t="shared" si="184"/>
        <v>0</v>
      </c>
      <c r="O1373" s="73">
        <f t="shared" si="179"/>
        <v>0</v>
      </c>
      <c r="P1373" s="73">
        <f t="shared" si="181"/>
        <v>0</v>
      </c>
      <c r="Q1373" s="73"/>
      <c r="R1373" s="73">
        <v>0</v>
      </c>
      <c r="S1373" s="75">
        <f t="shared" si="183"/>
        <v>0</v>
      </c>
      <c r="T1373" s="77">
        <v>0</v>
      </c>
      <c r="U1373" s="296">
        <v>40624</v>
      </c>
      <c r="V1373" s="297"/>
      <c r="W1373" s="296" t="s">
        <v>1585</v>
      </c>
      <c r="X1373" s="298" t="s">
        <v>1586</v>
      </c>
      <c r="Y1373" s="299"/>
      <c r="Z1373" s="300" t="s">
        <v>894</v>
      </c>
      <c r="AA1373" s="414" t="s">
        <v>5414</v>
      </c>
      <c r="AB1373" s="152"/>
      <c r="AC1373" s="153"/>
      <c r="AD1373" s="154"/>
      <c r="AE1373" s="153"/>
      <c r="AF1373" s="153"/>
      <c r="AG1373" s="153"/>
      <c r="AH1373" s="153"/>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c r="BI1373" s="153"/>
      <c r="BJ1373" s="153"/>
      <c r="BK1373" s="153"/>
      <c r="BL1373" s="153"/>
      <c r="BM1373" s="153"/>
      <c r="BN1373" s="153"/>
      <c r="BO1373" s="153"/>
      <c r="BP1373" s="153"/>
      <c r="BQ1373" s="153"/>
      <c r="BR1373" s="153"/>
      <c r="BS1373" s="153"/>
      <c r="BT1373" s="153"/>
      <c r="BU1373" s="153"/>
      <c r="BV1373" s="153"/>
      <c r="BW1373" s="153"/>
      <c r="BX1373" s="153"/>
      <c r="BY1373" s="153"/>
      <c r="BZ1373" s="153"/>
      <c r="CA1373" s="153"/>
      <c r="CB1373" s="153"/>
      <c r="CC1373" s="153"/>
      <c r="CD1373" s="155"/>
      <c r="CE1373" s="156"/>
      <c r="CF1373" s="155"/>
      <c r="CG1373" s="156"/>
      <c r="CH1373" s="155"/>
      <c r="CI1373" s="156"/>
      <c r="CJ1373" s="157">
        <f t="shared" si="182"/>
        <v>0</v>
      </c>
      <c r="CK1373" s="158"/>
      <c r="CL1373" s="159"/>
      <c r="CM1373" s="160"/>
      <c r="CN1373" s="161"/>
      <c r="CO1373" s="162"/>
      <c r="CP1373" s="161"/>
      <c r="CQ1373" s="158"/>
      <c r="CR1373" s="159"/>
      <c r="CS1373" s="68"/>
      <c r="CT1373" s="163"/>
      <c r="EC1373" s="344" t="str">
        <f t="shared" si="185"/>
        <v>BOGOTA D.C._BOGOTA</v>
      </c>
      <c r="ED1373" s="341"/>
      <c r="EE1373" s="341"/>
      <c r="EF1373" s="348"/>
      <c r="EG1373" s="341"/>
      <c r="EH1373" s="341"/>
      <c r="EI1373" s="341"/>
    </row>
    <row r="1374" spans="1:139" s="164" customFormat="1" ht="48">
      <c r="A1374" s="228">
        <v>40473</v>
      </c>
      <c r="B1374" s="205" t="s">
        <v>1314</v>
      </c>
      <c r="C1374" s="205" t="s">
        <v>3133</v>
      </c>
      <c r="D1374" s="207" t="s">
        <v>1201</v>
      </c>
      <c r="E1374" s="323" t="s">
        <v>3604</v>
      </c>
      <c r="F1374" s="323"/>
      <c r="G1374" s="204"/>
      <c r="H1374" s="151"/>
      <c r="I1374" s="151"/>
      <c r="J1374" s="151">
        <f>800*5</f>
        <v>4000</v>
      </c>
      <c r="K1374" s="151">
        <v>800</v>
      </c>
      <c r="L1374" s="1">
        <v>40515</v>
      </c>
      <c r="M1374" s="73">
        <f t="shared" si="180"/>
        <v>87198766</v>
      </c>
      <c r="N1374" s="73">
        <f t="shared" si="184"/>
        <v>67998768</v>
      </c>
      <c r="O1374" s="73">
        <f t="shared" si="179"/>
        <v>9999970</v>
      </c>
      <c r="P1374" s="73">
        <f t="shared" si="181"/>
        <v>0</v>
      </c>
      <c r="Q1374" s="73"/>
      <c r="R1374" s="73">
        <v>0</v>
      </c>
      <c r="S1374" s="75">
        <f t="shared" si="183"/>
        <v>165197504</v>
      </c>
      <c r="T1374" s="77">
        <v>0</v>
      </c>
      <c r="U1374" s="66">
        <v>40476</v>
      </c>
      <c r="V1374" s="79">
        <v>58729</v>
      </c>
      <c r="W1374" s="66" t="s">
        <v>1606</v>
      </c>
      <c r="X1374" s="24" t="s">
        <v>1607</v>
      </c>
      <c r="Y1374" s="62">
        <v>25682</v>
      </c>
      <c r="Z1374" s="169" t="s">
        <v>1435</v>
      </c>
      <c r="AA1374" s="166" t="s">
        <v>1110</v>
      </c>
      <c r="AB1374" s="152"/>
      <c r="AC1374" s="153"/>
      <c r="AD1374" s="154"/>
      <c r="AE1374" s="153"/>
      <c r="AF1374" s="153"/>
      <c r="AG1374" s="153"/>
      <c r="AH1374" s="153"/>
      <c r="AI1374" s="153"/>
      <c r="AJ1374" s="153"/>
      <c r="AK1374" s="153"/>
      <c r="AL1374" s="153"/>
      <c r="AM1374" s="153"/>
      <c r="AN1374" s="153">
        <v>500</v>
      </c>
      <c r="AO1374" s="153">
        <f>500*55999.58</f>
        <v>27999790</v>
      </c>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c r="BI1374" s="153"/>
      <c r="BJ1374" s="153"/>
      <c r="BK1374" s="153"/>
      <c r="BL1374" s="153"/>
      <c r="BM1374" s="153"/>
      <c r="BN1374" s="153"/>
      <c r="BO1374" s="153"/>
      <c r="BP1374" s="153"/>
      <c r="BQ1374" s="153"/>
      <c r="BR1374" s="153"/>
      <c r="BS1374" s="153"/>
      <c r="BT1374" s="153"/>
      <c r="BU1374" s="153"/>
      <c r="BV1374" s="153"/>
      <c r="BW1374" s="153"/>
      <c r="BX1374" s="153"/>
      <c r="BY1374" s="153"/>
      <c r="BZ1374" s="153"/>
      <c r="CA1374" s="153"/>
      <c r="CB1374" s="153"/>
      <c r="CC1374" s="153"/>
      <c r="CD1374" s="155">
        <v>800</v>
      </c>
      <c r="CE1374" s="156">
        <f>800*37999.14</f>
        <v>30399312</v>
      </c>
      <c r="CF1374" s="155">
        <v>800</v>
      </c>
      <c r="CG1374" s="156">
        <f>800*35999.58</f>
        <v>28799664</v>
      </c>
      <c r="CH1374" s="155"/>
      <c r="CI1374" s="156"/>
      <c r="CJ1374" s="157">
        <f t="shared" si="182"/>
        <v>87198766</v>
      </c>
      <c r="CK1374" s="158"/>
      <c r="CL1374" s="159"/>
      <c r="CM1374" s="160">
        <v>800</v>
      </c>
      <c r="CN1374" s="161">
        <f>800*84998.46</f>
        <v>67998768</v>
      </c>
      <c r="CO1374" s="162"/>
      <c r="CP1374" s="161"/>
      <c r="CQ1374" s="158">
        <v>500</v>
      </c>
      <c r="CR1374" s="159">
        <f>500*18999.98+2000*249.99</f>
        <v>9999970</v>
      </c>
      <c r="CS1374" s="68"/>
      <c r="CT1374" s="163"/>
      <c r="EC1374" s="344" t="str">
        <f t="shared" si="185"/>
        <v>CAUCA_LOPEZ</v>
      </c>
      <c r="ED1374" s="341"/>
      <c r="EE1374" s="341"/>
      <c r="EF1374" s="348"/>
      <c r="EG1374" s="341"/>
      <c r="EH1374" s="341"/>
      <c r="EI1374" s="341"/>
    </row>
    <row r="1375" spans="1:139" s="164" customFormat="1" ht="25.5">
      <c r="A1375" s="228">
        <v>40473</v>
      </c>
      <c r="B1375" s="205" t="s">
        <v>1821</v>
      </c>
      <c r="C1375" s="205" t="s">
        <v>351</v>
      </c>
      <c r="D1375" s="207" t="s">
        <v>1201</v>
      </c>
      <c r="E1375" s="323" t="s">
        <v>3634</v>
      </c>
      <c r="F1375" s="323"/>
      <c r="G1375" s="204"/>
      <c r="H1375" s="151"/>
      <c r="I1375" s="151"/>
      <c r="J1375" s="151">
        <f>200*5</f>
        <v>1000</v>
      </c>
      <c r="K1375" s="151">
        <v>200</v>
      </c>
      <c r="L1375" s="1"/>
      <c r="M1375" s="73">
        <f t="shared" si="180"/>
        <v>0</v>
      </c>
      <c r="N1375" s="73">
        <f t="shared" si="184"/>
        <v>0</v>
      </c>
      <c r="O1375" s="73">
        <f t="shared" si="179"/>
        <v>0</v>
      </c>
      <c r="P1375" s="73">
        <f t="shared" si="181"/>
        <v>0</v>
      </c>
      <c r="Q1375" s="73"/>
      <c r="R1375" s="73">
        <v>0</v>
      </c>
      <c r="S1375" s="75">
        <f t="shared" si="183"/>
        <v>0</v>
      </c>
      <c r="T1375" s="77">
        <v>0</v>
      </c>
      <c r="U1375" s="66">
        <v>40476</v>
      </c>
      <c r="V1375" s="79"/>
      <c r="W1375" s="66" t="s">
        <v>1585</v>
      </c>
      <c r="X1375" s="24" t="s">
        <v>1586</v>
      </c>
      <c r="Y1375" s="62"/>
      <c r="Z1375" s="169" t="s">
        <v>894</v>
      </c>
      <c r="AA1375" s="166" t="s">
        <v>1109</v>
      </c>
      <c r="AB1375" s="152"/>
      <c r="AC1375" s="153"/>
      <c r="AD1375" s="154"/>
      <c r="AE1375" s="153"/>
      <c r="AF1375" s="153"/>
      <c r="AG1375" s="153"/>
      <c r="AH1375" s="153"/>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c r="BI1375" s="153"/>
      <c r="BJ1375" s="153"/>
      <c r="BK1375" s="153"/>
      <c r="BL1375" s="153"/>
      <c r="BM1375" s="153"/>
      <c r="BN1375" s="153"/>
      <c r="BO1375" s="153"/>
      <c r="BP1375" s="153"/>
      <c r="BQ1375" s="153"/>
      <c r="BR1375" s="153"/>
      <c r="BS1375" s="153"/>
      <c r="BT1375" s="153"/>
      <c r="BU1375" s="153"/>
      <c r="BV1375" s="153"/>
      <c r="BW1375" s="153"/>
      <c r="BX1375" s="153"/>
      <c r="BY1375" s="153"/>
      <c r="BZ1375" s="153"/>
      <c r="CA1375" s="153"/>
      <c r="CB1375" s="153"/>
      <c r="CC1375" s="153"/>
      <c r="CD1375" s="155"/>
      <c r="CE1375" s="156"/>
      <c r="CF1375" s="155"/>
      <c r="CG1375" s="156"/>
      <c r="CH1375" s="155"/>
      <c r="CI1375" s="156"/>
      <c r="CJ1375" s="157">
        <f t="shared" si="182"/>
        <v>0</v>
      </c>
      <c r="CK1375" s="158"/>
      <c r="CL1375" s="159"/>
      <c r="CM1375" s="160"/>
      <c r="CN1375" s="161"/>
      <c r="CO1375" s="162"/>
      <c r="CP1375" s="161"/>
      <c r="CQ1375" s="158"/>
      <c r="CR1375" s="159"/>
      <c r="CS1375" s="68"/>
      <c r="CT1375" s="163"/>
      <c r="EC1375" s="344" t="str">
        <f t="shared" si="185"/>
        <v>CESAR_CHIMICHAGUA</v>
      </c>
      <c r="ED1375" s="341"/>
      <c r="EE1375" s="341"/>
      <c r="EF1375" s="348"/>
      <c r="EG1375" s="341"/>
      <c r="EH1375" s="341"/>
      <c r="EI1375" s="341"/>
    </row>
    <row r="1376" spans="1:139" s="164" customFormat="1" ht="25.5">
      <c r="A1376" s="228">
        <v>40473</v>
      </c>
      <c r="B1376" s="205" t="s">
        <v>1821</v>
      </c>
      <c r="C1376" s="205" t="s">
        <v>595</v>
      </c>
      <c r="D1376" s="207" t="s">
        <v>1316</v>
      </c>
      <c r="E1376" s="323" t="s">
        <v>3628</v>
      </c>
      <c r="F1376" s="323"/>
      <c r="G1376" s="204"/>
      <c r="H1376" s="151"/>
      <c r="I1376" s="151"/>
      <c r="J1376" s="151">
        <v>5</v>
      </c>
      <c r="K1376" s="151">
        <v>1</v>
      </c>
      <c r="L1376" s="1"/>
      <c r="M1376" s="73">
        <f t="shared" si="180"/>
        <v>0</v>
      </c>
      <c r="N1376" s="73">
        <f t="shared" si="184"/>
        <v>0</v>
      </c>
      <c r="O1376" s="73">
        <f t="shared" si="179"/>
        <v>0</v>
      </c>
      <c r="P1376" s="73">
        <f t="shared" si="181"/>
        <v>0</v>
      </c>
      <c r="Q1376" s="73"/>
      <c r="R1376" s="73">
        <v>0</v>
      </c>
      <c r="S1376" s="75">
        <f t="shared" si="183"/>
        <v>0</v>
      </c>
      <c r="T1376" s="77">
        <v>0</v>
      </c>
      <c r="U1376" s="66">
        <v>40476</v>
      </c>
      <c r="V1376" s="79"/>
      <c r="W1376" s="66" t="s">
        <v>1585</v>
      </c>
      <c r="X1376" s="24" t="s">
        <v>1586</v>
      </c>
      <c r="Y1376" s="62"/>
      <c r="Z1376" s="169" t="s">
        <v>894</v>
      </c>
      <c r="AA1376" s="166" t="s">
        <v>1114</v>
      </c>
      <c r="AB1376" s="152"/>
      <c r="AC1376" s="153"/>
      <c r="AD1376" s="154"/>
      <c r="AE1376" s="153"/>
      <c r="AF1376" s="153"/>
      <c r="AG1376" s="153"/>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c r="BI1376" s="153"/>
      <c r="BJ1376" s="153"/>
      <c r="BK1376" s="153"/>
      <c r="BL1376" s="153"/>
      <c r="BM1376" s="153"/>
      <c r="BN1376" s="153"/>
      <c r="BO1376" s="153"/>
      <c r="BP1376" s="153"/>
      <c r="BQ1376" s="153"/>
      <c r="BR1376" s="153"/>
      <c r="BS1376" s="153"/>
      <c r="BT1376" s="153"/>
      <c r="BU1376" s="153"/>
      <c r="BV1376" s="153"/>
      <c r="BW1376" s="153"/>
      <c r="BX1376" s="153"/>
      <c r="BY1376" s="153"/>
      <c r="BZ1376" s="153"/>
      <c r="CA1376" s="153"/>
      <c r="CB1376" s="153"/>
      <c r="CC1376" s="153"/>
      <c r="CD1376" s="155"/>
      <c r="CE1376" s="156"/>
      <c r="CF1376" s="155"/>
      <c r="CG1376" s="156"/>
      <c r="CH1376" s="155"/>
      <c r="CI1376" s="156"/>
      <c r="CJ1376" s="157">
        <f t="shared" si="182"/>
        <v>0</v>
      </c>
      <c r="CK1376" s="158"/>
      <c r="CL1376" s="159"/>
      <c r="CM1376" s="160"/>
      <c r="CN1376" s="161"/>
      <c r="CO1376" s="162"/>
      <c r="CP1376" s="161"/>
      <c r="CQ1376" s="158"/>
      <c r="CR1376" s="159"/>
      <c r="CS1376" s="68"/>
      <c r="CT1376" s="163"/>
      <c r="EC1376" s="344" t="str">
        <f t="shared" si="185"/>
        <v>CESAR_VALLEDUPAR</v>
      </c>
      <c r="ED1376" s="341"/>
      <c r="EE1376" s="341"/>
      <c r="EF1376" s="348"/>
      <c r="EG1376" s="341"/>
      <c r="EH1376" s="341"/>
      <c r="EI1376" s="341"/>
    </row>
    <row r="1377" spans="1:139" s="164" customFormat="1" ht="60">
      <c r="A1377" s="228">
        <v>40473</v>
      </c>
      <c r="B1377" s="205" t="s">
        <v>962</v>
      </c>
      <c r="C1377" s="205" t="s">
        <v>599</v>
      </c>
      <c r="D1377" s="207" t="s">
        <v>1201</v>
      </c>
      <c r="E1377" s="323" t="s">
        <v>3823</v>
      </c>
      <c r="F1377" s="323"/>
      <c r="G1377" s="204"/>
      <c r="H1377" s="151"/>
      <c r="I1377" s="151"/>
      <c r="J1377" s="151">
        <v>70</v>
      </c>
      <c r="K1377" s="151">
        <v>14</v>
      </c>
      <c r="L1377" s="1"/>
      <c r="M1377" s="73">
        <f t="shared" si="180"/>
        <v>0</v>
      </c>
      <c r="N1377" s="73">
        <f t="shared" si="184"/>
        <v>0</v>
      </c>
      <c r="O1377" s="73">
        <f t="shared" si="179"/>
        <v>0</v>
      </c>
      <c r="P1377" s="73">
        <f t="shared" si="181"/>
        <v>0</v>
      </c>
      <c r="Q1377" s="73"/>
      <c r="R1377" s="73">
        <v>0</v>
      </c>
      <c r="S1377" s="75">
        <f t="shared" si="183"/>
        <v>0</v>
      </c>
      <c r="T1377" s="77">
        <v>0</v>
      </c>
      <c r="U1377" s="66">
        <v>40476</v>
      </c>
      <c r="V1377" s="79"/>
      <c r="W1377" s="66" t="s">
        <v>1585</v>
      </c>
      <c r="X1377" s="24" t="s">
        <v>1586</v>
      </c>
      <c r="Y1377" s="62"/>
      <c r="Z1377" s="169" t="s">
        <v>894</v>
      </c>
      <c r="AA1377" s="166" t="s">
        <v>2952</v>
      </c>
      <c r="AB1377" s="152"/>
      <c r="AC1377" s="153"/>
      <c r="AD1377" s="154"/>
      <c r="AE1377" s="153"/>
      <c r="AF1377" s="153"/>
      <c r="AG1377" s="153"/>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53"/>
      <c r="BB1377" s="153"/>
      <c r="BC1377" s="153"/>
      <c r="BD1377" s="153"/>
      <c r="BE1377" s="153"/>
      <c r="BF1377" s="153"/>
      <c r="BG1377" s="153"/>
      <c r="BH1377" s="153"/>
      <c r="BI1377" s="153"/>
      <c r="BJ1377" s="153"/>
      <c r="BK1377" s="153"/>
      <c r="BL1377" s="153"/>
      <c r="BM1377" s="153"/>
      <c r="BN1377" s="153"/>
      <c r="BO1377" s="153"/>
      <c r="BP1377" s="153"/>
      <c r="BQ1377" s="153"/>
      <c r="BR1377" s="153"/>
      <c r="BS1377" s="153"/>
      <c r="BT1377" s="153"/>
      <c r="BU1377" s="153"/>
      <c r="BV1377" s="153"/>
      <c r="BW1377" s="153"/>
      <c r="BX1377" s="153"/>
      <c r="BY1377" s="153"/>
      <c r="BZ1377" s="153"/>
      <c r="CA1377" s="153"/>
      <c r="CB1377" s="153"/>
      <c r="CC1377" s="153"/>
      <c r="CD1377" s="155"/>
      <c r="CE1377" s="156"/>
      <c r="CF1377" s="155"/>
      <c r="CG1377" s="156"/>
      <c r="CH1377" s="155"/>
      <c r="CI1377" s="156"/>
      <c r="CJ1377" s="157">
        <f t="shared" si="182"/>
        <v>0</v>
      </c>
      <c r="CK1377" s="158"/>
      <c r="CL1377" s="159"/>
      <c r="CM1377" s="160"/>
      <c r="CN1377" s="161"/>
      <c r="CO1377" s="162"/>
      <c r="CP1377" s="161"/>
      <c r="CQ1377" s="158"/>
      <c r="CR1377" s="159"/>
      <c r="CS1377" s="68"/>
      <c r="CT1377" s="163"/>
      <c r="EC1377" s="344" t="str">
        <f t="shared" si="185"/>
        <v>HUILA_NEIVA</v>
      </c>
      <c r="ED1377" s="341"/>
      <c r="EE1377" s="341"/>
      <c r="EF1377" s="348"/>
      <c r="EG1377" s="341"/>
      <c r="EH1377" s="341"/>
      <c r="EI1377" s="341"/>
    </row>
    <row r="1378" spans="1:139" s="164" customFormat="1" ht="25.5">
      <c r="A1378" s="235">
        <v>40474</v>
      </c>
      <c r="B1378" s="269" t="s">
        <v>1972</v>
      </c>
      <c r="C1378" s="269" t="s">
        <v>1844</v>
      </c>
      <c r="D1378" s="270" t="s">
        <v>1201</v>
      </c>
      <c r="E1378" s="327" t="s">
        <v>3339</v>
      </c>
      <c r="F1378" s="327"/>
      <c r="G1378" s="204">
        <v>2</v>
      </c>
      <c r="H1378" s="151">
        <v>1</v>
      </c>
      <c r="I1378" s="151"/>
      <c r="J1378" s="151">
        <f>11463-135</f>
        <v>11328</v>
      </c>
      <c r="K1378" s="151">
        <f>4441-27</f>
        <v>4414</v>
      </c>
      <c r="L1378" s="1"/>
      <c r="M1378" s="73">
        <f t="shared" si="180"/>
        <v>0</v>
      </c>
      <c r="N1378" s="73">
        <f t="shared" si="184"/>
        <v>0</v>
      </c>
      <c r="O1378" s="73">
        <f t="shared" si="179"/>
        <v>0</v>
      </c>
      <c r="P1378" s="73">
        <f t="shared" si="181"/>
        <v>0</v>
      </c>
      <c r="Q1378" s="73"/>
      <c r="R1378" s="73">
        <v>0</v>
      </c>
      <c r="S1378" s="75">
        <f t="shared" si="183"/>
        <v>0</v>
      </c>
      <c r="T1378" s="77">
        <v>0</v>
      </c>
      <c r="U1378" s="66">
        <v>40476</v>
      </c>
      <c r="V1378" s="79"/>
      <c r="W1378" s="66" t="s">
        <v>1585</v>
      </c>
      <c r="X1378" s="24" t="s">
        <v>1586</v>
      </c>
      <c r="Y1378" s="62"/>
      <c r="Z1378" s="169" t="s">
        <v>894</v>
      </c>
      <c r="AA1378" s="166" t="s">
        <v>1111</v>
      </c>
      <c r="AB1378" s="152"/>
      <c r="AC1378" s="153"/>
      <c r="AD1378" s="154"/>
      <c r="AE1378" s="153"/>
      <c r="AF1378" s="153"/>
      <c r="AG1378" s="153"/>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c r="BF1378" s="153"/>
      <c r="BG1378" s="153"/>
      <c r="BH1378" s="153"/>
      <c r="BI1378" s="153"/>
      <c r="BJ1378" s="153"/>
      <c r="BK1378" s="153"/>
      <c r="BL1378" s="153"/>
      <c r="BM1378" s="153"/>
      <c r="BN1378" s="153"/>
      <c r="BO1378" s="153"/>
      <c r="BP1378" s="153"/>
      <c r="BQ1378" s="153"/>
      <c r="BR1378" s="153"/>
      <c r="BS1378" s="153"/>
      <c r="BT1378" s="153"/>
      <c r="BU1378" s="153"/>
      <c r="BV1378" s="153"/>
      <c r="BW1378" s="153"/>
      <c r="BX1378" s="153"/>
      <c r="BY1378" s="153"/>
      <c r="BZ1378" s="153"/>
      <c r="CA1378" s="153"/>
      <c r="CB1378" s="153"/>
      <c r="CC1378" s="153"/>
      <c r="CD1378" s="155"/>
      <c r="CE1378" s="156"/>
      <c r="CF1378" s="155"/>
      <c r="CG1378" s="156"/>
      <c r="CH1378" s="155"/>
      <c r="CI1378" s="156"/>
      <c r="CJ1378" s="157">
        <f t="shared" si="182"/>
        <v>0</v>
      </c>
      <c r="CK1378" s="158"/>
      <c r="CL1378" s="159"/>
      <c r="CM1378" s="160"/>
      <c r="CN1378" s="161"/>
      <c r="CO1378" s="162"/>
      <c r="CP1378" s="161"/>
      <c r="CQ1378" s="158"/>
      <c r="CR1378" s="159"/>
      <c r="CS1378" s="68"/>
      <c r="CT1378" s="163"/>
      <c r="EC1378" s="344" t="str">
        <f t="shared" si="185"/>
        <v>ANTIOQUIA_TURBO</v>
      </c>
      <c r="ED1378" s="341"/>
      <c r="EE1378" s="341"/>
      <c r="EF1378" s="348"/>
      <c r="EG1378" s="341"/>
      <c r="EH1378" s="341"/>
      <c r="EI1378" s="341"/>
    </row>
    <row r="1379" spans="1:139" s="164" customFormat="1" ht="38.25">
      <c r="A1379" s="228">
        <v>40474</v>
      </c>
      <c r="B1379" s="205" t="s">
        <v>1551</v>
      </c>
      <c r="C1379" s="205" t="s">
        <v>1590</v>
      </c>
      <c r="D1379" s="207" t="s">
        <v>1201</v>
      </c>
      <c r="E1379" s="323" t="s">
        <v>3352</v>
      </c>
      <c r="F1379" s="323"/>
      <c r="G1379" s="204"/>
      <c r="H1379" s="151"/>
      <c r="I1379" s="151"/>
      <c r="J1379" s="151">
        <v>1500</v>
      </c>
      <c r="K1379" s="151">
        <v>300</v>
      </c>
      <c r="L1379" s="1"/>
      <c r="M1379" s="73">
        <f t="shared" si="180"/>
        <v>0</v>
      </c>
      <c r="N1379" s="73">
        <f t="shared" si="184"/>
        <v>0</v>
      </c>
      <c r="O1379" s="73">
        <f t="shared" si="179"/>
        <v>0</v>
      </c>
      <c r="P1379" s="73">
        <f t="shared" si="181"/>
        <v>0</v>
      </c>
      <c r="Q1379" s="73"/>
      <c r="R1379" s="73">
        <v>0</v>
      </c>
      <c r="S1379" s="75">
        <f t="shared" si="183"/>
        <v>0</v>
      </c>
      <c r="T1379" s="77">
        <v>0</v>
      </c>
      <c r="U1379" s="66">
        <v>40476</v>
      </c>
      <c r="V1379" s="79"/>
      <c r="W1379" s="66" t="s">
        <v>1585</v>
      </c>
      <c r="X1379" s="24" t="s">
        <v>1586</v>
      </c>
      <c r="Y1379" s="62"/>
      <c r="Z1379" s="169" t="s">
        <v>894</v>
      </c>
      <c r="AA1379" s="166" t="s">
        <v>1112</v>
      </c>
      <c r="AB1379" s="152"/>
      <c r="AC1379" s="153"/>
      <c r="AD1379" s="154"/>
      <c r="AE1379" s="153"/>
      <c r="AF1379" s="153"/>
      <c r="AG1379" s="153"/>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c r="BF1379" s="153"/>
      <c r="BG1379" s="153"/>
      <c r="BH1379" s="153"/>
      <c r="BI1379" s="153"/>
      <c r="BJ1379" s="153"/>
      <c r="BK1379" s="153"/>
      <c r="BL1379" s="153"/>
      <c r="BM1379" s="153"/>
      <c r="BN1379" s="153"/>
      <c r="BO1379" s="153"/>
      <c r="BP1379" s="153"/>
      <c r="BQ1379" s="153"/>
      <c r="BR1379" s="153"/>
      <c r="BS1379" s="153"/>
      <c r="BT1379" s="153"/>
      <c r="BU1379" s="153"/>
      <c r="BV1379" s="153"/>
      <c r="BW1379" s="153"/>
      <c r="BX1379" s="153"/>
      <c r="BY1379" s="153"/>
      <c r="BZ1379" s="153"/>
      <c r="CA1379" s="153"/>
      <c r="CB1379" s="153"/>
      <c r="CC1379" s="153"/>
      <c r="CD1379" s="155"/>
      <c r="CE1379" s="156"/>
      <c r="CF1379" s="155"/>
      <c r="CG1379" s="156"/>
      <c r="CH1379" s="155"/>
      <c r="CI1379" s="156"/>
      <c r="CJ1379" s="157">
        <f t="shared" si="182"/>
        <v>0</v>
      </c>
      <c r="CK1379" s="158"/>
      <c r="CL1379" s="159"/>
      <c r="CM1379" s="160"/>
      <c r="CN1379" s="161"/>
      <c r="CO1379" s="162"/>
      <c r="CP1379" s="161"/>
      <c r="CQ1379" s="158"/>
      <c r="CR1379" s="159"/>
      <c r="CS1379" s="68"/>
      <c r="CT1379" s="163"/>
      <c r="EC1379" s="344" t="str">
        <f t="shared" si="185"/>
        <v>ATLANTICO_BARRANQUILLA</v>
      </c>
      <c r="ED1379" s="341"/>
      <c r="EE1379" s="341"/>
      <c r="EF1379" s="348"/>
      <c r="EG1379" s="341"/>
      <c r="EH1379" s="341"/>
      <c r="EI1379" s="341"/>
    </row>
    <row r="1380" spans="1:139" s="164" customFormat="1" ht="36">
      <c r="A1380" s="228">
        <v>40475</v>
      </c>
      <c r="B1380" s="205" t="s">
        <v>1615</v>
      </c>
      <c r="C1380" s="205" t="s">
        <v>1642</v>
      </c>
      <c r="D1380" s="206" t="s">
        <v>1878</v>
      </c>
      <c r="E1380" s="320" t="s">
        <v>3376</v>
      </c>
      <c r="F1380" s="320"/>
      <c r="G1380" s="204"/>
      <c r="H1380" s="151"/>
      <c r="I1380" s="151"/>
      <c r="J1380" s="151">
        <v>33</v>
      </c>
      <c r="K1380" s="151">
        <v>6</v>
      </c>
      <c r="L1380" s="1"/>
      <c r="M1380" s="73">
        <f t="shared" si="180"/>
        <v>0</v>
      </c>
      <c r="N1380" s="73">
        <f t="shared" si="184"/>
        <v>0</v>
      </c>
      <c r="O1380" s="73">
        <f t="shared" si="179"/>
        <v>0</v>
      </c>
      <c r="P1380" s="73">
        <f t="shared" si="181"/>
        <v>0</v>
      </c>
      <c r="Q1380" s="73"/>
      <c r="R1380" s="73">
        <v>0</v>
      </c>
      <c r="S1380" s="75">
        <f t="shared" si="183"/>
        <v>0</v>
      </c>
      <c r="T1380" s="77">
        <v>0</v>
      </c>
      <c r="U1380" s="66">
        <v>40477</v>
      </c>
      <c r="V1380" s="79"/>
      <c r="W1380" s="66" t="s">
        <v>1585</v>
      </c>
      <c r="X1380" s="24" t="s">
        <v>1586</v>
      </c>
      <c r="Y1380" s="62"/>
      <c r="Z1380" s="169" t="s">
        <v>894</v>
      </c>
      <c r="AA1380" s="166" t="s">
        <v>1861</v>
      </c>
      <c r="AB1380" s="152"/>
      <c r="AC1380" s="153"/>
      <c r="AD1380" s="154"/>
      <c r="AE1380" s="153"/>
      <c r="AF1380" s="153"/>
      <c r="AG1380" s="153"/>
      <c r="AH1380" s="153"/>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c r="BF1380" s="153"/>
      <c r="BG1380" s="153"/>
      <c r="BH1380" s="153"/>
      <c r="BI1380" s="153"/>
      <c r="BJ1380" s="153"/>
      <c r="BK1380" s="153"/>
      <c r="BL1380" s="153"/>
      <c r="BM1380" s="153"/>
      <c r="BN1380" s="153"/>
      <c r="BO1380" s="153"/>
      <c r="BP1380" s="153"/>
      <c r="BQ1380" s="153"/>
      <c r="BR1380" s="153"/>
      <c r="BS1380" s="153"/>
      <c r="BT1380" s="153"/>
      <c r="BU1380" s="153"/>
      <c r="BV1380" s="153"/>
      <c r="BW1380" s="153"/>
      <c r="BX1380" s="153"/>
      <c r="BY1380" s="153"/>
      <c r="BZ1380" s="153"/>
      <c r="CA1380" s="153"/>
      <c r="CB1380" s="153"/>
      <c r="CC1380" s="153"/>
      <c r="CD1380" s="155"/>
      <c r="CE1380" s="156"/>
      <c r="CF1380" s="155"/>
      <c r="CG1380" s="156"/>
      <c r="CH1380" s="155"/>
      <c r="CI1380" s="156"/>
      <c r="CJ1380" s="157">
        <f t="shared" si="182"/>
        <v>0</v>
      </c>
      <c r="CK1380" s="158"/>
      <c r="CL1380" s="159"/>
      <c r="CM1380" s="160"/>
      <c r="CN1380" s="161"/>
      <c r="CO1380" s="162"/>
      <c r="CP1380" s="161"/>
      <c r="CQ1380" s="158"/>
      <c r="CR1380" s="159"/>
      <c r="CS1380" s="68"/>
      <c r="CT1380" s="163"/>
      <c r="EC1380" s="344" t="str">
        <f t="shared" si="185"/>
        <v>BOLIVAR_CARTAGENA</v>
      </c>
      <c r="ED1380" s="341"/>
      <c r="EE1380" s="341"/>
      <c r="EF1380" s="348"/>
      <c r="EG1380" s="341"/>
      <c r="EH1380" s="341"/>
      <c r="EI1380" s="341"/>
    </row>
    <row r="1381" spans="1:139" s="164" customFormat="1" ht="25.5">
      <c r="A1381" s="228">
        <v>40475</v>
      </c>
      <c r="B1381" s="205" t="s">
        <v>653</v>
      </c>
      <c r="C1381" s="205" t="s">
        <v>1609</v>
      </c>
      <c r="D1381" s="207" t="s">
        <v>2606</v>
      </c>
      <c r="E1381" s="323" t="s">
        <v>3562</v>
      </c>
      <c r="F1381" s="323"/>
      <c r="G1381" s="204"/>
      <c r="H1381" s="151"/>
      <c r="I1381" s="151"/>
      <c r="J1381" s="151">
        <f>108*5</f>
        <v>540</v>
      </c>
      <c r="K1381" s="151">
        <v>108</v>
      </c>
      <c r="L1381" s="1"/>
      <c r="M1381" s="73">
        <f t="shared" si="180"/>
        <v>0</v>
      </c>
      <c r="N1381" s="73">
        <f t="shared" si="184"/>
        <v>0</v>
      </c>
      <c r="O1381" s="73">
        <f t="shared" si="179"/>
        <v>0</v>
      </c>
      <c r="P1381" s="73">
        <f t="shared" si="181"/>
        <v>0</v>
      </c>
      <c r="Q1381" s="73"/>
      <c r="R1381" s="73">
        <v>0</v>
      </c>
      <c r="S1381" s="75">
        <f t="shared" si="183"/>
        <v>0</v>
      </c>
      <c r="T1381" s="77">
        <v>0</v>
      </c>
      <c r="U1381" s="66">
        <v>40484</v>
      </c>
      <c r="V1381" s="79"/>
      <c r="W1381" s="66" t="s">
        <v>1606</v>
      </c>
      <c r="X1381" s="24" t="s">
        <v>1607</v>
      </c>
      <c r="Y1381" s="62"/>
      <c r="Z1381" s="176" t="s">
        <v>3056</v>
      </c>
      <c r="AA1381" s="166" t="s">
        <v>2455</v>
      </c>
      <c r="AB1381" s="152"/>
      <c r="AC1381" s="153"/>
      <c r="AD1381" s="154"/>
      <c r="AE1381" s="153"/>
      <c r="AF1381" s="153"/>
      <c r="AG1381" s="153"/>
      <c r="AH1381" s="153"/>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c r="BF1381" s="153"/>
      <c r="BG1381" s="153"/>
      <c r="BH1381" s="153"/>
      <c r="BI1381" s="153"/>
      <c r="BJ1381" s="153"/>
      <c r="BK1381" s="153"/>
      <c r="BL1381" s="153"/>
      <c r="BM1381" s="153"/>
      <c r="BN1381" s="153"/>
      <c r="BO1381" s="153"/>
      <c r="BP1381" s="153"/>
      <c r="BQ1381" s="153"/>
      <c r="BR1381" s="153"/>
      <c r="BS1381" s="153"/>
      <c r="BT1381" s="153"/>
      <c r="BU1381" s="153"/>
      <c r="BV1381" s="153"/>
      <c r="BW1381" s="153"/>
      <c r="BX1381" s="153"/>
      <c r="BY1381" s="153"/>
      <c r="BZ1381" s="153"/>
      <c r="CA1381" s="153"/>
      <c r="CB1381" s="153"/>
      <c r="CC1381" s="153"/>
      <c r="CD1381" s="155"/>
      <c r="CE1381" s="156"/>
      <c r="CF1381" s="155"/>
      <c r="CG1381" s="156"/>
      <c r="CH1381" s="155"/>
      <c r="CI1381" s="156"/>
      <c r="CJ1381" s="157">
        <f t="shared" si="182"/>
        <v>0</v>
      </c>
      <c r="CK1381" s="158"/>
      <c r="CL1381" s="159"/>
      <c r="CM1381" s="160"/>
      <c r="CN1381" s="161"/>
      <c r="CO1381" s="162"/>
      <c r="CP1381" s="161"/>
      <c r="CQ1381" s="158"/>
      <c r="CR1381" s="159"/>
      <c r="CS1381" s="68"/>
      <c r="CT1381" s="163"/>
      <c r="EC1381" s="344" t="str">
        <f t="shared" si="185"/>
        <v>CALDAS_RISARALDA</v>
      </c>
      <c r="ED1381" s="341"/>
      <c r="EE1381" s="341"/>
      <c r="EF1381" s="348"/>
      <c r="EG1381" s="341"/>
      <c r="EH1381" s="341"/>
      <c r="EI1381" s="341"/>
    </row>
    <row r="1382" spans="1:139" s="164" customFormat="1" ht="38.25">
      <c r="A1382" s="228">
        <v>40475</v>
      </c>
      <c r="B1382" s="205" t="s">
        <v>1196</v>
      </c>
      <c r="C1382" s="205" t="s">
        <v>1135</v>
      </c>
      <c r="D1382" s="207" t="s">
        <v>2606</v>
      </c>
      <c r="E1382" s="323" t="s">
        <v>4296</v>
      </c>
      <c r="F1382" s="323"/>
      <c r="G1382" s="204"/>
      <c r="H1382" s="151"/>
      <c r="I1382" s="151"/>
      <c r="J1382" s="151">
        <f>250*5</f>
        <v>1250</v>
      </c>
      <c r="K1382" s="151">
        <v>250</v>
      </c>
      <c r="L1382" s="1"/>
      <c r="M1382" s="73">
        <f t="shared" si="180"/>
        <v>0</v>
      </c>
      <c r="N1382" s="73">
        <f t="shared" si="184"/>
        <v>0</v>
      </c>
      <c r="O1382" s="73">
        <f t="shared" si="179"/>
        <v>0</v>
      </c>
      <c r="P1382" s="73">
        <f t="shared" si="181"/>
        <v>0</v>
      </c>
      <c r="Q1382" s="73"/>
      <c r="R1382" s="73">
        <v>0</v>
      </c>
      <c r="S1382" s="75">
        <f t="shared" si="183"/>
        <v>0</v>
      </c>
      <c r="T1382" s="77">
        <v>0</v>
      </c>
      <c r="U1382" s="66">
        <v>40616</v>
      </c>
      <c r="V1382" s="79"/>
      <c r="W1382" s="66" t="s">
        <v>1585</v>
      </c>
      <c r="X1382" s="24" t="s">
        <v>1586</v>
      </c>
      <c r="Y1382" s="62"/>
      <c r="Z1382" s="169" t="s">
        <v>894</v>
      </c>
      <c r="AA1382" s="166" t="s">
        <v>1136</v>
      </c>
      <c r="AB1382" s="152"/>
      <c r="AC1382" s="153"/>
      <c r="AD1382" s="154"/>
      <c r="AE1382" s="153"/>
      <c r="AF1382" s="153"/>
      <c r="AG1382" s="153"/>
      <c r="AH1382" s="153"/>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c r="BF1382" s="153"/>
      <c r="BG1382" s="153"/>
      <c r="BH1382" s="153"/>
      <c r="BI1382" s="153"/>
      <c r="BJ1382" s="153"/>
      <c r="BK1382" s="153"/>
      <c r="BL1382" s="153"/>
      <c r="BM1382" s="153"/>
      <c r="BN1382" s="153"/>
      <c r="BO1382" s="153"/>
      <c r="BP1382" s="153"/>
      <c r="BQ1382" s="153"/>
      <c r="BR1382" s="153"/>
      <c r="BS1382" s="153"/>
      <c r="BT1382" s="153"/>
      <c r="BU1382" s="153"/>
      <c r="BV1382" s="153"/>
      <c r="BW1382" s="153"/>
      <c r="BX1382" s="153"/>
      <c r="BY1382" s="153"/>
      <c r="BZ1382" s="153"/>
      <c r="CA1382" s="153"/>
      <c r="CB1382" s="153"/>
      <c r="CC1382" s="153"/>
      <c r="CD1382" s="155"/>
      <c r="CE1382" s="156"/>
      <c r="CF1382" s="155"/>
      <c r="CG1382" s="156"/>
      <c r="CH1382" s="155"/>
      <c r="CI1382" s="156"/>
      <c r="CJ1382" s="157">
        <f t="shared" si="182"/>
        <v>0</v>
      </c>
      <c r="CK1382" s="158"/>
      <c r="CL1382" s="159"/>
      <c r="CM1382" s="160"/>
      <c r="CN1382" s="161"/>
      <c r="CO1382" s="162"/>
      <c r="CP1382" s="161"/>
      <c r="CQ1382" s="158"/>
      <c r="CR1382" s="159"/>
      <c r="CS1382" s="68"/>
      <c r="CT1382" s="163"/>
      <c r="EC1382" s="344" t="str">
        <f t="shared" si="185"/>
        <v>PUTUMAYO_PUERTO CAICEDO</v>
      </c>
      <c r="ED1382" s="341"/>
      <c r="EE1382" s="341"/>
      <c r="EF1382" s="348"/>
      <c r="EG1382" s="341"/>
      <c r="EH1382" s="341"/>
      <c r="EI1382" s="341"/>
    </row>
    <row r="1383" spans="1:139" s="164" customFormat="1" ht="38.25">
      <c r="A1383" s="228">
        <v>40475</v>
      </c>
      <c r="B1383" s="205" t="s">
        <v>1088</v>
      </c>
      <c r="C1383" s="205" t="s">
        <v>504</v>
      </c>
      <c r="D1383" s="207" t="s">
        <v>2606</v>
      </c>
      <c r="E1383" s="323" t="s">
        <v>4255</v>
      </c>
      <c r="F1383" s="323"/>
      <c r="G1383" s="204"/>
      <c r="H1383" s="151"/>
      <c r="I1383" s="151"/>
      <c r="J1383" s="151">
        <f>200*5</f>
        <v>1000</v>
      </c>
      <c r="K1383" s="151">
        <v>200</v>
      </c>
      <c r="L1383" s="1"/>
      <c r="M1383" s="73">
        <f t="shared" si="180"/>
        <v>28365000</v>
      </c>
      <c r="N1383" s="73">
        <f t="shared" si="184"/>
        <v>25925000</v>
      </c>
      <c r="O1383" s="73">
        <f t="shared" si="179"/>
        <v>0</v>
      </c>
      <c r="P1383" s="73">
        <f t="shared" si="181"/>
        <v>0</v>
      </c>
      <c r="Q1383" s="73"/>
      <c r="R1383" s="73">
        <v>0</v>
      </c>
      <c r="S1383" s="75">
        <f t="shared" si="183"/>
        <v>54290000</v>
      </c>
      <c r="T1383" s="77">
        <v>0</v>
      </c>
      <c r="U1383" s="66">
        <v>40476</v>
      </c>
      <c r="V1383" s="79"/>
      <c r="W1383" s="66" t="s">
        <v>1606</v>
      </c>
      <c r="X1383" s="24" t="s">
        <v>1607</v>
      </c>
      <c r="Y1383" s="62"/>
      <c r="Z1383" s="169" t="s">
        <v>894</v>
      </c>
      <c r="AA1383" s="166" t="s">
        <v>1115</v>
      </c>
      <c r="AB1383" s="152" t="s">
        <v>2890</v>
      </c>
      <c r="AC1383" s="153"/>
      <c r="AD1383" s="154"/>
      <c r="AE1383" s="153"/>
      <c r="AF1383" s="153"/>
      <c r="AG1383" s="153"/>
      <c r="AH1383" s="153"/>
      <c r="AI1383" s="153"/>
      <c r="AJ1383" s="153"/>
      <c r="AK1383" s="153"/>
      <c r="AL1383" s="153"/>
      <c r="AM1383" s="153"/>
      <c r="AN1383" s="153">
        <v>305</v>
      </c>
      <c r="AO1383" s="153">
        <f>305*56000</f>
        <v>17080000</v>
      </c>
      <c r="AP1383" s="153"/>
      <c r="AQ1383" s="153"/>
      <c r="AR1383" s="153"/>
      <c r="AS1383" s="153"/>
      <c r="AT1383" s="153"/>
      <c r="AU1383" s="153"/>
      <c r="AV1383" s="153"/>
      <c r="AW1383" s="153"/>
      <c r="AX1383" s="153"/>
      <c r="AY1383" s="153"/>
      <c r="AZ1383" s="153"/>
      <c r="BA1383" s="153"/>
      <c r="BB1383" s="153"/>
      <c r="BC1383" s="153"/>
      <c r="BD1383" s="153"/>
      <c r="BE1383" s="153"/>
      <c r="BF1383" s="153"/>
      <c r="BG1383" s="153"/>
      <c r="BH1383" s="153"/>
      <c r="BI1383" s="153"/>
      <c r="BJ1383" s="153"/>
      <c r="BK1383" s="153"/>
      <c r="BL1383" s="153"/>
      <c r="BM1383" s="153"/>
      <c r="BN1383" s="153"/>
      <c r="BO1383" s="153"/>
      <c r="BP1383" s="153"/>
      <c r="BQ1383" s="153"/>
      <c r="BR1383" s="153"/>
      <c r="BS1383" s="153"/>
      <c r="BT1383" s="153"/>
      <c r="BU1383" s="153"/>
      <c r="BV1383" s="153"/>
      <c r="BW1383" s="153"/>
      <c r="BX1383" s="153"/>
      <c r="BY1383" s="153"/>
      <c r="BZ1383" s="153"/>
      <c r="CA1383" s="153"/>
      <c r="CB1383" s="153"/>
      <c r="CC1383" s="153"/>
      <c r="CD1383" s="155">
        <v>305</v>
      </c>
      <c r="CE1383" s="156">
        <f>305*37000</f>
        <v>11285000</v>
      </c>
      <c r="CF1383" s="155"/>
      <c r="CG1383" s="156"/>
      <c r="CH1383" s="155"/>
      <c r="CI1383" s="156"/>
      <c r="CJ1383" s="157">
        <f t="shared" si="182"/>
        <v>28365000</v>
      </c>
      <c r="CK1383" s="158"/>
      <c r="CL1383" s="159"/>
      <c r="CM1383" s="160">
        <v>305</v>
      </c>
      <c r="CN1383" s="161">
        <f>305*85000</f>
        <v>25925000</v>
      </c>
      <c r="CO1383" s="162"/>
      <c r="CP1383" s="161"/>
      <c r="CQ1383" s="158"/>
      <c r="CR1383" s="159"/>
      <c r="CS1383" s="68"/>
      <c r="CT1383" s="163"/>
      <c r="EC1383" s="344" t="str">
        <f t="shared" si="185"/>
        <v>VALLE DEL CAUCA_SAN PEDRO</v>
      </c>
      <c r="ED1383" s="341"/>
      <c r="EE1383" s="341"/>
      <c r="EF1383" s="348"/>
      <c r="EG1383" s="341"/>
      <c r="EH1383" s="341"/>
      <c r="EI1383" s="341"/>
    </row>
    <row r="1384" spans="1:139" s="164" customFormat="1" ht="38.25">
      <c r="A1384" s="228">
        <v>40475.606249999997</v>
      </c>
      <c r="B1384" s="205" t="s">
        <v>2298</v>
      </c>
      <c r="C1384" s="205" t="s">
        <v>1610</v>
      </c>
      <c r="D1384" s="207" t="s">
        <v>1201</v>
      </c>
      <c r="E1384" s="323"/>
      <c r="F1384" s="323"/>
      <c r="G1384" s="204"/>
      <c r="H1384" s="151"/>
      <c r="I1384" s="151"/>
      <c r="J1384" s="151"/>
      <c r="K1384" s="409"/>
      <c r="L1384" s="1"/>
      <c r="M1384" s="73">
        <f t="shared" si="180"/>
        <v>0</v>
      </c>
      <c r="N1384" s="73">
        <f t="shared" si="184"/>
        <v>0</v>
      </c>
      <c r="O1384" s="73">
        <f t="shared" si="179"/>
        <v>0</v>
      </c>
      <c r="P1384" s="73">
        <f t="shared" si="181"/>
        <v>0</v>
      </c>
      <c r="Q1384" s="73"/>
      <c r="R1384" s="73">
        <v>0</v>
      </c>
      <c r="S1384" s="75">
        <f t="shared" si="183"/>
        <v>0</v>
      </c>
      <c r="T1384" s="77">
        <v>0</v>
      </c>
      <c r="U1384" s="296">
        <v>40624</v>
      </c>
      <c r="V1384" s="297"/>
      <c r="W1384" s="296" t="s">
        <v>1585</v>
      </c>
      <c r="X1384" s="298" t="s">
        <v>1586</v>
      </c>
      <c r="Y1384" s="299"/>
      <c r="Z1384" s="300" t="s">
        <v>894</v>
      </c>
      <c r="AA1384" s="414" t="s">
        <v>5415</v>
      </c>
      <c r="AB1384" s="152"/>
      <c r="AC1384" s="153"/>
      <c r="AD1384" s="154"/>
      <c r="AE1384" s="153"/>
      <c r="AF1384" s="153"/>
      <c r="AG1384" s="153"/>
      <c r="AH1384" s="153"/>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c r="BF1384" s="153"/>
      <c r="BG1384" s="153"/>
      <c r="BH1384" s="153"/>
      <c r="BI1384" s="153"/>
      <c r="BJ1384" s="153"/>
      <c r="BK1384" s="153"/>
      <c r="BL1384" s="153"/>
      <c r="BM1384" s="153"/>
      <c r="BN1384" s="153"/>
      <c r="BO1384" s="153"/>
      <c r="BP1384" s="153"/>
      <c r="BQ1384" s="153"/>
      <c r="BR1384" s="153"/>
      <c r="BS1384" s="153"/>
      <c r="BT1384" s="153"/>
      <c r="BU1384" s="153"/>
      <c r="BV1384" s="153"/>
      <c r="BW1384" s="153"/>
      <c r="BX1384" s="153"/>
      <c r="BY1384" s="153"/>
      <c r="BZ1384" s="153"/>
      <c r="CA1384" s="153"/>
      <c r="CB1384" s="153"/>
      <c r="CC1384" s="153"/>
      <c r="CD1384" s="155"/>
      <c r="CE1384" s="156"/>
      <c r="CF1384" s="155"/>
      <c r="CG1384" s="156"/>
      <c r="CH1384" s="155"/>
      <c r="CI1384" s="156"/>
      <c r="CJ1384" s="157">
        <f t="shared" si="182"/>
        <v>0</v>
      </c>
      <c r="CK1384" s="158"/>
      <c r="CL1384" s="159"/>
      <c r="CM1384" s="160"/>
      <c r="CN1384" s="161"/>
      <c r="CO1384" s="162"/>
      <c r="CP1384" s="161"/>
      <c r="CQ1384" s="158"/>
      <c r="CR1384" s="159"/>
      <c r="CS1384" s="68"/>
      <c r="CT1384" s="163"/>
      <c r="EC1384" s="344" t="str">
        <f t="shared" si="185"/>
        <v>BOGOTA D.C._BOGOTA</v>
      </c>
      <c r="ED1384" s="341"/>
      <c r="EE1384" s="341"/>
      <c r="EF1384" s="348"/>
      <c r="EG1384" s="341"/>
      <c r="EH1384" s="341"/>
      <c r="EI1384" s="341"/>
    </row>
    <row r="1385" spans="1:139" s="164" customFormat="1" ht="38.25">
      <c r="A1385" s="228">
        <v>40475.738888888889</v>
      </c>
      <c r="B1385" s="205" t="s">
        <v>2298</v>
      </c>
      <c r="C1385" s="205" t="s">
        <v>1610</v>
      </c>
      <c r="D1385" s="207" t="s">
        <v>1878</v>
      </c>
      <c r="E1385" s="323"/>
      <c r="F1385" s="323"/>
      <c r="G1385" s="204"/>
      <c r="H1385" s="151"/>
      <c r="I1385" s="151"/>
      <c r="J1385" s="151"/>
      <c r="K1385" s="409"/>
      <c r="L1385" s="1"/>
      <c r="M1385" s="73">
        <f t="shared" si="180"/>
        <v>0</v>
      </c>
      <c r="N1385" s="73">
        <f t="shared" si="184"/>
        <v>0</v>
      </c>
      <c r="O1385" s="73">
        <f t="shared" si="179"/>
        <v>0</v>
      </c>
      <c r="P1385" s="73">
        <f t="shared" si="181"/>
        <v>0</v>
      </c>
      <c r="Q1385" s="73"/>
      <c r="R1385" s="73">
        <v>0</v>
      </c>
      <c r="S1385" s="75">
        <f t="shared" si="183"/>
        <v>0</v>
      </c>
      <c r="T1385" s="77">
        <v>0</v>
      </c>
      <c r="U1385" s="296">
        <v>40624</v>
      </c>
      <c r="V1385" s="297"/>
      <c r="W1385" s="296" t="s">
        <v>1585</v>
      </c>
      <c r="X1385" s="298" t="s">
        <v>1586</v>
      </c>
      <c r="Y1385" s="299"/>
      <c r="Z1385" s="300" t="s">
        <v>894</v>
      </c>
      <c r="AA1385" s="414" t="s">
        <v>5416</v>
      </c>
      <c r="AB1385" s="152"/>
      <c r="AC1385" s="153"/>
      <c r="AD1385" s="154"/>
      <c r="AE1385" s="153"/>
      <c r="AF1385" s="153"/>
      <c r="AG1385" s="153"/>
      <c r="AH1385" s="153"/>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c r="BF1385" s="153"/>
      <c r="BG1385" s="153"/>
      <c r="BH1385" s="153"/>
      <c r="BI1385" s="153"/>
      <c r="BJ1385" s="153"/>
      <c r="BK1385" s="153"/>
      <c r="BL1385" s="153"/>
      <c r="BM1385" s="153"/>
      <c r="BN1385" s="153"/>
      <c r="BO1385" s="153"/>
      <c r="BP1385" s="153"/>
      <c r="BQ1385" s="153"/>
      <c r="BR1385" s="153"/>
      <c r="BS1385" s="153"/>
      <c r="BT1385" s="153"/>
      <c r="BU1385" s="153"/>
      <c r="BV1385" s="153"/>
      <c r="BW1385" s="153"/>
      <c r="BX1385" s="153"/>
      <c r="BY1385" s="153"/>
      <c r="BZ1385" s="153"/>
      <c r="CA1385" s="153"/>
      <c r="CB1385" s="153"/>
      <c r="CC1385" s="153"/>
      <c r="CD1385" s="155"/>
      <c r="CE1385" s="156"/>
      <c r="CF1385" s="155"/>
      <c r="CG1385" s="156"/>
      <c r="CH1385" s="155"/>
      <c r="CI1385" s="156"/>
      <c r="CJ1385" s="157">
        <f t="shared" si="182"/>
        <v>0</v>
      </c>
      <c r="CK1385" s="158"/>
      <c r="CL1385" s="159"/>
      <c r="CM1385" s="160"/>
      <c r="CN1385" s="161"/>
      <c r="CO1385" s="162"/>
      <c r="CP1385" s="161"/>
      <c r="CQ1385" s="158"/>
      <c r="CR1385" s="159"/>
      <c r="CS1385" s="68"/>
      <c r="CT1385" s="163"/>
      <c r="EC1385" s="344" t="str">
        <f t="shared" si="185"/>
        <v>BOGOTA D.C._BOGOTA</v>
      </c>
      <c r="ED1385" s="341"/>
      <c r="EE1385" s="341"/>
      <c r="EF1385" s="348"/>
      <c r="EG1385" s="341"/>
      <c r="EH1385" s="341"/>
      <c r="EI1385" s="341"/>
    </row>
    <row r="1386" spans="1:139" s="164" customFormat="1" ht="38.25">
      <c r="A1386" s="228">
        <v>40475.802083333336</v>
      </c>
      <c r="B1386" s="205" t="s">
        <v>2298</v>
      </c>
      <c r="C1386" s="205" t="s">
        <v>1610</v>
      </c>
      <c r="D1386" s="207" t="s">
        <v>1201</v>
      </c>
      <c r="E1386" s="323"/>
      <c r="F1386" s="323"/>
      <c r="G1386" s="204"/>
      <c r="H1386" s="151"/>
      <c r="I1386" s="151"/>
      <c r="J1386" s="151">
        <v>6</v>
      </c>
      <c r="K1386" s="409">
        <v>1</v>
      </c>
      <c r="L1386" s="1"/>
      <c r="M1386" s="73">
        <f t="shared" si="180"/>
        <v>0</v>
      </c>
      <c r="N1386" s="73">
        <f t="shared" si="184"/>
        <v>0</v>
      </c>
      <c r="O1386" s="73">
        <f t="shared" si="179"/>
        <v>0</v>
      </c>
      <c r="P1386" s="73">
        <f t="shared" si="181"/>
        <v>0</v>
      </c>
      <c r="Q1386" s="73"/>
      <c r="R1386" s="73">
        <v>0</v>
      </c>
      <c r="S1386" s="75">
        <f t="shared" si="183"/>
        <v>0</v>
      </c>
      <c r="T1386" s="77">
        <v>0</v>
      </c>
      <c r="U1386" s="296">
        <v>40624</v>
      </c>
      <c r="V1386" s="297"/>
      <c r="W1386" s="296" t="s">
        <v>1585</v>
      </c>
      <c r="X1386" s="298" t="s">
        <v>1586</v>
      </c>
      <c r="Y1386" s="299"/>
      <c r="Z1386" s="300" t="s">
        <v>894</v>
      </c>
      <c r="AA1386" s="414" t="s">
        <v>5415</v>
      </c>
      <c r="AB1386" s="152"/>
      <c r="AC1386" s="153"/>
      <c r="AD1386" s="154"/>
      <c r="AE1386" s="153"/>
      <c r="AF1386" s="153"/>
      <c r="AG1386" s="153"/>
      <c r="AH1386" s="153"/>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c r="BF1386" s="153"/>
      <c r="BG1386" s="153"/>
      <c r="BH1386" s="153"/>
      <c r="BI1386" s="153"/>
      <c r="BJ1386" s="153"/>
      <c r="BK1386" s="153"/>
      <c r="BL1386" s="153"/>
      <c r="BM1386" s="153"/>
      <c r="BN1386" s="153"/>
      <c r="BO1386" s="153"/>
      <c r="BP1386" s="153"/>
      <c r="BQ1386" s="153"/>
      <c r="BR1386" s="153"/>
      <c r="BS1386" s="153"/>
      <c r="BT1386" s="153"/>
      <c r="BU1386" s="153"/>
      <c r="BV1386" s="153"/>
      <c r="BW1386" s="153"/>
      <c r="BX1386" s="153"/>
      <c r="BY1386" s="153"/>
      <c r="BZ1386" s="153"/>
      <c r="CA1386" s="153"/>
      <c r="CB1386" s="153"/>
      <c r="CC1386" s="153"/>
      <c r="CD1386" s="155"/>
      <c r="CE1386" s="156"/>
      <c r="CF1386" s="155"/>
      <c r="CG1386" s="156"/>
      <c r="CH1386" s="155"/>
      <c r="CI1386" s="156"/>
      <c r="CJ1386" s="157">
        <f t="shared" si="182"/>
        <v>0</v>
      </c>
      <c r="CK1386" s="158"/>
      <c r="CL1386" s="159"/>
      <c r="CM1386" s="160"/>
      <c r="CN1386" s="161"/>
      <c r="CO1386" s="162"/>
      <c r="CP1386" s="161"/>
      <c r="CQ1386" s="158"/>
      <c r="CR1386" s="159"/>
      <c r="CS1386" s="68"/>
      <c r="CT1386" s="163"/>
      <c r="EC1386" s="344" t="str">
        <f t="shared" si="185"/>
        <v>BOGOTA D.C._BOGOTA</v>
      </c>
      <c r="ED1386" s="341"/>
      <c r="EE1386" s="341"/>
      <c r="EF1386" s="348"/>
      <c r="EG1386" s="341"/>
      <c r="EH1386" s="341"/>
      <c r="EI1386" s="341"/>
    </row>
    <row r="1387" spans="1:139" s="164" customFormat="1" ht="38.25">
      <c r="A1387" s="228">
        <v>40475.8125</v>
      </c>
      <c r="B1387" s="205" t="s">
        <v>2298</v>
      </c>
      <c r="C1387" s="205" t="s">
        <v>1610</v>
      </c>
      <c r="D1387" s="207" t="s">
        <v>1201</v>
      </c>
      <c r="E1387" s="323"/>
      <c r="F1387" s="323"/>
      <c r="G1387" s="204"/>
      <c r="H1387" s="151"/>
      <c r="I1387" s="151"/>
      <c r="J1387" s="151"/>
      <c r="K1387" s="409"/>
      <c r="L1387" s="1"/>
      <c r="M1387" s="73">
        <f t="shared" si="180"/>
        <v>0</v>
      </c>
      <c r="N1387" s="73">
        <f t="shared" si="184"/>
        <v>0</v>
      </c>
      <c r="O1387" s="73">
        <f t="shared" si="179"/>
        <v>0</v>
      </c>
      <c r="P1387" s="73">
        <f t="shared" si="181"/>
        <v>0</v>
      </c>
      <c r="Q1387" s="73"/>
      <c r="R1387" s="73">
        <v>0</v>
      </c>
      <c r="S1387" s="75">
        <f t="shared" si="183"/>
        <v>0</v>
      </c>
      <c r="T1387" s="77">
        <v>0</v>
      </c>
      <c r="U1387" s="296">
        <v>40624</v>
      </c>
      <c r="V1387" s="297"/>
      <c r="W1387" s="296" t="s">
        <v>1585</v>
      </c>
      <c r="X1387" s="298" t="s">
        <v>1586</v>
      </c>
      <c r="Y1387" s="299"/>
      <c r="Z1387" s="300" t="s">
        <v>894</v>
      </c>
      <c r="AA1387" s="414" t="s">
        <v>5417</v>
      </c>
      <c r="AB1387" s="152"/>
      <c r="AC1387" s="153"/>
      <c r="AD1387" s="154"/>
      <c r="AE1387" s="153"/>
      <c r="AF1387" s="153"/>
      <c r="AG1387" s="153"/>
      <c r="AH1387" s="153"/>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c r="BF1387" s="153"/>
      <c r="BG1387" s="153"/>
      <c r="BH1387" s="153"/>
      <c r="BI1387" s="153"/>
      <c r="BJ1387" s="153"/>
      <c r="BK1387" s="153"/>
      <c r="BL1387" s="153"/>
      <c r="BM1387" s="153"/>
      <c r="BN1387" s="153"/>
      <c r="BO1387" s="153"/>
      <c r="BP1387" s="153"/>
      <c r="BQ1387" s="153"/>
      <c r="BR1387" s="153"/>
      <c r="BS1387" s="153"/>
      <c r="BT1387" s="153"/>
      <c r="BU1387" s="153"/>
      <c r="BV1387" s="153"/>
      <c r="BW1387" s="153"/>
      <c r="BX1387" s="153"/>
      <c r="BY1387" s="153"/>
      <c r="BZ1387" s="153"/>
      <c r="CA1387" s="153"/>
      <c r="CB1387" s="153"/>
      <c r="CC1387" s="153"/>
      <c r="CD1387" s="155"/>
      <c r="CE1387" s="156"/>
      <c r="CF1387" s="155"/>
      <c r="CG1387" s="156"/>
      <c r="CH1387" s="155"/>
      <c r="CI1387" s="156"/>
      <c r="CJ1387" s="157">
        <f t="shared" si="182"/>
        <v>0</v>
      </c>
      <c r="CK1387" s="158"/>
      <c r="CL1387" s="159"/>
      <c r="CM1387" s="160"/>
      <c r="CN1387" s="161"/>
      <c r="CO1387" s="162"/>
      <c r="CP1387" s="161"/>
      <c r="CQ1387" s="158"/>
      <c r="CR1387" s="159"/>
      <c r="CS1387" s="68"/>
      <c r="CT1387" s="163"/>
      <c r="EC1387" s="344" t="str">
        <f t="shared" si="185"/>
        <v>BOGOTA D.C._BOGOTA</v>
      </c>
      <c r="ED1387" s="341"/>
      <c r="EE1387" s="341"/>
      <c r="EF1387" s="348"/>
      <c r="EG1387" s="341"/>
      <c r="EH1387" s="341"/>
      <c r="EI1387" s="341"/>
    </row>
    <row r="1388" spans="1:139" s="164" customFormat="1" ht="36">
      <c r="A1388" s="228">
        <v>40476</v>
      </c>
      <c r="B1388" s="205" t="s">
        <v>1314</v>
      </c>
      <c r="C1388" s="102" t="s">
        <v>1315</v>
      </c>
      <c r="D1388" s="206" t="s">
        <v>1878</v>
      </c>
      <c r="E1388" s="320" t="s">
        <v>3586</v>
      </c>
      <c r="F1388" s="320"/>
      <c r="G1388" s="204"/>
      <c r="H1388" s="151"/>
      <c r="I1388" s="151"/>
      <c r="J1388" s="151">
        <v>27</v>
      </c>
      <c r="K1388" s="151">
        <v>5</v>
      </c>
      <c r="L1388" s="1"/>
      <c r="M1388" s="73">
        <f t="shared" si="180"/>
        <v>0</v>
      </c>
      <c r="N1388" s="73">
        <f t="shared" si="184"/>
        <v>0</v>
      </c>
      <c r="O1388" s="73">
        <f t="shared" si="179"/>
        <v>0</v>
      </c>
      <c r="P1388" s="73">
        <f t="shared" si="181"/>
        <v>0</v>
      </c>
      <c r="Q1388" s="73"/>
      <c r="R1388" s="73">
        <v>0</v>
      </c>
      <c r="S1388" s="75">
        <f t="shared" si="183"/>
        <v>0</v>
      </c>
      <c r="T1388" s="77">
        <v>0</v>
      </c>
      <c r="U1388" s="66">
        <v>40477</v>
      </c>
      <c r="V1388" s="79"/>
      <c r="W1388" s="66" t="s">
        <v>1585</v>
      </c>
      <c r="X1388" s="24" t="s">
        <v>1586</v>
      </c>
      <c r="Y1388" s="62"/>
      <c r="Z1388" s="169" t="s">
        <v>894</v>
      </c>
      <c r="AA1388" s="166" t="s">
        <v>1862</v>
      </c>
      <c r="AB1388" s="152"/>
      <c r="AC1388" s="153"/>
      <c r="AD1388" s="154"/>
      <c r="AE1388" s="153"/>
      <c r="AF1388" s="153"/>
      <c r="AG1388" s="153"/>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c r="BF1388" s="153"/>
      <c r="BG1388" s="153"/>
      <c r="BH1388" s="153"/>
      <c r="BI1388" s="153"/>
      <c r="BJ1388" s="153"/>
      <c r="BK1388" s="153"/>
      <c r="BL1388" s="153"/>
      <c r="BM1388" s="153"/>
      <c r="BN1388" s="153"/>
      <c r="BO1388" s="153"/>
      <c r="BP1388" s="153"/>
      <c r="BQ1388" s="153"/>
      <c r="BR1388" s="153"/>
      <c r="BS1388" s="153"/>
      <c r="BT1388" s="153"/>
      <c r="BU1388" s="153"/>
      <c r="BV1388" s="153"/>
      <c r="BW1388" s="153"/>
      <c r="BX1388" s="153"/>
      <c r="BY1388" s="153"/>
      <c r="BZ1388" s="153"/>
      <c r="CA1388" s="153"/>
      <c r="CB1388" s="153"/>
      <c r="CC1388" s="153"/>
      <c r="CD1388" s="155"/>
      <c r="CE1388" s="156"/>
      <c r="CF1388" s="155"/>
      <c r="CG1388" s="156"/>
      <c r="CH1388" s="155"/>
      <c r="CI1388" s="156"/>
      <c r="CJ1388" s="157">
        <f t="shared" si="182"/>
        <v>0</v>
      </c>
      <c r="CK1388" s="158"/>
      <c r="CL1388" s="159"/>
      <c r="CM1388" s="160"/>
      <c r="CN1388" s="161"/>
      <c r="CO1388" s="162"/>
      <c r="CP1388" s="161"/>
      <c r="CQ1388" s="158"/>
      <c r="CR1388" s="159"/>
      <c r="CS1388" s="68"/>
      <c r="CT1388" s="163"/>
      <c r="EC1388" s="344" t="str">
        <f t="shared" si="185"/>
        <v>CAUCA_POPAYAN</v>
      </c>
      <c r="ED1388" s="341"/>
      <c r="EE1388" s="341"/>
      <c r="EF1388" s="348"/>
      <c r="EG1388" s="341"/>
      <c r="EH1388" s="341"/>
      <c r="EI1388" s="341"/>
    </row>
    <row r="1389" spans="1:139" s="164" customFormat="1" ht="25.5">
      <c r="A1389" s="228">
        <v>40476</v>
      </c>
      <c r="B1389" s="205" t="s">
        <v>1196</v>
      </c>
      <c r="C1389" s="205" t="s">
        <v>1137</v>
      </c>
      <c r="D1389" s="207" t="s">
        <v>2606</v>
      </c>
      <c r="E1389" s="323" t="s">
        <v>4294</v>
      </c>
      <c r="F1389" s="323"/>
      <c r="G1389" s="204"/>
      <c r="H1389" s="151"/>
      <c r="I1389" s="151"/>
      <c r="J1389" s="151">
        <f>600*5</f>
        <v>3000</v>
      </c>
      <c r="K1389" s="151">
        <v>600</v>
      </c>
      <c r="L1389" s="1"/>
      <c r="M1389" s="73">
        <f t="shared" si="180"/>
        <v>0</v>
      </c>
      <c r="N1389" s="73">
        <f t="shared" si="184"/>
        <v>0</v>
      </c>
      <c r="O1389" s="73">
        <f t="shared" si="179"/>
        <v>0</v>
      </c>
      <c r="P1389" s="73">
        <f t="shared" si="181"/>
        <v>0</v>
      </c>
      <c r="Q1389" s="73"/>
      <c r="R1389" s="73">
        <v>0</v>
      </c>
      <c r="S1389" s="75">
        <f t="shared" si="183"/>
        <v>0</v>
      </c>
      <c r="T1389" s="77">
        <v>0</v>
      </c>
      <c r="U1389" s="66">
        <v>40616</v>
      </c>
      <c r="V1389" s="79"/>
      <c r="W1389" s="66" t="s">
        <v>1585</v>
      </c>
      <c r="X1389" s="24" t="s">
        <v>1586</v>
      </c>
      <c r="Y1389" s="62"/>
      <c r="Z1389" s="169" t="s">
        <v>894</v>
      </c>
      <c r="AA1389" s="166" t="s">
        <v>1138</v>
      </c>
      <c r="AB1389" s="152"/>
      <c r="AC1389" s="153"/>
      <c r="AD1389" s="154"/>
      <c r="AE1389" s="153"/>
      <c r="AF1389" s="153"/>
      <c r="AG1389" s="153"/>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53"/>
      <c r="BB1389" s="153"/>
      <c r="BC1389" s="153"/>
      <c r="BD1389" s="153"/>
      <c r="BE1389" s="153"/>
      <c r="BF1389" s="153"/>
      <c r="BG1389" s="153"/>
      <c r="BH1389" s="153"/>
      <c r="BI1389" s="153"/>
      <c r="BJ1389" s="153"/>
      <c r="BK1389" s="153"/>
      <c r="BL1389" s="153"/>
      <c r="BM1389" s="153"/>
      <c r="BN1389" s="153"/>
      <c r="BO1389" s="153"/>
      <c r="BP1389" s="153"/>
      <c r="BQ1389" s="153"/>
      <c r="BR1389" s="153"/>
      <c r="BS1389" s="153"/>
      <c r="BT1389" s="153"/>
      <c r="BU1389" s="153"/>
      <c r="BV1389" s="153"/>
      <c r="BW1389" s="153"/>
      <c r="BX1389" s="153"/>
      <c r="BY1389" s="153"/>
      <c r="BZ1389" s="153"/>
      <c r="CA1389" s="153"/>
      <c r="CB1389" s="153"/>
      <c r="CC1389" s="153"/>
      <c r="CD1389" s="155"/>
      <c r="CE1389" s="156"/>
      <c r="CF1389" s="155"/>
      <c r="CG1389" s="156"/>
      <c r="CH1389" s="155"/>
      <c r="CI1389" s="156"/>
      <c r="CJ1389" s="157">
        <f t="shared" si="182"/>
        <v>0</v>
      </c>
      <c r="CK1389" s="158"/>
      <c r="CL1389" s="159"/>
      <c r="CM1389" s="160"/>
      <c r="CN1389" s="161"/>
      <c r="CO1389" s="162"/>
      <c r="CP1389" s="161"/>
      <c r="CQ1389" s="158"/>
      <c r="CR1389" s="159"/>
      <c r="CS1389" s="68"/>
      <c r="CT1389" s="163"/>
      <c r="EC1389" s="344" t="str">
        <f t="shared" si="185"/>
        <v>PUTUMAYO_ORITO</v>
      </c>
      <c r="ED1389" s="341"/>
      <c r="EE1389" s="341"/>
      <c r="EF1389" s="348"/>
      <c r="EG1389" s="341"/>
      <c r="EH1389" s="341"/>
      <c r="EI1389" s="341"/>
    </row>
    <row r="1390" spans="1:139" s="164" customFormat="1" ht="25.5">
      <c r="A1390" s="228">
        <v>40476</v>
      </c>
      <c r="B1390" s="205" t="s">
        <v>1612</v>
      </c>
      <c r="C1390" s="205" t="s">
        <v>673</v>
      </c>
      <c r="D1390" s="207" t="s">
        <v>1201</v>
      </c>
      <c r="E1390" s="323" t="s">
        <v>4040</v>
      </c>
      <c r="F1390" s="323"/>
      <c r="G1390" s="204"/>
      <c r="H1390" s="151"/>
      <c r="I1390" s="151"/>
      <c r="J1390" s="151">
        <v>5</v>
      </c>
      <c r="K1390" s="151">
        <v>1</v>
      </c>
      <c r="L1390" s="1"/>
      <c r="M1390" s="73">
        <f t="shared" si="180"/>
        <v>0</v>
      </c>
      <c r="N1390" s="73">
        <f t="shared" si="184"/>
        <v>0</v>
      </c>
      <c r="O1390" s="73">
        <f t="shared" si="179"/>
        <v>0</v>
      </c>
      <c r="P1390" s="73">
        <f t="shared" si="181"/>
        <v>0</v>
      </c>
      <c r="Q1390" s="73"/>
      <c r="R1390" s="73">
        <v>0</v>
      </c>
      <c r="S1390" s="75">
        <f t="shared" si="183"/>
        <v>0</v>
      </c>
      <c r="T1390" s="77">
        <v>0</v>
      </c>
      <c r="U1390" s="66">
        <v>40478</v>
      </c>
      <c r="V1390" s="79"/>
      <c r="W1390" s="66" t="s">
        <v>1585</v>
      </c>
      <c r="X1390" s="24" t="s">
        <v>1586</v>
      </c>
      <c r="Y1390" s="62"/>
      <c r="Z1390" s="169" t="s">
        <v>894</v>
      </c>
      <c r="AA1390" s="166" t="s">
        <v>1140</v>
      </c>
      <c r="AB1390" s="152"/>
      <c r="AC1390" s="153"/>
      <c r="AD1390" s="154"/>
      <c r="AE1390" s="153"/>
      <c r="AF1390" s="153"/>
      <c r="AG1390" s="153"/>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c r="BF1390" s="153"/>
      <c r="BG1390" s="153"/>
      <c r="BH1390" s="153"/>
      <c r="BI1390" s="153"/>
      <c r="BJ1390" s="153"/>
      <c r="BK1390" s="153"/>
      <c r="BL1390" s="153"/>
      <c r="BM1390" s="153"/>
      <c r="BN1390" s="153"/>
      <c r="BO1390" s="153"/>
      <c r="BP1390" s="153"/>
      <c r="BQ1390" s="153"/>
      <c r="BR1390" s="153"/>
      <c r="BS1390" s="153"/>
      <c r="BT1390" s="153"/>
      <c r="BU1390" s="153"/>
      <c r="BV1390" s="153"/>
      <c r="BW1390" s="153"/>
      <c r="BX1390" s="153"/>
      <c r="BY1390" s="153"/>
      <c r="BZ1390" s="153"/>
      <c r="CA1390" s="153"/>
      <c r="CB1390" s="153"/>
      <c r="CC1390" s="153"/>
      <c r="CD1390" s="155"/>
      <c r="CE1390" s="156"/>
      <c r="CF1390" s="155"/>
      <c r="CG1390" s="156"/>
      <c r="CH1390" s="155"/>
      <c r="CI1390" s="156"/>
      <c r="CJ1390" s="157">
        <f t="shared" si="182"/>
        <v>0</v>
      </c>
      <c r="CK1390" s="158"/>
      <c r="CL1390" s="159"/>
      <c r="CM1390" s="160"/>
      <c r="CN1390" s="161"/>
      <c r="CO1390" s="162"/>
      <c r="CP1390" s="161"/>
      <c r="CQ1390" s="158"/>
      <c r="CR1390" s="159"/>
      <c r="CS1390" s="68"/>
      <c r="CT1390" s="163"/>
      <c r="EC1390" s="344" t="str">
        <f t="shared" si="185"/>
        <v>QUINDIO_CALARCA</v>
      </c>
      <c r="ED1390" s="341"/>
      <c r="EE1390" s="341"/>
      <c r="EF1390" s="348"/>
      <c r="EG1390" s="341"/>
      <c r="EH1390" s="341"/>
      <c r="EI1390" s="341"/>
    </row>
    <row r="1391" spans="1:139" s="164" customFormat="1" ht="25.5">
      <c r="A1391" s="228">
        <v>40476</v>
      </c>
      <c r="B1391" s="205" t="s">
        <v>1612</v>
      </c>
      <c r="C1391" s="205" t="s">
        <v>1593</v>
      </c>
      <c r="D1391" s="207" t="s">
        <v>1316</v>
      </c>
      <c r="E1391" s="323" t="s">
        <v>4045</v>
      </c>
      <c r="F1391" s="323"/>
      <c r="G1391" s="204"/>
      <c r="H1391" s="151"/>
      <c r="I1391" s="151"/>
      <c r="J1391" s="151">
        <v>5</v>
      </c>
      <c r="K1391" s="151">
        <v>1</v>
      </c>
      <c r="L1391" s="1"/>
      <c r="M1391" s="73">
        <f t="shared" si="180"/>
        <v>0</v>
      </c>
      <c r="N1391" s="73">
        <f t="shared" si="184"/>
        <v>0</v>
      </c>
      <c r="O1391" s="73">
        <f t="shared" si="179"/>
        <v>0</v>
      </c>
      <c r="P1391" s="73">
        <f t="shared" si="181"/>
        <v>0</v>
      </c>
      <c r="Q1391" s="73"/>
      <c r="R1391" s="73">
        <v>0</v>
      </c>
      <c r="S1391" s="75">
        <f t="shared" si="183"/>
        <v>0</v>
      </c>
      <c r="T1391" s="77">
        <v>0</v>
      </c>
      <c r="U1391" s="66">
        <v>40478</v>
      </c>
      <c r="V1391" s="79"/>
      <c r="W1391" s="66" t="s">
        <v>1585</v>
      </c>
      <c r="X1391" s="24" t="s">
        <v>1586</v>
      </c>
      <c r="Y1391" s="62"/>
      <c r="Z1391" s="169" t="s">
        <v>894</v>
      </c>
      <c r="AA1391" s="166" t="s">
        <v>1139</v>
      </c>
      <c r="AB1391" s="152"/>
      <c r="AC1391" s="153"/>
      <c r="AD1391" s="154"/>
      <c r="AE1391" s="153"/>
      <c r="AF1391" s="153"/>
      <c r="AG1391" s="153"/>
      <c r="AH1391" s="153"/>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c r="BF1391" s="153"/>
      <c r="BG1391" s="153"/>
      <c r="BH1391" s="153"/>
      <c r="BI1391" s="153"/>
      <c r="BJ1391" s="153"/>
      <c r="BK1391" s="153"/>
      <c r="BL1391" s="153"/>
      <c r="BM1391" s="153"/>
      <c r="BN1391" s="153"/>
      <c r="BO1391" s="153"/>
      <c r="BP1391" s="153"/>
      <c r="BQ1391" s="153"/>
      <c r="BR1391" s="153"/>
      <c r="BS1391" s="153"/>
      <c r="BT1391" s="153"/>
      <c r="BU1391" s="153"/>
      <c r="BV1391" s="153"/>
      <c r="BW1391" s="153"/>
      <c r="BX1391" s="153"/>
      <c r="BY1391" s="153"/>
      <c r="BZ1391" s="153"/>
      <c r="CA1391" s="153"/>
      <c r="CB1391" s="153"/>
      <c r="CC1391" s="153"/>
      <c r="CD1391" s="155"/>
      <c r="CE1391" s="156"/>
      <c r="CF1391" s="155"/>
      <c r="CG1391" s="156"/>
      <c r="CH1391" s="155"/>
      <c r="CI1391" s="156"/>
      <c r="CJ1391" s="157">
        <f t="shared" si="182"/>
        <v>0</v>
      </c>
      <c r="CK1391" s="158"/>
      <c r="CL1391" s="159"/>
      <c r="CM1391" s="160"/>
      <c r="CN1391" s="161"/>
      <c r="CO1391" s="162"/>
      <c r="CP1391" s="161"/>
      <c r="CQ1391" s="158"/>
      <c r="CR1391" s="159"/>
      <c r="CS1391" s="68"/>
      <c r="CT1391" s="163"/>
      <c r="EC1391" s="344" t="str">
        <f t="shared" si="185"/>
        <v>QUINDIO_LA TEBAIDA</v>
      </c>
      <c r="ED1391" s="341"/>
      <c r="EE1391" s="341"/>
      <c r="EF1391" s="348"/>
      <c r="EG1391" s="341"/>
      <c r="EH1391" s="341"/>
      <c r="EI1391" s="341"/>
    </row>
    <row r="1392" spans="1:139" s="164" customFormat="1" ht="60">
      <c r="A1392" s="228">
        <v>40477</v>
      </c>
      <c r="B1392" s="205" t="s">
        <v>1821</v>
      </c>
      <c r="C1392" s="205" t="s">
        <v>744</v>
      </c>
      <c r="D1392" s="207" t="s">
        <v>1201</v>
      </c>
      <c r="E1392" s="323" t="s">
        <v>3631</v>
      </c>
      <c r="F1392" s="323"/>
      <c r="G1392" s="204"/>
      <c r="H1392" s="151"/>
      <c r="I1392" s="151"/>
      <c r="J1392" s="151">
        <v>750</v>
      </c>
      <c r="K1392" s="151">
        <v>150</v>
      </c>
      <c r="L1392" s="1">
        <v>40514</v>
      </c>
      <c r="M1392" s="73">
        <f t="shared" si="180"/>
        <v>16350000</v>
      </c>
      <c r="N1392" s="73">
        <f t="shared" si="184"/>
        <v>12750000</v>
      </c>
      <c r="O1392" s="73">
        <f t="shared" si="179"/>
        <v>0</v>
      </c>
      <c r="P1392" s="73">
        <f t="shared" si="181"/>
        <v>0</v>
      </c>
      <c r="Q1392" s="73">
        <f>100*25520+50*17400</f>
        <v>3422000</v>
      </c>
      <c r="R1392" s="73">
        <v>0</v>
      </c>
      <c r="S1392" s="75">
        <f t="shared" si="183"/>
        <v>32522000</v>
      </c>
      <c r="T1392" s="77">
        <v>0</v>
      </c>
      <c r="U1392" s="66">
        <v>40478</v>
      </c>
      <c r="V1392" s="79">
        <v>58953</v>
      </c>
      <c r="W1392" s="66" t="s">
        <v>1606</v>
      </c>
      <c r="X1392" s="24" t="s">
        <v>1607</v>
      </c>
      <c r="Y1392" s="83" t="s">
        <v>1121</v>
      </c>
      <c r="Z1392" s="177" t="s">
        <v>2580</v>
      </c>
      <c r="AA1392" s="166" t="s">
        <v>1125</v>
      </c>
      <c r="AB1392" s="152"/>
      <c r="AC1392" s="153"/>
      <c r="AD1392" s="154"/>
      <c r="AE1392" s="153"/>
      <c r="AF1392" s="153"/>
      <c r="AG1392" s="153"/>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c r="BF1392" s="153"/>
      <c r="BG1392" s="153"/>
      <c r="BH1392" s="153"/>
      <c r="BI1392" s="153"/>
      <c r="BJ1392" s="153"/>
      <c r="BK1392" s="153"/>
      <c r="BL1392" s="153"/>
      <c r="BM1392" s="153"/>
      <c r="BN1392" s="153"/>
      <c r="BO1392" s="153"/>
      <c r="BP1392" s="153"/>
      <c r="BQ1392" s="153"/>
      <c r="BR1392" s="153"/>
      <c r="BS1392" s="153"/>
      <c r="BT1392" s="153"/>
      <c r="BU1392" s="153"/>
      <c r="BV1392" s="153"/>
      <c r="BW1392" s="153"/>
      <c r="BX1392" s="153"/>
      <c r="BY1392" s="153"/>
      <c r="BZ1392" s="153"/>
      <c r="CA1392" s="153"/>
      <c r="CB1392" s="153">
        <v>300</v>
      </c>
      <c r="CC1392" s="153">
        <f>300*18000</f>
        <v>5400000</v>
      </c>
      <c r="CD1392" s="155">
        <v>150</v>
      </c>
      <c r="CE1392" s="156">
        <f>150*37000</f>
        <v>5550000</v>
      </c>
      <c r="CF1392" s="155">
        <v>150</v>
      </c>
      <c r="CG1392" s="156">
        <f>150*36000</f>
        <v>5400000</v>
      </c>
      <c r="CH1392" s="155"/>
      <c r="CI1392" s="156"/>
      <c r="CJ1392" s="157">
        <f t="shared" si="182"/>
        <v>16350000</v>
      </c>
      <c r="CK1392" s="158"/>
      <c r="CL1392" s="159"/>
      <c r="CM1392" s="160">
        <v>150</v>
      </c>
      <c r="CN1392" s="161">
        <f>150*85000</f>
        <v>12750000</v>
      </c>
      <c r="CO1392" s="162"/>
      <c r="CP1392" s="161"/>
      <c r="CQ1392" s="158"/>
      <c r="CR1392" s="159"/>
      <c r="CS1392" s="68"/>
      <c r="CT1392" s="163"/>
      <c r="EC1392" s="344" t="str">
        <f t="shared" si="185"/>
        <v>CESAR_ASTREA</v>
      </c>
      <c r="ED1392" s="341"/>
      <c r="EE1392" s="341"/>
      <c r="EF1392" s="348"/>
      <c r="EG1392" s="341"/>
      <c r="EH1392" s="341"/>
      <c r="EI1392" s="341"/>
    </row>
    <row r="1393" spans="1:139" s="164" customFormat="1" ht="38.25">
      <c r="A1393" s="228">
        <v>40477</v>
      </c>
      <c r="B1393" s="205" t="s">
        <v>1604</v>
      </c>
      <c r="C1393" s="205" t="s">
        <v>1144</v>
      </c>
      <c r="D1393" s="207" t="s">
        <v>2606</v>
      </c>
      <c r="E1393" s="323" t="s">
        <v>3742</v>
      </c>
      <c r="F1393" s="323"/>
      <c r="G1393" s="204"/>
      <c r="H1393" s="151"/>
      <c r="I1393" s="151"/>
      <c r="J1393" s="151">
        <v>689</v>
      </c>
      <c r="K1393" s="151">
        <v>308</v>
      </c>
      <c r="L1393" s="1"/>
      <c r="M1393" s="73">
        <f t="shared" si="180"/>
        <v>0</v>
      </c>
      <c r="N1393" s="73">
        <f t="shared" si="184"/>
        <v>0</v>
      </c>
      <c r="O1393" s="73">
        <f t="shared" si="179"/>
        <v>0</v>
      </c>
      <c r="P1393" s="73">
        <f t="shared" si="181"/>
        <v>0</v>
      </c>
      <c r="Q1393" s="73"/>
      <c r="R1393" s="73">
        <v>0</v>
      </c>
      <c r="S1393" s="75">
        <f t="shared" si="183"/>
        <v>0</v>
      </c>
      <c r="T1393" s="77">
        <v>0</v>
      </c>
      <c r="U1393" s="66">
        <v>40478</v>
      </c>
      <c r="V1393" s="79"/>
      <c r="W1393" s="66" t="s">
        <v>1585</v>
      </c>
      <c r="X1393" s="24" t="s">
        <v>1586</v>
      </c>
      <c r="Y1393" s="62"/>
      <c r="Z1393" s="169" t="s">
        <v>894</v>
      </c>
      <c r="AA1393" s="166" t="s">
        <v>1145</v>
      </c>
      <c r="AB1393" s="152"/>
      <c r="AC1393" s="153"/>
      <c r="AD1393" s="154"/>
      <c r="AE1393" s="153"/>
      <c r="AF1393" s="153"/>
      <c r="AG1393" s="153"/>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53"/>
      <c r="BB1393" s="153"/>
      <c r="BC1393" s="153"/>
      <c r="BD1393" s="153"/>
      <c r="BE1393" s="153"/>
      <c r="BF1393" s="153"/>
      <c r="BG1393" s="153"/>
      <c r="BH1393" s="153"/>
      <c r="BI1393" s="153"/>
      <c r="BJ1393" s="153"/>
      <c r="BK1393" s="153"/>
      <c r="BL1393" s="153"/>
      <c r="BM1393" s="153"/>
      <c r="BN1393" s="153"/>
      <c r="BO1393" s="153"/>
      <c r="BP1393" s="153"/>
      <c r="BQ1393" s="153"/>
      <c r="BR1393" s="153"/>
      <c r="BS1393" s="153"/>
      <c r="BT1393" s="153"/>
      <c r="BU1393" s="153"/>
      <c r="BV1393" s="153"/>
      <c r="BW1393" s="153"/>
      <c r="BX1393" s="153"/>
      <c r="BY1393" s="153"/>
      <c r="BZ1393" s="153"/>
      <c r="CA1393" s="153"/>
      <c r="CB1393" s="153"/>
      <c r="CC1393" s="153"/>
      <c r="CD1393" s="155"/>
      <c r="CE1393" s="156"/>
      <c r="CF1393" s="155"/>
      <c r="CG1393" s="156"/>
      <c r="CH1393" s="155"/>
      <c r="CI1393" s="156"/>
      <c r="CJ1393" s="157">
        <f t="shared" si="182"/>
        <v>0</v>
      </c>
      <c r="CK1393" s="158"/>
      <c r="CL1393" s="159"/>
      <c r="CM1393" s="160"/>
      <c r="CN1393" s="161"/>
      <c r="CO1393" s="162"/>
      <c r="CP1393" s="161"/>
      <c r="CQ1393" s="158"/>
      <c r="CR1393" s="159"/>
      <c r="CS1393" s="68"/>
      <c r="CT1393" s="163"/>
      <c r="EC1393" s="344" t="str">
        <f t="shared" si="185"/>
        <v>CUNDINAMARCA_PACHO</v>
      </c>
      <c r="ED1393" s="341"/>
      <c r="EE1393" s="341"/>
      <c r="EF1393" s="348"/>
      <c r="EG1393" s="341"/>
      <c r="EH1393" s="341"/>
      <c r="EI1393" s="341"/>
    </row>
    <row r="1394" spans="1:139" s="164" customFormat="1" ht="48">
      <c r="A1394" s="228">
        <v>40477</v>
      </c>
      <c r="B1394" s="205" t="s">
        <v>1440</v>
      </c>
      <c r="C1394" s="205" t="s">
        <v>5396</v>
      </c>
      <c r="D1394" s="207" t="s">
        <v>1201</v>
      </c>
      <c r="E1394" s="323" t="s">
        <v>3880</v>
      </c>
      <c r="F1394" s="323"/>
      <c r="G1394" s="204"/>
      <c r="H1394" s="151"/>
      <c r="I1394" s="151"/>
      <c r="J1394" s="151">
        <v>2705</v>
      </c>
      <c r="K1394" s="151">
        <v>541</v>
      </c>
      <c r="L1394" s="1"/>
      <c r="M1394" s="73">
        <f t="shared" si="180"/>
        <v>940000</v>
      </c>
      <c r="N1394" s="73">
        <f t="shared" si="184"/>
        <v>102000000</v>
      </c>
      <c r="O1394" s="73">
        <f t="shared" si="179"/>
        <v>0</v>
      </c>
      <c r="P1394" s="73">
        <f t="shared" si="181"/>
        <v>0</v>
      </c>
      <c r="Q1394" s="73"/>
      <c r="R1394" s="73">
        <v>0</v>
      </c>
      <c r="S1394" s="75">
        <f t="shared" si="183"/>
        <v>102940000</v>
      </c>
      <c r="T1394" s="77">
        <v>0</v>
      </c>
      <c r="U1394" s="66">
        <v>40478</v>
      </c>
      <c r="V1394" s="79"/>
      <c r="W1394" s="66" t="s">
        <v>1606</v>
      </c>
      <c r="X1394" s="24" t="s">
        <v>1607</v>
      </c>
      <c r="Y1394" s="62"/>
      <c r="Z1394" s="169" t="s">
        <v>894</v>
      </c>
      <c r="AA1394" s="166" t="s">
        <v>1470</v>
      </c>
      <c r="AB1394" s="152"/>
      <c r="AC1394" s="153"/>
      <c r="AD1394" s="154"/>
      <c r="AE1394" s="153"/>
      <c r="AF1394" s="153"/>
      <c r="AG1394" s="153"/>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c r="BF1394" s="153"/>
      <c r="BG1394" s="153"/>
      <c r="BH1394" s="153"/>
      <c r="BI1394" s="153"/>
      <c r="BJ1394" s="153"/>
      <c r="BK1394" s="153"/>
      <c r="BL1394" s="153"/>
      <c r="BM1394" s="153"/>
      <c r="BN1394" s="153">
        <v>2</v>
      </c>
      <c r="BO1394" s="153">
        <f>2*470000</f>
        <v>940000</v>
      </c>
      <c r="BP1394" s="153"/>
      <c r="BQ1394" s="153"/>
      <c r="BR1394" s="153"/>
      <c r="BS1394" s="153"/>
      <c r="BT1394" s="153"/>
      <c r="BU1394" s="153"/>
      <c r="BV1394" s="153"/>
      <c r="BW1394" s="153"/>
      <c r="BX1394" s="153"/>
      <c r="BY1394" s="153"/>
      <c r="BZ1394" s="153"/>
      <c r="CA1394" s="153"/>
      <c r="CB1394" s="153"/>
      <c r="CC1394" s="153"/>
      <c r="CD1394" s="155"/>
      <c r="CE1394" s="156"/>
      <c r="CF1394" s="155"/>
      <c r="CG1394" s="156"/>
      <c r="CH1394" s="155"/>
      <c r="CI1394" s="156"/>
      <c r="CJ1394" s="157">
        <f t="shared" si="182"/>
        <v>940000</v>
      </c>
      <c r="CK1394" s="158"/>
      <c r="CL1394" s="159"/>
      <c r="CM1394" s="160">
        <v>1200</v>
      </c>
      <c r="CN1394" s="161">
        <f>1200*85000</f>
        <v>102000000</v>
      </c>
      <c r="CO1394" s="162"/>
      <c r="CP1394" s="161"/>
      <c r="CQ1394" s="158"/>
      <c r="CR1394" s="159"/>
      <c r="CS1394" s="68"/>
      <c r="CT1394" s="163"/>
      <c r="EC1394" s="344" t="str">
        <f t="shared" si="185"/>
        <v>MAGDALENA_CHIVOLO</v>
      </c>
      <c r="ED1394" s="341"/>
      <c r="EE1394" s="341"/>
      <c r="EF1394" s="348"/>
      <c r="EG1394" s="341"/>
      <c r="EH1394" s="341"/>
      <c r="EI1394" s="341"/>
    </row>
    <row r="1395" spans="1:139" s="164" customFormat="1" ht="38.25">
      <c r="A1395" s="228">
        <v>40477</v>
      </c>
      <c r="B1395" s="205" t="s">
        <v>1440</v>
      </c>
      <c r="C1395" s="205" t="s">
        <v>3165</v>
      </c>
      <c r="D1395" s="207" t="s">
        <v>1201</v>
      </c>
      <c r="E1395" s="323" t="s">
        <v>3893</v>
      </c>
      <c r="F1395" s="323"/>
      <c r="G1395" s="204">
        <v>1</v>
      </c>
      <c r="H1395" s="151"/>
      <c r="I1395" s="151"/>
      <c r="J1395" s="151"/>
      <c r="K1395" s="151"/>
      <c r="L1395" s="1"/>
      <c r="M1395" s="73">
        <f t="shared" si="180"/>
        <v>0</v>
      </c>
      <c r="N1395" s="73">
        <f t="shared" si="184"/>
        <v>0</v>
      </c>
      <c r="O1395" s="73">
        <f t="shared" si="179"/>
        <v>0</v>
      </c>
      <c r="P1395" s="73">
        <f t="shared" si="181"/>
        <v>0</v>
      </c>
      <c r="Q1395" s="73"/>
      <c r="R1395" s="73">
        <v>0</v>
      </c>
      <c r="S1395" s="75">
        <f t="shared" si="183"/>
        <v>0</v>
      </c>
      <c r="T1395" s="77">
        <v>0</v>
      </c>
      <c r="U1395" s="66">
        <v>40478</v>
      </c>
      <c r="V1395" s="79"/>
      <c r="W1395" s="66" t="s">
        <v>1585</v>
      </c>
      <c r="X1395" s="24" t="s">
        <v>1586</v>
      </c>
      <c r="Y1395" s="62"/>
      <c r="Z1395" s="169" t="s">
        <v>894</v>
      </c>
      <c r="AA1395" s="166" t="s">
        <v>1501</v>
      </c>
      <c r="AB1395" s="152"/>
      <c r="AC1395" s="153"/>
      <c r="AD1395" s="154"/>
      <c r="AE1395" s="153"/>
      <c r="AF1395" s="153"/>
      <c r="AG1395" s="153"/>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c r="BF1395" s="153"/>
      <c r="BG1395" s="153"/>
      <c r="BH1395" s="153"/>
      <c r="BI1395" s="153"/>
      <c r="BJ1395" s="153"/>
      <c r="BK1395" s="153"/>
      <c r="BL1395" s="153"/>
      <c r="BM1395" s="153"/>
      <c r="BN1395" s="153"/>
      <c r="BO1395" s="153"/>
      <c r="BP1395" s="153"/>
      <c r="BQ1395" s="153"/>
      <c r="BR1395" s="153"/>
      <c r="BS1395" s="153"/>
      <c r="BT1395" s="153"/>
      <c r="BU1395" s="153"/>
      <c r="BV1395" s="153"/>
      <c r="BW1395" s="153"/>
      <c r="BX1395" s="153"/>
      <c r="BY1395" s="153"/>
      <c r="BZ1395" s="153"/>
      <c r="CA1395" s="153"/>
      <c r="CB1395" s="153"/>
      <c r="CC1395" s="153"/>
      <c r="CD1395" s="155"/>
      <c r="CE1395" s="156"/>
      <c r="CF1395" s="155"/>
      <c r="CG1395" s="156"/>
      <c r="CH1395" s="155"/>
      <c r="CI1395" s="156"/>
      <c r="CJ1395" s="157">
        <f t="shared" si="182"/>
        <v>0</v>
      </c>
      <c r="CK1395" s="158"/>
      <c r="CL1395" s="159"/>
      <c r="CM1395" s="160"/>
      <c r="CN1395" s="161"/>
      <c r="CO1395" s="162"/>
      <c r="CP1395" s="161"/>
      <c r="CQ1395" s="158"/>
      <c r="CR1395" s="159"/>
      <c r="CS1395" s="68"/>
      <c r="CT1395" s="163"/>
      <c r="EC1395" s="344" t="str">
        <f t="shared" si="185"/>
        <v>MAGDALENA_PUEBLOVIEJO</v>
      </c>
      <c r="ED1395" s="341"/>
      <c r="EE1395" s="341"/>
      <c r="EF1395" s="348"/>
      <c r="EG1395" s="341"/>
      <c r="EH1395" s="341"/>
      <c r="EI1395" s="341"/>
    </row>
    <row r="1396" spans="1:139" s="164" customFormat="1" ht="36">
      <c r="A1396" s="228">
        <v>40477</v>
      </c>
      <c r="B1396" s="205" t="s">
        <v>1612</v>
      </c>
      <c r="C1396" s="205" t="s">
        <v>673</v>
      </c>
      <c r="D1396" s="206" t="s">
        <v>1878</v>
      </c>
      <c r="E1396" s="320" t="s">
        <v>4040</v>
      </c>
      <c r="F1396" s="320"/>
      <c r="G1396" s="204"/>
      <c r="H1396" s="151">
        <v>1</v>
      </c>
      <c r="I1396" s="151"/>
      <c r="J1396" s="151"/>
      <c r="K1396" s="151"/>
      <c r="L1396" s="1"/>
      <c r="M1396" s="73">
        <f t="shared" si="180"/>
        <v>0</v>
      </c>
      <c r="N1396" s="73">
        <f t="shared" si="184"/>
        <v>0</v>
      </c>
      <c r="O1396" s="73">
        <f t="shared" ref="O1396:O1459" si="186">CP1396+CR1396</f>
        <v>0</v>
      </c>
      <c r="P1396" s="73">
        <f t="shared" si="181"/>
        <v>0</v>
      </c>
      <c r="Q1396" s="73"/>
      <c r="R1396" s="73">
        <v>0</v>
      </c>
      <c r="S1396" s="75">
        <f t="shared" si="183"/>
        <v>0</v>
      </c>
      <c r="T1396" s="77">
        <v>0</v>
      </c>
      <c r="U1396" s="66">
        <v>40478</v>
      </c>
      <c r="V1396" s="79"/>
      <c r="W1396" s="66" t="s">
        <v>1585</v>
      </c>
      <c r="X1396" s="24" t="s">
        <v>1586</v>
      </c>
      <c r="Y1396" s="62"/>
      <c r="Z1396" s="169" t="s">
        <v>894</v>
      </c>
      <c r="AA1396" s="166" t="s">
        <v>1147</v>
      </c>
      <c r="AB1396" s="152"/>
      <c r="AC1396" s="153"/>
      <c r="AD1396" s="154"/>
      <c r="AE1396" s="153"/>
      <c r="AF1396" s="153"/>
      <c r="AG1396" s="153"/>
      <c r="AH1396" s="153"/>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c r="BF1396" s="153"/>
      <c r="BG1396" s="153"/>
      <c r="BH1396" s="153"/>
      <c r="BI1396" s="153"/>
      <c r="BJ1396" s="153"/>
      <c r="BK1396" s="153"/>
      <c r="BL1396" s="153"/>
      <c r="BM1396" s="153"/>
      <c r="BN1396" s="153"/>
      <c r="BO1396" s="153"/>
      <c r="BP1396" s="153"/>
      <c r="BQ1396" s="153"/>
      <c r="BR1396" s="153"/>
      <c r="BS1396" s="153"/>
      <c r="BT1396" s="153"/>
      <c r="BU1396" s="153"/>
      <c r="BV1396" s="153"/>
      <c r="BW1396" s="153"/>
      <c r="BX1396" s="153"/>
      <c r="BY1396" s="153"/>
      <c r="BZ1396" s="153"/>
      <c r="CA1396" s="153"/>
      <c r="CB1396" s="153"/>
      <c r="CC1396" s="153"/>
      <c r="CD1396" s="155"/>
      <c r="CE1396" s="156"/>
      <c r="CF1396" s="155"/>
      <c r="CG1396" s="156"/>
      <c r="CH1396" s="155"/>
      <c r="CI1396" s="156"/>
      <c r="CJ1396" s="157">
        <f t="shared" si="182"/>
        <v>0</v>
      </c>
      <c r="CK1396" s="158"/>
      <c r="CL1396" s="159"/>
      <c r="CM1396" s="160"/>
      <c r="CN1396" s="161"/>
      <c r="CO1396" s="162"/>
      <c r="CP1396" s="161"/>
      <c r="CQ1396" s="158"/>
      <c r="CR1396" s="159"/>
      <c r="CS1396" s="68"/>
      <c r="CT1396" s="163"/>
      <c r="EC1396" s="344" t="str">
        <f t="shared" si="185"/>
        <v>QUINDIO_CALARCA</v>
      </c>
      <c r="ED1396" s="341"/>
      <c r="EE1396" s="341"/>
      <c r="EF1396" s="348"/>
      <c r="EG1396" s="341"/>
      <c r="EH1396" s="341"/>
      <c r="EI1396" s="341"/>
    </row>
    <row r="1397" spans="1:139" s="164" customFormat="1" ht="25.5">
      <c r="A1397" s="228">
        <v>40478</v>
      </c>
      <c r="B1397" s="205" t="s">
        <v>1314</v>
      </c>
      <c r="C1397" s="205" t="s">
        <v>493</v>
      </c>
      <c r="D1397" s="207" t="s">
        <v>1316</v>
      </c>
      <c r="E1397" s="323" t="s">
        <v>3624</v>
      </c>
      <c r="F1397" s="323"/>
      <c r="G1397" s="204">
        <v>1</v>
      </c>
      <c r="H1397" s="151">
        <v>2</v>
      </c>
      <c r="I1397" s="151"/>
      <c r="J1397" s="151">
        <v>8</v>
      </c>
      <c r="K1397" s="151">
        <v>1</v>
      </c>
      <c r="L1397" s="1"/>
      <c r="M1397" s="73">
        <f t="shared" si="180"/>
        <v>0</v>
      </c>
      <c r="N1397" s="73">
        <f t="shared" si="184"/>
        <v>0</v>
      </c>
      <c r="O1397" s="73">
        <f t="shared" si="186"/>
        <v>0</v>
      </c>
      <c r="P1397" s="73">
        <f t="shared" si="181"/>
        <v>0</v>
      </c>
      <c r="Q1397" s="73"/>
      <c r="R1397" s="73">
        <v>0</v>
      </c>
      <c r="S1397" s="75">
        <f t="shared" si="183"/>
        <v>0</v>
      </c>
      <c r="T1397" s="77">
        <v>0</v>
      </c>
      <c r="U1397" s="66">
        <v>40482</v>
      </c>
      <c r="V1397" s="79"/>
      <c r="W1397" s="66" t="s">
        <v>1585</v>
      </c>
      <c r="X1397" s="24" t="s">
        <v>1586</v>
      </c>
      <c r="Y1397" s="62"/>
      <c r="Z1397" s="169" t="s">
        <v>894</v>
      </c>
      <c r="AA1397" s="166" t="s">
        <v>494</v>
      </c>
      <c r="AB1397" s="152"/>
      <c r="AC1397" s="153"/>
      <c r="AD1397" s="154"/>
      <c r="AE1397" s="153"/>
      <c r="AF1397" s="153"/>
      <c r="AG1397" s="153"/>
      <c r="AH1397" s="153"/>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c r="BF1397" s="153"/>
      <c r="BG1397" s="153"/>
      <c r="BH1397" s="153"/>
      <c r="BI1397" s="153"/>
      <c r="BJ1397" s="153"/>
      <c r="BK1397" s="153"/>
      <c r="BL1397" s="153"/>
      <c r="BM1397" s="153"/>
      <c r="BN1397" s="153"/>
      <c r="BO1397" s="153"/>
      <c r="BP1397" s="153"/>
      <c r="BQ1397" s="153"/>
      <c r="BR1397" s="153"/>
      <c r="BS1397" s="153"/>
      <c r="BT1397" s="153"/>
      <c r="BU1397" s="153"/>
      <c r="BV1397" s="153"/>
      <c r="BW1397" s="153"/>
      <c r="BX1397" s="153"/>
      <c r="BY1397" s="153"/>
      <c r="BZ1397" s="153"/>
      <c r="CA1397" s="153"/>
      <c r="CB1397" s="153"/>
      <c r="CC1397" s="153"/>
      <c r="CD1397" s="155"/>
      <c r="CE1397" s="156"/>
      <c r="CF1397" s="155"/>
      <c r="CG1397" s="156"/>
      <c r="CH1397" s="155"/>
      <c r="CI1397" s="156"/>
      <c r="CJ1397" s="157">
        <f t="shared" si="182"/>
        <v>0</v>
      </c>
      <c r="CK1397" s="158"/>
      <c r="CL1397" s="159"/>
      <c r="CM1397" s="160"/>
      <c r="CN1397" s="161"/>
      <c r="CO1397" s="162"/>
      <c r="CP1397" s="161"/>
      <c r="CQ1397" s="158"/>
      <c r="CR1397" s="159"/>
      <c r="CS1397" s="68"/>
      <c r="CT1397" s="163"/>
      <c r="EC1397" s="344" t="str">
        <f t="shared" si="185"/>
        <v>CAUCA_TIMBIQUI</v>
      </c>
      <c r="ED1397" s="341"/>
      <c r="EE1397" s="341"/>
      <c r="EF1397" s="348"/>
      <c r="EG1397" s="341"/>
      <c r="EH1397" s="341"/>
      <c r="EI1397" s="341"/>
    </row>
    <row r="1398" spans="1:139" s="164" customFormat="1" ht="38.25">
      <c r="A1398" s="228">
        <v>40478</v>
      </c>
      <c r="B1398" s="205" t="s">
        <v>1604</v>
      </c>
      <c r="C1398" s="205" t="s">
        <v>2351</v>
      </c>
      <c r="D1398" s="207" t="s">
        <v>1201</v>
      </c>
      <c r="E1398" s="323" t="s">
        <v>3764</v>
      </c>
      <c r="F1398" s="323"/>
      <c r="G1398" s="204"/>
      <c r="H1398" s="151"/>
      <c r="I1398" s="151"/>
      <c r="J1398" s="151">
        <v>200</v>
      </c>
      <c r="K1398" s="151">
        <v>40</v>
      </c>
      <c r="L1398" s="1"/>
      <c r="M1398" s="73">
        <f t="shared" si="180"/>
        <v>0</v>
      </c>
      <c r="N1398" s="73">
        <f t="shared" si="184"/>
        <v>0</v>
      </c>
      <c r="O1398" s="73">
        <f t="shared" si="186"/>
        <v>0</v>
      </c>
      <c r="P1398" s="73">
        <f t="shared" si="181"/>
        <v>0</v>
      </c>
      <c r="Q1398" s="73"/>
      <c r="R1398" s="73">
        <v>0</v>
      </c>
      <c r="S1398" s="75">
        <f t="shared" si="183"/>
        <v>0</v>
      </c>
      <c r="T1398" s="77">
        <v>0</v>
      </c>
      <c r="U1398" s="66">
        <v>40482</v>
      </c>
      <c r="V1398" s="79"/>
      <c r="W1398" s="66" t="s">
        <v>1585</v>
      </c>
      <c r="X1398" s="24" t="s">
        <v>1586</v>
      </c>
      <c r="Y1398" s="62"/>
      <c r="Z1398" s="169" t="s">
        <v>894</v>
      </c>
      <c r="AA1398" s="166" t="s">
        <v>488</v>
      </c>
      <c r="AB1398" s="152"/>
      <c r="AC1398" s="153"/>
      <c r="AD1398" s="154"/>
      <c r="AE1398" s="153"/>
      <c r="AF1398" s="153"/>
      <c r="AG1398" s="153"/>
      <c r="AH1398" s="153"/>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c r="BF1398" s="153"/>
      <c r="BG1398" s="153"/>
      <c r="BH1398" s="153"/>
      <c r="BI1398" s="153"/>
      <c r="BJ1398" s="153"/>
      <c r="BK1398" s="153"/>
      <c r="BL1398" s="153"/>
      <c r="BM1398" s="153"/>
      <c r="BN1398" s="153"/>
      <c r="BO1398" s="153"/>
      <c r="BP1398" s="153"/>
      <c r="BQ1398" s="153"/>
      <c r="BR1398" s="153"/>
      <c r="BS1398" s="153"/>
      <c r="BT1398" s="153"/>
      <c r="BU1398" s="153"/>
      <c r="BV1398" s="153"/>
      <c r="BW1398" s="153"/>
      <c r="BX1398" s="153"/>
      <c r="BY1398" s="153"/>
      <c r="BZ1398" s="153"/>
      <c r="CA1398" s="153"/>
      <c r="CB1398" s="153"/>
      <c r="CC1398" s="153"/>
      <c r="CD1398" s="155"/>
      <c r="CE1398" s="156"/>
      <c r="CF1398" s="155"/>
      <c r="CG1398" s="156"/>
      <c r="CH1398" s="155"/>
      <c r="CI1398" s="156"/>
      <c r="CJ1398" s="157">
        <f t="shared" si="182"/>
        <v>0</v>
      </c>
      <c r="CK1398" s="158"/>
      <c r="CL1398" s="159"/>
      <c r="CM1398" s="160"/>
      <c r="CN1398" s="161"/>
      <c r="CO1398" s="162"/>
      <c r="CP1398" s="161"/>
      <c r="CQ1398" s="158"/>
      <c r="CR1398" s="159"/>
      <c r="CS1398" s="68"/>
      <c r="CT1398" s="163"/>
      <c r="EC1398" s="344" t="str">
        <f t="shared" si="185"/>
        <v>CUNDINAMARCA_SOACHA</v>
      </c>
      <c r="ED1398" s="341"/>
      <c r="EE1398" s="341"/>
      <c r="EF1398" s="348"/>
      <c r="EG1398" s="341"/>
      <c r="EH1398" s="341"/>
      <c r="EI1398" s="341"/>
    </row>
    <row r="1399" spans="1:139" s="164" customFormat="1" ht="36">
      <c r="A1399" s="228">
        <v>40478</v>
      </c>
      <c r="B1399" s="205" t="s">
        <v>1824</v>
      </c>
      <c r="C1399" s="205" t="s">
        <v>2824</v>
      </c>
      <c r="D1399" s="207" t="s">
        <v>1201</v>
      </c>
      <c r="E1399" s="323" t="s">
        <v>3992</v>
      </c>
      <c r="F1399" s="323"/>
      <c r="G1399" s="204"/>
      <c r="H1399" s="151"/>
      <c r="I1399" s="151"/>
      <c r="J1399" s="151"/>
      <c r="K1399" s="151"/>
      <c r="L1399" s="1"/>
      <c r="M1399" s="73">
        <f t="shared" si="180"/>
        <v>0</v>
      </c>
      <c r="N1399" s="73">
        <f t="shared" si="184"/>
        <v>0</v>
      </c>
      <c r="O1399" s="73">
        <f t="shared" si="186"/>
        <v>0</v>
      </c>
      <c r="P1399" s="73">
        <f t="shared" si="181"/>
        <v>0</v>
      </c>
      <c r="Q1399" s="73"/>
      <c r="R1399" s="73">
        <v>0</v>
      </c>
      <c r="S1399" s="75">
        <f t="shared" si="183"/>
        <v>0</v>
      </c>
      <c r="T1399" s="77">
        <v>0</v>
      </c>
      <c r="U1399" s="66">
        <v>40483</v>
      </c>
      <c r="V1399" s="79"/>
      <c r="W1399" s="66" t="s">
        <v>1585</v>
      </c>
      <c r="X1399" s="24" t="s">
        <v>1586</v>
      </c>
      <c r="Y1399" s="62"/>
      <c r="Z1399" s="169" t="s">
        <v>894</v>
      </c>
      <c r="AA1399" s="166" t="s">
        <v>2825</v>
      </c>
      <c r="AB1399" s="152"/>
      <c r="AC1399" s="153"/>
      <c r="AD1399" s="154"/>
      <c r="AE1399" s="153"/>
      <c r="AF1399" s="153"/>
      <c r="AG1399" s="153"/>
      <c r="AH1399" s="153"/>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c r="BF1399" s="153"/>
      <c r="BG1399" s="153"/>
      <c r="BH1399" s="153"/>
      <c r="BI1399" s="153"/>
      <c r="BJ1399" s="153"/>
      <c r="BK1399" s="153"/>
      <c r="BL1399" s="153"/>
      <c r="BM1399" s="153"/>
      <c r="BN1399" s="153"/>
      <c r="BO1399" s="153"/>
      <c r="BP1399" s="153"/>
      <c r="BQ1399" s="153"/>
      <c r="BR1399" s="153"/>
      <c r="BS1399" s="153"/>
      <c r="BT1399" s="153"/>
      <c r="BU1399" s="153"/>
      <c r="BV1399" s="153"/>
      <c r="BW1399" s="153"/>
      <c r="BX1399" s="153"/>
      <c r="BY1399" s="153"/>
      <c r="BZ1399" s="153"/>
      <c r="CA1399" s="153"/>
      <c r="CB1399" s="153"/>
      <c r="CC1399" s="153"/>
      <c r="CD1399" s="155"/>
      <c r="CE1399" s="156"/>
      <c r="CF1399" s="155"/>
      <c r="CG1399" s="156"/>
      <c r="CH1399" s="155"/>
      <c r="CI1399" s="156"/>
      <c r="CJ1399" s="157">
        <f t="shared" si="182"/>
        <v>0</v>
      </c>
      <c r="CK1399" s="158"/>
      <c r="CL1399" s="159"/>
      <c r="CM1399" s="160"/>
      <c r="CN1399" s="161"/>
      <c r="CO1399" s="162"/>
      <c r="CP1399" s="161"/>
      <c r="CQ1399" s="158"/>
      <c r="CR1399" s="159"/>
      <c r="CS1399" s="68"/>
      <c r="CT1399" s="163"/>
      <c r="EC1399" s="344" t="str">
        <f t="shared" si="185"/>
        <v>NARIÑO_SAPUYES</v>
      </c>
      <c r="ED1399" s="341"/>
      <c r="EE1399" s="341"/>
      <c r="EF1399" s="348"/>
      <c r="EG1399" s="341"/>
      <c r="EH1399" s="341"/>
      <c r="EI1399" s="341"/>
    </row>
    <row r="1400" spans="1:139" s="164" customFormat="1" ht="38.25">
      <c r="A1400" s="228">
        <v>40478</v>
      </c>
      <c r="B1400" s="205" t="s">
        <v>965</v>
      </c>
      <c r="C1400" s="205" t="s">
        <v>2083</v>
      </c>
      <c r="D1400" s="207" t="s">
        <v>2391</v>
      </c>
      <c r="E1400" s="323" t="s">
        <v>4012</v>
      </c>
      <c r="F1400" s="323"/>
      <c r="G1400" s="204"/>
      <c r="H1400" s="151">
        <v>3</v>
      </c>
      <c r="I1400" s="151"/>
      <c r="J1400" s="151"/>
      <c r="K1400" s="151"/>
      <c r="L1400" s="1"/>
      <c r="M1400" s="73">
        <f t="shared" si="180"/>
        <v>0</v>
      </c>
      <c r="N1400" s="73">
        <f t="shared" si="184"/>
        <v>0</v>
      </c>
      <c r="O1400" s="73">
        <f t="shared" si="186"/>
        <v>0</v>
      </c>
      <c r="P1400" s="73">
        <f t="shared" si="181"/>
        <v>0</v>
      </c>
      <c r="Q1400" s="73"/>
      <c r="R1400" s="73">
        <v>0</v>
      </c>
      <c r="S1400" s="75">
        <f t="shared" si="183"/>
        <v>0</v>
      </c>
      <c r="T1400" s="77">
        <v>0</v>
      </c>
      <c r="U1400" s="66">
        <v>40482</v>
      </c>
      <c r="V1400" s="79"/>
      <c r="W1400" s="66" t="s">
        <v>1585</v>
      </c>
      <c r="X1400" s="24" t="s">
        <v>1586</v>
      </c>
      <c r="Y1400" s="62"/>
      <c r="Z1400" s="169" t="s">
        <v>894</v>
      </c>
      <c r="AA1400" s="166" t="s">
        <v>724</v>
      </c>
      <c r="AB1400" s="152"/>
      <c r="AC1400" s="153"/>
      <c r="AD1400" s="154"/>
      <c r="AE1400" s="153"/>
      <c r="AF1400" s="153"/>
      <c r="AG1400" s="153"/>
      <c r="AH1400" s="153"/>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c r="BF1400" s="153"/>
      <c r="BG1400" s="153"/>
      <c r="BH1400" s="153"/>
      <c r="BI1400" s="153"/>
      <c r="BJ1400" s="153"/>
      <c r="BK1400" s="153"/>
      <c r="BL1400" s="153"/>
      <c r="BM1400" s="153"/>
      <c r="BN1400" s="153"/>
      <c r="BO1400" s="153"/>
      <c r="BP1400" s="153"/>
      <c r="BQ1400" s="153"/>
      <c r="BR1400" s="153"/>
      <c r="BS1400" s="153"/>
      <c r="BT1400" s="153"/>
      <c r="BU1400" s="153"/>
      <c r="BV1400" s="153"/>
      <c r="BW1400" s="153"/>
      <c r="BX1400" s="153"/>
      <c r="BY1400" s="153"/>
      <c r="BZ1400" s="153"/>
      <c r="CA1400" s="153"/>
      <c r="CB1400" s="153"/>
      <c r="CC1400" s="153"/>
      <c r="CD1400" s="155"/>
      <c r="CE1400" s="156"/>
      <c r="CF1400" s="155"/>
      <c r="CG1400" s="156"/>
      <c r="CH1400" s="155"/>
      <c r="CI1400" s="156"/>
      <c r="CJ1400" s="157">
        <f t="shared" si="182"/>
        <v>0</v>
      </c>
      <c r="CK1400" s="158"/>
      <c r="CL1400" s="159"/>
      <c r="CM1400" s="160"/>
      <c r="CN1400" s="161"/>
      <c r="CO1400" s="162"/>
      <c r="CP1400" s="161"/>
      <c r="CQ1400" s="158"/>
      <c r="CR1400" s="159"/>
      <c r="CS1400" s="68"/>
      <c r="CT1400" s="163"/>
      <c r="EC1400" s="344" t="str">
        <f t="shared" si="185"/>
        <v>NORTE DE SANTANDER_EL ZULIA</v>
      </c>
      <c r="ED1400" s="341"/>
      <c r="EE1400" s="341"/>
      <c r="EF1400" s="348"/>
      <c r="EG1400" s="341"/>
      <c r="EH1400" s="341"/>
      <c r="EI1400" s="341"/>
    </row>
    <row r="1401" spans="1:139" s="164" customFormat="1" ht="25.5">
      <c r="A1401" s="228">
        <v>40478</v>
      </c>
      <c r="B1401" s="102" t="s">
        <v>1609</v>
      </c>
      <c r="C1401" s="205" t="s">
        <v>2004</v>
      </c>
      <c r="D1401" s="207" t="s">
        <v>1316</v>
      </c>
      <c r="E1401" s="323" t="s">
        <v>4050</v>
      </c>
      <c r="F1401" s="323"/>
      <c r="G1401" s="204"/>
      <c r="H1401" s="151"/>
      <c r="I1401" s="151"/>
      <c r="J1401" s="151"/>
      <c r="K1401" s="151"/>
      <c r="L1401" s="1"/>
      <c r="M1401" s="73">
        <f t="shared" si="180"/>
        <v>0</v>
      </c>
      <c r="N1401" s="73">
        <f t="shared" si="184"/>
        <v>0</v>
      </c>
      <c r="O1401" s="73">
        <f t="shared" si="186"/>
        <v>0</v>
      </c>
      <c r="P1401" s="73">
        <f t="shared" si="181"/>
        <v>0</v>
      </c>
      <c r="Q1401" s="73"/>
      <c r="R1401" s="73">
        <v>0</v>
      </c>
      <c r="S1401" s="75">
        <f t="shared" si="183"/>
        <v>0</v>
      </c>
      <c r="T1401" s="77">
        <v>0</v>
      </c>
      <c r="U1401" s="66">
        <v>40482</v>
      </c>
      <c r="V1401" s="79"/>
      <c r="W1401" s="66" t="s">
        <v>1585</v>
      </c>
      <c r="X1401" s="24" t="s">
        <v>1586</v>
      </c>
      <c r="Y1401" s="62"/>
      <c r="Z1401" s="169" t="s">
        <v>894</v>
      </c>
      <c r="AA1401" s="166" t="s">
        <v>647</v>
      </c>
      <c r="AB1401" s="152"/>
      <c r="AC1401" s="153"/>
      <c r="AD1401" s="154"/>
      <c r="AE1401" s="153"/>
      <c r="AF1401" s="153"/>
      <c r="AG1401" s="153"/>
      <c r="AH1401" s="153"/>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c r="BF1401" s="153"/>
      <c r="BG1401" s="153"/>
      <c r="BH1401" s="153"/>
      <c r="BI1401" s="153"/>
      <c r="BJ1401" s="153"/>
      <c r="BK1401" s="153"/>
      <c r="BL1401" s="153"/>
      <c r="BM1401" s="153"/>
      <c r="BN1401" s="153"/>
      <c r="BO1401" s="153"/>
      <c r="BP1401" s="153"/>
      <c r="BQ1401" s="153"/>
      <c r="BR1401" s="153"/>
      <c r="BS1401" s="153"/>
      <c r="BT1401" s="153"/>
      <c r="BU1401" s="153"/>
      <c r="BV1401" s="153"/>
      <c r="BW1401" s="153"/>
      <c r="BX1401" s="153"/>
      <c r="BY1401" s="153"/>
      <c r="BZ1401" s="153"/>
      <c r="CA1401" s="153"/>
      <c r="CB1401" s="153"/>
      <c r="CC1401" s="153"/>
      <c r="CD1401" s="155"/>
      <c r="CE1401" s="156"/>
      <c r="CF1401" s="155"/>
      <c r="CG1401" s="156"/>
      <c r="CH1401" s="155"/>
      <c r="CI1401" s="156"/>
      <c r="CJ1401" s="157">
        <f t="shared" si="182"/>
        <v>0</v>
      </c>
      <c r="CK1401" s="158"/>
      <c r="CL1401" s="159"/>
      <c r="CM1401" s="160"/>
      <c r="CN1401" s="161"/>
      <c r="CO1401" s="162"/>
      <c r="CP1401" s="161"/>
      <c r="CQ1401" s="158"/>
      <c r="CR1401" s="159"/>
      <c r="CS1401" s="68"/>
      <c r="CT1401" s="163"/>
      <c r="EC1401" s="344" t="str">
        <f t="shared" si="185"/>
        <v>RISARALDA_PEREIRA</v>
      </c>
      <c r="ED1401" s="341"/>
      <c r="EE1401" s="341"/>
      <c r="EF1401" s="348"/>
      <c r="EG1401" s="341"/>
      <c r="EH1401" s="341"/>
      <c r="EI1401" s="341"/>
    </row>
    <row r="1402" spans="1:139" s="164" customFormat="1" ht="25.5">
      <c r="A1402" s="228">
        <v>40478</v>
      </c>
      <c r="B1402" s="205" t="s">
        <v>2400</v>
      </c>
      <c r="C1402" s="205" t="s">
        <v>1545</v>
      </c>
      <c r="D1402" s="206" t="s">
        <v>1878</v>
      </c>
      <c r="E1402" s="320" t="s">
        <v>4177</v>
      </c>
      <c r="F1402" s="320"/>
      <c r="G1402" s="204"/>
      <c r="H1402" s="151"/>
      <c r="I1402" s="151"/>
      <c r="J1402" s="151">
        <v>15</v>
      </c>
      <c r="K1402" s="151">
        <v>3</v>
      </c>
      <c r="L1402" s="1"/>
      <c r="M1402" s="73">
        <f t="shared" si="180"/>
        <v>0</v>
      </c>
      <c r="N1402" s="73">
        <f t="shared" si="184"/>
        <v>0</v>
      </c>
      <c r="O1402" s="73">
        <f t="shared" si="186"/>
        <v>0</v>
      </c>
      <c r="P1402" s="73">
        <f t="shared" si="181"/>
        <v>0</v>
      </c>
      <c r="Q1402" s="73"/>
      <c r="R1402" s="73">
        <v>0</v>
      </c>
      <c r="S1402" s="75">
        <f t="shared" si="183"/>
        <v>0</v>
      </c>
      <c r="T1402" s="77">
        <v>0</v>
      </c>
      <c r="U1402" s="66">
        <v>40478</v>
      </c>
      <c r="V1402" s="79"/>
      <c r="W1402" s="66" t="s">
        <v>1585</v>
      </c>
      <c r="X1402" s="24" t="s">
        <v>1586</v>
      </c>
      <c r="Y1402" s="62"/>
      <c r="Z1402" s="169" t="s">
        <v>894</v>
      </c>
      <c r="AA1402" s="166" t="s">
        <v>1146</v>
      </c>
      <c r="AB1402" s="152"/>
      <c r="AC1402" s="153"/>
      <c r="AD1402" s="154"/>
      <c r="AE1402" s="153"/>
      <c r="AF1402" s="153"/>
      <c r="AG1402" s="153"/>
      <c r="AH1402" s="153"/>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c r="BF1402" s="153"/>
      <c r="BG1402" s="153"/>
      <c r="BH1402" s="153"/>
      <c r="BI1402" s="153"/>
      <c r="BJ1402" s="153"/>
      <c r="BK1402" s="153"/>
      <c r="BL1402" s="153"/>
      <c r="BM1402" s="153"/>
      <c r="BN1402" s="153"/>
      <c r="BO1402" s="153"/>
      <c r="BP1402" s="153"/>
      <c r="BQ1402" s="153"/>
      <c r="BR1402" s="153"/>
      <c r="BS1402" s="153"/>
      <c r="BT1402" s="153"/>
      <c r="BU1402" s="153"/>
      <c r="BV1402" s="153"/>
      <c r="BW1402" s="153"/>
      <c r="BX1402" s="153"/>
      <c r="BY1402" s="153"/>
      <c r="BZ1402" s="153"/>
      <c r="CA1402" s="153"/>
      <c r="CB1402" s="153"/>
      <c r="CC1402" s="153"/>
      <c r="CD1402" s="155"/>
      <c r="CE1402" s="156"/>
      <c r="CF1402" s="155"/>
      <c r="CG1402" s="156"/>
      <c r="CH1402" s="155"/>
      <c r="CI1402" s="156"/>
      <c r="CJ1402" s="157">
        <f t="shared" si="182"/>
        <v>0</v>
      </c>
      <c r="CK1402" s="158"/>
      <c r="CL1402" s="159"/>
      <c r="CM1402" s="160"/>
      <c r="CN1402" s="161"/>
      <c r="CO1402" s="162"/>
      <c r="CP1402" s="161"/>
      <c r="CQ1402" s="158"/>
      <c r="CR1402" s="159"/>
      <c r="CS1402" s="68"/>
      <c r="CT1402" s="163"/>
      <c r="EC1402" s="344" t="str">
        <f t="shared" si="185"/>
        <v>TOLIMA_IBAGUE</v>
      </c>
      <c r="ED1402" s="341"/>
      <c r="EE1402" s="341"/>
      <c r="EF1402" s="348"/>
      <c r="EG1402" s="341"/>
      <c r="EH1402" s="341"/>
      <c r="EI1402" s="341"/>
    </row>
    <row r="1403" spans="1:139" s="164" customFormat="1" ht="25.5">
      <c r="A1403" s="235">
        <v>40479</v>
      </c>
      <c r="B1403" s="269" t="s">
        <v>1972</v>
      </c>
      <c r="C1403" s="269" t="s">
        <v>653</v>
      </c>
      <c r="D1403" s="236" t="s">
        <v>1878</v>
      </c>
      <c r="E1403" s="324" t="s">
        <v>3253</v>
      </c>
      <c r="F1403" s="324"/>
      <c r="G1403" s="204"/>
      <c r="H1403" s="151"/>
      <c r="I1403" s="151"/>
      <c r="J1403" s="151">
        <v>30</v>
      </c>
      <c r="K1403" s="151">
        <v>6</v>
      </c>
      <c r="L1403" s="1"/>
      <c r="M1403" s="73">
        <f t="shared" si="180"/>
        <v>0</v>
      </c>
      <c r="N1403" s="73">
        <f t="shared" si="184"/>
        <v>0</v>
      </c>
      <c r="O1403" s="73">
        <f t="shared" si="186"/>
        <v>0</v>
      </c>
      <c r="P1403" s="73">
        <f t="shared" si="181"/>
        <v>0</v>
      </c>
      <c r="Q1403" s="73"/>
      <c r="R1403" s="73">
        <v>0</v>
      </c>
      <c r="S1403" s="75">
        <f t="shared" si="183"/>
        <v>0</v>
      </c>
      <c r="T1403" s="77">
        <v>0</v>
      </c>
      <c r="U1403" s="66">
        <v>40482</v>
      </c>
      <c r="V1403" s="79"/>
      <c r="W1403" s="66" t="s">
        <v>1585</v>
      </c>
      <c r="X1403" s="24" t="s">
        <v>1586</v>
      </c>
      <c r="Y1403" s="62"/>
      <c r="Z1403" s="169" t="s">
        <v>894</v>
      </c>
      <c r="AA1403" s="166" t="s">
        <v>719</v>
      </c>
      <c r="AB1403" s="152"/>
      <c r="AC1403" s="153"/>
      <c r="AD1403" s="154"/>
      <c r="AE1403" s="153"/>
      <c r="AF1403" s="153"/>
      <c r="AG1403" s="153"/>
      <c r="AH1403" s="153"/>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c r="BF1403" s="153"/>
      <c r="BG1403" s="153"/>
      <c r="BH1403" s="153"/>
      <c r="BI1403" s="153"/>
      <c r="BJ1403" s="153"/>
      <c r="BK1403" s="153"/>
      <c r="BL1403" s="153"/>
      <c r="BM1403" s="153"/>
      <c r="BN1403" s="153"/>
      <c r="BO1403" s="153"/>
      <c r="BP1403" s="153"/>
      <c r="BQ1403" s="153"/>
      <c r="BR1403" s="153"/>
      <c r="BS1403" s="153"/>
      <c r="BT1403" s="153"/>
      <c r="BU1403" s="153"/>
      <c r="BV1403" s="153"/>
      <c r="BW1403" s="153"/>
      <c r="BX1403" s="153"/>
      <c r="BY1403" s="153"/>
      <c r="BZ1403" s="153"/>
      <c r="CA1403" s="153"/>
      <c r="CB1403" s="153"/>
      <c r="CC1403" s="153"/>
      <c r="CD1403" s="155"/>
      <c r="CE1403" s="156"/>
      <c r="CF1403" s="155"/>
      <c r="CG1403" s="156"/>
      <c r="CH1403" s="155"/>
      <c r="CI1403" s="156"/>
      <c r="CJ1403" s="157">
        <f t="shared" si="182"/>
        <v>0</v>
      </c>
      <c r="CK1403" s="158"/>
      <c r="CL1403" s="159"/>
      <c r="CM1403" s="160"/>
      <c r="CN1403" s="161"/>
      <c r="CO1403" s="162"/>
      <c r="CP1403" s="161"/>
      <c r="CQ1403" s="158"/>
      <c r="CR1403" s="159"/>
      <c r="CS1403" s="68"/>
      <c r="CT1403" s="163"/>
      <c r="EC1403" s="344" t="str">
        <f t="shared" si="185"/>
        <v>ANTIOQUIA_CALDAS</v>
      </c>
      <c r="ED1403" s="341"/>
      <c r="EE1403" s="341"/>
      <c r="EF1403" s="348"/>
      <c r="EG1403" s="341"/>
      <c r="EH1403" s="341"/>
      <c r="EI1403" s="341"/>
    </row>
    <row r="1404" spans="1:139" s="164" customFormat="1" ht="25.5">
      <c r="A1404" s="235">
        <v>40479</v>
      </c>
      <c r="B1404" s="269" t="s">
        <v>1972</v>
      </c>
      <c r="C1404" s="269" t="s">
        <v>1824</v>
      </c>
      <c r="D1404" s="236" t="s">
        <v>1878</v>
      </c>
      <c r="E1404" s="324" t="s">
        <v>3299</v>
      </c>
      <c r="F1404" s="324"/>
      <c r="G1404" s="204">
        <v>1</v>
      </c>
      <c r="H1404" s="151"/>
      <c r="I1404" s="151"/>
      <c r="J1404" s="151">
        <v>105</v>
      </c>
      <c r="K1404" s="151">
        <v>35</v>
      </c>
      <c r="L1404" s="1"/>
      <c r="M1404" s="73">
        <f t="shared" si="180"/>
        <v>0</v>
      </c>
      <c r="N1404" s="73">
        <f t="shared" si="184"/>
        <v>0</v>
      </c>
      <c r="O1404" s="73">
        <f t="shared" si="186"/>
        <v>0</v>
      </c>
      <c r="P1404" s="73">
        <f t="shared" si="181"/>
        <v>0</v>
      </c>
      <c r="Q1404" s="73"/>
      <c r="R1404" s="73">
        <v>0</v>
      </c>
      <c r="S1404" s="75">
        <f t="shared" si="183"/>
        <v>0</v>
      </c>
      <c r="T1404" s="77">
        <v>0</v>
      </c>
      <c r="U1404" s="66">
        <v>40482</v>
      </c>
      <c r="V1404" s="79"/>
      <c r="W1404" s="66" t="s">
        <v>1585</v>
      </c>
      <c r="X1404" s="24" t="s">
        <v>1586</v>
      </c>
      <c r="Y1404" s="62"/>
      <c r="Z1404" s="169" t="s">
        <v>894</v>
      </c>
      <c r="AA1404" s="166" t="s">
        <v>721</v>
      </c>
      <c r="AB1404" s="152"/>
      <c r="AC1404" s="153"/>
      <c r="AD1404" s="154"/>
      <c r="AE1404" s="153"/>
      <c r="AF1404" s="153"/>
      <c r="AG1404" s="153"/>
      <c r="AH1404" s="153"/>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c r="BF1404" s="153"/>
      <c r="BG1404" s="153"/>
      <c r="BH1404" s="153"/>
      <c r="BI1404" s="153"/>
      <c r="BJ1404" s="153"/>
      <c r="BK1404" s="153"/>
      <c r="BL1404" s="153"/>
      <c r="BM1404" s="153"/>
      <c r="BN1404" s="153"/>
      <c r="BO1404" s="153"/>
      <c r="BP1404" s="153"/>
      <c r="BQ1404" s="153"/>
      <c r="BR1404" s="153"/>
      <c r="BS1404" s="153"/>
      <c r="BT1404" s="153"/>
      <c r="BU1404" s="153"/>
      <c r="BV1404" s="153"/>
      <c r="BW1404" s="153"/>
      <c r="BX1404" s="153"/>
      <c r="BY1404" s="153"/>
      <c r="BZ1404" s="153"/>
      <c r="CA1404" s="153"/>
      <c r="CB1404" s="153"/>
      <c r="CC1404" s="153"/>
      <c r="CD1404" s="155"/>
      <c r="CE1404" s="156"/>
      <c r="CF1404" s="155"/>
      <c r="CG1404" s="156"/>
      <c r="CH1404" s="155"/>
      <c r="CI1404" s="156"/>
      <c r="CJ1404" s="157">
        <f t="shared" si="182"/>
        <v>0</v>
      </c>
      <c r="CK1404" s="158"/>
      <c r="CL1404" s="159"/>
      <c r="CM1404" s="160"/>
      <c r="CN1404" s="161"/>
      <c r="CO1404" s="162"/>
      <c r="CP1404" s="161"/>
      <c r="CQ1404" s="158"/>
      <c r="CR1404" s="159"/>
      <c r="CS1404" s="68"/>
      <c r="CT1404" s="163"/>
      <c r="EC1404" s="344" t="str">
        <f t="shared" si="185"/>
        <v>ANTIOQUIA_NARIÑO</v>
      </c>
      <c r="ED1404" s="341"/>
      <c r="EE1404" s="341"/>
      <c r="EF1404" s="348"/>
      <c r="EG1404" s="341"/>
      <c r="EH1404" s="341"/>
      <c r="EI1404" s="341"/>
    </row>
    <row r="1405" spans="1:139" s="164" customFormat="1" ht="25.5">
      <c r="A1405" s="235">
        <v>40479</v>
      </c>
      <c r="B1405" s="269" t="s">
        <v>1972</v>
      </c>
      <c r="C1405" s="269" t="s">
        <v>890</v>
      </c>
      <c r="D1405" s="270" t="s">
        <v>1201</v>
      </c>
      <c r="E1405" s="327" t="s">
        <v>3301</v>
      </c>
      <c r="F1405" s="327"/>
      <c r="G1405" s="204"/>
      <c r="H1405" s="151"/>
      <c r="I1405" s="151"/>
      <c r="J1405" s="151">
        <v>1448</v>
      </c>
      <c r="K1405" s="151">
        <f>410-14</f>
        <v>396</v>
      </c>
      <c r="L1405" s="1"/>
      <c r="M1405" s="73">
        <f t="shared" si="180"/>
        <v>0</v>
      </c>
      <c r="N1405" s="73">
        <f t="shared" si="184"/>
        <v>0</v>
      </c>
      <c r="O1405" s="73">
        <f t="shared" si="186"/>
        <v>0</v>
      </c>
      <c r="P1405" s="73">
        <f t="shared" si="181"/>
        <v>0</v>
      </c>
      <c r="Q1405" s="73"/>
      <c r="R1405" s="73">
        <v>0</v>
      </c>
      <c r="S1405" s="75">
        <f t="shared" si="183"/>
        <v>0</v>
      </c>
      <c r="T1405" s="77">
        <v>0</v>
      </c>
      <c r="U1405" s="66">
        <v>40482</v>
      </c>
      <c r="V1405" s="79"/>
      <c r="W1405" s="66" t="s">
        <v>1585</v>
      </c>
      <c r="X1405" s="24" t="s">
        <v>1586</v>
      </c>
      <c r="Y1405" s="62"/>
      <c r="Z1405" s="169" t="s">
        <v>894</v>
      </c>
      <c r="AA1405" s="166" t="s">
        <v>720</v>
      </c>
      <c r="AB1405" s="152"/>
      <c r="AC1405" s="153"/>
      <c r="AD1405" s="154"/>
      <c r="AE1405" s="153"/>
      <c r="AF1405" s="153"/>
      <c r="AG1405" s="153"/>
      <c r="AH1405" s="153"/>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c r="BF1405" s="153"/>
      <c r="BG1405" s="153"/>
      <c r="BH1405" s="153"/>
      <c r="BI1405" s="153"/>
      <c r="BJ1405" s="153"/>
      <c r="BK1405" s="153"/>
      <c r="BL1405" s="153"/>
      <c r="BM1405" s="153"/>
      <c r="BN1405" s="153"/>
      <c r="BO1405" s="153"/>
      <c r="BP1405" s="153"/>
      <c r="BQ1405" s="153"/>
      <c r="BR1405" s="153"/>
      <c r="BS1405" s="153"/>
      <c r="BT1405" s="153"/>
      <c r="BU1405" s="153"/>
      <c r="BV1405" s="153"/>
      <c r="BW1405" s="153"/>
      <c r="BX1405" s="153"/>
      <c r="BY1405" s="153"/>
      <c r="BZ1405" s="153"/>
      <c r="CA1405" s="153"/>
      <c r="CB1405" s="153"/>
      <c r="CC1405" s="153"/>
      <c r="CD1405" s="155"/>
      <c r="CE1405" s="156"/>
      <c r="CF1405" s="155"/>
      <c r="CG1405" s="156"/>
      <c r="CH1405" s="155"/>
      <c r="CI1405" s="156"/>
      <c r="CJ1405" s="157">
        <f t="shared" si="182"/>
        <v>0</v>
      </c>
      <c r="CK1405" s="158"/>
      <c r="CL1405" s="159"/>
      <c r="CM1405" s="160"/>
      <c r="CN1405" s="161"/>
      <c r="CO1405" s="162"/>
      <c r="CP1405" s="161"/>
      <c r="CQ1405" s="158"/>
      <c r="CR1405" s="159"/>
      <c r="CS1405" s="68"/>
      <c r="CT1405" s="163"/>
      <c r="EC1405" s="344" t="str">
        <f t="shared" si="185"/>
        <v>ANTIOQUIA_NECHI</v>
      </c>
      <c r="ED1405" s="341"/>
      <c r="EE1405" s="341"/>
      <c r="EF1405" s="348"/>
      <c r="EG1405" s="341"/>
      <c r="EH1405" s="341"/>
      <c r="EI1405" s="341"/>
    </row>
    <row r="1406" spans="1:139" s="164" customFormat="1" ht="36">
      <c r="A1406" s="235">
        <v>40479</v>
      </c>
      <c r="B1406" s="269" t="s">
        <v>1972</v>
      </c>
      <c r="C1406" s="269" t="s">
        <v>588</v>
      </c>
      <c r="D1406" s="270" t="s">
        <v>1201</v>
      </c>
      <c r="E1406" s="327" t="s">
        <v>3332</v>
      </c>
      <c r="F1406" s="327"/>
      <c r="G1406" s="204"/>
      <c r="H1406" s="151"/>
      <c r="I1406" s="151"/>
      <c r="J1406" s="151">
        <f>1282-1000-30</f>
        <v>252</v>
      </c>
      <c r="K1406" s="151">
        <f>302-6-200</f>
        <v>96</v>
      </c>
      <c r="L1406" s="1"/>
      <c r="M1406" s="73">
        <f t="shared" si="180"/>
        <v>0</v>
      </c>
      <c r="N1406" s="73">
        <f t="shared" si="184"/>
        <v>0</v>
      </c>
      <c r="O1406" s="73">
        <f t="shared" si="186"/>
        <v>0</v>
      </c>
      <c r="P1406" s="73">
        <f t="shared" si="181"/>
        <v>0</v>
      </c>
      <c r="Q1406" s="73"/>
      <c r="R1406" s="73">
        <v>0</v>
      </c>
      <c r="S1406" s="75">
        <f t="shared" si="183"/>
        <v>0</v>
      </c>
      <c r="T1406" s="77">
        <v>0</v>
      </c>
      <c r="U1406" s="66">
        <v>40482</v>
      </c>
      <c r="V1406" s="79"/>
      <c r="W1406" s="66" t="s">
        <v>1585</v>
      </c>
      <c r="X1406" s="24" t="s">
        <v>1586</v>
      </c>
      <c r="Y1406" s="62"/>
      <c r="Z1406" s="169" t="s">
        <v>894</v>
      </c>
      <c r="AA1406" s="166" t="s">
        <v>722</v>
      </c>
      <c r="AB1406" s="152"/>
      <c r="AC1406" s="153"/>
      <c r="AD1406" s="154"/>
      <c r="AE1406" s="153"/>
      <c r="AF1406" s="153"/>
      <c r="AG1406" s="153"/>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c r="BF1406" s="153"/>
      <c r="BG1406" s="153"/>
      <c r="BH1406" s="153"/>
      <c r="BI1406" s="153"/>
      <c r="BJ1406" s="153"/>
      <c r="BK1406" s="153"/>
      <c r="BL1406" s="153"/>
      <c r="BM1406" s="153"/>
      <c r="BN1406" s="153"/>
      <c r="BO1406" s="153"/>
      <c r="BP1406" s="153"/>
      <c r="BQ1406" s="153"/>
      <c r="BR1406" s="153"/>
      <c r="BS1406" s="153"/>
      <c r="BT1406" s="153"/>
      <c r="BU1406" s="153"/>
      <c r="BV1406" s="153"/>
      <c r="BW1406" s="153"/>
      <c r="BX1406" s="153"/>
      <c r="BY1406" s="153"/>
      <c r="BZ1406" s="153"/>
      <c r="CA1406" s="153"/>
      <c r="CB1406" s="153"/>
      <c r="CC1406" s="153"/>
      <c r="CD1406" s="155"/>
      <c r="CE1406" s="156"/>
      <c r="CF1406" s="155"/>
      <c r="CG1406" s="156"/>
      <c r="CH1406" s="155"/>
      <c r="CI1406" s="156"/>
      <c r="CJ1406" s="157">
        <f t="shared" si="182"/>
        <v>0</v>
      </c>
      <c r="CK1406" s="158"/>
      <c r="CL1406" s="159"/>
      <c r="CM1406" s="160"/>
      <c r="CN1406" s="161"/>
      <c r="CO1406" s="162"/>
      <c r="CP1406" s="161"/>
      <c r="CQ1406" s="158"/>
      <c r="CR1406" s="159"/>
      <c r="CS1406" s="68"/>
      <c r="CT1406" s="163"/>
      <c r="EC1406" s="344" t="str">
        <f t="shared" si="185"/>
        <v>ANTIOQUIA_SONSON</v>
      </c>
      <c r="ED1406" s="341"/>
      <c r="EE1406" s="341"/>
      <c r="EF1406" s="348"/>
      <c r="EG1406" s="341"/>
      <c r="EH1406" s="341"/>
      <c r="EI1406" s="341"/>
    </row>
    <row r="1407" spans="1:139" s="164" customFormat="1" ht="36">
      <c r="A1407" s="228">
        <v>40479</v>
      </c>
      <c r="B1407" s="205" t="s">
        <v>653</v>
      </c>
      <c r="C1407" s="205" t="s">
        <v>399</v>
      </c>
      <c r="D1407" s="207" t="s">
        <v>1201</v>
      </c>
      <c r="E1407" s="323" t="s">
        <v>3543</v>
      </c>
      <c r="F1407" s="323"/>
      <c r="G1407" s="204"/>
      <c r="H1407" s="151"/>
      <c r="I1407" s="151"/>
      <c r="J1407" s="151">
        <v>120</v>
      </c>
      <c r="K1407" s="151">
        <v>24</v>
      </c>
      <c r="L1407" s="1"/>
      <c r="M1407" s="73">
        <f t="shared" si="180"/>
        <v>0</v>
      </c>
      <c r="N1407" s="73">
        <f t="shared" si="184"/>
        <v>0</v>
      </c>
      <c r="O1407" s="73">
        <f t="shared" si="186"/>
        <v>0</v>
      </c>
      <c r="P1407" s="73">
        <f t="shared" si="181"/>
        <v>0</v>
      </c>
      <c r="Q1407" s="73"/>
      <c r="R1407" s="73">
        <v>0</v>
      </c>
      <c r="S1407" s="75">
        <f t="shared" si="183"/>
        <v>0</v>
      </c>
      <c r="T1407" s="77">
        <v>0</v>
      </c>
      <c r="U1407" s="66">
        <v>40482</v>
      </c>
      <c r="V1407" s="79"/>
      <c r="W1407" s="66" t="s">
        <v>1606</v>
      </c>
      <c r="X1407" s="24" t="s">
        <v>1607</v>
      </c>
      <c r="Y1407" s="62"/>
      <c r="Z1407" s="176" t="s">
        <v>3056</v>
      </c>
      <c r="AA1407" s="166" t="s">
        <v>2453</v>
      </c>
      <c r="AB1407" s="152"/>
      <c r="AC1407" s="153"/>
      <c r="AD1407" s="154"/>
      <c r="AE1407" s="153"/>
      <c r="AF1407" s="153"/>
      <c r="AG1407" s="153"/>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53"/>
      <c r="BB1407" s="153"/>
      <c r="BC1407" s="153"/>
      <c r="BD1407" s="153"/>
      <c r="BE1407" s="153"/>
      <c r="BF1407" s="153"/>
      <c r="BG1407" s="153"/>
      <c r="BH1407" s="153"/>
      <c r="BI1407" s="153"/>
      <c r="BJ1407" s="153"/>
      <c r="BK1407" s="153"/>
      <c r="BL1407" s="153"/>
      <c r="BM1407" s="153"/>
      <c r="BN1407" s="153"/>
      <c r="BO1407" s="153"/>
      <c r="BP1407" s="153"/>
      <c r="BQ1407" s="153"/>
      <c r="BR1407" s="153"/>
      <c r="BS1407" s="153"/>
      <c r="BT1407" s="153"/>
      <c r="BU1407" s="153"/>
      <c r="BV1407" s="153"/>
      <c r="BW1407" s="153"/>
      <c r="BX1407" s="153"/>
      <c r="BY1407" s="153"/>
      <c r="BZ1407" s="153"/>
      <c r="CA1407" s="153"/>
      <c r="CB1407" s="153"/>
      <c r="CC1407" s="153"/>
      <c r="CD1407" s="155"/>
      <c r="CE1407" s="156"/>
      <c r="CF1407" s="155"/>
      <c r="CG1407" s="156"/>
      <c r="CH1407" s="155"/>
      <c r="CI1407" s="156"/>
      <c r="CJ1407" s="157">
        <f t="shared" si="182"/>
        <v>0</v>
      </c>
      <c r="CK1407" s="158"/>
      <c r="CL1407" s="159"/>
      <c r="CM1407" s="160"/>
      <c r="CN1407" s="161"/>
      <c r="CO1407" s="162"/>
      <c r="CP1407" s="161"/>
      <c r="CQ1407" s="158"/>
      <c r="CR1407" s="159"/>
      <c r="CS1407" s="68"/>
      <c r="CT1407" s="163"/>
      <c r="EC1407" s="344" t="str">
        <f t="shared" si="185"/>
        <v>CALDAS_MANIZALES</v>
      </c>
      <c r="ED1407" s="341"/>
      <c r="EE1407" s="341"/>
      <c r="EF1407" s="348"/>
      <c r="EG1407" s="341"/>
      <c r="EH1407" s="341"/>
      <c r="EI1407" s="341"/>
    </row>
    <row r="1408" spans="1:139" s="164" customFormat="1" ht="25.5">
      <c r="A1408" s="228">
        <v>40479</v>
      </c>
      <c r="B1408" s="205" t="s">
        <v>653</v>
      </c>
      <c r="C1408" s="205" t="s">
        <v>1082</v>
      </c>
      <c r="D1408" s="207" t="s">
        <v>1878</v>
      </c>
      <c r="E1408" s="323" t="s">
        <v>3568</v>
      </c>
      <c r="F1408" s="323"/>
      <c r="G1408" s="204"/>
      <c r="H1408" s="151"/>
      <c r="I1408" s="151"/>
      <c r="J1408" s="151">
        <f>141*5</f>
        <v>705</v>
      </c>
      <c r="K1408" s="151">
        <v>141</v>
      </c>
      <c r="L1408" s="1"/>
      <c r="M1408" s="73">
        <f t="shared" si="180"/>
        <v>0</v>
      </c>
      <c r="N1408" s="73">
        <f t="shared" si="184"/>
        <v>0</v>
      </c>
      <c r="O1408" s="73">
        <f t="shared" si="186"/>
        <v>0</v>
      </c>
      <c r="P1408" s="73">
        <f t="shared" si="181"/>
        <v>0</v>
      </c>
      <c r="Q1408" s="73"/>
      <c r="R1408" s="73">
        <v>0</v>
      </c>
      <c r="S1408" s="75">
        <f t="shared" si="183"/>
        <v>0</v>
      </c>
      <c r="T1408" s="77">
        <v>0</v>
      </c>
      <c r="U1408" s="66">
        <v>40484</v>
      </c>
      <c r="V1408" s="79"/>
      <c r="W1408" s="66" t="s">
        <v>1606</v>
      </c>
      <c r="X1408" s="24" t="s">
        <v>1607</v>
      </c>
      <c r="Y1408" s="62"/>
      <c r="Z1408" s="176" t="s">
        <v>3056</v>
      </c>
      <c r="AA1408" s="166" t="s">
        <v>2454</v>
      </c>
      <c r="AB1408" s="152"/>
      <c r="AC1408" s="153"/>
      <c r="AD1408" s="154"/>
      <c r="AE1408" s="153"/>
      <c r="AF1408" s="153"/>
      <c r="AG1408" s="153"/>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c r="BF1408" s="153"/>
      <c r="BG1408" s="153"/>
      <c r="BH1408" s="153"/>
      <c r="BI1408" s="153"/>
      <c r="BJ1408" s="153"/>
      <c r="BK1408" s="153"/>
      <c r="BL1408" s="153"/>
      <c r="BM1408" s="153"/>
      <c r="BN1408" s="153"/>
      <c r="BO1408" s="153"/>
      <c r="BP1408" s="153"/>
      <c r="BQ1408" s="153"/>
      <c r="BR1408" s="153"/>
      <c r="BS1408" s="153"/>
      <c r="BT1408" s="153"/>
      <c r="BU1408" s="153"/>
      <c r="BV1408" s="153"/>
      <c r="BW1408" s="153"/>
      <c r="BX1408" s="153"/>
      <c r="BY1408" s="153"/>
      <c r="BZ1408" s="153"/>
      <c r="CA1408" s="153"/>
      <c r="CB1408" s="153"/>
      <c r="CC1408" s="153"/>
      <c r="CD1408" s="155"/>
      <c r="CE1408" s="156"/>
      <c r="CF1408" s="155"/>
      <c r="CG1408" s="156"/>
      <c r="CH1408" s="155"/>
      <c r="CI1408" s="156"/>
      <c r="CJ1408" s="157">
        <f t="shared" si="182"/>
        <v>0</v>
      </c>
      <c r="CK1408" s="158"/>
      <c r="CL1408" s="159"/>
      <c r="CM1408" s="160"/>
      <c r="CN1408" s="161"/>
      <c r="CO1408" s="162"/>
      <c r="CP1408" s="161"/>
      <c r="CQ1408" s="158"/>
      <c r="CR1408" s="159"/>
      <c r="CS1408" s="68"/>
      <c r="CT1408" s="163"/>
      <c r="EC1408" s="344" t="str">
        <f t="shared" si="185"/>
        <v>CALDAS_VILLAMARIA</v>
      </c>
      <c r="ED1408" s="341"/>
      <c r="EE1408" s="341"/>
      <c r="EF1408" s="348"/>
      <c r="EG1408" s="341"/>
      <c r="EH1408" s="341"/>
      <c r="EI1408" s="341"/>
    </row>
    <row r="1409" spans="1:139" s="164" customFormat="1" ht="33.75">
      <c r="A1409" s="228">
        <v>40479</v>
      </c>
      <c r="B1409" s="205" t="s">
        <v>1440</v>
      </c>
      <c r="C1409" s="205" t="s">
        <v>1394</v>
      </c>
      <c r="D1409" s="207" t="s">
        <v>1201</v>
      </c>
      <c r="E1409" s="323" t="s">
        <v>3892</v>
      </c>
      <c r="F1409" s="323"/>
      <c r="G1409" s="204"/>
      <c r="H1409" s="151"/>
      <c r="I1409" s="151"/>
      <c r="J1409" s="151"/>
      <c r="K1409" s="151"/>
      <c r="L1409" s="1">
        <v>40491</v>
      </c>
      <c r="M1409" s="73">
        <f t="shared" si="180"/>
        <v>83000000</v>
      </c>
      <c r="N1409" s="73">
        <f t="shared" si="184"/>
        <v>0</v>
      </c>
      <c r="O1409" s="73">
        <f t="shared" si="186"/>
        <v>0</v>
      </c>
      <c r="P1409" s="73">
        <f t="shared" si="181"/>
        <v>0</v>
      </c>
      <c r="Q1409" s="73"/>
      <c r="R1409" s="73">
        <v>0</v>
      </c>
      <c r="S1409" s="75">
        <f t="shared" si="183"/>
        <v>83000000</v>
      </c>
      <c r="T1409" s="77">
        <v>0</v>
      </c>
      <c r="U1409" s="66">
        <v>40484</v>
      </c>
      <c r="V1409" s="79">
        <v>60484</v>
      </c>
      <c r="W1409" s="66" t="s">
        <v>1606</v>
      </c>
      <c r="X1409" s="24" t="s">
        <v>1607</v>
      </c>
      <c r="Y1409" s="83" t="s">
        <v>1129</v>
      </c>
      <c r="Z1409" s="169" t="s">
        <v>2667</v>
      </c>
      <c r="AA1409" s="166" t="s">
        <v>2666</v>
      </c>
      <c r="AB1409" s="152"/>
      <c r="AC1409" s="153"/>
      <c r="AD1409" s="154"/>
      <c r="AE1409" s="153"/>
      <c r="AF1409" s="153"/>
      <c r="AG1409" s="153"/>
      <c r="AH1409" s="153"/>
      <c r="AI1409" s="153"/>
      <c r="AJ1409" s="153"/>
      <c r="AK1409" s="153"/>
      <c r="AL1409" s="153"/>
      <c r="AM1409" s="153"/>
      <c r="AN1409" s="153">
        <v>300</v>
      </c>
      <c r="AO1409" s="153">
        <f>300*56000</f>
        <v>16800000</v>
      </c>
      <c r="AP1409" s="153"/>
      <c r="AQ1409" s="153"/>
      <c r="AR1409" s="153"/>
      <c r="AS1409" s="153"/>
      <c r="AT1409" s="153"/>
      <c r="AU1409" s="153"/>
      <c r="AV1409" s="153"/>
      <c r="AW1409" s="153"/>
      <c r="AX1409" s="153"/>
      <c r="AY1409" s="153"/>
      <c r="AZ1409" s="153"/>
      <c r="BA1409" s="153"/>
      <c r="BB1409" s="153"/>
      <c r="BC1409" s="153"/>
      <c r="BD1409" s="153"/>
      <c r="BE1409" s="153"/>
      <c r="BF1409" s="153"/>
      <c r="BG1409" s="153"/>
      <c r="BH1409" s="153"/>
      <c r="BI1409" s="153"/>
      <c r="BJ1409" s="153"/>
      <c r="BK1409" s="153"/>
      <c r="BL1409" s="153"/>
      <c r="BM1409" s="153"/>
      <c r="BN1409" s="153">
        <f>6+6</f>
        <v>12</v>
      </c>
      <c r="BO1409" s="153">
        <f>6*450000+6*450000</f>
        <v>5400000</v>
      </c>
      <c r="BP1409" s="153"/>
      <c r="BQ1409" s="153"/>
      <c r="BR1409" s="153"/>
      <c r="BS1409" s="153"/>
      <c r="BT1409" s="153"/>
      <c r="BU1409" s="153"/>
      <c r="BV1409" s="153">
        <f>200+600</f>
        <v>800</v>
      </c>
      <c r="BW1409" s="153">
        <f>200*18000+600*18000</f>
        <v>14400000</v>
      </c>
      <c r="BX1409" s="153">
        <f>200+600</f>
        <v>800</v>
      </c>
      <c r="BY1409" s="153">
        <f>200*21000+600*21000</f>
        <v>16800000</v>
      </c>
      <c r="BZ1409" s="153"/>
      <c r="CA1409" s="153"/>
      <c r="CB1409" s="153"/>
      <c r="CC1409" s="153"/>
      <c r="CD1409" s="155">
        <f>200+600</f>
        <v>800</v>
      </c>
      <c r="CE1409" s="156">
        <f>200*37000+600*37000</f>
        <v>29600000</v>
      </c>
      <c r="CF1409" s="155"/>
      <c r="CG1409" s="156"/>
      <c r="CH1409" s="155"/>
      <c r="CI1409" s="156"/>
      <c r="CJ1409" s="157">
        <f t="shared" si="182"/>
        <v>83000000</v>
      </c>
      <c r="CK1409" s="158"/>
      <c r="CL1409" s="159"/>
      <c r="CM1409" s="160"/>
      <c r="CN1409" s="161"/>
      <c r="CO1409" s="162"/>
      <c r="CP1409" s="161"/>
      <c r="CQ1409" s="158"/>
      <c r="CR1409" s="159"/>
      <c r="CS1409" s="68"/>
      <c r="CT1409" s="163"/>
      <c r="EC1409" s="344" t="str">
        <f t="shared" si="185"/>
        <v>MAGDALENA_PLATO</v>
      </c>
      <c r="ED1409" s="341"/>
      <c r="EE1409" s="341"/>
      <c r="EF1409" s="348"/>
      <c r="EG1409" s="341"/>
      <c r="EH1409" s="341"/>
      <c r="EI1409" s="341"/>
    </row>
    <row r="1410" spans="1:139" s="164" customFormat="1" ht="25.5">
      <c r="A1410" s="228">
        <v>40479</v>
      </c>
      <c r="B1410" s="205" t="s">
        <v>396</v>
      </c>
      <c r="C1410" s="205" t="s">
        <v>397</v>
      </c>
      <c r="D1410" s="207" t="s">
        <v>1316</v>
      </c>
      <c r="E1410" s="323" t="s">
        <v>3913</v>
      </c>
      <c r="F1410" s="323"/>
      <c r="G1410" s="204"/>
      <c r="H1410" s="151"/>
      <c r="I1410" s="151"/>
      <c r="J1410" s="151">
        <v>7</v>
      </c>
      <c r="K1410" s="151">
        <v>1</v>
      </c>
      <c r="L1410" s="1"/>
      <c r="M1410" s="73">
        <f t="shared" si="180"/>
        <v>0</v>
      </c>
      <c r="N1410" s="73">
        <f t="shared" si="184"/>
        <v>0</v>
      </c>
      <c r="O1410" s="73">
        <f t="shared" si="186"/>
        <v>0</v>
      </c>
      <c r="P1410" s="73">
        <f t="shared" si="181"/>
        <v>0</v>
      </c>
      <c r="Q1410" s="73"/>
      <c r="R1410" s="73">
        <v>0</v>
      </c>
      <c r="S1410" s="75">
        <f t="shared" si="183"/>
        <v>0</v>
      </c>
      <c r="T1410" s="77">
        <v>0</v>
      </c>
      <c r="U1410" s="66">
        <v>40482</v>
      </c>
      <c r="V1410" s="79"/>
      <c r="W1410" s="66" t="s">
        <v>1585</v>
      </c>
      <c r="X1410" s="24" t="s">
        <v>1586</v>
      </c>
      <c r="Y1410" s="62"/>
      <c r="Z1410" s="169" t="s">
        <v>894</v>
      </c>
      <c r="AA1410" s="166" t="s">
        <v>496</v>
      </c>
      <c r="AB1410" s="152"/>
      <c r="AC1410" s="153"/>
      <c r="AD1410" s="154"/>
      <c r="AE1410" s="153"/>
      <c r="AF1410" s="153"/>
      <c r="AG1410" s="153"/>
      <c r="AH1410" s="153"/>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c r="BF1410" s="153"/>
      <c r="BG1410" s="153"/>
      <c r="BH1410" s="153"/>
      <c r="BI1410" s="153"/>
      <c r="BJ1410" s="153"/>
      <c r="BK1410" s="153"/>
      <c r="BL1410" s="153"/>
      <c r="BM1410" s="153"/>
      <c r="BN1410" s="153"/>
      <c r="BO1410" s="153"/>
      <c r="BP1410" s="153"/>
      <c r="BQ1410" s="153"/>
      <c r="BR1410" s="153"/>
      <c r="BS1410" s="153"/>
      <c r="BT1410" s="153"/>
      <c r="BU1410" s="153"/>
      <c r="BV1410" s="153"/>
      <c r="BW1410" s="153"/>
      <c r="BX1410" s="153"/>
      <c r="BY1410" s="153"/>
      <c r="BZ1410" s="153"/>
      <c r="CA1410" s="153"/>
      <c r="CB1410" s="153"/>
      <c r="CC1410" s="153"/>
      <c r="CD1410" s="155"/>
      <c r="CE1410" s="156"/>
      <c r="CF1410" s="155"/>
      <c r="CG1410" s="156"/>
      <c r="CH1410" s="155"/>
      <c r="CI1410" s="156"/>
      <c r="CJ1410" s="157">
        <f t="shared" si="182"/>
        <v>0</v>
      </c>
      <c r="CK1410" s="158"/>
      <c r="CL1410" s="159"/>
      <c r="CM1410" s="160"/>
      <c r="CN1410" s="161"/>
      <c r="CO1410" s="162"/>
      <c r="CP1410" s="161"/>
      <c r="CQ1410" s="158"/>
      <c r="CR1410" s="159"/>
      <c r="CS1410" s="68"/>
      <c r="CT1410" s="163"/>
      <c r="EC1410" s="344" t="str">
        <f t="shared" si="185"/>
        <v>META_EL CASTILLO</v>
      </c>
      <c r="ED1410" s="341"/>
      <c r="EE1410" s="341"/>
      <c r="EF1410" s="348"/>
      <c r="EG1410" s="341"/>
      <c r="EH1410" s="341"/>
      <c r="EI1410" s="341"/>
    </row>
    <row r="1411" spans="1:139" s="164" customFormat="1" ht="25.5">
      <c r="A1411" s="228">
        <v>40479</v>
      </c>
      <c r="B1411" s="205" t="s">
        <v>1612</v>
      </c>
      <c r="C1411" s="205" t="s">
        <v>1613</v>
      </c>
      <c r="D1411" s="206" t="s">
        <v>1878</v>
      </c>
      <c r="E1411" s="320" t="s">
        <v>4038</v>
      </c>
      <c r="F1411" s="320"/>
      <c r="G1411" s="204"/>
      <c r="H1411" s="151"/>
      <c r="I1411" s="151"/>
      <c r="J1411" s="151">
        <f>610*5</f>
        <v>3050</v>
      </c>
      <c r="K1411" s="151">
        <v>610</v>
      </c>
      <c r="L1411" s="1"/>
      <c r="M1411" s="73">
        <f t="shared" ref="M1411:M1474" si="187">CJ1411</f>
        <v>0</v>
      </c>
      <c r="N1411" s="73">
        <f t="shared" si="184"/>
        <v>0</v>
      </c>
      <c r="O1411" s="73">
        <f t="shared" si="186"/>
        <v>0</v>
      </c>
      <c r="P1411" s="73">
        <f t="shared" ref="P1411:P1474" si="188">CL1411</f>
        <v>0</v>
      </c>
      <c r="Q1411" s="73"/>
      <c r="R1411" s="73">
        <v>0</v>
      </c>
      <c r="S1411" s="75">
        <f t="shared" si="183"/>
        <v>0</v>
      </c>
      <c r="T1411" s="77">
        <v>0</v>
      </c>
      <c r="U1411" s="66">
        <v>40482</v>
      </c>
      <c r="V1411" s="79"/>
      <c r="W1411" s="66" t="s">
        <v>1585</v>
      </c>
      <c r="X1411" s="24" t="s">
        <v>1586</v>
      </c>
      <c r="Y1411" s="62"/>
      <c r="Z1411" s="169" t="s">
        <v>894</v>
      </c>
      <c r="AA1411" s="166" t="s">
        <v>492</v>
      </c>
      <c r="AB1411" s="152"/>
      <c r="AC1411" s="153"/>
      <c r="AD1411" s="154"/>
      <c r="AE1411" s="153"/>
      <c r="AF1411" s="153"/>
      <c r="AG1411" s="153"/>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c r="BF1411" s="153"/>
      <c r="BG1411" s="153"/>
      <c r="BH1411" s="153"/>
      <c r="BI1411" s="153"/>
      <c r="BJ1411" s="153"/>
      <c r="BK1411" s="153"/>
      <c r="BL1411" s="153"/>
      <c r="BM1411" s="153"/>
      <c r="BN1411" s="153"/>
      <c r="BO1411" s="153"/>
      <c r="BP1411" s="153"/>
      <c r="BQ1411" s="153"/>
      <c r="BR1411" s="153"/>
      <c r="BS1411" s="153"/>
      <c r="BT1411" s="153"/>
      <c r="BU1411" s="153"/>
      <c r="BV1411" s="153"/>
      <c r="BW1411" s="153"/>
      <c r="BX1411" s="153"/>
      <c r="BY1411" s="153"/>
      <c r="BZ1411" s="153"/>
      <c r="CA1411" s="153"/>
      <c r="CB1411" s="153"/>
      <c r="CC1411" s="153"/>
      <c r="CD1411" s="155"/>
      <c r="CE1411" s="156"/>
      <c r="CF1411" s="155"/>
      <c r="CG1411" s="156"/>
      <c r="CH1411" s="155"/>
      <c r="CI1411" s="156"/>
      <c r="CJ1411" s="157">
        <f t="shared" ref="CJ1411:CJ1474" si="189">AC1411+AE1411+AG1411+AI1411+AK1411+AM1411+AO1411+AQ1411+AS1411+AU1411+AW1411+AY1411+BA1411+BC1411+BE1411+BG1411+BI1411+BK1411+BM1411+BO1411+BQ1411+BS1411+BU1411+BW1411+BY1411+CA1411+CC1411+CE1411+CG1411+CI1411</f>
        <v>0</v>
      </c>
      <c r="CK1411" s="158"/>
      <c r="CL1411" s="159"/>
      <c r="CM1411" s="160"/>
      <c r="CN1411" s="161"/>
      <c r="CO1411" s="162"/>
      <c r="CP1411" s="161"/>
      <c r="CQ1411" s="158"/>
      <c r="CR1411" s="159"/>
      <c r="CS1411" s="68"/>
      <c r="CT1411" s="163"/>
      <c r="EC1411" s="344" t="str">
        <f t="shared" si="185"/>
        <v>QUINDIO_ARMENIA</v>
      </c>
      <c r="ED1411" s="341"/>
      <c r="EE1411" s="341"/>
      <c r="EF1411" s="348"/>
      <c r="EG1411" s="341"/>
      <c r="EH1411" s="341"/>
      <c r="EI1411" s="341"/>
    </row>
    <row r="1412" spans="1:139" s="164" customFormat="1" ht="25.5">
      <c r="A1412" s="228">
        <v>40479</v>
      </c>
      <c r="B1412" s="205" t="s">
        <v>1612</v>
      </c>
      <c r="C1412" s="205" t="s">
        <v>1613</v>
      </c>
      <c r="D1412" s="207" t="s">
        <v>1923</v>
      </c>
      <c r="E1412" s="323" t="s">
        <v>4038</v>
      </c>
      <c r="F1412" s="323"/>
      <c r="G1412" s="204"/>
      <c r="H1412" s="151"/>
      <c r="I1412" s="151"/>
      <c r="J1412" s="151">
        <v>4</v>
      </c>
      <c r="K1412" s="151">
        <v>1</v>
      </c>
      <c r="L1412" s="1"/>
      <c r="M1412" s="73">
        <f t="shared" si="187"/>
        <v>0</v>
      </c>
      <c r="N1412" s="73">
        <f t="shared" si="184"/>
        <v>0</v>
      </c>
      <c r="O1412" s="73">
        <f t="shared" si="186"/>
        <v>0</v>
      </c>
      <c r="P1412" s="73">
        <f t="shared" si="188"/>
        <v>0</v>
      </c>
      <c r="Q1412" s="73"/>
      <c r="R1412" s="73">
        <v>0</v>
      </c>
      <c r="S1412" s="75">
        <f t="shared" si="183"/>
        <v>0</v>
      </c>
      <c r="T1412" s="77">
        <v>0</v>
      </c>
      <c r="U1412" s="66">
        <v>40482</v>
      </c>
      <c r="V1412" s="79"/>
      <c r="W1412" s="66" t="s">
        <v>1585</v>
      </c>
      <c r="X1412" s="24" t="s">
        <v>1586</v>
      </c>
      <c r="Y1412" s="62"/>
      <c r="Z1412" s="169" t="s">
        <v>894</v>
      </c>
      <c r="AA1412" s="166" t="s">
        <v>718</v>
      </c>
      <c r="AB1412" s="152"/>
      <c r="AC1412" s="153"/>
      <c r="AD1412" s="154"/>
      <c r="AE1412" s="153"/>
      <c r="AF1412" s="153"/>
      <c r="AG1412" s="153"/>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53"/>
      <c r="BB1412" s="153"/>
      <c r="BC1412" s="153"/>
      <c r="BD1412" s="153"/>
      <c r="BE1412" s="153"/>
      <c r="BF1412" s="153"/>
      <c r="BG1412" s="153"/>
      <c r="BH1412" s="153"/>
      <c r="BI1412" s="153"/>
      <c r="BJ1412" s="153"/>
      <c r="BK1412" s="153"/>
      <c r="BL1412" s="153"/>
      <c r="BM1412" s="153"/>
      <c r="BN1412" s="153"/>
      <c r="BO1412" s="153"/>
      <c r="BP1412" s="153"/>
      <c r="BQ1412" s="153"/>
      <c r="BR1412" s="153"/>
      <c r="BS1412" s="153"/>
      <c r="BT1412" s="153"/>
      <c r="BU1412" s="153"/>
      <c r="BV1412" s="153"/>
      <c r="BW1412" s="153"/>
      <c r="BX1412" s="153"/>
      <c r="BY1412" s="153"/>
      <c r="BZ1412" s="153"/>
      <c r="CA1412" s="153"/>
      <c r="CB1412" s="153"/>
      <c r="CC1412" s="153"/>
      <c r="CD1412" s="155"/>
      <c r="CE1412" s="156"/>
      <c r="CF1412" s="155"/>
      <c r="CG1412" s="156"/>
      <c r="CH1412" s="155"/>
      <c r="CI1412" s="156"/>
      <c r="CJ1412" s="157">
        <f t="shared" si="189"/>
        <v>0</v>
      </c>
      <c r="CK1412" s="158"/>
      <c r="CL1412" s="159"/>
      <c r="CM1412" s="160"/>
      <c r="CN1412" s="161"/>
      <c r="CO1412" s="162"/>
      <c r="CP1412" s="161"/>
      <c r="CQ1412" s="158"/>
      <c r="CR1412" s="159"/>
      <c r="CS1412" s="68"/>
      <c r="CT1412" s="163"/>
      <c r="EC1412" s="344" t="str">
        <f t="shared" si="185"/>
        <v>QUINDIO_ARMENIA</v>
      </c>
      <c r="ED1412" s="341"/>
      <c r="EE1412" s="341"/>
      <c r="EF1412" s="348"/>
      <c r="EG1412" s="341"/>
      <c r="EH1412" s="341"/>
      <c r="EI1412" s="341"/>
    </row>
    <row r="1413" spans="1:139" s="164" customFormat="1" ht="25.5">
      <c r="A1413" s="228">
        <v>40479</v>
      </c>
      <c r="B1413" s="205" t="s">
        <v>1612</v>
      </c>
      <c r="C1413" s="205" t="s">
        <v>673</v>
      </c>
      <c r="D1413" s="206" t="s">
        <v>1878</v>
      </c>
      <c r="E1413" s="320" t="s">
        <v>4040</v>
      </c>
      <c r="F1413" s="320"/>
      <c r="G1413" s="204"/>
      <c r="H1413" s="151"/>
      <c r="I1413" s="151"/>
      <c r="J1413" s="151"/>
      <c r="K1413" s="151"/>
      <c r="L1413" s="1"/>
      <c r="M1413" s="73">
        <f t="shared" si="187"/>
        <v>0</v>
      </c>
      <c r="N1413" s="73">
        <f t="shared" si="184"/>
        <v>0</v>
      </c>
      <c r="O1413" s="73">
        <f t="shared" si="186"/>
        <v>0</v>
      </c>
      <c r="P1413" s="73">
        <f t="shared" si="188"/>
        <v>0</v>
      </c>
      <c r="Q1413" s="73"/>
      <c r="R1413" s="73">
        <v>0</v>
      </c>
      <c r="S1413" s="75">
        <f t="shared" si="183"/>
        <v>0</v>
      </c>
      <c r="T1413" s="77">
        <v>0</v>
      </c>
      <c r="U1413" s="66">
        <v>40482</v>
      </c>
      <c r="V1413" s="79"/>
      <c r="W1413" s="66" t="s">
        <v>1585</v>
      </c>
      <c r="X1413" s="24" t="s">
        <v>1586</v>
      </c>
      <c r="Y1413" s="62"/>
      <c r="Z1413" s="169" t="s">
        <v>894</v>
      </c>
      <c r="AA1413" s="166" t="s">
        <v>490</v>
      </c>
      <c r="AB1413" s="152"/>
      <c r="AC1413" s="153"/>
      <c r="AD1413" s="154"/>
      <c r="AE1413" s="153"/>
      <c r="AF1413" s="153"/>
      <c r="AG1413" s="153"/>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c r="BF1413" s="153"/>
      <c r="BG1413" s="153"/>
      <c r="BH1413" s="153"/>
      <c r="BI1413" s="153"/>
      <c r="BJ1413" s="153"/>
      <c r="BK1413" s="153"/>
      <c r="BL1413" s="153"/>
      <c r="BM1413" s="153"/>
      <c r="BN1413" s="153"/>
      <c r="BO1413" s="153"/>
      <c r="BP1413" s="153"/>
      <c r="BQ1413" s="153"/>
      <c r="BR1413" s="153"/>
      <c r="BS1413" s="153"/>
      <c r="BT1413" s="153"/>
      <c r="BU1413" s="153"/>
      <c r="BV1413" s="153"/>
      <c r="BW1413" s="153"/>
      <c r="BX1413" s="153"/>
      <c r="BY1413" s="153"/>
      <c r="BZ1413" s="153"/>
      <c r="CA1413" s="153"/>
      <c r="CB1413" s="153"/>
      <c r="CC1413" s="153"/>
      <c r="CD1413" s="155"/>
      <c r="CE1413" s="156"/>
      <c r="CF1413" s="155"/>
      <c r="CG1413" s="156"/>
      <c r="CH1413" s="155"/>
      <c r="CI1413" s="156"/>
      <c r="CJ1413" s="157">
        <f t="shared" si="189"/>
        <v>0</v>
      </c>
      <c r="CK1413" s="158"/>
      <c r="CL1413" s="159"/>
      <c r="CM1413" s="160"/>
      <c r="CN1413" s="161"/>
      <c r="CO1413" s="162"/>
      <c r="CP1413" s="161"/>
      <c r="CQ1413" s="158"/>
      <c r="CR1413" s="159"/>
      <c r="CS1413" s="68"/>
      <c r="CT1413" s="163"/>
      <c r="EC1413" s="344" t="str">
        <f t="shared" si="185"/>
        <v>QUINDIO_CALARCA</v>
      </c>
      <c r="ED1413" s="341"/>
      <c r="EE1413" s="341"/>
      <c r="EF1413" s="348"/>
      <c r="EG1413" s="341"/>
      <c r="EH1413" s="341"/>
      <c r="EI1413" s="341"/>
    </row>
    <row r="1414" spans="1:139" s="164" customFormat="1" ht="25.5">
      <c r="A1414" s="228">
        <v>40479</v>
      </c>
      <c r="B1414" s="205" t="s">
        <v>1612</v>
      </c>
      <c r="C1414" s="205" t="s">
        <v>673</v>
      </c>
      <c r="D1414" s="207" t="s">
        <v>1201</v>
      </c>
      <c r="E1414" s="323" t="s">
        <v>4040</v>
      </c>
      <c r="F1414" s="323"/>
      <c r="G1414" s="204"/>
      <c r="H1414" s="151"/>
      <c r="I1414" s="151"/>
      <c r="J1414" s="151">
        <v>50</v>
      </c>
      <c r="K1414" s="151">
        <v>10</v>
      </c>
      <c r="L1414" s="1"/>
      <c r="M1414" s="73">
        <f t="shared" si="187"/>
        <v>0</v>
      </c>
      <c r="N1414" s="73">
        <f t="shared" si="184"/>
        <v>0</v>
      </c>
      <c r="O1414" s="73">
        <f t="shared" si="186"/>
        <v>0</v>
      </c>
      <c r="P1414" s="73">
        <f t="shared" si="188"/>
        <v>0</v>
      </c>
      <c r="Q1414" s="73"/>
      <c r="R1414" s="73">
        <v>0</v>
      </c>
      <c r="S1414" s="75">
        <f t="shared" si="183"/>
        <v>0</v>
      </c>
      <c r="T1414" s="77">
        <v>0</v>
      </c>
      <c r="U1414" s="66">
        <v>40482</v>
      </c>
      <c r="V1414" s="79"/>
      <c r="W1414" s="66" t="s">
        <v>1585</v>
      </c>
      <c r="X1414" s="24" t="s">
        <v>1586</v>
      </c>
      <c r="Y1414" s="62"/>
      <c r="Z1414" s="169" t="s">
        <v>894</v>
      </c>
      <c r="AA1414" s="166" t="s">
        <v>491</v>
      </c>
      <c r="AB1414" s="152"/>
      <c r="AC1414" s="153"/>
      <c r="AD1414" s="154"/>
      <c r="AE1414" s="153"/>
      <c r="AF1414" s="153"/>
      <c r="AG1414" s="153"/>
      <c r="AH1414" s="153"/>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c r="BF1414" s="153"/>
      <c r="BG1414" s="153"/>
      <c r="BH1414" s="153"/>
      <c r="BI1414" s="153"/>
      <c r="BJ1414" s="153"/>
      <c r="BK1414" s="153"/>
      <c r="BL1414" s="153"/>
      <c r="BM1414" s="153"/>
      <c r="BN1414" s="153"/>
      <c r="BO1414" s="153"/>
      <c r="BP1414" s="153"/>
      <c r="BQ1414" s="153"/>
      <c r="BR1414" s="153"/>
      <c r="BS1414" s="153"/>
      <c r="BT1414" s="153"/>
      <c r="BU1414" s="153"/>
      <c r="BV1414" s="153"/>
      <c r="BW1414" s="153"/>
      <c r="BX1414" s="153"/>
      <c r="BY1414" s="153"/>
      <c r="BZ1414" s="153"/>
      <c r="CA1414" s="153"/>
      <c r="CB1414" s="153"/>
      <c r="CC1414" s="153"/>
      <c r="CD1414" s="155"/>
      <c r="CE1414" s="156"/>
      <c r="CF1414" s="155"/>
      <c r="CG1414" s="156"/>
      <c r="CH1414" s="155"/>
      <c r="CI1414" s="156"/>
      <c r="CJ1414" s="157">
        <f t="shared" si="189"/>
        <v>0</v>
      </c>
      <c r="CK1414" s="158"/>
      <c r="CL1414" s="159"/>
      <c r="CM1414" s="160"/>
      <c r="CN1414" s="161"/>
      <c r="CO1414" s="162"/>
      <c r="CP1414" s="161"/>
      <c r="CQ1414" s="158"/>
      <c r="CR1414" s="159"/>
      <c r="CS1414" s="68"/>
      <c r="CT1414" s="163"/>
      <c r="EC1414" s="344" t="str">
        <f t="shared" si="185"/>
        <v>QUINDIO_CALARCA</v>
      </c>
      <c r="ED1414" s="341"/>
      <c r="EE1414" s="341"/>
      <c r="EF1414" s="348"/>
      <c r="EG1414" s="341"/>
      <c r="EH1414" s="341"/>
      <c r="EI1414" s="341"/>
    </row>
    <row r="1415" spans="1:139" s="164" customFormat="1" ht="25.5">
      <c r="A1415" s="228">
        <v>40479</v>
      </c>
      <c r="B1415" s="205" t="s">
        <v>1612</v>
      </c>
      <c r="C1415" s="205" t="s">
        <v>2614</v>
      </c>
      <c r="D1415" s="207" t="s">
        <v>1201</v>
      </c>
      <c r="E1415" s="323" t="s">
        <v>4041</v>
      </c>
      <c r="F1415" s="323"/>
      <c r="G1415" s="204"/>
      <c r="H1415" s="151"/>
      <c r="I1415" s="151"/>
      <c r="J1415" s="151">
        <f>89*5</f>
        <v>445</v>
      </c>
      <c r="K1415" s="151">
        <v>89</v>
      </c>
      <c r="L1415" s="1"/>
      <c r="M1415" s="73">
        <f t="shared" si="187"/>
        <v>0</v>
      </c>
      <c r="N1415" s="73">
        <f t="shared" si="184"/>
        <v>0</v>
      </c>
      <c r="O1415" s="73">
        <f t="shared" si="186"/>
        <v>0</v>
      </c>
      <c r="P1415" s="73">
        <f t="shared" si="188"/>
        <v>0</v>
      </c>
      <c r="Q1415" s="73"/>
      <c r="R1415" s="73">
        <v>0</v>
      </c>
      <c r="S1415" s="75">
        <f t="shared" si="183"/>
        <v>0</v>
      </c>
      <c r="T1415" s="77">
        <v>0</v>
      </c>
      <c r="U1415" s="66">
        <v>40482</v>
      </c>
      <c r="V1415" s="79"/>
      <c r="W1415" s="66" t="s">
        <v>1585</v>
      </c>
      <c r="X1415" s="24" t="s">
        <v>1586</v>
      </c>
      <c r="Y1415" s="62"/>
      <c r="Z1415" s="169" t="s">
        <v>894</v>
      </c>
      <c r="AA1415" s="166" t="s">
        <v>489</v>
      </c>
      <c r="AB1415" s="152"/>
      <c r="AC1415" s="153"/>
      <c r="AD1415" s="154"/>
      <c r="AE1415" s="153"/>
      <c r="AF1415" s="153"/>
      <c r="AG1415" s="153"/>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c r="BI1415" s="153"/>
      <c r="BJ1415" s="153"/>
      <c r="BK1415" s="153"/>
      <c r="BL1415" s="153"/>
      <c r="BM1415" s="153"/>
      <c r="BN1415" s="153"/>
      <c r="BO1415" s="153"/>
      <c r="BP1415" s="153"/>
      <c r="BQ1415" s="153"/>
      <c r="BR1415" s="153"/>
      <c r="BS1415" s="153"/>
      <c r="BT1415" s="153"/>
      <c r="BU1415" s="153"/>
      <c r="BV1415" s="153"/>
      <c r="BW1415" s="153"/>
      <c r="BX1415" s="153"/>
      <c r="BY1415" s="153"/>
      <c r="BZ1415" s="153"/>
      <c r="CA1415" s="153"/>
      <c r="CB1415" s="153"/>
      <c r="CC1415" s="153"/>
      <c r="CD1415" s="155"/>
      <c r="CE1415" s="156"/>
      <c r="CF1415" s="155"/>
      <c r="CG1415" s="156"/>
      <c r="CH1415" s="155"/>
      <c r="CI1415" s="156"/>
      <c r="CJ1415" s="157">
        <f t="shared" si="189"/>
        <v>0</v>
      </c>
      <c r="CK1415" s="158"/>
      <c r="CL1415" s="159"/>
      <c r="CM1415" s="160"/>
      <c r="CN1415" s="161"/>
      <c r="CO1415" s="162"/>
      <c r="CP1415" s="161"/>
      <c r="CQ1415" s="158"/>
      <c r="CR1415" s="159"/>
      <c r="CS1415" s="68"/>
      <c r="CT1415" s="163"/>
      <c r="EC1415" s="344" t="str">
        <f t="shared" si="185"/>
        <v>QUINDIO_CIRCASIA</v>
      </c>
      <c r="ED1415" s="341"/>
      <c r="EE1415" s="341"/>
      <c r="EF1415" s="348"/>
      <c r="EG1415" s="341"/>
      <c r="EH1415" s="341"/>
      <c r="EI1415" s="341"/>
    </row>
    <row r="1416" spans="1:139" s="164" customFormat="1" ht="25.5">
      <c r="A1416" s="228">
        <v>40479</v>
      </c>
      <c r="B1416" s="205" t="s">
        <v>1612</v>
      </c>
      <c r="C1416" s="205" t="s">
        <v>1295</v>
      </c>
      <c r="D1416" s="207" t="s">
        <v>1201</v>
      </c>
      <c r="E1416" s="323" t="s">
        <v>4042</v>
      </c>
      <c r="F1416" s="323"/>
      <c r="G1416" s="204"/>
      <c r="H1416" s="151"/>
      <c r="I1416" s="151"/>
      <c r="J1416" s="151">
        <f>354*5</f>
        <v>1770</v>
      </c>
      <c r="K1416" s="151">
        <f>362-8</f>
        <v>354</v>
      </c>
      <c r="L1416" s="1"/>
      <c r="M1416" s="73">
        <f t="shared" si="187"/>
        <v>0</v>
      </c>
      <c r="N1416" s="73">
        <f t="shared" si="184"/>
        <v>0</v>
      </c>
      <c r="O1416" s="73">
        <f t="shared" si="186"/>
        <v>0</v>
      </c>
      <c r="P1416" s="73">
        <f t="shared" si="188"/>
        <v>0</v>
      </c>
      <c r="Q1416" s="73"/>
      <c r="R1416" s="73">
        <v>0</v>
      </c>
      <c r="S1416" s="75">
        <f t="shared" si="183"/>
        <v>0</v>
      </c>
      <c r="T1416" s="77">
        <v>0</v>
      </c>
      <c r="U1416" s="66">
        <v>40482</v>
      </c>
      <c r="V1416" s="79"/>
      <c r="W1416" s="66" t="s">
        <v>1585</v>
      </c>
      <c r="X1416" s="24" t="s">
        <v>1586</v>
      </c>
      <c r="Y1416" s="62"/>
      <c r="Z1416" s="169" t="s">
        <v>894</v>
      </c>
      <c r="AA1416" s="166" t="s">
        <v>717</v>
      </c>
      <c r="AB1416" s="152"/>
      <c r="AC1416" s="153"/>
      <c r="AD1416" s="154"/>
      <c r="AE1416" s="153"/>
      <c r="AF1416" s="153"/>
      <c r="AG1416" s="153"/>
      <c r="AH1416" s="153"/>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c r="BI1416" s="153"/>
      <c r="BJ1416" s="153"/>
      <c r="BK1416" s="153"/>
      <c r="BL1416" s="153"/>
      <c r="BM1416" s="153"/>
      <c r="BN1416" s="153"/>
      <c r="BO1416" s="153"/>
      <c r="BP1416" s="153"/>
      <c r="BQ1416" s="153"/>
      <c r="BR1416" s="153"/>
      <c r="BS1416" s="153"/>
      <c r="BT1416" s="153"/>
      <c r="BU1416" s="153"/>
      <c r="BV1416" s="153"/>
      <c r="BW1416" s="153"/>
      <c r="BX1416" s="153"/>
      <c r="BY1416" s="153"/>
      <c r="BZ1416" s="153"/>
      <c r="CA1416" s="153"/>
      <c r="CB1416" s="153"/>
      <c r="CC1416" s="153"/>
      <c r="CD1416" s="155"/>
      <c r="CE1416" s="156"/>
      <c r="CF1416" s="155"/>
      <c r="CG1416" s="156"/>
      <c r="CH1416" s="155"/>
      <c r="CI1416" s="156"/>
      <c r="CJ1416" s="157">
        <f t="shared" si="189"/>
        <v>0</v>
      </c>
      <c r="CK1416" s="158"/>
      <c r="CL1416" s="159"/>
      <c r="CM1416" s="160"/>
      <c r="CN1416" s="161"/>
      <c r="CO1416" s="162"/>
      <c r="CP1416" s="161"/>
      <c r="CQ1416" s="158"/>
      <c r="CR1416" s="159"/>
      <c r="CS1416" s="68"/>
      <c r="CT1416" s="163"/>
      <c r="EC1416" s="344" t="str">
        <f t="shared" si="185"/>
        <v>QUINDIO_CORDOBA</v>
      </c>
      <c r="ED1416" s="341"/>
      <c r="EE1416" s="341"/>
      <c r="EF1416" s="348"/>
      <c r="EG1416" s="341"/>
      <c r="EH1416" s="341"/>
      <c r="EI1416" s="341"/>
    </row>
    <row r="1417" spans="1:139" s="164" customFormat="1" ht="25.5">
      <c r="A1417" s="228">
        <v>40479</v>
      </c>
      <c r="B1417" s="205" t="s">
        <v>1612</v>
      </c>
      <c r="C1417" s="205" t="s">
        <v>367</v>
      </c>
      <c r="D1417" s="207" t="s">
        <v>1201</v>
      </c>
      <c r="E1417" s="323" t="s">
        <v>4044</v>
      </c>
      <c r="F1417" s="323"/>
      <c r="G1417" s="204"/>
      <c r="H1417" s="151"/>
      <c r="I1417" s="151"/>
      <c r="J1417" s="151"/>
      <c r="K1417" s="151"/>
      <c r="L1417" s="1"/>
      <c r="M1417" s="73">
        <f t="shared" si="187"/>
        <v>0</v>
      </c>
      <c r="N1417" s="73">
        <f t="shared" si="184"/>
        <v>0</v>
      </c>
      <c r="O1417" s="73">
        <f t="shared" si="186"/>
        <v>0</v>
      </c>
      <c r="P1417" s="73">
        <f t="shared" si="188"/>
        <v>0</v>
      </c>
      <c r="Q1417" s="73"/>
      <c r="R1417" s="73">
        <v>0</v>
      </c>
      <c r="S1417" s="75">
        <f t="shared" ref="S1417:S1480" si="190">M1417+N1417+O1417+P1417+Q1417+R1417</f>
        <v>0</v>
      </c>
      <c r="T1417" s="77">
        <v>0</v>
      </c>
      <c r="U1417" s="66">
        <v>40482</v>
      </c>
      <c r="V1417" s="79"/>
      <c r="W1417" s="66" t="s">
        <v>1585</v>
      </c>
      <c r="X1417" s="24" t="s">
        <v>1586</v>
      </c>
      <c r="Y1417" s="62"/>
      <c r="Z1417" s="169" t="s">
        <v>894</v>
      </c>
      <c r="AA1417" s="166" t="s">
        <v>497</v>
      </c>
      <c r="AB1417" s="152"/>
      <c r="AC1417" s="153"/>
      <c r="AD1417" s="154"/>
      <c r="AE1417" s="153"/>
      <c r="AF1417" s="153"/>
      <c r="AG1417" s="153"/>
      <c r="AH1417" s="153"/>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c r="BI1417" s="153"/>
      <c r="BJ1417" s="153"/>
      <c r="BK1417" s="153"/>
      <c r="BL1417" s="153"/>
      <c r="BM1417" s="153"/>
      <c r="BN1417" s="153"/>
      <c r="BO1417" s="153"/>
      <c r="BP1417" s="153"/>
      <c r="BQ1417" s="153"/>
      <c r="BR1417" s="153"/>
      <c r="BS1417" s="153"/>
      <c r="BT1417" s="153"/>
      <c r="BU1417" s="153"/>
      <c r="BV1417" s="153"/>
      <c r="BW1417" s="153"/>
      <c r="BX1417" s="153"/>
      <c r="BY1417" s="153"/>
      <c r="BZ1417" s="153"/>
      <c r="CA1417" s="153"/>
      <c r="CB1417" s="153"/>
      <c r="CC1417" s="153"/>
      <c r="CD1417" s="155"/>
      <c r="CE1417" s="156"/>
      <c r="CF1417" s="155"/>
      <c r="CG1417" s="156"/>
      <c r="CH1417" s="155"/>
      <c r="CI1417" s="156"/>
      <c r="CJ1417" s="157">
        <f t="shared" si="189"/>
        <v>0</v>
      </c>
      <c r="CK1417" s="158"/>
      <c r="CL1417" s="159"/>
      <c r="CM1417" s="160"/>
      <c r="CN1417" s="161"/>
      <c r="CO1417" s="162"/>
      <c r="CP1417" s="161"/>
      <c r="CQ1417" s="158"/>
      <c r="CR1417" s="159"/>
      <c r="CS1417" s="68"/>
      <c r="CT1417" s="163"/>
      <c r="EC1417" s="344" t="str">
        <f t="shared" si="185"/>
        <v>QUINDIO_GENOVA</v>
      </c>
      <c r="ED1417" s="341"/>
      <c r="EE1417" s="341"/>
      <c r="EF1417" s="348"/>
      <c r="EG1417" s="341"/>
      <c r="EH1417" s="341"/>
      <c r="EI1417" s="341"/>
    </row>
    <row r="1418" spans="1:139" s="164" customFormat="1" ht="25.5">
      <c r="A1418" s="228">
        <v>40479</v>
      </c>
      <c r="B1418" s="205" t="s">
        <v>2400</v>
      </c>
      <c r="C1418" s="205" t="s">
        <v>1545</v>
      </c>
      <c r="D1418" s="207" t="s">
        <v>1923</v>
      </c>
      <c r="E1418" s="323" t="s">
        <v>4177</v>
      </c>
      <c r="F1418" s="323"/>
      <c r="G1418" s="204"/>
      <c r="H1418" s="151"/>
      <c r="I1418" s="151"/>
      <c r="J1418" s="151">
        <v>5</v>
      </c>
      <c r="K1418" s="151">
        <v>1</v>
      </c>
      <c r="L1418" s="1"/>
      <c r="M1418" s="73">
        <f t="shared" si="187"/>
        <v>0</v>
      </c>
      <c r="N1418" s="73">
        <f t="shared" si="184"/>
        <v>0</v>
      </c>
      <c r="O1418" s="73">
        <f t="shared" si="186"/>
        <v>0</v>
      </c>
      <c r="P1418" s="73">
        <f t="shared" si="188"/>
        <v>0</v>
      </c>
      <c r="Q1418" s="73"/>
      <c r="R1418" s="73">
        <v>0</v>
      </c>
      <c r="S1418" s="75">
        <f t="shared" si="190"/>
        <v>0</v>
      </c>
      <c r="T1418" s="77">
        <v>0</v>
      </c>
      <c r="U1418" s="66">
        <v>40482</v>
      </c>
      <c r="V1418" s="79"/>
      <c r="W1418" s="66" t="s">
        <v>1585</v>
      </c>
      <c r="X1418" s="24" t="s">
        <v>1586</v>
      </c>
      <c r="Y1418" s="62"/>
      <c r="Z1418" s="169" t="s">
        <v>894</v>
      </c>
      <c r="AA1418" s="166" t="s">
        <v>495</v>
      </c>
      <c r="AB1418" s="152"/>
      <c r="AC1418" s="153"/>
      <c r="AD1418" s="154"/>
      <c r="AE1418" s="153"/>
      <c r="AF1418" s="153"/>
      <c r="AG1418" s="153"/>
      <c r="AH1418" s="153"/>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c r="BI1418" s="153"/>
      <c r="BJ1418" s="153"/>
      <c r="BK1418" s="153"/>
      <c r="BL1418" s="153"/>
      <c r="BM1418" s="153"/>
      <c r="BN1418" s="153"/>
      <c r="BO1418" s="153"/>
      <c r="BP1418" s="153"/>
      <c r="BQ1418" s="153"/>
      <c r="BR1418" s="153"/>
      <c r="BS1418" s="153"/>
      <c r="BT1418" s="153"/>
      <c r="BU1418" s="153"/>
      <c r="BV1418" s="153"/>
      <c r="BW1418" s="153"/>
      <c r="BX1418" s="153"/>
      <c r="BY1418" s="153"/>
      <c r="BZ1418" s="153"/>
      <c r="CA1418" s="153"/>
      <c r="CB1418" s="153"/>
      <c r="CC1418" s="153"/>
      <c r="CD1418" s="155"/>
      <c r="CE1418" s="156"/>
      <c r="CF1418" s="155"/>
      <c r="CG1418" s="156"/>
      <c r="CH1418" s="155"/>
      <c r="CI1418" s="156"/>
      <c r="CJ1418" s="157">
        <f t="shared" si="189"/>
        <v>0</v>
      </c>
      <c r="CK1418" s="158"/>
      <c r="CL1418" s="159"/>
      <c r="CM1418" s="160"/>
      <c r="CN1418" s="161"/>
      <c r="CO1418" s="162"/>
      <c r="CP1418" s="161"/>
      <c r="CQ1418" s="158"/>
      <c r="CR1418" s="159"/>
      <c r="CS1418" s="68"/>
      <c r="CT1418" s="163"/>
      <c r="EC1418" s="344" t="str">
        <f t="shared" si="185"/>
        <v>TOLIMA_IBAGUE</v>
      </c>
      <c r="ED1418" s="341"/>
      <c r="EE1418" s="341"/>
      <c r="EF1418" s="348"/>
      <c r="EG1418" s="341"/>
      <c r="EH1418" s="341"/>
      <c r="EI1418" s="341"/>
    </row>
    <row r="1419" spans="1:139" s="164" customFormat="1" ht="38.25">
      <c r="A1419" s="228">
        <v>40479</v>
      </c>
      <c r="B1419" s="205" t="s">
        <v>1088</v>
      </c>
      <c r="C1419" s="205" t="s">
        <v>994</v>
      </c>
      <c r="D1419" s="207" t="s">
        <v>1594</v>
      </c>
      <c r="E1419" s="323" t="s">
        <v>4250</v>
      </c>
      <c r="F1419" s="323"/>
      <c r="G1419" s="204">
        <v>1</v>
      </c>
      <c r="H1419" s="151">
        <v>3</v>
      </c>
      <c r="I1419" s="151"/>
      <c r="J1419" s="151"/>
      <c r="K1419" s="151"/>
      <c r="L1419" s="1"/>
      <c r="M1419" s="73">
        <f t="shared" si="187"/>
        <v>0</v>
      </c>
      <c r="N1419" s="73">
        <f t="shared" si="184"/>
        <v>0</v>
      </c>
      <c r="O1419" s="73">
        <f t="shared" si="186"/>
        <v>0</v>
      </c>
      <c r="P1419" s="73">
        <f t="shared" si="188"/>
        <v>0</v>
      </c>
      <c r="Q1419" s="73"/>
      <c r="R1419" s="73">
        <v>0</v>
      </c>
      <c r="S1419" s="75">
        <f t="shared" si="190"/>
        <v>0</v>
      </c>
      <c r="T1419" s="77">
        <v>0</v>
      </c>
      <c r="U1419" s="66">
        <v>40482</v>
      </c>
      <c r="V1419" s="79"/>
      <c r="W1419" s="66" t="s">
        <v>1585</v>
      </c>
      <c r="X1419" s="24" t="s">
        <v>1586</v>
      </c>
      <c r="Y1419" s="62"/>
      <c r="Z1419" s="169" t="s">
        <v>894</v>
      </c>
      <c r="AA1419" s="166" t="s">
        <v>725</v>
      </c>
      <c r="AB1419" s="152"/>
      <c r="AC1419" s="153"/>
      <c r="AD1419" s="154"/>
      <c r="AE1419" s="153"/>
      <c r="AF1419" s="153"/>
      <c r="AG1419" s="153"/>
      <c r="AH1419" s="153"/>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c r="BI1419" s="153"/>
      <c r="BJ1419" s="153"/>
      <c r="BK1419" s="153"/>
      <c r="BL1419" s="153"/>
      <c r="BM1419" s="153"/>
      <c r="BN1419" s="153"/>
      <c r="BO1419" s="153"/>
      <c r="BP1419" s="153"/>
      <c r="BQ1419" s="153"/>
      <c r="BR1419" s="153"/>
      <c r="BS1419" s="153"/>
      <c r="BT1419" s="153"/>
      <c r="BU1419" s="153"/>
      <c r="BV1419" s="153"/>
      <c r="BW1419" s="153"/>
      <c r="BX1419" s="153"/>
      <c r="BY1419" s="153"/>
      <c r="BZ1419" s="153"/>
      <c r="CA1419" s="153"/>
      <c r="CB1419" s="153"/>
      <c r="CC1419" s="153"/>
      <c r="CD1419" s="155"/>
      <c r="CE1419" s="156"/>
      <c r="CF1419" s="155"/>
      <c r="CG1419" s="156"/>
      <c r="CH1419" s="155"/>
      <c r="CI1419" s="156"/>
      <c r="CJ1419" s="157">
        <f t="shared" si="189"/>
        <v>0</v>
      </c>
      <c r="CK1419" s="158"/>
      <c r="CL1419" s="159"/>
      <c r="CM1419" s="160"/>
      <c r="CN1419" s="161"/>
      <c r="CO1419" s="162"/>
      <c r="CP1419" s="161"/>
      <c r="CQ1419" s="158"/>
      <c r="CR1419" s="159"/>
      <c r="CS1419" s="68"/>
      <c r="CT1419" s="163"/>
      <c r="EC1419" s="344" t="str">
        <f t="shared" si="185"/>
        <v>VALLE DEL CAUCA_PALMIRA</v>
      </c>
      <c r="ED1419" s="341"/>
      <c r="EE1419" s="341"/>
      <c r="EF1419" s="348"/>
      <c r="EG1419" s="341"/>
      <c r="EH1419" s="341"/>
      <c r="EI1419" s="341"/>
    </row>
    <row r="1420" spans="1:139" s="164" customFormat="1" ht="38.25">
      <c r="A1420" s="228">
        <v>40480</v>
      </c>
      <c r="B1420" s="205" t="s">
        <v>1440</v>
      </c>
      <c r="C1420" s="205" t="s">
        <v>1476</v>
      </c>
      <c r="D1420" s="207" t="s">
        <v>1201</v>
      </c>
      <c r="E1420" s="323" t="s">
        <v>3884</v>
      </c>
      <c r="F1420" s="323"/>
      <c r="G1420" s="204"/>
      <c r="H1420" s="151"/>
      <c r="I1420" s="151"/>
      <c r="J1420" s="151"/>
      <c r="K1420" s="151"/>
      <c r="L1420" s="1">
        <v>40505</v>
      </c>
      <c r="M1420" s="73">
        <f t="shared" si="187"/>
        <v>2350000</v>
      </c>
      <c r="N1420" s="73">
        <f t="shared" si="184"/>
        <v>59500000</v>
      </c>
      <c r="O1420" s="73">
        <f t="shared" si="186"/>
        <v>0</v>
      </c>
      <c r="P1420" s="73">
        <f t="shared" si="188"/>
        <v>90016000</v>
      </c>
      <c r="Q1420" s="73"/>
      <c r="R1420" s="73">
        <v>0</v>
      </c>
      <c r="S1420" s="75">
        <f t="shared" si="190"/>
        <v>151866000</v>
      </c>
      <c r="T1420" s="77">
        <v>0</v>
      </c>
      <c r="U1420" s="66">
        <v>40479</v>
      </c>
      <c r="V1420" s="79">
        <v>59556</v>
      </c>
      <c r="W1420" s="66" t="s">
        <v>1606</v>
      </c>
      <c r="X1420" s="24" t="s">
        <v>1607</v>
      </c>
      <c r="Y1420" s="62">
        <v>24375</v>
      </c>
      <c r="Z1420" s="169" t="s">
        <v>1435</v>
      </c>
      <c r="AA1420" s="166" t="s">
        <v>362</v>
      </c>
      <c r="AB1420" s="152"/>
      <c r="AC1420" s="153"/>
      <c r="AD1420" s="154"/>
      <c r="AE1420" s="153"/>
      <c r="AF1420" s="153"/>
      <c r="AG1420" s="153"/>
      <c r="AH1420" s="153"/>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c r="BI1420" s="153"/>
      <c r="BJ1420" s="153"/>
      <c r="BK1420" s="153"/>
      <c r="BL1420" s="153"/>
      <c r="BM1420" s="153"/>
      <c r="BN1420" s="153">
        <v>5</v>
      </c>
      <c r="BO1420" s="153">
        <f>5*470000</f>
        <v>2350000</v>
      </c>
      <c r="BP1420" s="153"/>
      <c r="BQ1420" s="153"/>
      <c r="BR1420" s="153"/>
      <c r="BS1420" s="153"/>
      <c r="BT1420" s="153"/>
      <c r="BU1420" s="153"/>
      <c r="BV1420" s="153"/>
      <c r="BW1420" s="153"/>
      <c r="BX1420" s="153"/>
      <c r="BY1420" s="153"/>
      <c r="BZ1420" s="153"/>
      <c r="CA1420" s="153"/>
      <c r="CB1420" s="153"/>
      <c r="CC1420" s="153"/>
      <c r="CD1420" s="155"/>
      <c r="CE1420" s="156"/>
      <c r="CF1420" s="155"/>
      <c r="CG1420" s="156"/>
      <c r="CH1420" s="155"/>
      <c r="CI1420" s="156"/>
      <c r="CJ1420" s="157">
        <f t="shared" si="189"/>
        <v>2350000</v>
      </c>
      <c r="CK1420" s="158">
        <v>100000</v>
      </c>
      <c r="CL1420" s="159">
        <f>100000*900.16</f>
        <v>90016000</v>
      </c>
      <c r="CM1420" s="160">
        <v>700</v>
      </c>
      <c r="CN1420" s="161">
        <f>700*85000</f>
        <v>59500000</v>
      </c>
      <c r="CO1420" s="162"/>
      <c r="CP1420" s="161"/>
      <c r="CQ1420" s="158"/>
      <c r="CR1420" s="159"/>
      <c r="CS1420" s="68"/>
      <c r="CT1420" s="163"/>
      <c r="EC1420" s="344" t="str">
        <f t="shared" si="185"/>
        <v>MAGDALENA_EL PIÑON</v>
      </c>
      <c r="ED1420" s="341"/>
      <c r="EE1420" s="341"/>
      <c r="EF1420" s="348"/>
      <c r="EG1420" s="341"/>
      <c r="EH1420" s="341"/>
      <c r="EI1420" s="341"/>
    </row>
    <row r="1421" spans="1:139" s="164" customFormat="1" ht="51">
      <c r="A1421" s="228">
        <v>40480</v>
      </c>
      <c r="B1421" s="205" t="s">
        <v>965</v>
      </c>
      <c r="C1421" s="205" t="s">
        <v>988</v>
      </c>
      <c r="D1421" s="207" t="s">
        <v>1923</v>
      </c>
      <c r="E1421" s="323" t="s">
        <v>4001</v>
      </c>
      <c r="F1421" s="323"/>
      <c r="G1421" s="204"/>
      <c r="H1421" s="151"/>
      <c r="I1421" s="151"/>
      <c r="J1421" s="151"/>
      <c r="K1421" s="151"/>
      <c r="L1421" s="1"/>
      <c r="M1421" s="73">
        <f t="shared" si="187"/>
        <v>0</v>
      </c>
      <c r="N1421" s="73">
        <f t="shared" si="184"/>
        <v>0</v>
      </c>
      <c r="O1421" s="73">
        <f t="shared" si="186"/>
        <v>0</v>
      </c>
      <c r="P1421" s="73">
        <f t="shared" si="188"/>
        <v>0</v>
      </c>
      <c r="Q1421" s="73"/>
      <c r="R1421" s="73">
        <v>0</v>
      </c>
      <c r="S1421" s="75">
        <f t="shared" si="190"/>
        <v>0</v>
      </c>
      <c r="T1421" s="77">
        <v>0</v>
      </c>
      <c r="U1421" s="66">
        <v>40482</v>
      </c>
      <c r="V1421" s="79"/>
      <c r="W1421" s="66" t="s">
        <v>1585</v>
      </c>
      <c r="X1421" s="24" t="s">
        <v>1586</v>
      </c>
      <c r="Y1421" s="62"/>
      <c r="Z1421" s="169" t="s">
        <v>894</v>
      </c>
      <c r="AA1421" s="166" t="s">
        <v>723</v>
      </c>
      <c r="AB1421" s="152"/>
      <c r="AC1421" s="153"/>
      <c r="AD1421" s="154"/>
      <c r="AE1421" s="153"/>
      <c r="AF1421" s="153"/>
      <c r="AG1421" s="153"/>
      <c r="AH1421" s="153"/>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c r="BI1421" s="153"/>
      <c r="BJ1421" s="153"/>
      <c r="BK1421" s="153"/>
      <c r="BL1421" s="153"/>
      <c r="BM1421" s="153"/>
      <c r="BN1421" s="153"/>
      <c r="BO1421" s="153"/>
      <c r="BP1421" s="153"/>
      <c r="BQ1421" s="153"/>
      <c r="BR1421" s="153"/>
      <c r="BS1421" s="153"/>
      <c r="BT1421" s="153"/>
      <c r="BU1421" s="153"/>
      <c r="BV1421" s="153"/>
      <c r="BW1421" s="153"/>
      <c r="BX1421" s="153"/>
      <c r="BY1421" s="153"/>
      <c r="BZ1421" s="153"/>
      <c r="CA1421" s="153"/>
      <c r="CB1421" s="153"/>
      <c r="CC1421" s="153"/>
      <c r="CD1421" s="155"/>
      <c r="CE1421" s="156"/>
      <c r="CF1421" s="155"/>
      <c r="CG1421" s="156"/>
      <c r="CH1421" s="155"/>
      <c r="CI1421" s="156"/>
      <c r="CJ1421" s="157">
        <f t="shared" si="189"/>
        <v>0</v>
      </c>
      <c r="CK1421" s="158"/>
      <c r="CL1421" s="159"/>
      <c r="CM1421" s="160"/>
      <c r="CN1421" s="161"/>
      <c r="CO1421" s="162"/>
      <c r="CP1421" s="161"/>
      <c r="CQ1421" s="158"/>
      <c r="CR1421" s="159"/>
      <c r="CS1421" s="68"/>
      <c r="CT1421" s="163"/>
      <c r="EC1421" s="344" t="str">
        <f t="shared" si="185"/>
        <v>NORTE DE SANTANDER_BOCHALEMA</v>
      </c>
      <c r="ED1421" s="341"/>
      <c r="EE1421" s="341"/>
      <c r="EF1421" s="348"/>
      <c r="EG1421" s="341"/>
      <c r="EH1421" s="341"/>
      <c r="EI1421" s="341"/>
    </row>
    <row r="1422" spans="1:139" s="164" customFormat="1" ht="38.25">
      <c r="A1422" s="228">
        <v>40481</v>
      </c>
      <c r="B1422" s="102" t="s">
        <v>4321</v>
      </c>
      <c r="C1422" s="205" t="s">
        <v>328</v>
      </c>
      <c r="D1422" s="207" t="s">
        <v>1201</v>
      </c>
      <c r="E1422" s="323" t="s">
        <v>3863</v>
      </c>
      <c r="F1422" s="323"/>
      <c r="G1422" s="204"/>
      <c r="H1422" s="151"/>
      <c r="I1422" s="151"/>
      <c r="J1422" s="151">
        <f>1174*5</f>
        <v>5870</v>
      </c>
      <c r="K1422" s="175">
        <f>1374-15-178-7</f>
        <v>1174</v>
      </c>
      <c r="L1422" s="1"/>
      <c r="M1422" s="73">
        <f t="shared" si="187"/>
        <v>0</v>
      </c>
      <c r="N1422" s="73">
        <f t="shared" ref="N1422:N1485" si="191">CN1422</f>
        <v>0</v>
      </c>
      <c r="O1422" s="73">
        <f t="shared" si="186"/>
        <v>0</v>
      </c>
      <c r="P1422" s="73">
        <f t="shared" si="188"/>
        <v>0</v>
      </c>
      <c r="Q1422" s="73"/>
      <c r="R1422" s="73">
        <v>0</v>
      </c>
      <c r="S1422" s="75">
        <f t="shared" si="190"/>
        <v>0</v>
      </c>
      <c r="T1422" s="77">
        <v>0</v>
      </c>
      <c r="U1422" s="66">
        <v>40482</v>
      </c>
      <c r="V1422" s="79"/>
      <c r="W1422" s="66" t="s">
        <v>1585</v>
      </c>
      <c r="X1422" s="24" t="s">
        <v>1586</v>
      </c>
      <c r="Y1422" s="62"/>
      <c r="Z1422" s="169" t="s">
        <v>894</v>
      </c>
      <c r="AA1422" s="166" t="s">
        <v>2576</v>
      </c>
      <c r="AB1422" s="152"/>
      <c r="AC1422" s="153"/>
      <c r="AD1422" s="154"/>
      <c r="AE1422" s="153"/>
      <c r="AF1422" s="153"/>
      <c r="AG1422" s="153"/>
      <c r="AH1422" s="153"/>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c r="BI1422" s="153"/>
      <c r="BJ1422" s="153"/>
      <c r="BK1422" s="153"/>
      <c r="BL1422" s="153"/>
      <c r="BM1422" s="153"/>
      <c r="BN1422" s="153"/>
      <c r="BO1422" s="153"/>
      <c r="BP1422" s="153"/>
      <c r="BQ1422" s="153"/>
      <c r="BR1422" s="153"/>
      <c r="BS1422" s="153"/>
      <c r="BT1422" s="153"/>
      <c r="BU1422" s="153"/>
      <c r="BV1422" s="153"/>
      <c r="BW1422" s="153"/>
      <c r="BX1422" s="153"/>
      <c r="BY1422" s="153"/>
      <c r="BZ1422" s="153"/>
      <c r="CA1422" s="153"/>
      <c r="CB1422" s="153"/>
      <c r="CC1422" s="153"/>
      <c r="CD1422" s="155"/>
      <c r="CE1422" s="156"/>
      <c r="CF1422" s="155"/>
      <c r="CG1422" s="156"/>
      <c r="CH1422" s="155"/>
      <c r="CI1422" s="156"/>
      <c r="CJ1422" s="157">
        <f t="shared" si="189"/>
        <v>0</v>
      </c>
      <c r="CK1422" s="158"/>
      <c r="CL1422" s="159"/>
      <c r="CM1422" s="160"/>
      <c r="CN1422" s="161"/>
      <c r="CO1422" s="162"/>
      <c r="CP1422" s="161"/>
      <c r="CQ1422" s="158"/>
      <c r="CR1422" s="159"/>
      <c r="CS1422" s="68"/>
      <c r="CT1422" s="163"/>
      <c r="EC1422" s="344" t="str">
        <f t="shared" si="185"/>
        <v>LA GUAJIRA_DIBULLA</v>
      </c>
      <c r="ED1422" s="341"/>
      <c r="EE1422" s="341"/>
      <c r="EF1422" s="348"/>
      <c r="EG1422" s="341"/>
      <c r="EH1422" s="341"/>
      <c r="EI1422" s="341"/>
    </row>
    <row r="1423" spans="1:139" s="164" customFormat="1" ht="38.25">
      <c r="A1423" s="228">
        <v>40481</v>
      </c>
      <c r="B1423" s="102" t="s">
        <v>4321</v>
      </c>
      <c r="C1423" s="205" t="s">
        <v>699</v>
      </c>
      <c r="D1423" s="207" t="s">
        <v>1201</v>
      </c>
      <c r="E1423" s="323" t="s">
        <v>3860</v>
      </c>
      <c r="F1423" s="323"/>
      <c r="G1423" s="204"/>
      <c r="H1423" s="151"/>
      <c r="I1423" s="151"/>
      <c r="J1423" s="151">
        <f>751*5</f>
        <v>3755</v>
      </c>
      <c r="K1423" s="151">
        <v>751</v>
      </c>
      <c r="L1423" s="1"/>
      <c r="M1423" s="73">
        <f t="shared" si="187"/>
        <v>0</v>
      </c>
      <c r="N1423" s="73">
        <f t="shared" si="191"/>
        <v>0</v>
      </c>
      <c r="O1423" s="73">
        <f t="shared" si="186"/>
        <v>0</v>
      </c>
      <c r="P1423" s="73">
        <f t="shared" si="188"/>
        <v>0</v>
      </c>
      <c r="Q1423" s="73"/>
      <c r="R1423" s="73">
        <v>0</v>
      </c>
      <c r="S1423" s="75">
        <f t="shared" si="190"/>
        <v>0</v>
      </c>
      <c r="T1423" s="77">
        <v>0</v>
      </c>
      <c r="U1423" s="66">
        <v>40482</v>
      </c>
      <c r="V1423" s="79"/>
      <c r="W1423" s="66" t="s">
        <v>1585</v>
      </c>
      <c r="X1423" s="24" t="s">
        <v>1586</v>
      </c>
      <c r="Y1423" s="62"/>
      <c r="Z1423" s="169" t="s">
        <v>894</v>
      </c>
      <c r="AA1423" s="166" t="s">
        <v>727</v>
      </c>
      <c r="AB1423" s="152"/>
      <c r="AC1423" s="153"/>
      <c r="AD1423" s="154"/>
      <c r="AE1423" s="153"/>
      <c r="AF1423" s="153"/>
      <c r="AG1423" s="153"/>
      <c r="AH1423" s="153"/>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c r="BI1423" s="153"/>
      <c r="BJ1423" s="153"/>
      <c r="BK1423" s="153"/>
      <c r="BL1423" s="153"/>
      <c r="BM1423" s="153"/>
      <c r="BN1423" s="153"/>
      <c r="BO1423" s="153"/>
      <c r="BP1423" s="153"/>
      <c r="BQ1423" s="153"/>
      <c r="BR1423" s="153"/>
      <c r="BS1423" s="153"/>
      <c r="BT1423" s="153"/>
      <c r="BU1423" s="153"/>
      <c r="BV1423" s="153"/>
      <c r="BW1423" s="153"/>
      <c r="BX1423" s="153"/>
      <c r="BY1423" s="153"/>
      <c r="BZ1423" s="153"/>
      <c r="CA1423" s="153"/>
      <c r="CB1423" s="153"/>
      <c r="CC1423" s="153"/>
      <c r="CD1423" s="155"/>
      <c r="CE1423" s="156"/>
      <c r="CF1423" s="155"/>
      <c r="CG1423" s="156"/>
      <c r="CH1423" s="155"/>
      <c r="CI1423" s="156"/>
      <c r="CJ1423" s="157">
        <f t="shared" si="189"/>
        <v>0</v>
      </c>
      <c r="CK1423" s="158"/>
      <c r="CL1423" s="159"/>
      <c r="CM1423" s="160"/>
      <c r="CN1423" s="161"/>
      <c r="CO1423" s="162"/>
      <c r="CP1423" s="161"/>
      <c r="CQ1423" s="158"/>
      <c r="CR1423" s="159"/>
      <c r="CS1423" s="68"/>
      <c r="CT1423" s="163"/>
      <c r="EC1423" s="344" t="str">
        <f t="shared" si="185"/>
        <v>LA GUAJIRA_RIOHACHA</v>
      </c>
      <c r="ED1423" s="341"/>
      <c r="EE1423" s="341"/>
      <c r="EF1423" s="348"/>
      <c r="EG1423" s="341"/>
      <c r="EH1423" s="341"/>
      <c r="EI1423" s="341"/>
    </row>
    <row r="1424" spans="1:139" s="164" customFormat="1" ht="25.5">
      <c r="A1424" s="228">
        <v>40481</v>
      </c>
      <c r="B1424" s="205" t="s">
        <v>1612</v>
      </c>
      <c r="C1424" s="205" t="s">
        <v>673</v>
      </c>
      <c r="D1424" s="206" t="s">
        <v>1878</v>
      </c>
      <c r="E1424" s="320" t="s">
        <v>4040</v>
      </c>
      <c r="F1424" s="320"/>
      <c r="G1424" s="204"/>
      <c r="H1424" s="151"/>
      <c r="I1424" s="151"/>
      <c r="J1424" s="151">
        <v>5</v>
      </c>
      <c r="K1424" s="151">
        <v>1</v>
      </c>
      <c r="L1424" s="1"/>
      <c r="M1424" s="73">
        <f t="shared" si="187"/>
        <v>0</v>
      </c>
      <c r="N1424" s="73">
        <f t="shared" si="191"/>
        <v>0</v>
      </c>
      <c r="O1424" s="73">
        <f t="shared" si="186"/>
        <v>0</v>
      </c>
      <c r="P1424" s="73">
        <f t="shared" si="188"/>
        <v>0</v>
      </c>
      <c r="Q1424" s="73"/>
      <c r="R1424" s="73">
        <v>0</v>
      </c>
      <c r="S1424" s="75">
        <f t="shared" si="190"/>
        <v>0</v>
      </c>
      <c r="T1424" s="77">
        <v>0</v>
      </c>
      <c r="U1424" s="66">
        <v>40482</v>
      </c>
      <c r="V1424" s="79"/>
      <c r="W1424" s="66" t="s">
        <v>1585</v>
      </c>
      <c r="X1424" s="24" t="s">
        <v>1586</v>
      </c>
      <c r="Y1424" s="62"/>
      <c r="Z1424" s="169" t="s">
        <v>894</v>
      </c>
      <c r="AA1424" s="166" t="s">
        <v>726</v>
      </c>
      <c r="AB1424" s="152"/>
      <c r="AC1424" s="153"/>
      <c r="AD1424" s="154"/>
      <c r="AE1424" s="153"/>
      <c r="AF1424" s="153"/>
      <c r="AG1424" s="153"/>
      <c r="AH1424" s="153"/>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c r="BI1424" s="153"/>
      <c r="BJ1424" s="153"/>
      <c r="BK1424" s="153"/>
      <c r="BL1424" s="153"/>
      <c r="BM1424" s="153"/>
      <c r="BN1424" s="153"/>
      <c r="BO1424" s="153"/>
      <c r="BP1424" s="153"/>
      <c r="BQ1424" s="153"/>
      <c r="BR1424" s="153"/>
      <c r="BS1424" s="153"/>
      <c r="BT1424" s="153"/>
      <c r="BU1424" s="153"/>
      <c r="BV1424" s="153"/>
      <c r="BW1424" s="153"/>
      <c r="BX1424" s="153"/>
      <c r="BY1424" s="153"/>
      <c r="BZ1424" s="153"/>
      <c r="CA1424" s="153"/>
      <c r="CB1424" s="153"/>
      <c r="CC1424" s="153"/>
      <c r="CD1424" s="155"/>
      <c r="CE1424" s="156"/>
      <c r="CF1424" s="155"/>
      <c r="CG1424" s="156"/>
      <c r="CH1424" s="155"/>
      <c r="CI1424" s="156"/>
      <c r="CJ1424" s="157">
        <f t="shared" si="189"/>
        <v>0</v>
      </c>
      <c r="CK1424" s="158"/>
      <c r="CL1424" s="159"/>
      <c r="CM1424" s="160"/>
      <c r="CN1424" s="161"/>
      <c r="CO1424" s="162"/>
      <c r="CP1424" s="161"/>
      <c r="CQ1424" s="158"/>
      <c r="CR1424" s="159"/>
      <c r="CS1424" s="68"/>
      <c r="CT1424" s="163"/>
      <c r="EC1424" s="344" t="str">
        <f t="shared" si="185"/>
        <v>QUINDIO_CALARCA</v>
      </c>
      <c r="ED1424" s="341"/>
      <c r="EE1424" s="341"/>
      <c r="EF1424" s="348"/>
      <c r="EG1424" s="341"/>
      <c r="EH1424" s="341"/>
      <c r="EI1424" s="341"/>
    </row>
    <row r="1425" spans="1:139" s="164" customFormat="1" ht="38.25">
      <c r="A1425" s="228">
        <v>40481</v>
      </c>
      <c r="B1425" s="205" t="s">
        <v>1998</v>
      </c>
      <c r="C1425" s="205" t="s">
        <v>1011</v>
      </c>
      <c r="D1425" s="207" t="s">
        <v>1923</v>
      </c>
      <c r="E1425" s="323" t="s">
        <v>4064</v>
      </c>
      <c r="F1425" s="323"/>
      <c r="G1425" s="204">
        <v>1</v>
      </c>
      <c r="H1425" s="151">
        <v>2</v>
      </c>
      <c r="I1425" s="151"/>
      <c r="J1425" s="151"/>
      <c r="K1425" s="151"/>
      <c r="L1425" s="1"/>
      <c r="M1425" s="73">
        <f t="shared" si="187"/>
        <v>0</v>
      </c>
      <c r="N1425" s="73">
        <f t="shared" si="191"/>
        <v>0</v>
      </c>
      <c r="O1425" s="73">
        <f t="shared" si="186"/>
        <v>0</v>
      </c>
      <c r="P1425" s="73">
        <f t="shared" si="188"/>
        <v>0</v>
      </c>
      <c r="Q1425" s="73"/>
      <c r="R1425" s="73">
        <v>0</v>
      </c>
      <c r="S1425" s="75">
        <f t="shared" si="190"/>
        <v>0</v>
      </c>
      <c r="T1425" s="77">
        <v>0</v>
      </c>
      <c r="U1425" s="66">
        <v>40484</v>
      </c>
      <c r="V1425" s="79"/>
      <c r="W1425" s="66" t="s">
        <v>1585</v>
      </c>
      <c r="X1425" s="24" t="s">
        <v>1586</v>
      </c>
      <c r="Y1425" s="104"/>
      <c r="Z1425" s="169" t="s">
        <v>894</v>
      </c>
      <c r="AA1425" s="166" t="s">
        <v>2452</v>
      </c>
      <c r="AB1425" s="152"/>
      <c r="AC1425" s="153"/>
      <c r="AD1425" s="154"/>
      <c r="AE1425" s="153"/>
      <c r="AF1425" s="153"/>
      <c r="AG1425" s="153"/>
      <c r="AH1425" s="153"/>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c r="BI1425" s="153"/>
      <c r="BJ1425" s="153"/>
      <c r="BK1425" s="153"/>
      <c r="BL1425" s="153"/>
      <c r="BM1425" s="153"/>
      <c r="BN1425" s="153"/>
      <c r="BO1425" s="153"/>
      <c r="BP1425" s="153"/>
      <c r="BQ1425" s="153"/>
      <c r="BR1425" s="153"/>
      <c r="BS1425" s="153"/>
      <c r="BT1425" s="153"/>
      <c r="BU1425" s="153"/>
      <c r="BV1425" s="153"/>
      <c r="BW1425" s="153"/>
      <c r="BX1425" s="153"/>
      <c r="BY1425" s="153"/>
      <c r="BZ1425" s="153"/>
      <c r="CA1425" s="153"/>
      <c r="CB1425" s="153"/>
      <c r="CC1425" s="153"/>
      <c r="CD1425" s="155"/>
      <c r="CE1425" s="156"/>
      <c r="CF1425" s="155"/>
      <c r="CG1425" s="156"/>
      <c r="CH1425" s="155"/>
      <c r="CI1425" s="156"/>
      <c r="CJ1425" s="157">
        <f t="shared" si="189"/>
        <v>0</v>
      </c>
      <c r="CK1425" s="158"/>
      <c r="CL1425" s="159"/>
      <c r="CM1425" s="160"/>
      <c r="CN1425" s="161"/>
      <c r="CO1425" s="162"/>
      <c r="CP1425" s="161"/>
      <c r="CQ1425" s="158"/>
      <c r="CR1425" s="159"/>
      <c r="CS1425" s="68"/>
      <c r="CT1425" s="163"/>
      <c r="EC1425" s="344" t="str">
        <f t="shared" si="185"/>
        <v>SANTANDER_BUCARAMANGA</v>
      </c>
      <c r="ED1425" s="341"/>
      <c r="EE1425" s="341"/>
      <c r="EF1425" s="348"/>
      <c r="EG1425" s="341"/>
      <c r="EH1425" s="341"/>
      <c r="EI1425" s="341"/>
    </row>
    <row r="1426" spans="1:139" s="164" customFormat="1" ht="48">
      <c r="A1426" s="228">
        <v>40482</v>
      </c>
      <c r="B1426" s="205" t="s">
        <v>653</v>
      </c>
      <c r="C1426" s="205" t="s">
        <v>2526</v>
      </c>
      <c r="D1426" s="206" t="s">
        <v>1878</v>
      </c>
      <c r="E1426" s="320" t="s">
        <v>3546</v>
      </c>
      <c r="F1426" s="320"/>
      <c r="G1426" s="204"/>
      <c r="H1426" s="151"/>
      <c r="I1426" s="151"/>
      <c r="J1426" s="151">
        <f>68*5</f>
        <v>340</v>
      </c>
      <c r="K1426" s="151">
        <v>68</v>
      </c>
      <c r="L1426" s="1"/>
      <c r="M1426" s="73">
        <f t="shared" si="187"/>
        <v>0</v>
      </c>
      <c r="N1426" s="73">
        <f t="shared" si="191"/>
        <v>0</v>
      </c>
      <c r="O1426" s="73">
        <f t="shared" si="186"/>
        <v>0</v>
      </c>
      <c r="P1426" s="73">
        <f t="shared" si="188"/>
        <v>0</v>
      </c>
      <c r="Q1426" s="73"/>
      <c r="R1426" s="73">
        <v>0</v>
      </c>
      <c r="S1426" s="75">
        <f t="shared" si="190"/>
        <v>0</v>
      </c>
      <c r="T1426" s="77">
        <v>0</v>
      </c>
      <c r="U1426" s="66">
        <v>40484</v>
      </c>
      <c r="V1426" s="79"/>
      <c r="W1426" s="66" t="s">
        <v>1606</v>
      </c>
      <c r="X1426" s="24" t="s">
        <v>1607</v>
      </c>
      <c r="Y1426" s="62"/>
      <c r="Z1426" s="176" t="s">
        <v>3056</v>
      </c>
      <c r="AA1426" s="166" t="s">
        <v>2527</v>
      </c>
      <c r="AB1426" s="152"/>
      <c r="AC1426" s="153"/>
      <c r="AD1426" s="154"/>
      <c r="AE1426" s="153"/>
      <c r="AF1426" s="153"/>
      <c r="AG1426" s="153"/>
      <c r="AH1426" s="153"/>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c r="BI1426" s="153"/>
      <c r="BJ1426" s="153"/>
      <c r="BK1426" s="153"/>
      <c r="BL1426" s="153"/>
      <c r="BM1426" s="153"/>
      <c r="BN1426" s="153"/>
      <c r="BO1426" s="153"/>
      <c r="BP1426" s="153"/>
      <c r="BQ1426" s="153"/>
      <c r="BR1426" s="153"/>
      <c r="BS1426" s="153"/>
      <c r="BT1426" s="153"/>
      <c r="BU1426" s="153"/>
      <c r="BV1426" s="153"/>
      <c r="BW1426" s="153"/>
      <c r="BX1426" s="153"/>
      <c r="BY1426" s="153"/>
      <c r="BZ1426" s="153"/>
      <c r="CA1426" s="153"/>
      <c r="CB1426" s="153"/>
      <c r="CC1426" s="153"/>
      <c r="CD1426" s="155"/>
      <c r="CE1426" s="156"/>
      <c r="CF1426" s="155"/>
      <c r="CG1426" s="156"/>
      <c r="CH1426" s="155"/>
      <c r="CI1426" s="156"/>
      <c r="CJ1426" s="157">
        <f t="shared" si="189"/>
        <v>0</v>
      </c>
      <c r="CK1426" s="158"/>
      <c r="CL1426" s="159"/>
      <c r="CM1426" s="160"/>
      <c r="CN1426" s="161"/>
      <c r="CO1426" s="162"/>
      <c r="CP1426" s="161"/>
      <c r="CQ1426" s="158"/>
      <c r="CR1426" s="159"/>
      <c r="CS1426" s="68"/>
      <c r="CT1426" s="163"/>
      <c r="EC1426" s="344" t="str">
        <f t="shared" si="185"/>
        <v>CALDAS_ARANZAZU</v>
      </c>
      <c r="ED1426" s="341"/>
      <c r="EE1426" s="341"/>
      <c r="EF1426" s="348"/>
      <c r="EG1426" s="341"/>
      <c r="EH1426" s="341"/>
      <c r="EI1426" s="341"/>
    </row>
    <row r="1427" spans="1:139" s="164" customFormat="1" ht="38.25">
      <c r="A1427" s="228">
        <v>40482</v>
      </c>
      <c r="B1427" s="205" t="s">
        <v>1604</v>
      </c>
      <c r="C1427" s="205" t="s">
        <v>2734</v>
      </c>
      <c r="D1427" s="207" t="s">
        <v>1201</v>
      </c>
      <c r="E1427" s="323" t="s">
        <v>3729</v>
      </c>
      <c r="F1427" s="323"/>
      <c r="G1427" s="204">
        <v>1</v>
      </c>
      <c r="H1427" s="151"/>
      <c r="I1427" s="151"/>
      <c r="J1427" s="151"/>
      <c r="K1427" s="151"/>
      <c r="L1427" s="1"/>
      <c r="M1427" s="73">
        <f t="shared" si="187"/>
        <v>0</v>
      </c>
      <c r="N1427" s="73">
        <f t="shared" si="191"/>
        <v>0</v>
      </c>
      <c r="O1427" s="73">
        <f t="shared" si="186"/>
        <v>0</v>
      </c>
      <c r="P1427" s="73">
        <f t="shared" si="188"/>
        <v>0</v>
      </c>
      <c r="Q1427" s="73"/>
      <c r="R1427" s="73">
        <v>0</v>
      </c>
      <c r="S1427" s="75">
        <f t="shared" si="190"/>
        <v>0</v>
      </c>
      <c r="T1427" s="77">
        <v>0</v>
      </c>
      <c r="U1427" s="66">
        <v>40487</v>
      </c>
      <c r="V1427" s="79"/>
      <c r="W1427" s="66" t="s">
        <v>1585</v>
      </c>
      <c r="X1427" s="24" t="s">
        <v>1586</v>
      </c>
      <c r="Y1427" s="62"/>
      <c r="Z1427" s="169" t="s">
        <v>894</v>
      </c>
      <c r="AA1427" s="166" t="s">
        <v>2559</v>
      </c>
      <c r="AB1427" s="152"/>
      <c r="AC1427" s="153"/>
      <c r="AD1427" s="154"/>
      <c r="AE1427" s="153"/>
      <c r="AF1427" s="153"/>
      <c r="AG1427" s="153"/>
      <c r="AH1427" s="153"/>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c r="BI1427" s="153"/>
      <c r="BJ1427" s="153"/>
      <c r="BK1427" s="153"/>
      <c r="BL1427" s="153"/>
      <c r="BM1427" s="153"/>
      <c r="BN1427" s="153"/>
      <c r="BO1427" s="153"/>
      <c r="BP1427" s="153"/>
      <c r="BQ1427" s="153"/>
      <c r="BR1427" s="153"/>
      <c r="BS1427" s="153"/>
      <c r="BT1427" s="153"/>
      <c r="BU1427" s="153"/>
      <c r="BV1427" s="153"/>
      <c r="BW1427" s="153"/>
      <c r="BX1427" s="153"/>
      <c r="BY1427" s="153"/>
      <c r="BZ1427" s="153"/>
      <c r="CA1427" s="153"/>
      <c r="CB1427" s="153"/>
      <c r="CC1427" s="153"/>
      <c r="CD1427" s="155"/>
      <c r="CE1427" s="156"/>
      <c r="CF1427" s="155"/>
      <c r="CG1427" s="156"/>
      <c r="CH1427" s="155"/>
      <c r="CI1427" s="156"/>
      <c r="CJ1427" s="157">
        <f t="shared" si="189"/>
        <v>0</v>
      </c>
      <c r="CK1427" s="158"/>
      <c r="CL1427" s="159"/>
      <c r="CM1427" s="160"/>
      <c r="CN1427" s="161"/>
      <c r="CO1427" s="162"/>
      <c r="CP1427" s="161"/>
      <c r="CQ1427" s="158"/>
      <c r="CR1427" s="159"/>
      <c r="CS1427" s="68"/>
      <c r="CT1427" s="163"/>
      <c r="EC1427" s="344" t="str">
        <f t="shared" si="185"/>
        <v>CUNDINAMARCA_LA VEGA</v>
      </c>
      <c r="ED1427" s="341"/>
      <c r="EE1427" s="341"/>
      <c r="EF1427" s="348"/>
      <c r="EG1427" s="341"/>
      <c r="EH1427" s="341"/>
      <c r="EI1427" s="341"/>
    </row>
    <row r="1428" spans="1:139" s="164" customFormat="1" ht="38.25">
      <c r="A1428" s="228">
        <v>40482</v>
      </c>
      <c r="B1428" s="205" t="s">
        <v>1604</v>
      </c>
      <c r="C1428" s="205" t="s">
        <v>2557</v>
      </c>
      <c r="D1428" s="206" t="s">
        <v>1878</v>
      </c>
      <c r="E1428" s="320" t="s">
        <v>3759</v>
      </c>
      <c r="F1428" s="320"/>
      <c r="G1428" s="204"/>
      <c r="H1428" s="151"/>
      <c r="I1428" s="151"/>
      <c r="J1428" s="151">
        <v>40</v>
      </c>
      <c r="K1428" s="151">
        <v>10</v>
      </c>
      <c r="L1428" s="1"/>
      <c r="M1428" s="73">
        <f t="shared" si="187"/>
        <v>0</v>
      </c>
      <c r="N1428" s="73">
        <f t="shared" si="191"/>
        <v>0</v>
      </c>
      <c r="O1428" s="73">
        <f t="shared" si="186"/>
        <v>0</v>
      </c>
      <c r="P1428" s="73">
        <f t="shared" si="188"/>
        <v>0</v>
      </c>
      <c r="Q1428" s="73"/>
      <c r="R1428" s="73">
        <v>0</v>
      </c>
      <c r="S1428" s="75">
        <f t="shared" si="190"/>
        <v>0</v>
      </c>
      <c r="T1428" s="77">
        <v>0</v>
      </c>
      <c r="U1428" s="66">
        <v>40487</v>
      </c>
      <c r="V1428" s="79"/>
      <c r="W1428" s="66" t="s">
        <v>1585</v>
      </c>
      <c r="X1428" s="24" t="s">
        <v>1586</v>
      </c>
      <c r="Y1428" s="62"/>
      <c r="Z1428" s="169" t="s">
        <v>894</v>
      </c>
      <c r="AA1428" s="166" t="s">
        <v>2558</v>
      </c>
      <c r="AB1428" s="152"/>
      <c r="AC1428" s="153"/>
      <c r="AD1428" s="154"/>
      <c r="AE1428" s="153"/>
      <c r="AF1428" s="153"/>
      <c r="AG1428" s="153"/>
      <c r="AH1428" s="153"/>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c r="BI1428" s="153"/>
      <c r="BJ1428" s="153"/>
      <c r="BK1428" s="153"/>
      <c r="BL1428" s="153"/>
      <c r="BM1428" s="153"/>
      <c r="BN1428" s="153"/>
      <c r="BO1428" s="153"/>
      <c r="BP1428" s="153"/>
      <c r="BQ1428" s="153"/>
      <c r="BR1428" s="153"/>
      <c r="BS1428" s="153"/>
      <c r="BT1428" s="153"/>
      <c r="BU1428" s="153"/>
      <c r="BV1428" s="153"/>
      <c r="BW1428" s="153"/>
      <c r="BX1428" s="153"/>
      <c r="BY1428" s="153"/>
      <c r="BZ1428" s="153"/>
      <c r="CA1428" s="153"/>
      <c r="CB1428" s="153"/>
      <c r="CC1428" s="153"/>
      <c r="CD1428" s="155"/>
      <c r="CE1428" s="156"/>
      <c r="CF1428" s="155"/>
      <c r="CG1428" s="156"/>
      <c r="CH1428" s="155"/>
      <c r="CI1428" s="156"/>
      <c r="CJ1428" s="157">
        <f t="shared" si="189"/>
        <v>0</v>
      </c>
      <c r="CK1428" s="158"/>
      <c r="CL1428" s="159"/>
      <c r="CM1428" s="160"/>
      <c r="CN1428" s="161"/>
      <c r="CO1428" s="162"/>
      <c r="CP1428" s="161"/>
      <c r="CQ1428" s="158"/>
      <c r="CR1428" s="159"/>
      <c r="CS1428" s="68"/>
      <c r="CT1428" s="163"/>
      <c r="EC1428" s="344" t="str">
        <f t="shared" si="185"/>
        <v>CUNDINAMARCA_SASAIMA</v>
      </c>
      <c r="ED1428" s="341"/>
      <c r="EE1428" s="341"/>
      <c r="EF1428" s="348"/>
      <c r="EG1428" s="341"/>
      <c r="EH1428" s="341"/>
      <c r="EI1428" s="341"/>
    </row>
    <row r="1429" spans="1:139" s="164" customFormat="1" ht="72">
      <c r="A1429" s="228">
        <v>40482</v>
      </c>
      <c r="B1429" s="205" t="s">
        <v>1604</v>
      </c>
      <c r="C1429" s="205" t="s">
        <v>2351</v>
      </c>
      <c r="D1429" s="206" t="s">
        <v>1878</v>
      </c>
      <c r="E1429" s="320" t="s">
        <v>3764</v>
      </c>
      <c r="F1429" s="320"/>
      <c r="G1429" s="204"/>
      <c r="H1429" s="151"/>
      <c r="I1429" s="151"/>
      <c r="J1429" s="151">
        <v>590</v>
      </c>
      <c r="K1429" s="151">
        <v>118</v>
      </c>
      <c r="L1429" s="1"/>
      <c r="M1429" s="73">
        <f t="shared" si="187"/>
        <v>0</v>
      </c>
      <c r="N1429" s="73">
        <f t="shared" si="191"/>
        <v>0</v>
      </c>
      <c r="O1429" s="73">
        <f t="shared" si="186"/>
        <v>0</v>
      </c>
      <c r="P1429" s="73">
        <f t="shared" si="188"/>
        <v>0</v>
      </c>
      <c r="Q1429" s="73"/>
      <c r="R1429" s="73">
        <v>0</v>
      </c>
      <c r="S1429" s="75">
        <f t="shared" si="190"/>
        <v>0</v>
      </c>
      <c r="T1429" s="77">
        <v>0</v>
      </c>
      <c r="U1429" s="66">
        <v>40484</v>
      </c>
      <c r="V1429" s="79"/>
      <c r="W1429" s="66" t="s">
        <v>1585</v>
      </c>
      <c r="X1429" s="24" t="s">
        <v>1586</v>
      </c>
      <c r="Y1429" s="104"/>
      <c r="Z1429" s="169" t="s">
        <v>894</v>
      </c>
      <c r="AA1429" s="166" t="s">
        <v>2456</v>
      </c>
      <c r="AB1429" s="152"/>
      <c r="AC1429" s="153"/>
      <c r="AD1429" s="154"/>
      <c r="AE1429" s="153"/>
      <c r="AF1429" s="153"/>
      <c r="AG1429" s="153"/>
      <c r="AH1429" s="153"/>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c r="BI1429" s="153"/>
      <c r="BJ1429" s="153"/>
      <c r="BK1429" s="153"/>
      <c r="BL1429" s="153"/>
      <c r="BM1429" s="153"/>
      <c r="BN1429" s="153"/>
      <c r="BO1429" s="153"/>
      <c r="BP1429" s="153"/>
      <c r="BQ1429" s="153"/>
      <c r="BR1429" s="153"/>
      <c r="BS1429" s="153"/>
      <c r="BT1429" s="153"/>
      <c r="BU1429" s="153"/>
      <c r="BV1429" s="153"/>
      <c r="BW1429" s="153"/>
      <c r="BX1429" s="153"/>
      <c r="BY1429" s="153"/>
      <c r="BZ1429" s="153"/>
      <c r="CA1429" s="153"/>
      <c r="CB1429" s="153"/>
      <c r="CC1429" s="153"/>
      <c r="CD1429" s="155"/>
      <c r="CE1429" s="156"/>
      <c r="CF1429" s="155"/>
      <c r="CG1429" s="156"/>
      <c r="CH1429" s="155"/>
      <c r="CI1429" s="156"/>
      <c r="CJ1429" s="157">
        <f t="shared" si="189"/>
        <v>0</v>
      </c>
      <c r="CK1429" s="158"/>
      <c r="CL1429" s="159"/>
      <c r="CM1429" s="160"/>
      <c r="CN1429" s="161"/>
      <c r="CO1429" s="162"/>
      <c r="CP1429" s="161"/>
      <c r="CQ1429" s="158"/>
      <c r="CR1429" s="159"/>
      <c r="CS1429" s="68"/>
      <c r="CT1429" s="163"/>
      <c r="EC1429" s="344" t="str">
        <f t="shared" ref="EC1429:EC1492" si="192">B1429&amp;"_"&amp;C1429</f>
        <v>CUNDINAMARCA_SOACHA</v>
      </c>
      <c r="ED1429" s="341"/>
      <c r="EE1429" s="341"/>
      <c r="EF1429" s="348"/>
      <c r="EG1429" s="341"/>
      <c r="EH1429" s="341"/>
      <c r="EI1429" s="341"/>
    </row>
    <row r="1430" spans="1:139" s="164" customFormat="1" ht="25.5">
      <c r="A1430" s="228">
        <v>40483</v>
      </c>
      <c r="B1430" s="205" t="s">
        <v>1972</v>
      </c>
      <c r="C1430" s="205" t="s">
        <v>1633</v>
      </c>
      <c r="D1430" s="207" t="s">
        <v>1923</v>
      </c>
      <c r="E1430" s="323" t="s">
        <v>3236</v>
      </c>
      <c r="F1430" s="323"/>
      <c r="G1430" s="204"/>
      <c r="H1430" s="151">
        <v>4</v>
      </c>
      <c r="I1430" s="151"/>
      <c r="J1430" s="151"/>
      <c r="K1430" s="151"/>
      <c r="L1430" s="1"/>
      <c r="M1430" s="73">
        <f t="shared" si="187"/>
        <v>0</v>
      </c>
      <c r="N1430" s="73">
        <f t="shared" si="191"/>
        <v>0</v>
      </c>
      <c r="O1430" s="73">
        <f t="shared" si="186"/>
        <v>0</v>
      </c>
      <c r="P1430" s="73">
        <f t="shared" si="188"/>
        <v>0</v>
      </c>
      <c r="Q1430" s="73"/>
      <c r="R1430" s="73">
        <v>0</v>
      </c>
      <c r="S1430" s="75">
        <f t="shared" si="190"/>
        <v>0</v>
      </c>
      <c r="T1430" s="77">
        <v>0</v>
      </c>
      <c r="U1430" s="66">
        <v>40484</v>
      </c>
      <c r="V1430" s="79"/>
      <c r="W1430" s="66" t="s">
        <v>1585</v>
      </c>
      <c r="X1430" s="24" t="s">
        <v>1586</v>
      </c>
      <c r="Y1430" s="104"/>
      <c r="Z1430" s="169" t="s">
        <v>894</v>
      </c>
      <c r="AA1430" s="166" t="s">
        <v>1675</v>
      </c>
      <c r="AB1430" s="152"/>
      <c r="AC1430" s="153"/>
      <c r="AD1430" s="154"/>
      <c r="AE1430" s="153"/>
      <c r="AF1430" s="153"/>
      <c r="AG1430" s="153"/>
      <c r="AH1430" s="153"/>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c r="BI1430" s="153"/>
      <c r="BJ1430" s="153"/>
      <c r="BK1430" s="153"/>
      <c r="BL1430" s="153"/>
      <c r="BM1430" s="153"/>
      <c r="BN1430" s="153"/>
      <c r="BO1430" s="153"/>
      <c r="BP1430" s="153"/>
      <c r="BQ1430" s="153"/>
      <c r="BR1430" s="153"/>
      <c r="BS1430" s="153"/>
      <c r="BT1430" s="153"/>
      <c r="BU1430" s="153"/>
      <c r="BV1430" s="153"/>
      <c r="BW1430" s="153"/>
      <c r="BX1430" s="153"/>
      <c r="BY1430" s="153"/>
      <c r="BZ1430" s="153"/>
      <c r="CA1430" s="153"/>
      <c r="CB1430" s="153"/>
      <c r="CC1430" s="153"/>
      <c r="CD1430" s="155"/>
      <c r="CE1430" s="156"/>
      <c r="CF1430" s="155"/>
      <c r="CG1430" s="156"/>
      <c r="CH1430" s="155"/>
      <c r="CI1430" s="156"/>
      <c r="CJ1430" s="157">
        <f t="shared" si="189"/>
        <v>0</v>
      </c>
      <c r="CK1430" s="158"/>
      <c r="CL1430" s="159"/>
      <c r="CM1430" s="160"/>
      <c r="CN1430" s="161"/>
      <c r="CO1430" s="162"/>
      <c r="CP1430" s="161"/>
      <c r="CQ1430" s="158"/>
      <c r="CR1430" s="159"/>
      <c r="CS1430" s="68"/>
      <c r="CT1430" s="163"/>
      <c r="EC1430" s="344" t="str">
        <f t="shared" si="192"/>
        <v>ANTIOQUIA_ANORI</v>
      </c>
      <c r="ED1430" s="341"/>
      <c r="EE1430" s="341"/>
      <c r="EF1430" s="348"/>
      <c r="EG1430" s="341"/>
      <c r="EH1430" s="341"/>
      <c r="EI1430" s="341"/>
    </row>
    <row r="1431" spans="1:139" s="164" customFormat="1" ht="25.5">
      <c r="A1431" s="235">
        <v>40483</v>
      </c>
      <c r="B1431" s="269" t="s">
        <v>1972</v>
      </c>
      <c r="C1431" s="269" t="s">
        <v>1218</v>
      </c>
      <c r="D1431" s="270" t="s">
        <v>1201</v>
      </c>
      <c r="E1431" s="327" t="s">
        <v>3245</v>
      </c>
      <c r="F1431" s="327"/>
      <c r="G1431" s="204"/>
      <c r="H1431" s="151"/>
      <c r="I1431" s="151"/>
      <c r="J1431" s="151">
        <f>8002-250-400-90-10-1250-735</f>
        <v>5267</v>
      </c>
      <c r="K1431" s="151">
        <f>2559-50-80-18-2-250-147</f>
        <v>2012</v>
      </c>
      <c r="L1431" s="1"/>
      <c r="M1431" s="73">
        <f t="shared" si="187"/>
        <v>0</v>
      </c>
      <c r="N1431" s="73">
        <f t="shared" si="191"/>
        <v>0</v>
      </c>
      <c r="O1431" s="73">
        <f t="shared" si="186"/>
        <v>0</v>
      </c>
      <c r="P1431" s="73">
        <f t="shared" si="188"/>
        <v>0</v>
      </c>
      <c r="Q1431" s="73"/>
      <c r="R1431" s="73">
        <v>0</v>
      </c>
      <c r="S1431" s="75">
        <f t="shared" si="190"/>
        <v>0</v>
      </c>
      <c r="T1431" s="77">
        <v>0</v>
      </c>
      <c r="U1431" s="66">
        <v>40484</v>
      </c>
      <c r="V1431" s="79"/>
      <c r="W1431" s="66" t="s">
        <v>1585</v>
      </c>
      <c r="X1431" s="24" t="s">
        <v>1586</v>
      </c>
      <c r="Y1431" s="104"/>
      <c r="Z1431" s="169" t="s">
        <v>894</v>
      </c>
      <c r="AA1431" s="166" t="s">
        <v>1677</v>
      </c>
      <c r="AB1431" s="152"/>
      <c r="AC1431" s="153"/>
      <c r="AD1431" s="154"/>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53"/>
      <c r="BM1431" s="153"/>
      <c r="BN1431" s="153"/>
      <c r="BO1431" s="153"/>
      <c r="BP1431" s="153"/>
      <c r="BQ1431" s="153"/>
      <c r="BR1431" s="153"/>
      <c r="BS1431" s="153"/>
      <c r="BT1431" s="153"/>
      <c r="BU1431" s="153"/>
      <c r="BV1431" s="153"/>
      <c r="BW1431" s="153"/>
      <c r="BX1431" s="153"/>
      <c r="BY1431" s="153"/>
      <c r="BZ1431" s="153"/>
      <c r="CA1431" s="153"/>
      <c r="CB1431" s="153"/>
      <c r="CC1431" s="153"/>
      <c r="CD1431" s="155"/>
      <c r="CE1431" s="156"/>
      <c r="CF1431" s="155"/>
      <c r="CG1431" s="156"/>
      <c r="CH1431" s="155"/>
      <c r="CI1431" s="156"/>
      <c r="CJ1431" s="157">
        <f t="shared" si="189"/>
        <v>0</v>
      </c>
      <c r="CK1431" s="158"/>
      <c r="CL1431" s="159"/>
      <c r="CM1431" s="160"/>
      <c r="CN1431" s="161"/>
      <c r="CO1431" s="162"/>
      <c r="CP1431" s="161"/>
      <c r="CQ1431" s="158"/>
      <c r="CR1431" s="159"/>
      <c r="CS1431" s="68"/>
      <c r="CT1431" s="163"/>
      <c r="EC1431" s="344" t="str">
        <f t="shared" si="192"/>
        <v>ANTIOQUIA_BELLO</v>
      </c>
      <c r="ED1431" s="341"/>
      <c r="EE1431" s="341"/>
      <c r="EF1431" s="348"/>
      <c r="EG1431" s="341"/>
      <c r="EH1431" s="341"/>
      <c r="EI1431" s="341"/>
    </row>
    <row r="1432" spans="1:139" s="164" customFormat="1" ht="38.25">
      <c r="A1432" s="235">
        <v>40483</v>
      </c>
      <c r="B1432" s="269" t="s">
        <v>1972</v>
      </c>
      <c r="C1432" s="269" t="s">
        <v>2271</v>
      </c>
      <c r="D1432" s="270" t="s">
        <v>1201</v>
      </c>
      <c r="E1432" s="327" t="s">
        <v>3311</v>
      </c>
      <c r="F1432" s="327"/>
      <c r="G1432" s="204"/>
      <c r="H1432" s="151"/>
      <c r="I1432" s="151"/>
      <c r="J1432" s="151">
        <v>1000</v>
      </c>
      <c r="K1432" s="151">
        <v>200</v>
      </c>
      <c r="L1432" s="1"/>
      <c r="M1432" s="73">
        <f t="shared" si="187"/>
        <v>0</v>
      </c>
      <c r="N1432" s="73">
        <f t="shared" si="191"/>
        <v>0</v>
      </c>
      <c r="O1432" s="73">
        <f t="shared" si="186"/>
        <v>0</v>
      </c>
      <c r="P1432" s="73">
        <f t="shared" si="188"/>
        <v>0</v>
      </c>
      <c r="Q1432" s="73"/>
      <c r="R1432" s="73">
        <v>0</v>
      </c>
      <c r="S1432" s="75">
        <f t="shared" si="190"/>
        <v>0</v>
      </c>
      <c r="T1432" s="77">
        <v>0</v>
      </c>
      <c r="U1432" s="66">
        <v>40484</v>
      </c>
      <c r="V1432" s="79"/>
      <c r="W1432" s="66" t="s">
        <v>1585</v>
      </c>
      <c r="X1432" s="24" t="s">
        <v>1586</v>
      </c>
      <c r="Y1432" s="104"/>
      <c r="Z1432" s="169" t="s">
        <v>894</v>
      </c>
      <c r="AA1432" s="166" t="s">
        <v>1676</v>
      </c>
      <c r="AB1432" s="152"/>
      <c r="AC1432" s="153"/>
      <c r="AD1432" s="154"/>
      <c r="AE1432" s="153"/>
      <c r="AF1432" s="153"/>
      <c r="AG1432" s="153"/>
      <c r="AH1432" s="153"/>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c r="BI1432" s="153"/>
      <c r="BJ1432" s="153"/>
      <c r="BK1432" s="153"/>
      <c r="BL1432" s="153"/>
      <c r="BM1432" s="153"/>
      <c r="BN1432" s="153"/>
      <c r="BO1432" s="153"/>
      <c r="BP1432" s="153"/>
      <c r="BQ1432" s="153"/>
      <c r="BR1432" s="153"/>
      <c r="BS1432" s="153"/>
      <c r="BT1432" s="153"/>
      <c r="BU1432" s="153"/>
      <c r="BV1432" s="153"/>
      <c r="BW1432" s="153"/>
      <c r="BX1432" s="153"/>
      <c r="BY1432" s="153"/>
      <c r="BZ1432" s="153"/>
      <c r="CA1432" s="153"/>
      <c r="CB1432" s="153"/>
      <c r="CC1432" s="153"/>
      <c r="CD1432" s="155"/>
      <c r="CE1432" s="156"/>
      <c r="CF1432" s="155"/>
      <c r="CG1432" s="156"/>
      <c r="CH1432" s="155"/>
      <c r="CI1432" s="156"/>
      <c r="CJ1432" s="157">
        <f t="shared" si="189"/>
        <v>0</v>
      </c>
      <c r="CK1432" s="158"/>
      <c r="CL1432" s="159"/>
      <c r="CM1432" s="160"/>
      <c r="CN1432" s="161"/>
      <c r="CO1432" s="162"/>
      <c r="CP1432" s="161"/>
      <c r="CQ1432" s="158"/>
      <c r="CR1432" s="159"/>
      <c r="CS1432" s="68"/>
      <c r="CT1432" s="163"/>
      <c r="EC1432" s="344" t="str">
        <f t="shared" si="192"/>
        <v>ANTIOQUIA_RIONEGRO</v>
      </c>
      <c r="ED1432" s="341"/>
      <c r="EE1432" s="341"/>
      <c r="EF1432" s="348"/>
      <c r="EG1432" s="341"/>
      <c r="EH1432" s="341"/>
      <c r="EI1432" s="341"/>
    </row>
    <row r="1433" spans="1:139" s="164" customFormat="1" ht="25.5">
      <c r="A1433" s="228">
        <v>40483</v>
      </c>
      <c r="B1433" s="205" t="s">
        <v>1192</v>
      </c>
      <c r="C1433" s="205" t="s">
        <v>96</v>
      </c>
      <c r="D1433" s="207" t="s">
        <v>1878</v>
      </c>
      <c r="E1433" s="323" t="s">
        <v>3432</v>
      </c>
      <c r="F1433" s="323"/>
      <c r="G1433" s="204"/>
      <c r="H1433" s="151"/>
      <c r="I1433" s="151"/>
      <c r="J1433" s="151">
        <v>205</v>
      </c>
      <c r="K1433" s="151">
        <v>41</v>
      </c>
      <c r="L1433" s="1"/>
      <c r="M1433" s="73">
        <f t="shared" si="187"/>
        <v>0</v>
      </c>
      <c r="N1433" s="73">
        <f t="shared" si="191"/>
        <v>0</v>
      </c>
      <c r="O1433" s="73">
        <f t="shared" si="186"/>
        <v>0</v>
      </c>
      <c r="P1433" s="73">
        <f t="shared" si="188"/>
        <v>0</v>
      </c>
      <c r="Q1433" s="73"/>
      <c r="R1433" s="73">
        <v>0</v>
      </c>
      <c r="S1433" s="75">
        <f t="shared" si="190"/>
        <v>0</v>
      </c>
      <c r="T1433" s="77">
        <v>0</v>
      </c>
      <c r="U1433" s="66">
        <v>40589</v>
      </c>
      <c r="V1433" s="79"/>
      <c r="W1433" s="66" t="s">
        <v>1585</v>
      </c>
      <c r="X1433" s="24" t="s">
        <v>1586</v>
      </c>
      <c r="Y1433" s="62"/>
      <c r="Z1433" s="169" t="s">
        <v>894</v>
      </c>
      <c r="AA1433" s="166" t="s">
        <v>95</v>
      </c>
      <c r="AB1433" s="152"/>
      <c r="AC1433" s="153"/>
      <c r="AD1433" s="154"/>
      <c r="AE1433" s="153"/>
      <c r="AF1433" s="153"/>
      <c r="AG1433" s="153"/>
      <c r="AH1433" s="153"/>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c r="BI1433" s="153"/>
      <c r="BJ1433" s="153"/>
      <c r="BK1433" s="153"/>
      <c r="BL1433" s="153"/>
      <c r="BM1433" s="153"/>
      <c r="BN1433" s="153"/>
      <c r="BO1433" s="153"/>
      <c r="BP1433" s="153"/>
      <c r="BQ1433" s="153"/>
      <c r="BR1433" s="153"/>
      <c r="BS1433" s="153"/>
      <c r="BT1433" s="153"/>
      <c r="BU1433" s="153"/>
      <c r="BV1433" s="153"/>
      <c r="BW1433" s="153"/>
      <c r="BX1433" s="153"/>
      <c r="BY1433" s="153"/>
      <c r="BZ1433" s="153"/>
      <c r="CA1433" s="153"/>
      <c r="CB1433" s="153"/>
      <c r="CC1433" s="153"/>
      <c r="CD1433" s="155"/>
      <c r="CE1433" s="156"/>
      <c r="CF1433" s="155"/>
      <c r="CG1433" s="156"/>
      <c r="CH1433" s="155"/>
      <c r="CI1433" s="156"/>
      <c r="CJ1433" s="157">
        <f t="shared" si="189"/>
        <v>0</v>
      </c>
      <c r="CK1433" s="158"/>
      <c r="CL1433" s="159"/>
      <c r="CM1433" s="160"/>
      <c r="CN1433" s="161"/>
      <c r="CO1433" s="162"/>
      <c r="CP1433" s="161"/>
      <c r="CQ1433" s="158"/>
      <c r="CR1433" s="159"/>
      <c r="CS1433" s="68"/>
      <c r="CT1433" s="163"/>
      <c r="EC1433" s="344" t="str">
        <f t="shared" si="192"/>
        <v>BOYACA_BUSBANZA</v>
      </c>
      <c r="ED1433" s="341"/>
      <c r="EE1433" s="341"/>
      <c r="EF1433" s="348"/>
      <c r="EG1433" s="341"/>
      <c r="EH1433" s="341"/>
      <c r="EI1433" s="341"/>
    </row>
    <row r="1434" spans="1:139" s="164" customFormat="1" ht="25.5">
      <c r="A1434" s="228">
        <v>40483</v>
      </c>
      <c r="B1434" s="205" t="s">
        <v>653</v>
      </c>
      <c r="C1434" s="205" t="s">
        <v>2729</v>
      </c>
      <c r="D1434" s="207" t="s">
        <v>1878</v>
      </c>
      <c r="E1434" s="323" t="s">
        <v>3553</v>
      </c>
      <c r="F1434" s="323"/>
      <c r="G1434" s="204">
        <v>1</v>
      </c>
      <c r="H1434" s="151">
        <v>1</v>
      </c>
      <c r="I1434" s="151"/>
      <c r="J1434" s="151">
        <f>191*5</f>
        <v>955</v>
      </c>
      <c r="K1434" s="151">
        <v>191</v>
      </c>
      <c r="L1434" s="1"/>
      <c r="M1434" s="73">
        <f t="shared" si="187"/>
        <v>0</v>
      </c>
      <c r="N1434" s="73">
        <f t="shared" si="191"/>
        <v>0</v>
      </c>
      <c r="O1434" s="73">
        <f t="shared" si="186"/>
        <v>0</v>
      </c>
      <c r="P1434" s="73">
        <f t="shared" si="188"/>
        <v>0</v>
      </c>
      <c r="Q1434" s="73"/>
      <c r="R1434" s="73">
        <v>0</v>
      </c>
      <c r="S1434" s="75">
        <f t="shared" si="190"/>
        <v>0</v>
      </c>
      <c r="T1434" s="77">
        <v>0</v>
      </c>
      <c r="U1434" s="66"/>
      <c r="V1434" s="79"/>
      <c r="W1434" s="66" t="s">
        <v>1606</v>
      </c>
      <c r="X1434" s="24" t="s">
        <v>1607</v>
      </c>
      <c r="Y1434" s="62"/>
      <c r="Z1434" s="176" t="s">
        <v>3056</v>
      </c>
      <c r="AA1434" s="166"/>
      <c r="AB1434" s="152"/>
      <c r="AC1434" s="153"/>
      <c r="AD1434" s="154"/>
      <c r="AE1434" s="153"/>
      <c r="AF1434" s="153"/>
      <c r="AG1434" s="153"/>
      <c r="AH1434" s="153"/>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c r="BI1434" s="153"/>
      <c r="BJ1434" s="153"/>
      <c r="BK1434" s="153"/>
      <c r="BL1434" s="153"/>
      <c r="BM1434" s="153"/>
      <c r="BN1434" s="153"/>
      <c r="BO1434" s="153"/>
      <c r="BP1434" s="153"/>
      <c r="BQ1434" s="153"/>
      <c r="BR1434" s="153"/>
      <c r="BS1434" s="153"/>
      <c r="BT1434" s="153"/>
      <c r="BU1434" s="153"/>
      <c r="BV1434" s="153"/>
      <c r="BW1434" s="153"/>
      <c r="BX1434" s="153"/>
      <c r="BY1434" s="153"/>
      <c r="BZ1434" s="153"/>
      <c r="CA1434" s="153"/>
      <c r="CB1434" s="153"/>
      <c r="CC1434" s="153"/>
      <c r="CD1434" s="155"/>
      <c r="CE1434" s="156"/>
      <c r="CF1434" s="155"/>
      <c r="CG1434" s="156"/>
      <c r="CH1434" s="155"/>
      <c r="CI1434" s="156"/>
      <c r="CJ1434" s="157">
        <f t="shared" si="189"/>
        <v>0</v>
      </c>
      <c r="CK1434" s="158"/>
      <c r="CL1434" s="159"/>
      <c r="CM1434" s="160"/>
      <c r="CN1434" s="161"/>
      <c r="CO1434" s="162"/>
      <c r="CP1434" s="161"/>
      <c r="CQ1434" s="158"/>
      <c r="CR1434" s="159"/>
      <c r="CS1434" s="68"/>
      <c r="CT1434" s="163"/>
      <c r="EC1434" s="344" t="str">
        <f t="shared" si="192"/>
        <v>CALDAS_MARMATO</v>
      </c>
      <c r="ED1434" s="341"/>
      <c r="EE1434" s="341"/>
      <c r="EF1434" s="348"/>
      <c r="EG1434" s="341"/>
      <c r="EH1434" s="341"/>
      <c r="EI1434" s="341"/>
    </row>
    <row r="1435" spans="1:139" s="164" customFormat="1" ht="96">
      <c r="A1435" s="228">
        <v>40483</v>
      </c>
      <c r="B1435" s="205" t="s">
        <v>653</v>
      </c>
      <c r="C1435" s="205" t="s">
        <v>2188</v>
      </c>
      <c r="D1435" s="207" t="s">
        <v>1878</v>
      </c>
      <c r="E1435" s="323" t="s">
        <v>3563</v>
      </c>
      <c r="F1435" s="323"/>
      <c r="G1435" s="204"/>
      <c r="H1435" s="151"/>
      <c r="I1435" s="151"/>
      <c r="J1435" s="151">
        <f>321*5</f>
        <v>1605</v>
      </c>
      <c r="K1435" s="151">
        <f>336-15</f>
        <v>321</v>
      </c>
      <c r="L1435" s="1"/>
      <c r="M1435" s="73">
        <f t="shared" si="187"/>
        <v>0</v>
      </c>
      <c r="N1435" s="73">
        <f t="shared" si="191"/>
        <v>0</v>
      </c>
      <c r="O1435" s="73">
        <f t="shared" si="186"/>
        <v>0</v>
      </c>
      <c r="P1435" s="73">
        <f t="shared" si="188"/>
        <v>0</v>
      </c>
      <c r="Q1435" s="73"/>
      <c r="R1435" s="73">
        <v>75000000</v>
      </c>
      <c r="S1435" s="75">
        <f t="shared" si="190"/>
        <v>75000000</v>
      </c>
      <c r="T1435" s="77">
        <v>0</v>
      </c>
      <c r="U1435" s="66">
        <v>40507</v>
      </c>
      <c r="V1435" s="79">
        <v>67095</v>
      </c>
      <c r="W1435" s="66" t="s">
        <v>1606</v>
      </c>
      <c r="X1435" s="24" t="s">
        <v>1607</v>
      </c>
      <c r="Y1435" s="62"/>
      <c r="Z1435" s="169" t="s">
        <v>3056</v>
      </c>
      <c r="AA1435" s="166" t="s">
        <v>3034</v>
      </c>
      <c r="AB1435" s="152"/>
      <c r="AC1435" s="153"/>
      <c r="AD1435" s="154"/>
      <c r="AE1435" s="153"/>
      <c r="AF1435" s="153"/>
      <c r="AG1435" s="153"/>
      <c r="AH1435" s="153"/>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c r="BI1435" s="153"/>
      <c r="BJ1435" s="153"/>
      <c r="BK1435" s="153"/>
      <c r="BL1435" s="153"/>
      <c r="BM1435" s="153"/>
      <c r="BN1435" s="153"/>
      <c r="BO1435" s="153"/>
      <c r="BP1435" s="153"/>
      <c r="BQ1435" s="153"/>
      <c r="BR1435" s="153"/>
      <c r="BS1435" s="153"/>
      <c r="BT1435" s="153"/>
      <c r="BU1435" s="153"/>
      <c r="BV1435" s="153"/>
      <c r="BW1435" s="153"/>
      <c r="BX1435" s="153"/>
      <c r="BY1435" s="153"/>
      <c r="BZ1435" s="153"/>
      <c r="CA1435" s="153"/>
      <c r="CB1435" s="153"/>
      <c r="CC1435" s="153"/>
      <c r="CD1435" s="155"/>
      <c r="CE1435" s="156"/>
      <c r="CF1435" s="155"/>
      <c r="CG1435" s="156"/>
      <c r="CH1435" s="155"/>
      <c r="CI1435" s="156"/>
      <c r="CJ1435" s="157">
        <f t="shared" si="189"/>
        <v>0</v>
      </c>
      <c r="CK1435" s="158"/>
      <c r="CL1435" s="159"/>
      <c r="CM1435" s="160"/>
      <c r="CN1435" s="161"/>
      <c r="CO1435" s="162"/>
      <c r="CP1435" s="161"/>
      <c r="CQ1435" s="158"/>
      <c r="CR1435" s="159"/>
      <c r="CS1435" s="84" t="s">
        <v>3033</v>
      </c>
      <c r="CT1435" s="163"/>
      <c r="EC1435" s="344" t="str">
        <f t="shared" si="192"/>
        <v>CALDAS_SALAMINA</v>
      </c>
      <c r="ED1435" s="341"/>
      <c r="EE1435" s="341"/>
      <c r="EF1435" s="348"/>
      <c r="EG1435" s="341"/>
      <c r="EH1435" s="341"/>
      <c r="EI1435" s="341"/>
    </row>
    <row r="1436" spans="1:139" s="164" customFormat="1" ht="38.25">
      <c r="A1436" s="228">
        <v>40483</v>
      </c>
      <c r="B1436" s="205" t="s">
        <v>1314</v>
      </c>
      <c r="C1436" s="205" t="s">
        <v>3051</v>
      </c>
      <c r="D1436" s="207" t="s">
        <v>1201</v>
      </c>
      <c r="E1436" s="323" t="s">
        <v>3591</v>
      </c>
      <c r="F1436" s="323"/>
      <c r="G1436" s="204"/>
      <c r="H1436" s="151"/>
      <c r="I1436" s="151"/>
      <c r="J1436" s="151">
        <f>382*4</f>
        <v>1528</v>
      </c>
      <c r="K1436" s="151">
        <v>382</v>
      </c>
      <c r="L1436" s="1"/>
      <c r="M1436" s="73">
        <f t="shared" si="187"/>
        <v>0</v>
      </c>
      <c r="N1436" s="73">
        <f t="shared" si="191"/>
        <v>0</v>
      </c>
      <c r="O1436" s="73">
        <f t="shared" si="186"/>
        <v>0</v>
      </c>
      <c r="P1436" s="73">
        <f t="shared" si="188"/>
        <v>0</v>
      </c>
      <c r="Q1436" s="73"/>
      <c r="R1436" s="73">
        <v>0</v>
      </c>
      <c r="S1436" s="75">
        <f t="shared" si="190"/>
        <v>0</v>
      </c>
      <c r="T1436" s="77">
        <v>0</v>
      </c>
      <c r="U1436" s="66">
        <v>40484</v>
      </c>
      <c r="V1436" s="79"/>
      <c r="W1436" s="66" t="s">
        <v>1585</v>
      </c>
      <c r="X1436" s="24" t="s">
        <v>1586</v>
      </c>
      <c r="Y1436" s="104"/>
      <c r="Z1436" s="169" t="s">
        <v>894</v>
      </c>
      <c r="AA1436" s="166" t="s">
        <v>1673</v>
      </c>
      <c r="AB1436" s="152"/>
      <c r="AC1436" s="153"/>
      <c r="AD1436" s="154"/>
      <c r="AE1436" s="153"/>
      <c r="AF1436" s="153"/>
      <c r="AG1436" s="153"/>
      <c r="AH1436" s="153"/>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c r="BI1436" s="153"/>
      <c r="BJ1436" s="153"/>
      <c r="BK1436" s="153"/>
      <c r="BL1436" s="153"/>
      <c r="BM1436" s="153"/>
      <c r="BN1436" s="153"/>
      <c r="BO1436" s="153"/>
      <c r="BP1436" s="153"/>
      <c r="BQ1436" s="153"/>
      <c r="BR1436" s="153"/>
      <c r="BS1436" s="153"/>
      <c r="BT1436" s="153"/>
      <c r="BU1436" s="153"/>
      <c r="BV1436" s="153"/>
      <c r="BW1436" s="153"/>
      <c r="BX1436" s="153"/>
      <c r="BY1436" s="153"/>
      <c r="BZ1436" s="153"/>
      <c r="CA1436" s="153"/>
      <c r="CB1436" s="153"/>
      <c r="CC1436" s="153"/>
      <c r="CD1436" s="155"/>
      <c r="CE1436" s="156"/>
      <c r="CF1436" s="155"/>
      <c r="CG1436" s="156"/>
      <c r="CH1436" s="155"/>
      <c r="CI1436" s="156"/>
      <c r="CJ1436" s="157">
        <f t="shared" si="189"/>
        <v>0</v>
      </c>
      <c r="CK1436" s="158"/>
      <c r="CL1436" s="159"/>
      <c r="CM1436" s="160"/>
      <c r="CN1436" s="161"/>
      <c r="CO1436" s="162"/>
      <c r="CP1436" s="161"/>
      <c r="CQ1436" s="158"/>
      <c r="CR1436" s="159"/>
      <c r="CS1436" s="68"/>
      <c r="CT1436" s="163"/>
      <c r="EC1436" s="344" t="str">
        <f t="shared" si="192"/>
        <v>CAUCA_BUENOS AIRES</v>
      </c>
      <c r="ED1436" s="341"/>
      <c r="EE1436" s="341"/>
      <c r="EF1436" s="348"/>
      <c r="EG1436" s="341"/>
      <c r="EH1436" s="341"/>
      <c r="EI1436" s="341"/>
    </row>
    <row r="1437" spans="1:139" s="164" customFormat="1" ht="36">
      <c r="A1437" s="228">
        <v>40483</v>
      </c>
      <c r="B1437" s="205" t="s">
        <v>1821</v>
      </c>
      <c r="C1437" s="205" t="s">
        <v>744</v>
      </c>
      <c r="D1437" s="207" t="s">
        <v>1201</v>
      </c>
      <c r="E1437" s="323" t="s">
        <v>3631</v>
      </c>
      <c r="F1437" s="323"/>
      <c r="G1437" s="204"/>
      <c r="H1437" s="151"/>
      <c r="I1437" s="151"/>
      <c r="J1437" s="151">
        <f>1534*5</f>
        <v>7670</v>
      </c>
      <c r="K1437" s="151">
        <f>1834-150-150</f>
        <v>1534</v>
      </c>
      <c r="L1437" s="1"/>
      <c r="M1437" s="73">
        <f t="shared" si="187"/>
        <v>0</v>
      </c>
      <c r="N1437" s="73">
        <f t="shared" si="191"/>
        <v>0</v>
      </c>
      <c r="O1437" s="73">
        <f t="shared" si="186"/>
        <v>0</v>
      </c>
      <c r="P1437" s="73">
        <f t="shared" si="188"/>
        <v>0</v>
      </c>
      <c r="Q1437" s="73"/>
      <c r="R1437" s="73">
        <v>0</v>
      </c>
      <c r="S1437" s="75">
        <f t="shared" si="190"/>
        <v>0</v>
      </c>
      <c r="T1437" s="77">
        <v>0</v>
      </c>
      <c r="U1437" s="66">
        <v>40484</v>
      </c>
      <c r="V1437" s="79"/>
      <c r="W1437" s="66" t="s">
        <v>1585</v>
      </c>
      <c r="X1437" s="24" t="s">
        <v>1586</v>
      </c>
      <c r="Y1437" s="104"/>
      <c r="Z1437" s="169" t="s">
        <v>894</v>
      </c>
      <c r="AA1437" s="166" t="s">
        <v>1681</v>
      </c>
      <c r="AB1437" s="152"/>
      <c r="AC1437" s="153"/>
      <c r="AD1437" s="154"/>
      <c r="AE1437" s="153"/>
      <c r="AF1437" s="153"/>
      <c r="AG1437" s="153"/>
      <c r="AH1437" s="153"/>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c r="BI1437" s="153"/>
      <c r="BJ1437" s="153"/>
      <c r="BK1437" s="153"/>
      <c r="BL1437" s="153"/>
      <c r="BM1437" s="153"/>
      <c r="BN1437" s="153"/>
      <c r="BO1437" s="153"/>
      <c r="BP1437" s="153"/>
      <c r="BQ1437" s="153"/>
      <c r="BR1437" s="153"/>
      <c r="BS1437" s="153"/>
      <c r="BT1437" s="153"/>
      <c r="BU1437" s="153"/>
      <c r="BV1437" s="153"/>
      <c r="BW1437" s="153"/>
      <c r="BX1437" s="153"/>
      <c r="BY1437" s="153"/>
      <c r="BZ1437" s="153"/>
      <c r="CA1437" s="153"/>
      <c r="CB1437" s="153"/>
      <c r="CC1437" s="153"/>
      <c r="CD1437" s="155"/>
      <c r="CE1437" s="156"/>
      <c r="CF1437" s="155"/>
      <c r="CG1437" s="156"/>
      <c r="CH1437" s="155"/>
      <c r="CI1437" s="156"/>
      <c r="CJ1437" s="157">
        <f t="shared" si="189"/>
        <v>0</v>
      </c>
      <c r="CK1437" s="158"/>
      <c r="CL1437" s="159"/>
      <c r="CM1437" s="160"/>
      <c r="CN1437" s="161"/>
      <c r="CO1437" s="162"/>
      <c r="CP1437" s="161"/>
      <c r="CQ1437" s="158"/>
      <c r="CR1437" s="159"/>
      <c r="CS1437" s="68"/>
      <c r="CT1437" s="163"/>
      <c r="EC1437" s="344" t="str">
        <f t="shared" si="192"/>
        <v>CESAR_ASTREA</v>
      </c>
      <c r="ED1437" s="341"/>
      <c r="EE1437" s="341"/>
      <c r="EF1437" s="348"/>
      <c r="EG1437" s="341"/>
      <c r="EH1437" s="341"/>
      <c r="EI1437" s="341"/>
    </row>
    <row r="1438" spans="1:139" s="164" customFormat="1" ht="84">
      <c r="A1438" s="228">
        <v>40483</v>
      </c>
      <c r="B1438" s="205" t="s">
        <v>1821</v>
      </c>
      <c r="C1438" s="205" t="s">
        <v>355</v>
      </c>
      <c r="D1438" s="207" t="s">
        <v>1201</v>
      </c>
      <c r="E1438" s="323" t="s">
        <v>3638</v>
      </c>
      <c r="F1438" s="323"/>
      <c r="G1438" s="204"/>
      <c r="H1438" s="151"/>
      <c r="I1438" s="151"/>
      <c r="J1438" s="151">
        <f>1559*5</f>
        <v>7795</v>
      </c>
      <c r="K1438" s="151">
        <f>1795-236</f>
        <v>1559</v>
      </c>
      <c r="L1438" s="1">
        <v>40514</v>
      </c>
      <c r="M1438" s="73">
        <f t="shared" si="187"/>
        <v>14428000</v>
      </c>
      <c r="N1438" s="73">
        <f t="shared" si="191"/>
        <v>11560000</v>
      </c>
      <c r="O1438" s="73">
        <f t="shared" si="186"/>
        <v>0</v>
      </c>
      <c r="P1438" s="73">
        <f t="shared" si="188"/>
        <v>0</v>
      </c>
      <c r="Q1438" s="73">
        <f>70*25520+30*17400</f>
        <v>2308400</v>
      </c>
      <c r="R1438" s="73">
        <v>0</v>
      </c>
      <c r="S1438" s="75">
        <f t="shared" si="190"/>
        <v>28296400</v>
      </c>
      <c r="T1438" s="77">
        <v>0</v>
      </c>
      <c r="U1438" s="66">
        <v>40484</v>
      </c>
      <c r="V1438" s="79">
        <v>58953</v>
      </c>
      <c r="W1438" s="66" t="s">
        <v>1606</v>
      </c>
      <c r="X1438" s="24" t="s">
        <v>1607</v>
      </c>
      <c r="Y1438" s="83" t="s">
        <v>1121</v>
      </c>
      <c r="Z1438" s="177" t="s">
        <v>2580</v>
      </c>
      <c r="AA1438" s="166" t="s">
        <v>1124</v>
      </c>
      <c r="AB1438" s="152"/>
      <c r="AC1438" s="153"/>
      <c r="AD1438" s="154"/>
      <c r="AE1438" s="153"/>
      <c r="AF1438" s="153"/>
      <c r="AG1438" s="153"/>
      <c r="AH1438" s="153"/>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c r="BI1438" s="153"/>
      <c r="BJ1438" s="153"/>
      <c r="BK1438" s="153"/>
      <c r="BL1438" s="153"/>
      <c r="BM1438" s="153"/>
      <c r="BN1438" s="153"/>
      <c r="BO1438" s="153"/>
      <c r="BP1438" s="153"/>
      <c r="BQ1438" s="153"/>
      <c r="BR1438" s="153"/>
      <c r="BS1438" s="153"/>
      <c r="BT1438" s="153"/>
      <c r="BU1438" s="153"/>
      <c r="BV1438" s="153"/>
      <c r="BW1438" s="153"/>
      <c r="BX1438" s="153"/>
      <c r="BY1438" s="153"/>
      <c r="BZ1438" s="153"/>
      <c r="CA1438" s="153"/>
      <c r="CB1438" s="153">
        <v>250</v>
      </c>
      <c r="CC1438" s="153">
        <f>+CB1438*18000</f>
        <v>4500000</v>
      </c>
      <c r="CD1438" s="155">
        <v>136</v>
      </c>
      <c r="CE1438" s="156">
        <f>136*37000</f>
        <v>5032000</v>
      </c>
      <c r="CF1438" s="155">
        <v>136</v>
      </c>
      <c r="CG1438" s="156">
        <f>136*36000</f>
        <v>4896000</v>
      </c>
      <c r="CH1438" s="155"/>
      <c r="CI1438" s="156"/>
      <c r="CJ1438" s="157">
        <f t="shared" si="189"/>
        <v>14428000</v>
      </c>
      <c r="CK1438" s="158"/>
      <c r="CL1438" s="159"/>
      <c r="CM1438" s="160">
        <v>136</v>
      </c>
      <c r="CN1438" s="161">
        <f>136*85000</f>
        <v>11560000</v>
      </c>
      <c r="CO1438" s="162"/>
      <c r="CP1438" s="161"/>
      <c r="CQ1438" s="158"/>
      <c r="CR1438" s="159"/>
      <c r="CS1438" s="68"/>
      <c r="CT1438" s="163"/>
      <c r="EC1438" s="344" t="str">
        <f t="shared" si="192"/>
        <v>CESAR_EL PASO</v>
      </c>
      <c r="ED1438" s="341"/>
      <c r="EE1438" s="341"/>
      <c r="EF1438" s="348"/>
      <c r="EG1438" s="341"/>
      <c r="EH1438" s="341"/>
      <c r="EI1438" s="341"/>
    </row>
    <row r="1439" spans="1:139" s="164" customFormat="1" ht="51">
      <c r="A1439" s="228">
        <v>40483</v>
      </c>
      <c r="B1439" s="205" t="s">
        <v>1996</v>
      </c>
      <c r="C1439" s="205" t="s">
        <v>3154</v>
      </c>
      <c r="D1439" s="207" t="s">
        <v>1201</v>
      </c>
      <c r="E1439" s="323" t="s">
        <v>3806</v>
      </c>
      <c r="F1439" s="323"/>
      <c r="G1439" s="204"/>
      <c r="H1439" s="151"/>
      <c r="I1439" s="151"/>
      <c r="J1439" s="151">
        <v>9640</v>
      </c>
      <c r="K1439" s="151">
        <v>2102</v>
      </c>
      <c r="L1439" s="1">
        <v>40515</v>
      </c>
      <c r="M1439" s="73">
        <f t="shared" si="187"/>
        <v>7349985</v>
      </c>
      <c r="N1439" s="73">
        <f t="shared" si="191"/>
        <v>96048259.800000012</v>
      </c>
      <c r="O1439" s="73">
        <f t="shared" si="186"/>
        <v>0</v>
      </c>
      <c r="P1439" s="73">
        <f t="shared" si="188"/>
        <v>0</v>
      </c>
      <c r="Q1439" s="73"/>
      <c r="R1439" s="73">
        <v>0</v>
      </c>
      <c r="S1439" s="75">
        <f t="shared" si="190"/>
        <v>103398244.80000001</v>
      </c>
      <c r="T1439" s="77">
        <v>0</v>
      </c>
      <c r="U1439" s="66">
        <v>40484</v>
      </c>
      <c r="V1439" s="79">
        <v>62748</v>
      </c>
      <c r="W1439" s="66" t="s">
        <v>1606</v>
      </c>
      <c r="X1439" s="24" t="s">
        <v>1607</v>
      </c>
      <c r="Y1439" s="104">
        <v>26019</v>
      </c>
      <c r="Z1439" s="177" t="s">
        <v>2580</v>
      </c>
      <c r="AA1439" s="166" t="s">
        <v>1674</v>
      </c>
      <c r="AB1439" s="152"/>
      <c r="AC1439" s="153"/>
      <c r="AD1439" s="154"/>
      <c r="AE1439" s="153"/>
      <c r="AF1439" s="153"/>
      <c r="AG1439" s="153"/>
      <c r="AH1439" s="153"/>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c r="BI1439" s="153"/>
      <c r="BJ1439" s="153"/>
      <c r="BK1439" s="153"/>
      <c r="BL1439" s="153"/>
      <c r="BM1439" s="153"/>
      <c r="BN1439" s="153">
        <v>1500</v>
      </c>
      <c r="BO1439" s="153">
        <f>1500*4899.99</f>
        <v>7349985</v>
      </c>
      <c r="BP1439" s="153"/>
      <c r="BQ1439" s="153"/>
      <c r="BR1439" s="153"/>
      <c r="BS1439" s="153"/>
      <c r="BT1439" s="153"/>
      <c r="BU1439" s="153"/>
      <c r="BV1439" s="153"/>
      <c r="BW1439" s="153"/>
      <c r="BX1439" s="153"/>
      <c r="BY1439" s="153"/>
      <c r="BZ1439" s="153"/>
      <c r="CA1439" s="153"/>
      <c r="CB1439" s="153"/>
      <c r="CC1439" s="153"/>
      <c r="CD1439" s="155"/>
      <c r="CE1439" s="156"/>
      <c r="CF1439" s="155"/>
      <c r="CG1439" s="156"/>
      <c r="CH1439" s="155"/>
      <c r="CI1439" s="156"/>
      <c r="CJ1439" s="157">
        <f t="shared" si="189"/>
        <v>7349985</v>
      </c>
      <c r="CK1439" s="158"/>
      <c r="CL1439" s="159"/>
      <c r="CM1439" s="160">
        <v>1130</v>
      </c>
      <c r="CN1439" s="161">
        <f>1130*84998.46</f>
        <v>96048259.800000012</v>
      </c>
      <c r="CO1439" s="162"/>
      <c r="CP1439" s="161"/>
      <c r="CQ1439" s="158"/>
      <c r="CR1439" s="159"/>
      <c r="CS1439" s="68"/>
      <c r="CT1439" s="163"/>
      <c r="EC1439" s="344" t="str">
        <f t="shared" si="192"/>
        <v>CHOCO_EL LITORAL DEL SAN JUAN</v>
      </c>
      <c r="ED1439" s="341"/>
      <c r="EE1439" s="341"/>
      <c r="EF1439" s="348"/>
      <c r="EG1439" s="341"/>
      <c r="EH1439" s="341"/>
      <c r="EI1439" s="341"/>
    </row>
    <row r="1440" spans="1:139" s="164" customFormat="1" ht="51">
      <c r="A1440" s="228">
        <v>40483</v>
      </c>
      <c r="B1440" s="102" t="s">
        <v>4321</v>
      </c>
      <c r="C1440" s="205" t="s">
        <v>3007</v>
      </c>
      <c r="D1440" s="207" t="s">
        <v>1201</v>
      </c>
      <c r="E1440" s="323" t="s">
        <v>3864</v>
      </c>
      <c r="F1440" s="323"/>
      <c r="G1440" s="204"/>
      <c r="H1440" s="151"/>
      <c r="I1440" s="151"/>
      <c r="J1440" s="151">
        <f>332*5</f>
        <v>1660</v>
      </c>
      <c r="K1440" s="151">
        <v>332</v>
      </c>
      <c r="L1440" s="1"/>
      <c r="M1440" s="73">
        <f t="shared" si="187"/>
        <v>0</v>
      </c>
      <c r="N1440" s="73">
        <f t="shared" si="191"/>
        <v>0</v>
      </c>
      <c r="O1440" s="73">
        <f t="shared" si="186"/>
        <v>0</v>
      </c>
      <c r="P1440" s="73">
        <f t="shared" si="188"/>
        <v>0</v>
      </c>
      <c r="Q1440" s="73"/>
      <c r="R1440" s="73">
        <v>0</v>
      </c>
      <c r="S1440" s="75">
        <f t="shared" si="190"/>
        <v>0</v>
      </c>
      <c r="T1440" s="77">
        <v>0</v>
      </c>
      <c r="U1440" s="66"/>
      <c r="V1440" s="79"/>
      <c r="W1440" s="66" t="s">
        <v>1606</v>
      </c>
      <c r="X1440" s="264" t="s">
        <v>1607</v>
      </c>
      <c r="Y1440" s="62"/>
      <c r="Z1440" s="260" t="s">
        <v>18</v>
      </c>
      <c r="AA1440" s="166" t="s">
        <v>902</v>
      </c>
      <c r="AB1440" s="152"/>
      <c r="AC1440" s="153"/>
      <c r="AD1440" s="154"/>
      <c r="AE1440" s="153"/>
      <c r="AF1440" s="153"/>
      <c r="AG1440" s="153"/>
      <c r="AH1440" s="153"/>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c r="BF1440" s="153"/>
      <c r="BG1440" s="153"/>
      <c r="BH1440" s="153"/>
      <c r="BI1440" s="153"/>
      <c r="BJ1440" s="153"/>
      <c r="BK1440" s="153"/>
      <c r="BL1440" s="153"/>
      <c r="BM1440" s="153"/>
      <c r="BN1440" s="153"/>
      <c r="BO1440" s="153"/>
      <c r="BP1440" s="153"/>
      <c r="BQ1440" s="153"/>
      <c r="BR1440" s="153"/>
      <c r="BS1440" s="153"/>
      <c r="BT1440" s="153"/>
      <c r="BU1440" s="153"/>
      <c r="BV1440" s="153"/>
      <c r="BW1440" s="153"/>
      <c r="BX1440" s="153"/>
      <c r="BY1440" s="153"/>
      <c r="BZ1440" s="153"/>
      <c r="CA1440" s="153"/>
      <c r="CB1440" s="153"/>
      <c r="CC1440" s="153"/>
      <c r="CD1440" s="155"/>
      <c r="CE1440" s="156"/>
      <c r="CF1440" s="155"/>
      <c r="CG1440" s="156"/>
      <c r="CH1440" s="155"/>
      <c r="CI1440" s="156"/>
      <c r="CJ1440" s="157">
        <f t="shared" si="189"/>
        <v>0</v>
      </c>
      <c r="CK1440" s="158"/>
      <c r="CL1440" s="159"/>
      <c r="CM1440" s="160"/>
      <c r="CN1440" s="161"/>
      <c r="CO1440" s="162"/>
      <c r="CP1440" s="161"/>
      <c r="CQ1440" s="158"/>
      <c r="CR1440" s="159"/>
      <c r="CS1440" s="68"/>
      <c r="CT1440" s="163"/>
      <c r="EC1440" s="344" t="str">
        <f t="shared" si="192"/>
        <v>LA GUAJIRA_DISTRACCION</v>
      </c>
      <c r="ED1440" s="341"/>
      <c r="EE1440" s="341"/>
      <c r="EF1440" s="348"/>
      <c r="EG1440" s="341"/>
      <c r="EH1440" s="341"/>
      <c r="EI1440" s="341"/>
    </row>
    <row r="1441" spans="1:139" s="164" customFormat="1" ht="51">
      <c r="A1441" s="228">
        <v>40483</v>
      </c>
      <c r="B1441" s="205" t="s">
        <v>1440</v>
      </c>
      <c r="C1441" s="205" t="s">
        <v>1468</v>
      </c>
      <c r="D1441" s="207" t="s">
        <v>1201</v>
      </c>
      <c r="E1441" s="323" t="s">
        <v>3895</v>
      </c>
      <c r="F1441" s="323"/>
      <c r="G1441" s="204"/>
      <c r="H1441" s="151"/>
      <c r="I1441" s="151"/>
      <c r="J1441" s="151">
        <v>1040</v>
      </c>
      <c r="K1441" s="151">
        <v>208</v>
      </c>
      <c r="L1441" s="1"/>
      <c r="M1441" s="73">
        <f t="shared" si="187"/>
        <v>940000</v>
      </c>
      <c r="N1441" s="73">
        <f t="shared" si="191"/>
        <v>17000000</v>
      </c>
      <c r="O1441" s="73">
        <f t="shared" si="186"/>
        <v>0</v>
      </c>
      <c r="P1441" s="73">
        <f t="shared" si="188"/>
        <v>0</v>
      </c>
      <c r="Q1441" s="73"/>
      <c r="R1441" s="73">
        <v>0</v>
      </c>
      <c r="S1441" s="75">
        <f t="shared" si="190"/>
        <v>17940000</v>
      </c>
      <c r="T1441" s="77">
        <v>0</v>
      </c>
      <c r="U1441" s="66">
        <v>40508</v>
      </c>
      <c r="V1441" s="79"/>
      <c r="W1441" s="66" t="s">
        <v>1606</v>
      </c>
      <c r="X1441" s="24" t="s">
        <v>1607</v>
      </c>
      <c r="Y1441" s="104" t="s">
        <v>1472</v>
      </c>
      <c r="Z1441" s="169"/>
      <c r="AA1441" s="166" t="s">
        <v>1469</v>
      </c>
      <c r="AB1441" s="152"/>
      <c r="AC1441" s="153"/>
      <c r="AD1441" s="154"/>
      <c r="AE1441" s="153"/>
      <c r="AF1441" s="153"/>
      <c r="AG1441" s="153"/>
      <c r="AH1441" s="153"/>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c r="BI1441" s="153"/>
      <c r="BJ1441" s="153"/>
      <c r="BK1441" s="153"/>
      <c r="BL1441" s="153"/>
      <c r="BM1441" s="153"/>
      <c r="BN1441" s="153">
        <v>2</v>
      </c>
      <c r="BO1441" s="153">
        <f>2*470000</f>
        <v>940000</v>
      </c>
      <c r="BP1441" s="153"/>
      <c r="BQ1441" s="153"/>
      <c r="BR1441" s="153"/>
      <c r="BS1441" s="153"/>
      <c r="BT1441" s="153"/>
      <c r="BU1441" s="153"/>
      <c r="BV1441" s="153"/>
      <c r="BW1441" s="153"/>
      <c r="BX1441" s="153"/>
      <c r="BY1441" s="153"/>
      <c r="BZ1441" s="153"/>
      <c r="CA1441" s="153"/>
      <c r="CB1441" s="153"/>
      <c r="CC1441" s="153"/>
      <c r="CD1441" s="155"/>
      <c r="CE1441" s="156"/>
      <c r="CF1441" s="155"/>
      <c r="CG1441" s="156"/>
      <c r="CH1441" s="155"/>
      <c r="CI1441" s="156"/>
      <c r="CJ1441" s="157">
        <f t="shared" si="189"/>
        <v>940000</v>
      </c>
      <c r="CK1441" s="158"/>
      <c r="CL1441" s="159"/>
      <c r="CM1441" s="160">
        <v>200</v>
      </c>
      <c r="CN1441" s="161">
        <f>200*85000</f>
        <v>17000000</v>
      </c>
      <c r="CO1441" s="162"/>
      <c r="CP1441" s="161"/>
      <c r="CQ1441" s="158"/>
      <c r="CR1441" s="159"/>
      <c r="CS1441" s="68"/>
      <c r="CT1441" s="163"/>
      <c r="EC1441" s="344" t="str">
        <f t="shared" si="192"/>
        <v>MAGDALENA_SABANAS DE SAN ANGEL</v>
      </c>
      <c r="ED1441" s="341"/>
      <c r="EE1441" s="341"/>
      <c r="EF1441" s="348"/>
      <c r="EG1441" s="341"/>
      <c r="EH1441" s="341"/>
      <c r="EI1441" s="341"/>
    </row>
    <row r="1442" spans="1:139" s="164" customFormat="1" ht="51">
      <c r="A1442" s="228">
        <v>40483</v>
      </c>
      <c r="B1442" s="205" t="s">
        <v>965</v>
      </c>
      <c r="C1442" s="205" t="s">
        <v>3009</v>
      </c>
      <c r="D1442" s="207" t="s">
        <v>1201</v>
      </c>
      <c r="E1442" s="323" t="s">
        <v>4000</v>
      </c>
      <c r="F1442" s="323"/>
      <c r="G1442" s="204"/>
      <c r="H1442" s="151"/>
      <c r="I1442" s="151"/>
      <c r="J1442" s="151">
        <v>2212</v>
      </c>
      <c r="K1442" s="151">
        <v>316</v>
      </c>
      <c r="L1442" s="1"/>
      <c r="M1442" s="73">
        <f t="shared" si="187"/>
        <v>0</v>
      </c>
      <c r="N1442" s="73">
        <f t="shared" si="191"/>
        <v>0</v>
      </c>
      <c r="O1442" s="73">
        <f t="shared" si="186"/>
        <v>0</v>
      </c>
      <c r="P1442" s="73">
        <f t="shared" si="188"/>
        <v>0</v>
      </c>
      <c r="Q1442" s="73"/>
      <c r="R1442" s="73">
        <v>0</v>
      </c>
      <c r="S1442" s="75">
        <f t="shared" si="190"/>
        <v>0</v>
      </c>
      <c r="T1442" s="77">
        <v>0</v>
      </c>
      <c r="U1442" s="66">
        <v>40529</v>
      </c>
      <c r="V1442" s="79"/>
      <c r="W1442" s="66" t="s">
        <v>1606</v>
      </c>
      <c r="X1442" s="264" t="s">
        <v>1607</v>
      </c>
      <c r="Y1442" s="62"/>
      <c r="Z1442" s="260" t="s">
        <v>18</v>
      </c>
      <c r="AA1442" s="166"/>
      <c r="AB1442" s="152"/>
      <c r="AC1442" s="153"/>
      <c r="AD1442" s="154"/>
      <c r="AE1442" s="153"/>
      <c r="AF1442" s="153"/>
      <c r="AG1442" s="153"/>
      <c r="AH1442" s="153"/>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c r="BI1442" s="153"/>
      <c r="BJ1442" s="153"/>
      <c r="BK1442" s="153"/>
      <c r="BL1442" s="153"/>
      <c r="BM1442" s="153"/>
      <c r="BN1442" s="153"/>
      <c r="BO1442" s="153"/>
      <c r="BP1442" s="153"/>
      <c r="BQ1442" s="153"/>
      <c r="BR1442" s="153"/>
      <c r="BS1442" s="153"/>
      <c r="BT1442" s="153"/>
      <c r="BU1442" s="153"/>
      <c r="BV1442" s="153"/>
      <c r="BW1442" s="153"/>
      <c r="BX1442" s="153"/>
      <c r="BY1442" s="153"/>
      <c r="BZ1442" s="153"/>
      <c r="CA1442" s="153"/>
      <c r="CB1442" s="153"/>
      <c r="CC1442" s="153"/>
      <c r="CD1442" s="155"/>
      <c r="CE1442" s="156"/>
      <c r="CF1442" s="155"/>
      <c r="CG1442" s="156"/>
      <c r="CH1442" s="155"/>
      <c r="CI1442" s="156"/>
      <c r="CJ1442" s="157">
        <f t="shared" si="189"/>
        <v>0</v>
      </c>
      <c r="CK1442" s="158"/>
      <c r="CL1442" s="159"/>
      <c r="CM1442" s="160"/>
      <c r="CN1442" s="161"/>
      <c r="CO1442" s="162"/>
      <c r="CP1442" s="161"/>
      <c r="CQ1442" s="158"/>
      <c r="CR1442" s="159"/>
      <c r="CS1442" s="68"/>
      <c r="CT1442" s="163"/>
      <c r="EC1442" s="344" t="str">
        <f t="shared" si="192"/>
        <v>NORTE DE SANTANDER_ARBOLEDAS</v>
      </c>
      <c r="ED1442" s="341"/>
      <c r="EE1442" s="341"/>
      <c r="EF1442" s="348"/>
      <c r="EG1442" s="341"/>
      <c r="EH1442" s="341"/>
      <c r="EI1442" s="341"/>
    </row>
    <row r="1443" spans="1:139" s="164" customFormat="1" ht="51">
      <c r="A1443" s="228">
        <v>40483</v>
      </c>
      <c r="B1443" s="205" t="s">
        <v>965</v>
      </c>
      <c r="C1443" s="205" t="s">
        <v>714</v>
      </c>
      <c r="D1443" s="207" t="s">
        <v>1201</v>
      </c>
      <c r="E1443" s="323" t="s">
        <v>4018</v>
      </c>
      <c r="F1443" s="323"/>
      <c r="G1443" s="204"/>
      <c r="H1443" s="151"/>
      <c r="I1443" s="151"/>
      <c r="J1443" s="151">
        <v>2607</v>
      </c>
      <c r="K1443" s="151">
        <v>689</v>
      </c>
      <c r="L1443" s="1"/>
      <c r="M1443" s="73">
        <f t="shared" si="187"/>
        <v>0</v>
      </c>
      <c r="N1443" s="73">
        <f t="shared" si="191"/>
        <v>0</v>
      </c>
      <c r="O1443" s="73">
        <f t="shared" si="186"/>
        <v>0</v>
      </c>
      <c r="P1443" s="73">
        <f t="shared" si="188"/>
        <v>0</v>
      </c>
      <c r="Q1443" s="73"/>
      <c r="R1443" s="73">
        <v>0</v>
      </c>
      <c r="S1443" s="75">
        <f t="shared" si="190"/>
        <v>0</v>
      </c>
      <c r="T1443" s="77">
        <v>0</v>
      </c>
      <c r="U1443" s="66">
        <v>40529</v>
      </c>
      <c r="V1443" s="79"/>
      <c r="W1443" s="66" t="s">
        <v>1606</v>
      </c>
      <c r="X1443" s="264" t="s">
        <v>1607</v>
      </c>
      <c r="Y1443" s="62"/>
      <c r="Z1443" s="260" t="s">
        <v>18</v>
      </c>
      <c r="AA1443" s="166"/>
      <c r="AB1443" s="152"/>
      <c r="AC1443" s="153"/>
      <c r="AD1443" s="154"/>
      <c r="AE1443" s="153"/>
      <c r="AF1443" s="153"/>
      <c r="AG1443" s="153"/>
      <c r="AH1443" s="153"/>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c r="BI1443" s="153"/>
      <c r="BJ1443" s="153"/>
      <c r="BK1443" s="153"/>
      <c r="BL1443" s="153"/>
      <c r="BM1443" s="153"/>
      <c r="BN1443" s="153"/>
      <c r="BO1443" s="153"/>
      <c r="BP1443" s="153"/>
      <c r="BQ1443" s="153"/>
      <c r="BR1443" s="153"/>
      <c r="BS1443" s="153"/>
      <c r="BT1443" s="153"/>
      <c r="BU1443" s="153"/>
      <c r="BV1443" s="153"/>
      <c r="BW1443" s="153"/>
      <c r="BX1443" s="153"/>
      <c r="BY1443" s="153"/>
      <c r="BZ1443" s="153"/>
      <c r="CA1443" s="153"/>
      <c r="CB1443" s="153"/>
      <c r="CC1443" s="153"/>
      <c r="CD1443" s="155"/>
      <c r="CE1443" s="156"/>
      <c r="CF1443" s="155"/>
      <c r="CG1443" s="156"/>
      <c r="CH1443" s="155"/>
      <c r="CI1443" s="156"/>
      <c r="CJ1443" s="157">
        <f t="shared" si="189"/>
        <v>0</v>
      </c>
      <c r="CK1443" s="158"/>
      <c r="CL1443" s="159"/>
      <c r="CM1443" s="160"/>
      <c r="CN1443" s="161"/>
      <c r="CO1443" s="162"/>
      <c r="CP1443" s="161"/>
      <c r="CQ1443" s="158"/>
      <c r="CR1443" s="159"/>
      <c r="CS1443" s="68"/>
      <c r="CT1443" s="163"/>
      <c r="EC1443" s="344" t="str">
        <f t="shared" si="192"/>
        <v>NORTE DE SANTANDER_LA PLAYA</v>
      </c>
      <c r="ED1443" s="341"/>
      <c r="EE1443" s="341"/>
      <c r="EF1443" s="348"/>
      <c r="EG1443" s="341"/>
      <c r="EH1443" s="341"/>
      <c r="EI1443" s="341"/>
    </row>
    <row r="1444" spans="1:139" s="164" customFormat="1" ht="51">
      <c r="A1444" s="228">
        <v>40483</v>
      </c>
      <c r="B1444" s="205" t="s">
        <v>965</v>
      </c>
      <c r="C1444" s="205" t="s">
        <v>715</v>
      </c>
      <c r="D1444" s="207" t="s">
        <v>1201</v>
      </c>
      <c r="E1444" s="323" t="s">
        <v>4020</v>
      </c>
      <c r="F1444" s="323"/>
      <c r="G1444" s="204"/>
      <c r="H1444" s="151"/>
      <c r="I1444" s="151"/>
      <c r="J1444" s="151">
        <v>1214</v>
      </c>
      <c r="K1444" s="151">
        <v>265</v>
      </c>
      <c r="L1444" s="1"/>
      <c r="M1444" s="73">
        <f t="shared" si="187"/>
        <v>62010000</v>
      </c>
      <c r="N1444" s="73">
        <f t="shared" si="191"/>
        <v>25500000</v>
      </c>
      <c r="O1444" s="73">
        <f t="shared" si="186"/>
        <v>0</v>
      </c>
      <c r="P1444" s="73">
        <f t="shared" si="188"/>
        <v>0</v>
      </c>
      <c r="Q1444" s="73">
        <f>500*18000</f>
        <v>9000000</v>
      </c>
      <c r="R1444" s="73">
        <v>0</v>
      </c>
      <c r="S1444" s="75">
        <f t="shared" si="190"/>
        <v>96510000</v>
      </c>
      <c r="T1444" s="77">
        <v>0</v>
      </c>
      <c r="U1444" s="66"/>
      <c r="V1444" s="79"/>
      <c r="W1444" s="66" t="s">
        <v>1606</v>
      </c>
      <c r="X1444" s="24" t="s">
        <v>1607</v>
      </c>
      <c r="Y1444" s="62"/>
      <c r="Z1444" s="260" t="s">
        <v>18</v>
      </c>
      <c r="AA1444" s="166" t="s">
        <v>3094</v>
      </c>
      <c r="AB1444" s="152"/>
      <c r="AC1444" s="153"/>
      <c r="AD1444" s="154"/>
      <c r="AE1444" s="153"/>
      <c r="AF1444" s="153"/>
      <c r="AG1444" s="153"/>
      <c r="AH1444" s="153"/>
      <c r="AI1444" s="153"/>
      <c r="AJ1444" s="153"/>
      <c r="AK1444" s="153"/>
      <c r="AL1444" s="153"/>
      <c r="AM1444" s="153"/>
      <c r="AN1444" s="153"/>
      <c r="AO1444" s="153"/>
      <c r="AP1444" s="153">
        <v>300</v>
      </c>
      <c r="AQ1444" s="153">
        <f>300*85000</f>
        <v>25500000</v>
      </c>
      <c r="AR1444" s="153"/>
      <c r="AS1444" s="153"/>
      <c r="AT1444" s="153"/>
      <c r="AU1444" s="153"/>
      <c r="AV1444" s="153"/>
      <c r="AW1444" s="153"/>
      <c r="AX1444" s="153"/>
      <c r="AY1444" s="153"/>
      <c r="AZ1444" s="153"/>
      <c r="BA1444" s="153"/>
      <c r="BB1444" s="153"/>
      <c r="BC1444" s="153"/>
      <c r="BD1444" s="153"/>
      <c r="BE1444" s="153"/>
      <c r="BF1444" s="153"/>
      <c r="BG1444" s="153"/>
      <c r="BH1444" s="153"/>
      <c r="BI1444" s="153"/>
      <c r="BJ1444" s="153"/>
      <c r="BK1444" s="153"/>
      <c r="BL1444" s="153"/>
      <c r="BM1444" s="153"/>
      <c r="BN1444" s="153"/>
      <c r="BO1444" s="153"/>
      <c r="BP1444" s="153"/>
      <c r="BQ1444" s="153"/>
      <c r="BR1444" s="153"/>
      <c r="BS1444" s="153"/>
      <c r="BT1444" s="153"/>
      <c r="BU1444" s="153"/>
      <c r="BV1444" s="153"/>
      <c r="BW1444" s="153"/>
      <c r="BX1444" s="153">
        <v>300</v>
      </c>
      <c r="BY1444" s="153">
        <f>300*21000</f>
        <v>6300000</v>
      </c>
      <c r="BZ1444" s="153"/>
      <c r="CA1444" s="153"/>
      <c r="CB1444" s="153">
        <v>400</v>
      </c>
      <c r="CC1444" s="153">
        <f>400*18000</f>
        <v>7200000</v>
      </c>
      <c r="CD1444" s="155">
        <v>300</v>
      </c>
      <c r="CE1444" s="156">
        <f>300*37000</f>
        <v>11100000</v>
      </c>
      <c r="CF1444" s="155">
        <v>300</v>
      </c>
      <c r="CG1444" s="156">
        <f>300*39700</f>
        <v>11910000</v>
      </c>
      <c r="CH1444" s="155"/>
      <c r="CI1444" s="156"/>
      <c r="CJ1444" s="157">
        <f t="shared" si="189"/>
        <v>62010000</v>
      </c>
      <c r="CK1444" s="158"/>
      <c r="CL1444" s="159"/>
      <c r="CM1444" s="160">
        <v>300</v>
      </c>
      <c r="CN1444" s="161">
        <f>300*85000</f>
        <v>25500000</v>
      </c>
      <c r="CO1444" s="162"/>
      <c r="CP1444" s="161"/>
      <c r="CQ1444" s="158"/>
      <c r="CR1444" s="159"/>
      <c r="CS1444" s="68"/>
      <c r="CT1444" s="163"/>
      <c r="EC1444" s="344" t="str">
        <f t="shared" si="192"/>
        <v>NORTE DE SANTANDER_LOURDES</v>
      </c>
      <c r="ED1444" s="341"/>
      <c r="EE1444" s="341"/>
      <c r="EF1444" s="348"/>
      <c r="EG1444" s="341"/>
      <c r="EH1444" s="341"/>
      <c r="EI1444" s="341"/>
    </row>
    <row r="1445" spans="1:139" s="164" customFormat="1" ht="51">
      <c r="A1445" s="228">
        <v>40483</v>
      </c>
      <c r="B1445" s="205" t="s">
        <v>965</v>
      </c>
      <c r="C1445" s="205" t="s">
        <v>3003</v>
      </c>
      <c r="D1445" s="207" t="s">
        <v>1201</v>
      </c>
      <c r="E1445" s="323" t="s">
        <v>4031</v>
      </c>
      <c r="F1445" s="323"/>
      <c r="G1445" s="204"/>
      <c r="H1445" s="151"/>
      <c r="I1445" s="151"/>
      <c r="J1445" s="151">
        <v>1495</v>
      </c>
      <c r="K1445" s="151">
        <v>285</v>
      </c>
      <c r="L1445" s="1"/>
      <c r="M1445" s="73">
        <f t="shared" si="187"/>
        <v>0</v>
      </c>
      <c r="N1445" s="73">
        <f t="shared" si="191"/>
        <v>0</v>
      </c>
      <c r="O1445" s="73">
        <f t="shared" si="186"/>
        <v>0</v>
      </c>
      <c r="P1445" s="73">
        <f t="shared" si="188"/>
        <v>0</v>
      </c>
      <c r="Q1445" s="73"/>
      <c r="R1445" s="73">
        <v>0</v>
      </c>
      <c r="S1445" s="75">
        <f t="shared" si="190"/>
        <v>0</v>
      </c>
      <c r="T1445" s="77">
        <v>0</v>
      </c>
      <c r="U1445" s="66">
        <v>40529</v>
      </c>
      <c r="V1445" s="79"/>
      <c r="W1445" s="66" t="s">
        <v>1606</v>
      </c>
      <c r="X1445" s="264" t="s">
        <v>1607</v>
      </c>
      <c r="Y1445" s="62"/>
      <c r="Z1445" s="260" t="s">
        <v>18</v>
      </c>
      <c r="AA1445" s="166"/>
      <c r="AB1445" s="152"/>
      <c r="AC1445" s="153"/>
      <c r="AD1445" s="154"/>
      <c r="AE1445" s="153"/>
      <c r="AF1445" s="153"/>
      <c r="AG1445" s="153"/>
      <c r="AH1445" s="153"/>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c r="BI1445" s="153"/>
      <c r="BJ1445" s="153"/>
      <c r="BK1445" s="153"/>
      <c r="BL1445" s="153"/>
      <c r="BM1445" s="153"/>
      <c r="BN1445" s="153"/>
      <c r="BO1445" s="153"/>
      <c r="BP1445" s="153"/>
      <c r="BQ1445" s="153"/>
      <c r="BR1445" s="153"/>
      <c r="BS1445" s="153"/>
      <c r="BT1445" s="153"/>
      <c r="BU1445" s="153"/>
      <c r="BV1445" s="153"/>
      <c r="BW1445" s="153"/>
      <c r="BX1445" s="153"/>
      <c r="BY1445" s="153"/>
      <c r="BZ1445" s="153"/>
      <c r="CA1445" s="153"/>
      <c r="CB1445" s="153"/>
      <c r="CC1445" s="153"/>
      <c r="CD1445" s="155"/>
      <c r="CE1445" s="156"/>
      <c r="CF1445" s="155"/>
      <c r="CG1445" s="156"/>
      <c r="CH1445" s="155"/>
      <c r="CI1445" s="156"/>
      <c r="CJ1445" s="157">
        <f t="shared" si="189"/>
        <v>0</v>
      </c>
      <c r="CK1445" s="158"/>
      <c r="CL1445" s="159"/>
      <c r="CM1445" s="160"/>
      <c r="CN1445" s="161"/>
      <c r="CO1445" s="162"/>
      <c r="CP1445" s="161"/>
      <c r="CQ1445" s="158"/>
      <c r="CR1445" s="159"/>
      <c r="CS1445" s="68"/>
      <c r="CT1445" s="163"/>
      <c r="EC1445" s="344" t="str">
        <f t="shared" si="192"/>
        <v>NORTE DE SANTANDER_SARDINATA</v>
      </c>
      <c r="ED1445" s="341"/>
      <c r="EE1445" s="341"/>
      <c r="EF1445" s="348"/>
      <c r="EG1445" s="341"/>
      <c r="EH1445" s="341"/>
      <c r="EI1445" s="341"/>
    </row>
    <row r="1446" spans="1:139" s="164" customFormat="1" ht="38.25">
      <c r="A1446" s="228">
        <v>40483</v>
      </c>
      <c r="B1446" s="205" t="s">
        <v>1612</v>
      </c>
      <c r="C1446" s="205" t="s">
        <v>611</v>
      </c>
      <c r="D1446" s="207" t="s">
        <v>1201</v>
      </c>
      <c r="E1446" s="323" t="s">
        <v>4046</v>
      </c>
      <c r="F1446" s="323"/>
      <c r="G1446" s="204"/>
      <c r="H1446" s="151">
        <v>4</v>
      </c>
      <c r="I1446" s="151"/>
      <c r="J1446" s="151"/>
      <c r="K1446" s="151"/>
      <c r="L1446" s="1"/>
      <c r="M1446" s="73">
        <f t="shared" si="187"/>
        <v>0</v>
      </c>
      <c r="N1446" s="73">
        <f t="shared" si="191"/>
        <v>0</v>
      </c>
      <c r="O1446" s="73">
        <f t="shared" si="186"/>
        <v>0</v>
      </c>
      <c r="P1446" s="73">
        <f t="shared" si="188"/>
        <v>0</v>
      </c>
      <c r="Q1446" s="73"/>
      <c r="R1446" s="73">
        <v>0</v>
      </c>
      <c r="S1446" s="75">
        <f t="shared" si="190"/>
        <v>0</v>
      </c>
      <c r="T1446" s="77">
        <v>0</v>
      </c>
      <c r="U1446" s="66">
        <v>40484</v>
      </c>
      <c r="V1446" s="79"/>
      <c r="W1446" s="66" t="s">
        <v>1585</v>
      </c>
      <c r="X1446" s="24" t="s">
        <v>1586</v>
      </c>
      <c r="Y1446" s="104"/>
      <c r="Z1446" s="169" t="s">
        <v>894</v>
      </c>
      <c r="AA1446" s="166" t="s">
        <v>1679</v>
      </c>
      <c r="AB1446" s="152"/>
      <c r="AC1446" s="153"/>
      <c r="AD1446" s="154"/>
      <c r="AE1446" s="153"/>
      <c r="AF1446" s="153"/>
      <c r="AG1446" s="153"/>
      <c r="AH1446" s="153"/>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c r="BI1446" s="153"/>
      <c r="BJ1446" s="153"/>
      <c r="BK1446" s="153"/>
      <c r="BL1446" s="153"/>
      <c r="BM1446" s="153"/>
      <c r="BN1446" s="153"/>
      <c r="BO1446" s="153"/>
      <c r="BP1446" s="153"/>
      <c r="BQ1446" s="153"/>
      <c r="BR1446" s="153"/>
      <c r="BS1446" s="153"/>
      <c r="BT1446" s="153"/>
      <c r="BU1446" s="153"/>
      <c r="BV1446" s="153"/>
      <c r="BW1446" s="153"/>
      <c r="BX1446" s="153"/>
      <c r="BY1446" s="153"/>
      <c r="BZ1446" s="153"/>
      <c r="CA1446" s="153"/>
      <c r="CB1446" s="153"/>
      <c r="CC1446" s="153"/>
      <c r="CD1446" s="155"/>
      <c r="CE1446" s="156"/>
      <c r="CF1446" s="155"/>
      <c r="CG1446" s="156"/>
      <c r="CH1446" s="155"/>
      <c r="CI1446" s="156"/>
      <c r="CJ1446" s="157">
        <f t="shared" si="189"/>
        <v>0</v>
      </c>
      <c r="CK1446" s="158"/>
      <c r="CL1446" s="159"/>
      <c r="CM1446" s="160"/>
      <c r="CN1446" s="161"/>
      <c r="CO1446" s="162"/>
      <c r="CP1446" s="161"/>
      <c r="CQ1446" s="158"/>
      <c r="CR1446" s="159"/>
      <c r="CS1446" s="68"/>
      <c r="CT1446" s="163"/>
      <c r="EC1446" s="344" t="str">
        <f t="shared" si="192"/>
        <v>QUINDIO_MONTENEGRO</v>
      </c>
      <c r="ED1446" s="341"/>
      <c r="EE1446" s="341"/>
      <c r="EF1446" s="348"/>
      <c r="EG1446" s="341"/>
      <c r="EH1446" s="341"/>
      <c r="EI1446" s="341"/>
    </row>
    <row r="1447" spans="1:139" s="164" customFormat="1" ht="25.5">
      <c r="A1447" s="228">
        <v>40483</v>
      </c>
      <c r="B1447" s="205" t="s">
        <v>1612</v>
      </c>
      <c r="C1447" s="205" t="s">
        <v>2713</v>
      </c>
      <c r="D1447" s="207" t="s">
        <v>1201</v>
      </c>
      <c r="E1447" s="323" t="s">
        <v>4047</v>
      </c>
      <c r="F1447" s="323"/>
      <c r="G1447" s="204"/>
      <c r="H1447" s="151"/>
      <c r="I1447" s="151"/>
      <c r="J1447" s="151">
        <v>10</v>
      </c>
      <c r="K1447" s="151">
        <v>2</v>
      </c>
      <c r="L1447" s="1"/>
      <c r="M1447" s="73">
        <f t="shared" si="187"/>
        <v>0</v>
      </c>
      <c r="N1447" s="73">
        <f t="shared" si="191"/>
        <v>0</v>
      </c>
      <c r="O1447" s="73">
        <f t="shared" si="186"/>
        <v>0</v>
      </c>
      <c r="P1447" s="73">
        <f t="shared" si="188"/>
        <v>0</v>
      </c>
      <c r="Q1447" s="73"/>
      <c r="R1447" s="73">
        <v>0</v>
      </c>
      <c r="S1447" s="75">
        <f t="shared" si="190"/>
        <v>0</v>
      </c>
      <c r="T1447" s="77">
        <v>0</v>
      </c>
      <c r="U1447" s="66">
        <v>40484</v>
      </c>
      <c r="V1447" s="79"/>
      <c r="W1447" s="66" t="s">
        <v>1585</v>
      </c>
      <c r="X1447" s="24" t="s">
        <v>1586</v>
      </c>
      <c r="Y1447" s="104"/>
      <c r="Z1447" s="169" t="s">
        <v>894</v>
      </c>
      <c r="AA1447" s="166" t="s">
        <v>1678</v>
      </c>
      <c r="AB1447" s="152"/>
      <c r="AC1447" s="153"/>
      <c r="AD1447" s="154"/>
      <c r="AE1447" s="153"/>
      <c r="AF1447" s="153"/>
      <c r="AG1447" s="153"/>
      <c r="AH1447" s="153"/>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c r="BI1447" s="153"/>
      <c r="BJ1447" s="153"/>
      <c r="BK1447" s="153"/>
      <c r="BL1447" s="153"/>
      <c r="BM1447" s="153"/>
      <c r="BN1447" s="153"/>
      <c r="BO1447" s="153"/>
      <c r="BP1447" s="153"/>
      <c r="BQ1447" s="153"/>
      <c r="BR1447" s="153"/>
      <c r="BS1447" s="153"/>
      <c r="BT1447" s="153"/>
      <c r="BU1447" s="153"/>
      <c r="BV1447" s="153"/>
      <c r="BW1447" s="153"/>
      <c r="BX1447" s="153"/>
      <c r="BY1447" s="153"/>
      <c r="BZ1447" s="153"/>
      <c r="CA1447" s="153"/>
      <c r="CB1447" s="153"/>
      <c r="CC1447" s="153"/>
      <c r="CD1447" s="155"/>
      <c r="CE1447" s="156"/>
      <c r="CF1447" s="155"/>
      <c r="CG1447" s="156"/>
      <c r="CH1447" s="155"/>
      <c r="CI1447" s="156"/>
      <c r="CJ1447" s="157">
        <f t="shared" si="189"/>
        <v>0</v>
      </c>
      <c r="CK1447" s="158"/>
      <c r="CL1447" s="159"/>
      <c r="CM1447" s="160"/>
      <c r="CN1447" s="161"/>
      <c r="CO1447" s="162"/>
      <c r="CP1447" s="161"/>
      <c r="CQ1447" s="158"/>
      <c r="CR1447" s="159"/>
      <c r="CS1447" s="68"/>
      <c r="CT1447" s="163"/>
      <c r="EC1447" s="344" t="str">
        <f t="shared" si="192"/>
        <v>QUINDIO_PIJAO</v>
      </c>
      <c r="ED1447" s="341"/>
      <c r="EE1447" s="341"/>
      <c r="EF1447" s="348"/>
      <c r="EG1447" s="341"/>
      <c r="EH1447" s="341"/>
      <c r="EI1447" s="341"/>
    </row>
    <row r="1448" spans="1:139" s="164" customFormat="1" ht="25.5">
      <c r="A1448" s="228">
        <v>40483</v>
      </c>
      <c r="B1448" s="205" t="s">
        <v>1998</v>
      </c>
      <c r="C1448" s="205" t="s">
        <v>1166</v>
      </c>
      <c r="D1448" s="207" t="s">
        <v>1878</v>
      </c>
      <c r="E1448" s="323" t="s">
        <v>4071</v>
      </c>
      <c r="F1448" s="323"/>
      <c r="G1448" s="263">
        <v>3</v>
      </c>
      <c r="H1448" s="151"/>
      <c r="I1448" s="151">
        <v>1</v>
      </c>
      <c r="J1448" s="151">
        <v>1488</v>
      </c>
      <c r="K1448" s="151">
        <v>341</v>
      </c>
      <c r="L1448" s="1"/>
      <c r="M1448" s="73">
        <f t="shared" si="187"/>
        <v>0</v>
      </c>
      <c r="N1448" s="73">
        <f t="shared" si="191"/>
        <v>0</v>
      </c>
      <c r="O1448" s="73">
        <f t="shared" si="186"/>
        <v>0</v>
      </c>
      <c r="P1448" s="73">
        <f t="shared" si="188"/>
        <v>0</v>
      </c>
      <c r="Q1448" s="73"/>
      <c r="R1448" s="73">
        <v>0</v>
      </c>
      <c r="S1448" s="75">
        <f t="shared" si="190"/>
        <v>0</v>
      </c>
      <c r="T1448" s="77">
        <v>0</v>
      </c>
      <c r="U1448" s="66">
        <v>38682</v>
      </c>
      <c r="V1448" s="79">
        <v>67579</v>
      </c>
      <c r="W1448" s="66" t="s">
        <v>1606</v>
      </c>
      <c r="X1448" s="24" t="s">
        <v>1607</v>
      </c>
      <c r="Y1448" s="62"/>
      <c r="Z1448" s="176" t="s">
        <v>460</v>
      </c>
      <c r="AA1448" s="166" t="s">
        <v>647</v>
      </c>
      <c r="AB1448" s="152"/>
      <c r="AC1448" s="153"/>
      <c r="AD1448" s="154"/>
      <c r="AE1448" s="153"/>
      <c r="AF1448" s="153"/>
      <c r="AG1448" s="153"/>
      <c r="AH1448" s="153"/>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c r="BI1448" s="153"/>
      <c r="BJ1448" s="153"/>
      <c r="BK1448" s="153"/>
      <c r="BL1448" s="153"/>
      <c r="BM1448" s="153"/>
      <c r="BN1448" s="153"/>
      <c r="BO1448" s="153"/>
      <c r="BP1448" s="153"/>
      <c r="BQ1448" s="153"/>
      <c r="BR1448" s="153"/>
      <c r="BS1448" s="153"/>
      <c r="BT1448" s="153"/>
      <c r="BU1448" s="153"/>
      <c r="BV1448" s="153"/>
      <c r="BW1448" s="153"/>
      <c r="BX1448" s="153"/>
      <c r="BY1448" s="153"/>
      <c r="BZ1448" s="153"/>
      <c r="CA1448" s="153"/>
      <c r="CB1448" s="153"/>
      <c r="CC1448" s="153"/>
      <c r="CD1448" s="155"/>
      <c r="CE1448" s="156"/>
      <c r="CF1448" s="155"/>
      <c r="CG1448" s="156"/>
      <c r="CH1448" s="155"/>
      <c r="CI1448" s="156"/>
      <c r="CJ1448" s="157">
        <f t="shared" si="189"/>
        <v>0</v>
      </c>
      <c r="CK1448" s="158"/>
      <c r="CL1448" s="159"/>
      <c r="CM1448" s="160"/>
      <c r="CN1448" s="161"/>
      <c r="CO1448" s="162"/>
      <c r="CP1448" s="161"/>
      <c r="CQ1448" s="158"/>
      <c r="CR1448" s="159"/>
      <c r="CS1448" s="68"/>
      <c r="CT1448" s="163">
        <v>1465</v>
      </c>
      <c r="EC1448" s="344" t="str">
        <f t="shared" si="192"/>
        <v>SANTANDER_BETULIA</v>
      </c>
      <c r="ED1448" s="341"/>
      <c r="EE1448" s="341"/>
      <c r="EF1448" s="348"/>
      <c r="EG1448" s="341"/>
      <c r="EH1448" s="341"/>
      <c r="EI1448" s="341"/>
    </row>
    <row r="1449" spans="1:139" s="164" customFormat="1" ht="38.25">
      <c r="A1449" s="228">
        <v>40483</v>
      </c>
      <c r="B1449" s="205" t="s">
        <v>1998</v>
      </c>
      <c r="C1449" s="205" t="s">
        <v>1569</v>
      </c>
      <c r="D1449" s="207" t="s">
        <v>1201</v>
      </c>
      <c r="E1449" s="323" t="s">
        <v>4075</v>
      </c>
      <c r="F1449" s="323"/>
      <c r="G1449" s="263"/>
      <c r="H1449" s="151"/>
      <c r="I1449" s="151"/>
      <c r="J1449" s="151">
        <f>120*5</f>
        <v>600</v>
      </c>
      <c r="K1449" s="151">
        <v>120</v>
      </c>
      <c r="L1449" s="1"/>
      <c r="M1449" s="73">
        <f t="shared" si="187"/>
        <v>0</v>
      </c>
      <c r="N1449" s="73">
        <f t="shared" si="191"/>
        <v>0</v>
      </c>
      <c r="O1449" s="73">
        <f t="shared" si="186"/>
        <v>0</v>
      </c>
      <c r="P1449" s="73">
        <f t="shared" si="188"/>
        <v>0</v>
      </c>
      <c r="Q1449" s="73"/>
      <c r="R1449" s="73">
        <v>0</v>
      </c>
      <c r="S1449" s="75">
        <f t="shared" si="190"/>
        <v>0</v>
      </c>
      <c r="T1449" s="77">
        <v>0</v>
      </c>
      <c r="U1449" s="66">
        <v>38682</v>
      </c>
      <c r="V1449" s="79">
        <v>67579</v>
      </c>
      <c r="W1449" s="66" t="s">
        <v>1606</v>
      </c>
      <c r="X1449" s="24" t="s">
        <v>1607</v>
      </c>
      <c r="Y1449" s="62"/>
      <c r="Z1449" s="176" t="s">
        <v>460</v>
      </c>
      <c r="AA1449" s="166" t="s">
        <v>647</v>
      </c>
      <c r="AB1449" s="152"/>
      <c r="AC1449" s="153"/>
      <c r="AD1449" s="154"/>
      <c r="AE1449" s="153"/>
      <c r="AF1449" s="153"/>
      <c r="AG1449" s="153"/>
      <c r="AH1449" s="153"/>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c r="BI1449" s="153"/>
      <c r="BJ1449" s="153"/>
      <c r="BK1449" s="153"/>
      <c r="BL1449" s="153"/>
      <c r="BM1449" s="153"/>
      <c r="BN1449" s="153"/>
      <c r="BO1449" s="153"/>
      <c r="BP1449" s="153"/>
      <c r="BQ1449" s="153"/>
      <c r="BR1449" s="153"/>
      <c r="BS1449" s="153"/>
      <c r="BT1449" s="153"/>
      <c r="BU1449" s="153"/>
      <c r="BV1449" s="153"/>
      <c r="BW1449" s="153"/>
      <c r="BX1449" s="153"/>
      <c r="BY1449" s="153"/>
      <c r="BZ1449" s="153"/>
      <c r="CA1449" s="153"/>
      <c r="CB1449" s="153"/>
      <c r="CC1449" s="153"/>
      <c r="CD1449" s="155"/>
      <c r="CE1449" s="156"/>
      <c r="CF1449" s="155"/>
      <c r="CG1449" s="156"/>
      <c r="CH1449" s="155"/>
      <c r="CI1449" s="156"/>
      <c r="CJ1449" s="157">
        <f t="shared" si="189"/>
        <v>0</v>
      </c>
      <c r="CK1449" s="158"/>
      <c r="CL1449" s="159"/>
      <c r="CM1449" s="160"/>
      <c r="CN1449" s="161"/>
      <c r="CO1449" s="162"/>
      <c r="CP1449" s="161"/>
      <c r="CQ1449" s="158"/>
      <c r="CR1449" s="159"/>
      <c r="CS1449" s="68"/>
      <c r="CT1449" s="163"/>
      <c r="EC1449" s="344" t="str">
        <f t="shared" si="192"/>
        <v>SANTANDER_CAPITANEJO</v>
      </c>
      <c r="ED1449" s="341"/>
      <c r="EE1449" s="341"/>
      <c r="EF1449" s="348"/>
      <c r="EG1449" s="341"/>
      <c r="EH1449" s="341"/>
      <c r="EI1449" s="341"/>
    </row>
    <row r="1450" spans="1:139" s="164" customFormat="1" ht="38.25">
      <c r="A1450" s="228">
        <v>40483</v>
      </c>
      <c r="B1450" s="205" t="s">
        <v>1998</v>
      </c>
      <c r="C1450" s="205" t="s">
        <v>2990</v>
      </c>
      <c r="D1450" s="207" t="s">
        <v>1878</v>
      </c>
      <c r="E1450" s="323" t="s">
        <v>4079</v>
      </c>
      <c r="F1450" s="323"/>
      <c r="G1450" s="263"/>
      <c r="H1450" s="151"/>
      <c r="I1450" s="151"/>
      <c r="J1450" s="151">
        <f>120*5</f>
        <v>600</v>
      </c>
      <c r="K1450" s="151">
        <v>120</v>
      </c>
      <c r="L1450" s="1"/>
      <c r="M1450" s="73">
        <f t="shared" si="187"/>
        <v>0</v>
      </c>
      <c r="N1450" s="73">
        <f t="shared" si="191"/>
        <v>0</v>
      </c>
      <c r="O1450" s="73">
        <f t="shared" si="186"/>
        <v>0</v>
      </c>
      <c r="P1450" s="73">
        <f t="shared" si="188"/>
        <v>0</v>
      </c>
      <c r="Q1450" s="73"/>
      <c r="R1450" s="73">
        <v>0</v>
      </c>
      <c r="S1450" s="75">
        <f t="shared" si="190"/>
        <v>0</v>
      </c>
      <c r="T1450" s="77">
        <v>0</v>
      </c>
      <c r="U1450" s="66">
        <v>38682</v>
      </c>
      <c r="V1450" s="79">
        <v>67579</v>
      </c>
      <c r="W1450" s="66" t="s">
        <v>1606</v>
      </c>
      <c r="X1450" s="24" t="s">
        <v>1607</v>
      </c>
      <c r="Y1450" s="62"/>
      <c r="Z1450" s="176" t="s">
        <v>460</v>
      </c>
      <c r="AA1450" s="166" t="s">
        <v>647</v>
      </c>
      <c r="AB1450" s="152"/>
      <c r="AC1450" s="153"/>
      <c r="AD1450" s="154"/>
      <c r="AE1450" s="153"/>
      <c r="AF1450" s="153"/>
      <c r="AG1450" s="153"/>
      <c r="AH1450" s="153"/>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c r="BF1450" s="153"/>
      <c r="BG1450" s="153"/>
      <c r="BH1450" s="153"/>
      <c r="BI1450" s="153"/>
      <c r="BJ1450" s="153"/>
      <c r="BK1450" s="153"/>
      <c r="BL1450" s="153"/>
      <c r="BM1450" s="153"/>
      <c r="BN1450" s="153"/>
      <c r="BO1450" s="153"/>
      <c r="BP1450" s="153"/>
      <c r="BQ1450" s="153"/>
      <c r="BR1450" s="153"/>
      <c r="BS1450" s="153"/>
      <c r="BT1450" s="153"/>
      <c r="BU1450" s="153"/>
      <c r="BV1450" s="153"/>
      <c r="BW1450" s="153"/>
      <c r="BX1450" s="153"/>
      <c r="BY1450" s="153"/>
      <c r="BZ1450" s="153"/>
      <c r="CA1450" s="153"/>
      <c r="CB1450" s="153"/>
      <c r="CC1450" s="153"/>
      <c r="CD1450" s="155"/>
      <c r="CE1450" s="156"/>
      <c r="CF1450" s="155"/>
      <c r="CG1450" s="156"/>
      <c r="CH1450" s="155"/>
      <c r="CI1450" s="156"/>
      <c r="CJ1450" s="157">
        <f t="shared" si="189"/>
        <v>0</v>
      </c>
      <c r="CK1450" s="158"/>
      <c r="CL1450" s="159"/>
      <c r="CM1450" s="160"/>
      <c r="CN1450" s="161"/>
      <c r="CO1450" s="162"/>
      <c r="CP1450" s="161"/>
      <c r="CQ1450" s="158"/>
      <c r="CR1450" s="159"/>
      <c r="CS1450" s="68"/>
      <c r="CT1450" s="163"/>
      <c r="EC1450" s="344" t="str">
        <f t="shared" si="192"/>
        <v>SANTANDER_CHARALA</v>
      </c>
      <c r="ED1450" s="341"/>
      <c r="EE1450" s="341"/>
      <c r="EF1450" s="348"/>
      <c r="EG1450" s="341"/>
      <c r="EH1450" s="341"/>
      <c r="EI1450" s="341"/>
    </row>
    <row r="1451" spans="1:139" s="164" customFormat="1" ht="38.25">
      <c r="A1451" s="228">
        <v>40483</v>
      </c>
      <c r="B1451" s="205" t="s">
        <v>1998</v>
      </c>
      <c r="C1451" s="205" t="s">
        <v>716</v>
      </c>
      <c r="D1451" s="207" t="s">
        <v>1201</v>
      </c>
      <c r="E1451" s="323" t="s">
        <v>4092</v>
      </c>
      <c r="F1451" s="323"/>
      <c r="G1451" s="263"/>
      <c r="H1451" s="151"/>
      <c r="I1451" s="151"/>
      <c r="J1451" s="151">
        <f>180*5</f>
        <v>900</v>
      </c>
      <c r="K1451" s="151">
        <v>180</v>
      </c>
      <c r="L1451" s="1"/>
      <c r="M1451" s="73">
        <f t="shared" si="187"/>
        <v>0</v>
      </c>
      <c r="N1451" s="73">
        <f t="shared" si="191"/>
        <v>0</v>
      </c>
      <c r="O1451" s="73">
        <f t="shared" si="186"/>
        <v>0</v>
      </c>
      <c r="P1451" s="73">
        <f t="shared" si="188"/>
        <v>0</v>
      </c>
      <c r="Q1451" s="73"/>
      <c r="R1451" s="73">
        <v>0</v>
      </c>
      <c r="S1451" s="75">
        <f t="shared" si="190"/>
        <v>0</v>
      </c>
      <c r="T1451" s="77">
        <v>0</v>
      </c>
      <c r="U1451" s="66"/>
      <c r="V1451" s="79"/>
      <c r="W1451" s="66" t="s">
        <v>1606</v>
      </c>
      <c r="X1451" s="24" t="s">
        <v>1607</v>
      </c>
      <c r="Y1451" s="62"/>
      <c r="Z1451" s="176" t="s">
        <v>460</v>
      </c>
      <c r="AA1451" s="166"/>
      <c r="AB1451" s="152"/>
      <c r="AC1451" s="153"/>
      <c r="AD1451" s="154"/>
      <c r="AE1451" s="153"/>
      <c r="AF1451" s="153"/>
      <c r="AG1451" s="153"/>
      <c r="AH1451" s="153"/>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c r="BF1451" s="153"/>
      <c r="BG1451" s="153"/>
      <c r="BH1451" s="153"/>
      <c r="BI1451" s="153"/>
      <c r="BJ1451" s="153"/>
      <c r="BK1451" s="153"/>
      <c r="BL1451" s="153"/>
      <c r="BM1451" s="153"/>
      <c r="BN1451" s="153"/>
      <c r="BO1451" s="153"/>
      <c r="BP1451" s="153"/>
      <c r="BQ1451" s="153"/>
      <c r="BR1451" s="153"/>
      <c r="BS1451" s="153"/>
      <c r="BT1451" s="153"/>
      <c r="BU1451" s="153"/>
      <c r="BV1451" s="153"/>
      <c r="BW1451" s="153"/>
      <c r="BX1451" s="153"/>
      <c r="BY1451" s="153"/>
      <c r="BZ1451" s="153"/>
      <c r="CA1451" s="153"/>
      <c r="CB1451" s="153"/>
      <c r="CC1451" s="153"/>
      <c r="CD1451" s="155"/>
      <c r="CE1451" s="156"/>
      <c r="CF1451" s="155"/>
      <c r="CG1451" s="156"/>
      <c r="CH1451" s="155"/>
      <c r="CI1451" s="156"/>
      <c r="CJ1451" s="157">
        <f t="shared" si="189"/>
        <v>0</v>
      </c>
      <c r="CK1451" s="158"/>
      <c r="CL1451" s="159"/>
      <c r="CM1451" s="160"/>
      <c r="CN1451" s="161"/>
      <c r="CO1451" s="162"/>
      <c r="CP1451" s="161"/>
      <c r="CQ1451" s="158"/>
      <c r="CR1451" s="159"/>
      <c r="CS1451" s="68"/>
      <c r="CT1451" s="163"/>
      <c r="EC1451" s="344" t="str">
        <f t="shared" si="192"/>
        <v>SANTANDER_EL PLAYON</v>
      </c>
      <c r="ED1451" s="341"/>
      <c r="EE1451" s="341"/>
      <c r="EF1451" s="348"/>
      <c r="EG1451" s="341"/>
      <c r="EH1451" s="341"/>
      <c r="EI1451" s="341"/>
    </row>
    <row r="1452" spans="1:139" s="164" customFormat="1" ht="25.5">
      <c r="A1452" s="228">
        <v>40483</v>
      </c>
      <c r="B1452" s="205" t="s">
        <v>1998</v>
      </c>
      <c r="C1452" s="205" t="s">
        <v>2991</v>
      </c>
      <c r="D1452" s="207" t="s">
        <v>1201</v>
      </c>
      <c r="E1452" s="323" t="s">
        <v>4094</v>
      </c>
      <c r="F1452" s="323"/>
      <c r="G1452" s="263"/>
      <c r="H1452" s="151"/>
      <c r="I1452" s="151"/>
      <c r="J1452" s="151">
        <f>100*5</f>
        <v>500</v>
      </c>
      <c r="K1452" s="151">
        <v>100</v>
      </c>
      <c r="L1452" s="1"/>
      <c r="M1452" s="73">
        <f t="shared" si="187"/>
        <v>0</v>
      </c>
      <c r="N1452" s="73">
        <f t="shared" si="191"/>
        <v>0</v>
      </c>
      <c r="O1452" s="73">
        <f t="shared" si="186"/>
        <v>0</v>
      </c>
      <c r="P1452" s="73">
        <f t="shared" si="188"/>
        <v>0</v>
      </c>
      <c r="Q1452" s="73"/>
      <c r="R1452" s="73">
        <v>0</v>
      </c>
      <c r="S1452" s="75">
        <f t="shared" si="190"/>
        <v>0</v>
      </c>
      <c r="T1452" s="77">
        <v>0</v>
      </c>
      <c r="U1452" s="66">
        <v>38682</v>
      </c>
      <c r="V1452" s="79">
        <v>67579</v>
      </c>
      <c r="W1452" s="66" t="s">
        <v>1606</v>
      </c>
      <c r="X1452" s="24" t="s">
        <v>1607</v>
      </c>
      <c r="Y1452" s="62"/>
      <c r="Z1452" s="176" t="s">
        <v>460</v>
      </c>
      <c r="AA1452" s="166" t="s">
        <v>647</v>
      </c>
      <c r="AB1452" s="152"/>
      <c r="AC1452" s="153"/>
      <c r="AD1452" s="154"/>
      <c r="AE1452" s="153"/>
      <c r="AF1452" s="153"/>
      <c r="AG1452" s="153"/>
      <c r="AH1452" s="153"/>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c r="BF1452" s="153"/>
      <c r="BG1452" s="153"/>
      <c r="BH1452" s="153"/>
      <c r="BI1452" s="153"/>
      <c r="BJ1452" s="153"/>
      <c r="BK1452" s="153"/>
      <c r="BL1452" s="153"/>
      <c r="BM1452" s="153"/>
      <c r="BN1452" s="153"/>
      <c r="BO1452" s="153"/>
      <c r="BP1452" s="153"/>
      <c r="BQ1452" s="153"/>
      <c r="BR1452" s="153"/>
      <c r="BS1452" s="153"/>
      <c r="BT1452" s="153"/>
      <c r="BU1452" s="153"/>
      <c r="BV1452" s="153"/>
      <c r="BW1452" s="153"/>
      <c r="BX1452" s="153"/>
      <c r="BY1452" s="153"/>
      <c r="BZ1452" s="153"/>
      <c r="CA1452" s="153"/>
      <c r="CB1452" s="153"/>
      <c r="CC1452" s="153"/>
      <c r="CD1452" s="155"/>
      <c r="CE1452" s="156"/>
      <c r="CF1452" s="155"/>
      <c r="CG1452" s="156"/>
      <c r="CH1452" s="155"/>
      <c r="CI1452" s="156"/>
      <c r="CJ1452" s="157">
        <f t="shared" si="189"/>
        <v>0</v>
      </c>
      <c r="CK1452" s="158"/>
      <c r="CL1452" s="159"/>
      <c r="CM1452" s="160"/>
      <c r="CN1452" s="161"/>
      <c r="CO1452" s="162"/>
      <c r="CP1452" s="161"/>
      <c r="CQ1452" s="158"/>
      <c r="CR1452" s="159"/>
      <c r="CS1452" s="68"/>
      <c r="CT1452" s="163"/>
      <c r="EC1452" s="344" t="str">
        <f t="shared" si="192"/>
        <v>SANTANDER_ENCISO</v>
      </c>
      <c r="ED1452" s="341"/>
      <c r="EE1452" s="341"/>
      <c r="EF1452" s="348"/>
      <c r="EG1452" s="341"/>
      <c r="EH1452" s="341"/>
      <c r="EI1452" s="341"/>
    </row>
    <row r="1453" spans="1:139" s="164" customFormat="1" ht="25.5">
      <c r="A1453" s="228">
        <v>40483</v>
      </c>
      <c r="B1453" s="205" t="s">
        <v>1998</v>
      </c>
      <c r="C1453" s="205" t="s">
        <v>2992</v>
      </c>
      <c r="D1453" s="207" t="s">
        <v>1201</v>
      </c>
      <c r="E1453" s="323" t="s">
        <v>4111</v>
      </c>
      <c r="F1453" s="323"/>
      <c r="G1453" s="263"/>
      <c r="H1453" s="151"/>
      <c r="I1453" s="151"/>
      <c r="J1453" s="151">
        <f>305+64</f>
        <v>369</v>
      </c>
      <c r="K1453" s="151">
        <v>125</v>
      </c>
      <c r="L1453" s="1"/>
      <c r="M1453" s="73">
        <f t="shared" si="187"/>
        <v>0</v>
      </c>
      <c r="N1453" s="73">
        <f t="shared" si="191"/>
        <v>0</v>
      </c>
      <c r="O1453" s="73">
        <f t="shared" si="186"/>
        <v>0</v>
      </c>
      <c r="P1453" s="73">
        <f t="shared" si="188"/>
        <v>0</v>
      </c>
      <c r="Q1453" s="73"/>
      <c r="R1453" s="73">
        <v>0</v>
      </c>
      <c r="S1453" s="75">
        <f t="shared" si="190"/>
        <v>0</v>
      </c>
      <c r="T1453" s="77">
        <v>0</v>
      </c>
      <c r="U1453" s="66">
        <v>38682</v>
      </c>
      <c r="V1453" s="79">
        <v>67579</v>
      </c>
      <c r="W1453" s="66" t="s">
        <v>1606</v>
      </c>
      <c r="X1453" s="24" t="s">
        <v>1607</v>
      </c>
      <c r="Y1453" s="62"/>
      <c r="Z1453" s="176" t="s">
        <v>460</v>
      </c>
      <c r="AA1453" s="166" t="s">
        <v>647</v>
      </c>
      <c r="AB1453" s="152"/>
      <c r="AC1453" s="153"/>
      <c r="AD1453" s="154"/>
      <c r="AE1453" s="153"/>
      <c r="AF1453" s="153"/>
      <c r="AG1453" s="153"/>
      <c r="AH1453" s="153"/>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c r="BI1453" s="153"/>
      <c r="BJ1453" s="153"/>
      <c r="BK1453" s="153"/>
      <c r="BL1453" s="153"/>
      <c r="BM1453" s="153"/>
      <c r="BN1453" s="153"/>
      <c r="BO1453" s="153"/>
      <c r="BP1453" s="153"/>
      <c r="BQ1453" s="153"/>
      <c r="BR1453" s="153"/>
      <c r="BS1453" s="153"/>
      <c r="BT1453" s="153"/>
      <c r="BU1453" s="153"/>
      <c r="BV1453" s="153"/>
      <c r="BW1453" s="153"/>
      <c r="BX1453" s="153"/>
      <c r="BY1453" s="153"/>
      <c r="BZ1453" s="153"/>
      <c r="CA1453" s="153"/>
      <c r="CB1453" s="153"/>
      <c r="CC1453" s="153"/>
      <c r="CD1453" s="155"/>
      <c r="CE1453" s="156"/>
      <c r="CF1453" s="155"/>
      <c r="CG1453" s="156"/>
      <c r="CH1453" s="155"/>
      <c r="CI1453" s="156"/>
      <c r="CJ1453" s="157">
        <f t="shared" si="189"/>
        <v>0</v>
      </c>
      <c r="CK1453" s="158"/>
      <c r="CL1453" s="159"/>
      <c r="CM1453" s="160"/>
      <c r="CN1453" s="161"/>
      <c r="CO1453" s="162"/>
      <c r="CP1453" s="161"/>
      <c r="CQ1453" s="158"/>
      <c r="CR1453" s="159"/>
      <c r="CS1453" s="68"/>
      <c r="CT1453" s="163"/>
      <c r="EC1453" s="344" t="str">
        <f t="shared" si="192"/>
        <v>SANTANDER_LEBRIJA</v>
      </c>
      <c r="ED1453" s="341"/>
      <c r="EE1453" s="341"/>
      <c r="EF1453" s="348"/>
      <c r="EG1453" s="341"/>
      <c r="EH1453" s="341"/>
      <c r="EI1453" s="341"/>
    </row>
    <row r="1454" spans="1:139" s="164" customFormat="1" ht="38.25">
      <c r="A1454" s="228">
        <v>40483</v>
      </c>
      <c r="B1454" s="205" t="s">
        <v>1998</v>
      </c>
      <c r="C1454" s="205" t="s">
        <v>2993</v>
      </c>
      <c r="D1454" s="207" t="s">
        <v>1878</v>
      </c>
      <c r="E1454" s="323" t="s">
        <v>4116</v>
      </c>
      <c r="F1454" s="323"/>
      <c r="G1454" s="263"/>
      <c r="H1454" s="151"/>
      <c r="I1454" s="151"/>
      <c r="J1454" s="151">
        <v>219</v>
      </c>
      <c r="K1454" s="151">
        <v>54</v>
      </c>
      <c r="L1454" s="1"/>
      <c r="M1454" s="73">
        <f t="shared" si="187"/>
        <v>0</v>
      </c>
      <c r="N1454" s="73">
        <f t="shared" si="191"/>
        <v>0</v>
      </c>
      <c r="O1454" s="73">
        <f t="shared" si="186"/>
        <v>0</v>
      </c>
      <c r="P1454" s="73">
        <f t="shared" si="188"/>
        <v>0</v>
      </c>
      <c r="Q1454" s="73"/>
      <c r="R1454" s="73">
        <v>0</v>
      </c>
      <c r="S1454" s="75">
        <f t="shared" si="190"/>
        <v>0</v>
      </c>
      <c r="T1454" s="77">
        <v>0</v>
      </c>
      <c r="U1454" s="66">
        <v>38682</v>
      </c>
      <c r="V1454" s="79">
        <v>67579</v>
      </c>
      <c r="W1454" s="66" t="s">
        <v>1606</v>
      </c>
      <c r="X1454" s="24" t="s">
        <v>1607</v>
      </c>
      <c r="Y1454" s="62"/>
      <c r="Z1454" s="176" t="s">
        <v>460</v>
      </c>
      <c r="AA1454" s="166" t="s">
        <v>647</v>
      </c>
      <c r="AB1454" s="152"/>
      <c r="AC1454" s="153"/>
      <c r="AD1454" s="154"/>
      <c r="AE1454" s="153"/>
      <c r="AF1454" s="153"/>
      <c r="AG1454" s="153"/>
      <c r="AH1454" s="153"/>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c r="BI1454" s="153"/>
      <c r="BJ1454" s="153"/>
      <c r="BK1454" s="153"/>
      <c r="BL1454" s="153"/>
      <c r="BM1454" s="153"/>
      <c r="BN1454" s="153"/>
      <c r="BO1454" s="153"/>
      <c r="BP1454" s="153"/>
      <c r="BQ1454" s="153"/>
      <c r="BR1454" s="153"/>
      <c r="BS1454" s="153"/>
      <c r="BT1454" s="153"/>
      <c r="BU1454" s="153"/>
      <c r="BV1454" s="153"/>
      <c r="BW1454" s="153"/>
      <c r="BX1454" s="153"/>
      <c r="BY1454" s="153"/>
      <c r="BZ1454" s="153"/>
      <c r="CA1454" s="153"/>
      <c r="CB1454" s="153"/>
      <c r="CC1454" s="153"/>
      <c r="CD1454" s="155"/>
      <c r="CE1454" s="156"/>
      <c r="CF1454" s="155"/>
      <c r="CG1454" s="156"/>
      <c r="CH1454" s="155"/>
      <c r="CI1454" s="156"/>
      <c r="CJ1454" s="157">
        <f t="shared" si="189"/>
        <v>0</v>
      </c>
      <c r="CK1454" s="158"/>
      <c r="CL1454" s="159"/>
      <c r="CM1454" s="160"/>
      <c r="CN1454" s="161"/>
      <c r="CO1454" s="162"/>
      <c r="CP1454" s="161"/>
      <c r="CQ1454" s="158"/>
      <c r="CR1454" s="159"/>
      <c r="CS1454" s="68"/>
      <c r="CT1454" s="163"/>
      <c r="EC1454" s="344" t="str">
        <f t="shared" si="192"/>
        <v>SANTANDER_MOGOTES</v>
      </c>
      <c r="ED1454" s="341"/>
      <c r="EE1454" s="341"/>
      <c r="EF1454" s="348"/>
      <c r="EG1454" s="341"/>
      <c r="EH1454" s="341"/>
      <c r="EI1454" s="341"/>
    </row>
    <row r="1455" spans="1:139" s="164" customFormat="1" ht="38.25">
      <c r="A1455" s="228">
        <v>40483</v>
      </c>
      <c r="B1455" s="205" t="s">
        <v>1998</v>
      </c>
      <c r="C1455" s="205" t="s">
        <v>2994</v>
      </c>
      <c r="D1455" s="207" t="s">
        <v>1878</v>
      </c>
      <c r="E1455" s="323" t="s">
        <v>4124</v>
      </c>
      <c r="F1455" s="323"/>
      <c r="G1455" s="263"/>
      <c r="H1455" s="151"/>
      <c r="I1455" s="151"/>
      <c r="J1455" s="151">
        <f>133*5</f>
        <v>665</v>
      </c>
      <c r="K1455" s="151">
        <v>133</v>
      </c>
      <c r="L1455" s="1"/>
      <c r="M1455" s="73">
        <f t="shared" si="187"/>
        <v>0</v>
      </c>
      <c r="N1455" s="73">
        <f t="shared" si="191"/>
        <v>0</v>
      </c>
      <c r="O1455" s="73">
        <f t="shared" si="186"/>
        <v>0</v>
      </c>
      <c r="P1455" s="73">
        <f t="shared" si="188"/>
        <v>0</v>
      </c>
      <c r="Q1455" s="73"/>
      <c r="R1455" s="73">
        <v>0</v>
      </c>
      <c r="S1455" s="75">
        <f t="shared" si="190"/>
        <v>0</v>
      </c>
      <c r="T1455" s="77">
        <v>0</v>
      </c>
      <c r="U1455" s="66">
        <v>38682</v>
      </c>
      <c r="V1455" s="79">
        <v>67579</v>
      </c>
      <c r="W1455" s="66" t="s">
        <v>1606</v>
      </c>
      <c r="X1455" s="24" t="s">
        <v>1607</v>
      </c>
      <c r="Y1455" s="62"/>
      <c r="Z1455" s="176" t="s">
        <v>460</v>
      </c>
      <c r="AA1455" s="166" t="s">
        <v>647</v>
      </c>
      <c r="AB1455" s="152"/>
      <c r="AC1455" s="153"/>
      <c r="AD1455" s="154"/>
      <c r="AE1455" s="153"/>
      <c r="AF1455" s="153"/>
      <c r="AG1455" s="153"/>
      <c r="AH1455" s="153"/>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c r="BI1455" s="153"/>
      <c r="BJ1455" s="153"/>
      <c r="BK1455" s="153"/>
      <c r="BL1455" s="153"/>
      <c r="BM1455" s="153"/>
      <c r="BN1455" s="153"/>
      <c r="BO1455" s="153"/>
      <c r="BP1455" s="153"/>
      <c r="BQ1455" s="153"/>
      <c r="BR1455" s="153"/>
      <c r="BS1455" s="153"/>
      <c r="BT1455" s="153"/>
      <c r="BU1455" s="153"/>
      <c r="BV1455" s="153"/>
      <c r="BW1455" s="153"/>
      <c r="BX1455" s="153"/>
      <c r="BY1455" s="153"/>
      <c r="BZ1455" s="153"/>
      <c r="CA1455" s="153"/>
      <c r="CB1455" s="153"/>
      <c r="CC1455" s="153"/>
      <c r="CD1455" s="155"/>
      <c r="CE1455" s="156"/>
      <c r="CF1455" s="155"/>
      <c r="CG1455" s="156"/>
      <c r="CH1455" s="155"/>
      <c r="CI1455" s="156"/>
      <c r="CJ1455" s="157">
        <f t="shared" si="189"/>
        <v>0</v>
      </c>
      <c r="CK1455" s="158"/>
      <c r="CL1455" s="159"/>
      <c r="CM1455" s="160"/>
      <c r="CN1455" s="161"/>
      <c r="CO1455" s="162"/>
      <c r="CP1455" s="161"/>
      <c r="CQ1455" s="158"/>
      <c r="CR1455" s="159"/>
      <c r="CS1455" s="68"/>
      <c r="CT1455" s="163"/>
      <c r="EC1455" s="344" t="str">
        <f t="shared" si="192"/>
        <v>SANTANDER_PIEDECUESTA</v>
      </c>
      <c r="ED1455" s="341"/>
      <c r="EE1455" s="341"/>
      <c r="EF1455" s="348"/>
      <c r="EG1455" s="341"/>
      <c r="EH1455" s="341"/>
      <c r="EI1455" s="341"/>
    </row>
    <row r="1456" spans="1:139" s="164" customFormat="1" ht="38.25">
      <c r="A1456" s="228">
        <v>40483</v>
      </c>
      <c r="B1456" s="205" t="s">
        <v>1998</v>
      </c>
      <c r="C1456" s="205" t="s">
        <v>2995</v>
      </c>
      <c r="D1456" s="207" t="s">
        <v>1878</v>
      </c>
      <c r="E1456" s="323" t="s">
        <v>4134</v>
      </c>
      <c r="F1456" s="323"/>
      <c r="G1456" s="263"/>
      <c r="H1456" s="151"/>
      <c r="I1456" s="151"/>
      <c r="J1456" s="151">
        <f>150*5</f>
        <v>750</v>
      </c>
      <c r="K1456" s="151">
        <v>150</v>
      </c>
      <c r="L1456" s="1"/>
      <c r="M1456" s="73">
        <f t="shared" si="187"/>
        <v>0</v>
      </c>
      <c r="N1456" s="73">
        <f t="shared" si="191"/>
        <v>0</v>
      </c>
      <c r="O1456" s="73">
        <f t="shared" si="186"/>
        <v>0</v>
      </c>
      <c r="P1456" s="73">
        <f t="shared" si="188"/>
        <v>0</v>
      </c>
      <c r="Q1456" s="73"/>
      <c r="R1456" s="73">
        <v>0</v>
      </c>
      <c r="S1456" s="75">
        <f t="shared" si="190"/>
        <v>0</v>
      </c>
      <c r="T1456" s="77">
        <v>0</v>
      </c>
      <c r="U1456" s="66">
        <v>38682</v>
      </c>
      <c r="V1456" s="79">
        <v>67579</v>
      </c>
      <c r="W1456" s="66" t="s">
        <v>1606</v>
      </c>
      <c r="X1456" s="24" t="s">
        <v>1607</v>
      </c>
      <c r="Y1456" s="62"/>
      <c r="Z1456" s="176" t="s">
        <v>460</v>
      </c>
      <c r="AA1456" s="166" t="s">
        <v>647</v>
      </c>
      <c r="AB1456" s="152"/>
      <c r="AC1456" s="153"/>
      <c r="AD1456" s="154"/>
      <c r="AE1456" s="153"/>
      <c r="AF1456" s="153"/>
      <c r="AG1456" s="153"/>
      <c r="AH1456" s="153"/>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c r="BI1456" s="153"/>
      <c r="BJ1456" s="153"/>
      <c r="BK1456" s="153"/>
      <c r="BL1456" s="153"/>
      <c r="BM1456" s="153"/>
      <c r="BN1456" s="153"/>
      <c r="BO1456" s="153"/>
      <c r="BP1456" s="153"/>
      <c r="BQ1456" s="153"/>
      <c r="BR1456" s="153"/>
      <c r="BS1456" s="153"/>
      <c r="BT1456" s="153"/>
      <c r="BU1456" s="153"/>
      <c r="BV1456" s="153"/>
      <c r="BW1456" s="153"/>
      <c r="BX1456" s="153"/>
      <c r="BY1456" s="153"/>
      <c r="BZ1456" s="153"/>
      <c r="CA1456" s="153"/>
      <c r="CB1456" s="153"/>
      <c r="CC1456" s="153"/>
      <c r="CD1456" s="155"/>
      <c r="CE1456" s="156"/>
      <c r="CF1456" s="155"/>
      <c r="CG1456" s="156"/>
      <c r="CH1456" s="155"/>
      <c r="CI1456" s="156"/>
      <c r="CJ1456" s="157">
        <f t="shared" si="189"/>
        <v>0</v>
      </c>
      <c r="CK1456" s="158"/>
      <c r="CL1456" s="159"/>
      <c r="CM1456" s="160"/>
      <c r="CN1456" s="161"/>
      <c r="CO1456" s="162"/>
      <c r="CP1456" s="161"/>
      <c r="CQ1456" s="158"/>
      <c r="CR1456" s="159"/>
      <c r="CS1456" s="68"/>
      <c r="CT1456" s="163"/>
      <c r="EC1456" s="344" t="str">
        <f t="shared" si="192"/>
        <v>SANTANDER_SAN JOAQUIN</v>
      </c>
      <c r="ED1456" s="341"/>
      <c r="EE1456" s="341"/>
      <c r="EF1456" s="348"/>
      <c r="EG1456" s="341"/>
      <c r="EH1456" s="341"/>
      <c r="EI1456" s="341"/>
    </row>
    <row r="1457" spans="1:139" s="164" customFormat="1" ht="25.5">
      <c r="A1457" s="228">
        <v>40483</v>
      </c>
      <c r="B1457" s="205" t="s">
        <v>1998</v>
      </c>
      <c r="C1457" s="205" t="s">
        <v>2997</v>
      </c>
      <c r="D1457" s="207" t="s">
        <v>1878</v>
      </c>
      <c r="E1457" s="323" t="s">
        <v>4145</v>
      </c>
      <c r="F1457" s="323"/>
      <c r="G1457" s="263"/>
      <c r="H1457" s="151"/>
      <c r="I1457" s="151"/>
      <c r="J1457" s="151">
        <f>140*5</f>
        <v>700</v>
      </c>
      <c r="K1457" s="151">
        <v>140</v>
      </c>
      <c r="L1457" s="1"/>
      <c r="M1457" s="73">
        <f t="shared" si="187"/>
        <v>0</v>
      </c>
      <c r="N1457" s="73">
        <f t="shared" si="191"/>
        <v>0</v>
      </c>
      <c r="O1457" s="73">
        <f t="shared" si="186"/>
        <v>0</v>
      </c>
      <c r="P1457" s="73">
        <f t="shared" si="188"/>
        <v>0</v>
      </c>
      <c r="Q1457" s="73"/>
      <c r="R1457" s="73">
        <v>0</v>
      </c>
      <c r="S1457" s="75">
        <f t="shared" si="190"/>
        <v>0</v>
      </c>
      <c r="T1457" s="77">
        <v>0</v>
      </c>
      <c r="U1457" s="66">
        <v>38682</v>
      </c>
      <c r="V1457" s="79">
        <v>67579</v>
      </c>
      <c r="W1457" s="66" t="s">
        <v>1606</v>
      </c>
      <c r="X1457" s="24" t="s">
        <v>1607</v>
      </c>
      <c r="Y1457" s="62"/>
      <c r="Z1457" s="176" t="s">
        <v>460</v>
      </c>
      <c r="AA1457" s="166" t="s">
        <v>647</v>
      </c>
      <c r="AB1457" s="152"/>
      <c r="AC1457" s="153"/>
      <c r="AD1457" s="154"/>
      <c r="AE1457" s="153"/>
      <c r="AF1457" s="153"/>
      <c r="AG1457" s="153"/>
      <c r="AH1457" s="153"/>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c r="BI1457" s="153"/>
      <c r="BJ1457" s="153"/>
      <c r="BK1457" s="153"/>
      <c r="BL1457" s="153"/>
      <c r="BM1457" s="153"/>
      <c r="BN1457" s="153"/>
      <c r="BO1457" s="153"/>
      <c r="BP1457" s="153"/>
      <c r="BQ1457" s="153"/>
      <c r="BR1457" s="153"/>
      <c r="BS1457" s="153"/>
      <c r="BT1457" s="153"/>
      <c r="BU1457" s="153"/>
      <c r="BV1457" s="153"/>
      <c r="BW1457" s="153"/>
      <c r="BX1457" s="153"/>
      <c r="BY1457" s="153"/>
      <c r="BZ1457" s="153"/>
      <c r="CA1457" s="153"/>
      <c r="CB1457" s="153"/>
      <c r="CC1457" s="153"/>
      <c r="CD1457" s="155"/>
      <c r="CE1457" s="156"/>
      <c r="CF1457" s="155"/>
      <c r="CG1457" s="156"/>
      <c r="CH1457" s="155"/>
      <c r="CI1457" s="156"/>
      <c r="CJ1457" s="157">
        <f t="shared" si="189"/>
        <v>0</v>
      </c>
      <c r="CK1457" s="158"/>
      <c r="CL1457" s="159"/>
      <c r="CM1457" s="160"/>
      <c r="CN1457" s="161"/>
      <c r="CO1457" s="162"/>
      <c r="CP1457" s="161"/>
      <c r="CQ1457" s="158"/>
      <c r="CR1457" s="159"/>
      <c r="CS1457" s="68"/>
      <c r="CT1457" s="163"/>
      <c r="EC1457" s="344" t="str">
        <f t="shared" si="192"/>
        <v>SANTANDER_TONA</v>
      </c>
      <c r="ED1457" s="341"/>
      <c r="EE1457" s="341"/>
      <c r="EF1457" s="348"/>
      <c r="EG1457" s="341"/>
      <c r="EH1457" s="341"/>
      <c r="EI1457" s="341"/>
    </row>
    <row r="1458" spans="1:139" s="164" customFormat="1" ht="38.25">
      <c r="A1458" s="228">
        <v>40483</v>
      </c>
      <c r="B1458" s="205" t="s">
        <v>1998</v>
      </c>
      <c r="C1458" s="205" t="s">
        <v>2998</v>
      </c>
      <c r="D1458" s="207" t="s">
        <v>1201</v>
      </c>
      <c r="E1458" s="323" t="s">
        <v>4150</v>
      </c>
      <c r="F1458" s="323"/>
      <c r="G1458" s="263"/>
      <c r="H1458" s="151"/>
      <c r="I1458" s="151"/>
      <c r="J1458" s="151">
        <f>85*5</f>
        <v>425</v>
      </c>
      <c r="K1458" s="151">
        <v>85</v>
      </c>
      <c r="L1458" s="1"/>
      <c r="M1458" s="73">
        <f t="shared" si="187"/>
        <v>0</v>
      </c>
      <c r="N1458" s="73">
        <f t="shared" si="191"/>
        <v>0</v>
      </c>
      <c r="O1458" s="73">
        <f t="shared" si="186"/>
        <v>0</v>
      </c>
      <c r="P1458" s="73">
        <f t="shared" si="188"/>
        <v>0</v>
      </c>
      <c r="Q1458" s="73"/>
      <c r="R1458" s="73">
        <v>0</v>
      </c>
      <c r="S1458" s="75">
        <f t="shared" si="190"/>
        <v>0</v>
      </c>
      <c r="T1458" s="77">
        <v>0</v>
      </c>
      <c r="U1458" s="66">
        <v>38682</v>
      </c>
      <c r="V1458" s="79">
        <v>67579</v>
      </c>
      <c r="W1458" s="66" t="s">
        <v>1606</v>
      </c>
      <c r="X1458" s="24" t="s">
        <v>1607</v>
      </c>
      <c r="Y1458" s="62"/>
      <c r="Z1458" s="176" t="s">
        <v>460</v>
      </c>
      <c r="AA1458" s="166" t="s">
        <v>647</v>
      </c>
      <c r="AB1458" s="152"/>
      <c r="AC1458" s="153"/>
      <c r="AD1458" s="154"/>
      <c r="AE1458" s="153"/>
      <c r="AF1458" s="153"/>
      <c r="AG1458" s="153"/>
      <c r="AH1458" s="153"/>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c r="BF1458" s="153"/>
      <c r="BG1458" s="153"/>
      <c r="BH1458" s="153"/>
      <c r="BI1458" s="153"/>
      <c r="BJ1458" s="153"/>
      <c r="BK1458" s="153"/>
      <c r="BL1458" s="153"/>
      <c r="BM1458" s="153"/>
      <c r="BN1458" s="153"/>
      <c r="BO1458" s="153"/>
      <c r="BP1458" s="153"/>
      <c r="BQ1458" s="153"/>
      <c r="BR1458" s="153"/>
      <c r="BS1458" s="153"/>
      <c r="BT1458" s="153"/>
      <c r="BU1458" s="153"/>
      <c r="BV1458" s="153"/>
      <c r="BW1458" s="153"/>
      <c r="BX1458" s="153"/>
      <c r="BY1458" s="153"/>
      <c r="BZ1458" s="153"/>
      <c r="CA1458" s="153"/>
      <c r="CB1458" s="153"/>
      <c r="CC1458" s="153"/>
      <c r="CD1458" s="155"/>
      <c r="CE1458" s="156"/>
      <c r="CF1458" s="155"/>
      <c r="CG1458" s="156"/>
      <c r="CH1458" s="155"/>
      <c r="CI1458" s="156"/>
      <c r="CJ1458" s="157">
        <f t="shared" si="189"/>
        <v>0</v>
      </c>
      <c r="CK1458" s="158"/>
      <c r="CL1458" s="159"/>
      <c r="CM1458" s="160"/>
      <c r="CN1458" s="161"/>
      <c r="CO1458" s="162"/>
      <c r="CP1458" s="161"/>
      <c r="CQ1458" s="158"/>
      <c r="CR1458" s="159"/>
      <c r="CS1458" s="68"/>
      <c r="CT1458" s="163"/>
      <c r="EC1458" s="344" t="str">
        <f t="shared" si="192"/>
        <v>SANTANDER_ZAPATOCA</v>
      </c>
      <c r="ED1458" s="341"/>
      <c r="EE1458" s="341"/>
      <c r="EF1458" s="348"/>
      <c r="EG1458" s="341"/>
      <c r="EH1458" s="341"/>
      <c r="EI1458" s="341"/>
    </row>
    <row r="1459" spans="1:139" s="164" customFormat="1" ht="25.5">
      <c r="A1459" s="228">
        <v>40483</v>
      </c>
      <c r="B1459" s="205" t="s">
        <v>1943</v>
      </c>
      <c r="C1459" s="205" t="s">
        <v>504</v>
      </c>
      <c r="D1459" s="207" t="s">
        <v>1201</v>
      </c>
      <c r="E1459" s="323" t="s">
        <v>4172</v>
      </c>
      <c r="F1459" s="323"/>
      <c r="G1459" s="204"/>
      <c r="H1459" s="151"/>
      <c r="I1459" s="151"/>
      <c r="J1459" s="151">
        <v>1092</v>
      </c>
      <c r="K1459" s="151">
        <v>243</v>
      </c>
      <c r="L1459" s="1"/>
      <c r="M1459" s="73">
        <f t="shared" si="187"/>
        <v>8748000</v>
      </c>
      <c r="N1459" s="73">
        <f t="shared" si="191"/>
        <v>20655000</v>
      </c>
      <c r="O1459" s="73">
        <f t="shared" si="186"/>
        <v>0</v>
      </c>
      <c r="P1459" s="73">
        <f t="shared" si="188"/>
        <v>0</v>
      </c>
      <c r="Q1459" s="73"/>
      <c r="R1459" s="73">
        <v>0</v>
      </c>
      <c r="S1459" s="75">
        <f t="shared" si="190"/>
        <v>29403000</v>
      </c>
      <c r="T1459" s="77">
        <v>0</v>
      </c>
      <c r="U1459" s="66"/>
      <c r="V1459" s="79"/>
      <c r="W1459" s="66" t="s">
        <v>1606</v>
      </c>
      <c r="X1459" s="24" t="s">
        <v>1607</v>
      </c>
      <c r="Y1459" s="62"/>
      <c r="Z1459" s="169"/>
      <c r="AA1459" s="166"/>
      <c r="AB1459" s="152"/>
      <c r="AC1459" s="153"/>
      <c r="AD1459" s="154"/>
      <c r="AE1459" s="153"/>
      <c r="AF1459" s="153"/>
      <c r="AG1459" s="153"/>
      <c r="AH1459" s="153"/>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c r="BF1459" s="153"/>
      <c r="BG1459" s="153"/>
      <c r="BH1459" s="153"/>
      <c r="BI1459" s="153"/>
      <c r="BJ1459" s="153"/>
      <c r="BK1459" s="153"/>
      <c r="BL1459" s="153"/>
      <c r="BM1459" s="153"/>
      <c r="BN1459" s="153"/>
      <c r="BO1459" s="153"/>
      <c r="BP1459" s="153"/>
      <c r="BQ1459" s="153"/>
      <c r="BR1459" s="153"/>
      <c r="BS1459" s="153"/>
      <c r="BT1459" s="153"/>
      <c r="BU1459" s="153"/>
      <c r="BV1459" s="153"/>
      <c r="BW1459" s="153"/>
      <c r="BX1459" s="153"/>
      <c r="BY1459" s="153"/>
      <c r="BZ1459" s="153"/>
      <c r="CA1459" s="153"/>
      <c r="CB1459" s="153">
        <v>486</v>
      </c>
      <c r="CC1459" s="153">
        <f>486*18000</f>
        <v>8748000</v>
      </c>
      <c r="CD1459" s="155"/>
      <c r="CE1459" s="156"/>
      <c r="CF1459" s="155"/>
      <c r="CG1459" s="156"/>
      <c r="CH1459" s="155"/>
      <c r="CI1459" s="156"/>
      <c r="CJ1459" s="157">
        <f t="shared" si="189"/>
        <v>8748000</v>
      </c>
      <c r="CK1459" s="158"/>
      <c r="CL1459" s="159"/>
      <c r="CM1459" s="160">
        <v>243</v>
      </c>
      <c r="CN1459" s="161">
        <f>243*85000</f>
        <v>20655000</v>
      </c>
      <c r="CO1459" s="162"/>
      <c r="CP1459" s="161"/>
      <c r="CQ1459" s="158"/>
      <c r="CR1459" s="159"/>
      <c r="CS1459" s="68"/>
      <c r="CT1459" s="163"/>
      <c r="EC1459" s="344" t="str">
        <f t="shared" si="192"/>
        <v>SUCRE_SAN PEDRO</v>
      </c>
      <c r="ED1459" s="341"/>
      <c r="EE1459" s="341"/>
      <c r="EF1459" s="348"/>
      <c r="EG1459" s="341"/>
      <c r="EH1459" s="341"/>
      <c r="EI1459" s="341"/>
    </row>
    <row r="1460" spans="1:139" s="164" customFormat="1" ht="45">
      <c r="A1460" s="228">
        <v>40483</v>
      </c>
      <c r="B1460" s="205" t="s">
        <v>2400</v>
      </c>
      <c r="C1460" s="205" t="s">
        <v>1710</v>
      </c>
      <c r="D1460" s="207" t="s">
        <v>1201</v>
      </c>
      <c r="E1460" s="323" t="s">
        <v>4211</v>
      </c>
      <c r="F1460" s="323"/>
      <c r="G1460" s="204"/>
      <c r="H1460" s="151"/>
      <c r="I1460" s="151"/>
      <c r="J1460" s="151">
        <v>2588</v>
      </c>
      <c r="K1460" s="151">
        <v>575</v>
      </c>
      <c r="L1460" s="1"/>
      <c r="M1460" s="73">
        <f t="shared" si="187"/>
        <v>0</v>
      </c>
      <c r="N1460" s="73">
        <f t="shared" si="191"/>
        <v>0</v>
      </c>
      <c r="O1460" s="73">
        <f t="shared" ref="O1460:O1523" si="193">CP1460+CR1460</f>
        <v>0</v>
      </c>
      <c r="P1460" s="73">
        <f t="shared" si="188"/>
        <v>0</v>
      </c>
      <c r="Q1460" s="73"/>
      <c r="R1460" s="73">
        <v>0</v>
      </c>
      <c r="S1460" s="75">
        <f t="shared" si="190"/>
        <v>0</v>
      </c>
      <c r="T1460" s="77">
        <v>0</v>
      </c>
      <c r="U1460" s="66"/>
      <c r="V1460" s="79"/>
      <c r="W1460" s="66" t="s">
        <v>1606</v>
      </c>
      <c r="X1460" s="264" t="s">
        <v>1607</v>
      </c>
      <c r="Y1460" s="62"/>
      <c r="Z1460" s="260" t="s">
        <v>18</v>
      </c>
      <c r="AA1460" s="166" t="s">
        <v>28</v>
      </c>
      <c r="AB1460" s="152"/>
      <c r="AC1460" s="153"/>
      <c r="AD1460" s="154"/>
      <c r="AE1460" s="153"/>
      <c r="AF1460" s="153"/>
      <c r="AG1460" s="153"/>
      <c r="AH1460" s="153"/>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c r="BF1460" s="153"/>
      <c r="BG1460" s="153"/>
      <c r="BH1460" s="153"/>
      <c r="BI1460" s="153"/>
      <c r="BJ1460" s="153"/>
      <c r="BK1460" s="153"/>
      <c r="BL1460" s="153"/>
      <c r="BM1460" s="153"/>
      <c r="BN1460" s="153"/>
      <c r="BO1460" s="153"/>
      <c r="BP1460" s="153"/>
      <c r="BQ1460" s="153"/>
      <c r="BR1460" s="153"/>
      <c r="BS1460" s="153"/>
      <c r="BT1460" s="153"/>
      <c r="BU1460" s="153"/>
      <c r="BV1460" s="153"/>
      <c r="BW1460" s="153"/>
      <c r="BX1460" s="153"/>
      <c r="BY1460" s="153"/>
      <c r="BZ1460" s="153"/>
      <c r="CA1460" s="153"/>
      <c r="CB1460" s="153"/>
      <c r="CC1460" s="153"/>
      <c r="CD1460" s="155"/>
      <c r="CE1460" s="156"/>
      <c r="CF1460" s="155"/>
      <c r="CG1460" s="156"/>
      <c r="CH1460" s="155"/>
      <c r="CI1460" s="156"/>
      <c r="CJ1460" s="157">
        <f t="shared" si="189"/>
        <v>0</v>
      </c>
      <c r="CK1460" s="158"/>
      <c r="CL1460" s="159"/>
      <c r="CM1460" s="160"/>
      <c r="CN1460" s="161"/>
      <c r="CO1460" s="162"/>
      <c r="CP1460" s="161"/>
      <c r="CQ1460" s="158"/>
      <c r="CR1460" s="159"/>
      <c r="CS1460" s="68"/>
      <c r="CT1460" s="163"/>
      <c r="EC1460" s="344" t="str">
        <f t="shared" si="192"/>
        <v>TOLIMA_PURIFICACION</v>
      </c>
      <c r="ED1460" s="341"/>
      <c r="EE1460" s="341"/>
      <c r="EF1460" s="348"/>
      <c r="EG1460" s="341"/>
      <c r="EH1460" s="341"/>
      <c r="EI1460" s="341"/>
    </row>
    <row r="1461" spans="1:139" s="164" customFormat="1" ht="45">
      <c r="A1461" s="228">
        <v>40483</v>
      </c>
      <c r="B1461" s="205" t="s">
        <v>2400</v>
      </c>
      <c r="C1461" s="205" t="s">
        <v>25</v>
      </c>
      <c r="D1461" s="207" t="s">
        <v>1201</v>
      </c>
      <c r="E1461" s="323" t="s">
        <v>4213</v>
      </c>
      <c r="F1461" s="323"/>
      <c r="G1461" s="204"/>
      <c r="H1461" s="151"/>
      <c r="I1461" s="151"/>
      <c r="J1461" s="416">
        <f>1596*3.7</f>
        <v>5905.2000000000007</v>
      </c>
      <c r="K1461" s="151">
        <v>1596</v>
      </c>
      <c r="L1461" s="1"/>
      <c r="M1461" s="73">
        <f t="shared" si="187"/>
        <v>0</v>
      </c>
      <c r="N1461" s="73">
        <f t="shared" si="191"/>
        <v>0</v>
      </c>
      <c r="O1461" s="73">
        <f t="shared" si="193"/>
        <v>0</v>
      </c>
      <c r="P1461" s="73">
        <f t="shared" si="188"/>
        <v>0</v>
      </c>
      <c r="Q1461" s="73"/>
      <c r="R1461" s="73">
        <v>0</v>
      </c>
      <c r="S1461" s="75">
        <f t="shared" si="190"/>
        <v>0</v>
      </c>
      <c r="T1461" s="77">
        <v>0</v>
      </c>
      <c r="U1461" s="66"/>
      <c r="V1461" s="79"/>
      <c r="W1461" s="66" t="s">
        <v>1606</v>
      </c>
      <c r="X1461" s="264" t="s">
        <v>1607</v>
      </c>
      <c r="Y1461" s="62"/>
      <c r="Z1461" s="260" t="s">
        <v>18</v>
      </c>
      <c r="AA1461" s="166" t="s">
        <v>28</v>
      </c>
      <c r="AB1461" s="152"/>
      <c r="AC1461" s="153"/>
      <c r="AD1461" s="154"/>
      <c r="AE1461" s="153"/>
      <c r="AF1461" s="153"/>
      <c r="AG1461" s="153"/>
      <c r="AH1461" s="153"/>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c r="BI1461" s="153"/>
      <c r="BJ1461" s="153"/>
      <c r="BK1461" s="153"/>
      <c r="BL1461" s="153"/>
      <c r="BM1461" s="153"/>
      <c r="BN1461" s="153"/>
      <c r="BO1461" s="153"/>
      <c r="BP1461" s="153"/>
      <c r="BQ1461" s="153"/>
      <c r="BR1461" s="153"/>
      <c r="BS1461" s="153"/>
      <c r="BT1461" s="153"/>
      <c r="BU1461" s="153"/>
      <c r="BV1461" s="153"/>
      <c r="BW1461" s="153"/>
      <c r="BX1461" s="153"/>
      <c r="BY1461" s="153"/>
      <c r="BZ1461" s="153"/>
      <c r="CA1461" s="153"/>
      <c r="CB1461" s="153"/>
      <c r="CC1461" s="153"/>
      <c r="CD1461" s="155"/>
      <c r="CE1461" s="156"/>
      <c r="CF1461" s="155"/>
      <c r="CG1461" s="156"/>
      <c r="CH1461" s="155"/>
      <c r="CI1461" s="156"/>
      <c r="CJ1461" s="157">
        <f t="shared" si="189"/>
        <v>0</v>
      </c>
      <c r="CK1461" s="158"/>
      <c r="CL1461" s="159"/>
      <c r="CM1461" s="160"/>
      <c r="CN1461" s="161"/>
      <c r="CO1461" s="162"/>
      <c r="CP1461" s="161"/>
      <c r="CQ1461" s="158"/>
      <c r="CR1461" s="159"/>
      <c r="CS1461" s="68"/>
      <c r="CT1461" s="163"/>
      <c r="EC1461" s="344" t="str">
        <f t="shared" si="192"/>
        <v>TOLIMA_RONCESVALLES</v>
      </c>
      <c r="ED1461" s="341"/>
      <c r="EE1461" s="341"/>
      <c r="EF1461" s="348"/>
      <c r="EG1461" s="341"/>
      <c r="EH1461" s="341"/>
      <c r="EI1461" s="341"/>
    </row>
    <row r="1462" spans="1:139" s="164" customFormat="1" ht="45">
      <c r="A1462" s="228">
        <v>40483</v>
      </c>
      <c r="B1462" s="205" t="s">
        <v>2400</v>
      </c>
      <c r="C1462" s="205" t="s">
        <v>26</v>
      </c>
      <c r="D1462" s="207" t="s">
        <v>1201</v>
      </c>
      <c r="E1462" s="323" t="s">
        <v>4214</v>
      </c>
      <c r="F1462" s="323"/>
      <c r="G1462" s="204"/>
      <c r="H1462" s="151"/>
      <c r="I1462" s="151"/>
      <c r="J1462" s="151">
        <v>2205</v>
      </c>
      <c r="K1462" s="151">
        <v>490</v>
      </c>
      <c r="L1462" s="1"/>
      <c r="M1462" s="73">
        <f t="shared" si="187"/>
        <v>0</v>
      </c>
      <c r="N1462" s="73">
        <f t="shared" si="191"/>
        <v>0</v>
      </c>
      <c r="O1462" s="73">
        <f t="shared" si="193"/>
        <v>0</v>
      </c>
      <c r="P1462" s="73">
        <f t="shared" si="188"/>
        <v>0</v>
      </c>
      <c r="Q1462" s="73"/>
      <c r="R1462" s="73">
        <v>0</v>
      </c>
      <c r="S1462" s="75">
        <f t="shared" si="190"/>
        <v>0</v>
      </c>
      <c r="T1462" s="77">
        <v>0</v>
      </c>
      <c r="U1462" s="66"/>
      <c r="V1462" s="79"/>
      <c r="W1462" s="66" t="s">
        <v>1606</v>
      </c>
      <c r="X1462" s="264" t="s">
        <v>1607</v>
      </c>
      <c r="Y1462" s="62"/>
      <c r="Z1462" s="260" t="s">
        <v>18</v>
      </c>
      <c r="AA1462" s="166" t="s">
        <v>28</v>
      </c>
      <c r="AB1462" s="152"/>
      <c r="AC1462" s="153"/>
      <c r="AD1462" s="154"/>
      <c r="AE1462" s="153"/>
      <c r="AF1462" s="153"/>
      <c r="AG1462" s="153"/>
      <c r="AH1462" s="153"/>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c r="BI1462" s="153"/>
      <c r="BJ1462" s="153"/>
      <c r="BK1462" s="153"/>
      <c r="BL1462" s="153"/>
      <c r="BM1462" s="153"/>
      <c r="BN1462" s="153"/>
      <c r="BO1462" s="153"/>
      <c r="BP1462" s="153"/>
      <c r="BQ1462" s="153"/>
      <c r="BR1462" s="153"/>
      <c r="BS1462" s="153"/>
      <c r="BT1462" s="153"/>
      <c r="BU1462" s="153"/>
      <c r="BV1462" s="153"/>
      <c r="BW1462" s="153"/>
      <c r="BX1462" s="153"/>
      <c r="BY1462" s="153"/>
      <c r="BZ1462" s="153"/>
      <c r="CA1462" s="153"/>
      <c r="CB1462" s="153"/>
      <c r="CC1462" s="153"/>
      <c r="CD1462" s="155"/>
      <c r="CE1462" s="156"/>
      <c r="CF1462" s="155"/>
      <c r="CG1462" s="156"/>
      <c r="CH1462" s="155"/>
      <c r="CI1462" s="156"/>
      <c r="CJ1462" s="157">
        <f t="shared" si="189"/>
        <v>0</v>
      </c>
      <c r="CK1462" s="158"/>
      <c r="CL1462" s="159"/>
      <c r="CM1462" s="160"/>
      <c r="CN1462" s="161"/>
      <c r="CO1462" s="162"/>
      <c r="CP1462" s="161"/>
      <c r="CQ1462" s="158"/>
      <c r="CR1462" s="159"/>
      <c r="CS1462" s="68"/>
      <c r="CT1462" s="163"/>
      <c r="EC1462" s="344" t="str">
        <f t="shared" si="192"/>
        <v>TOLIMA_ROVIRA</v>
      </c>
      <c r="ED1462" s="341"/>
      <c r="EE1462" s="341"/>
      <c r="EF1462" s="348"/>
      <c r="EG1462" s="341"/>
      <c r="EH1462" s="341"/>
      <c r="EI1462" s="341"/>
    </row>
    <row r="1463" spans="1:139" s="164" customFormat="1" ht="45">
      <c r="A1463" s="228">
        <v>40483</v>
      </c>
      <c r="B1463" s="205" t="s">
        <v>2400</v>
      </c>
      <c r="C1463" s="205" t="s">
        <v>2286</v>
      </c>
      <c r="D1463" s="207" t="s">
        <v>1201</v>
      </c>
      <c r="E1463" s="323" t="s">
        <v>4217</v>
      </c>
      <c r="F1463" s="323"/>
      <c r="G1463" s="204"/>
      <c r="H1463" s="151"/>
      <c r="I1463" s="151"/>
      <c r="J1463" s="151">
        <f>695*5</f>
        <v>3475</v>
      </c>
      <c r="K1463" s="151">
        <v>695</v>
      </c>
      <c r="L1463" s="1"/>
      <c r="M1463" s="73">
        <f t="shared" si="187"/>
        <v>0</v>
      </c>
      <c r="N1463" s="73">
        <f t="shared" si="191"/>
        <v>0</v>
      </c>
      <c r="O1463" s="73">
        <f t="shared" si="193"/>
        <v>0</v>
      </c>
      <c r="P1463" s="73">
        <f t="shared" si="188"/>
        <v>0</v>
      </c>
      <c r="Q1463" s="73"/>
      <c r="R1463" s="73">
        <v>0</v>
      </c>
      <c r="S1463" s="75">
        <f t="shared" si="190"/>
        <v>0</v>
      </c>
      <c r="T1463" s="77">
        <v>0</v>
      </c>
      <c r="U1463" s="66"/>
      <c r="V1463" s="79"/>
      <c r="W1463" s="66" t="s">
        <v>1606</v>
      </c>
      <c r="X1463" s="264" t="s">
        <v>1607</v>
      </c>
      <c r="Y1463" s="62"/>
      <c r="Z1463" s="260" t="s">
        <v>18</v>
      </c>
      <c r="AA1463" s="166" t="s">
        <v>28</v>
      </c>
      <c r="AB1463" s="152"/>
      <c r="AC1463" s="153"/>
      <c r="AD1463" s="154"/>
      <c r="AE1463" s="153"/>
      <c r="AF1463" s="153"/>
      <c r="AG1463" s="153"/>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c r="BI1463" s="153"/>
      <c r="BJ1463" s="153"/>
      <c r="BK1463" s="153"/>
      <c r="BL1463" s="153"/>
      <c r="BM1463" s="153"/>
      <c r="BN1463" s="153"/>
      <c r="BO1463" s="153"/>
      <c r="BP1463" s="153"/>
      <c r="BQ1463" s="153"/>
      <c r="BR1463" s="153"/>
      <c r="BS1463" s="153"/>
      <c r="BT1463" s="153"/>
      <c r="BU1463" s="153"/>
      <c r="BV1463" s="153"/>
      <c r="BW1463" s="153"/>
      <c r="BX1463" s="153"/>
      <c r="BY1463" s="153"/>
      <c r="BZ1463" s="153"/>
      <c r="CA1463" s="153"/>
      <c r="CB1463" s="153"/>
      <c r="CC1463" s="153"/>
      <c r="CD1463" s="155"/>
      <c r="CE1463" s="156"/>
      <c r="CF1463" s="155"/>
      <c r="CG1463" s="156"/>
      <c r="CH1463" s="155"/>
      <c r="CI1463" s="156"/>
      <c r="CJ1463" s="157">
        <f t="shared" si="189"/>
        <v>0</v>
      </c>
      <c r="CK1463" s="158"/>
      <c r="CL1463" s="159"/>
      <c r="CM1463" s="160"/>
      <c r="CN1463" s="161"/>
      <c r="CO1463" s="162"/>
      <c r="CP1463" s="161"/>
      <c r="CQ1463" s="158"/>
      <c r="CR1463" s="159"/>
      <c r="CS1463" s="68"/>
      <c r="CT1463" s="163"/>
      <c r="EC1463" s="344" t="str">
        <f t="shared" si="192"/>
        <v>TOLIMA_SAN LUIS</v>
      </c>
      <c r="ED1463" s="341"/>
      <c r="EE1463" s="341"/>
      <c r="EF1463" s="348"/>
      <c r="EG1463" s="341"/>
      <c r="EH1463" s="341"/>
      <c r="EI1463" s="341"/>
    </row>
    <row r="1464" spans="1:139" s="164" customFormat="1" ht="45">
      <c r="A1464" s="228">
        <v>40483</v>
      </c>
      <c r="B1464" s="205" t="s">
        <v>2400</v>
      </c>
      <c r="C1464" s="205" t="s">
        <v>991</v>
      </c>
      <c r="D1464" s="207" t="s">
        <v>1201</v>
      </c>
      <c r="E1464" s="323" t="s">
        <v>4218</v>
      </c>
      <c r="F1464" s="323"/>
      <c r="G1464" s="204"/>
      <c r="H1464" s="151"/>
      <c r="I1464" s="151"/>
      <c r="J1464" s="151">
        <v>1935</v>
      </c>
      <c r="K1464" s="151">
        <v>430</v>
      </c>
      <c r="L1464" s="1"/>
      <c r="M1464" s="73">
        <f t="shared" si="187"/>
        <v>0</v>
      </c>
      <c r="N1464" s="73">
        <f t="shared" si="191"/>
        <v>0</v>
      </c>
      <c r="O1464" s="73">
        <f t="shared" si="193"/>
        <v>0</v>
      </c>
      <c r="P1464" s="73">
        <f t="shared" si="188"/>
        <v>0</v>
      </c>
      <c r="Q1464" s="73"/>
      <c r="R1464" s="73">
        <v>0</v>
      </c>
      <c r="S1464" s="75">
        <f t="shared" si="190"/>
        <v>0</v>
      </c>
      <c r="T1464" s="77">
        <v>0</v>
      </c>
      <c r="U1464" s="66"/>
      <c r="V1464" s="79"/>
      <c r="W1464" s="66" t="s">
        <v>1606</v>
      </c>
      <c r="X1464" s="264" t="s">
        <v>1607</v>
      </c>
      <c r="Y1464" s="62"/>
      <c r="Z1464" s="260" t="s">
        <v>18</v>
      </c>
      <c r="AA1464" s="166" t="s">
        <v>28</v>
      </c>
      <c r="AB1464" s="152"/>
      <c r="AC1464" s="153"/>
      <c r="AD1464" s="154"/>
      <c r="AE1464" s="153"/>
      <c r="AF1464" s="153"/>
      <c r="AG1464" s="153"/>
      <c r="AH1464" s="153"/>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c r="BI1464" s="153"/>
      <c r="BJ1464" s="153"/>
      <c r="BK1464" s="153"/>
      <c r="BL1464" s="153"/>
      <c r="BM1464" s="153"/>
      <c r="BN1464" s="153"/>
      <c r="BO1464" s="153"/>
      <c r="BP1464" s="153"/>
      <c r="BQ1464" s="153"/>
      <c r="BR1464" s="153"/>
      <c r="BS1464" s="153"/>
      <c r="BT1464" s="153"/>
      <c r="BU1464" s="153"/>
      <c r="BV1464" s="153"/>
      <c r="BW1464" s="153"/>
      <c r="BX1464" s="153"/>
      <c r="BY1464" s="153"/>
      <c r="BZ1464" s="153"/>
      <c r="CA1464" s="153"/>
      <c r="CB1464" s="153"/>
      <c r="CC1464" s="153"/>
      <c r="CD1464" s="155"/>
      <c r="CE1464" s="156"/>
      <c r="CF1464" s="155"/>
      <c r="CG1464" s="156"/>
      <c r="CH1464" s="155"/>
      <c r="CI1464" s="156"/>
      <c r="CJ1464" s="157">
        <f t="shared" si="189"/>
        <v>0</v>
      </c>
      <c r="CK1464" s="158"/>
      <c r="CL1464" s="159"/>
      <c r="CM1464" s="160"/>
      <c r="CN1464" s="161"/>
      <c r="CO1464" s="162"/>
      <c r="CP1464" s="161"/>
      <c r="CQ1464" s="158"/>
      <c r="CR1464" s="159"/>
      <c r="CS1464" s="68"/>
      <c r="CT1464" s="163"/>
      <c r="EC1464" s="344" t="str">
        <f t="shared" si="192"/>
        <v>TOLIMA_SANTA ISABEL</v>
      </c>
      <c r="ED1464" s="341"/>
      <c r="EE1464" s="341"/>
      <c r="EF1464" s="348"/>
      <c r="EG1464" s="341"/>
      <c r="EH1464" s="341"/>
      <c r="EI1464" s="341"/>
    </row>
    <row r="1465" spans="1:139" s="164" customFormat="1" ht="45">
      <c r="A1465" s="228">
        <v>40483</v>
      </c>
      <c r="B1465" s="205" t="s">
        <v>2400</v>
      </c>
      <c r="C1465" s="205" t="s">
        <v>1232</v>
      </c>
      <c r="D1465" s="207" t="s">
        <v>1201</v>
      </c>
      <c r="E1465" s="323" t="s">
        <v>4220</v>
      </c>
      <c r="F1465" s="323"/>
      <c r="G1465" s="204"/>
      <c r="H1465" s="151"/>
      <c r="I1465" s="151"/>
      <c r="J1465" s="151">
        <f>455*5</f>
        <v>2275</v>
      </c>
      <c r="K1465" s="151">
        <v>455</v>
      </c>
      <c r="L1465" s="1"/>
      <c r="M1465" s="73">
        <f t="shared" si="187"/>
        <v>0</v>
      </c>
      <c r="N1465" s="73">
        <f t="shared" si="191"/>
        <v>0</v>
      </c>
      <c r="O1465" s="73">
        <f t="shared" si="193"/>
        <v>0</v>
      </c>
      <c r="P1465" s="73">
        <f t="shared" si="188"/>
        <v>0</v>
      </c>
      <c r="Q1465" s="73"/>
      <c r="R1465" s="73">
        <v>0</v>
      </c>
      <c r="S1465" s="75">
        <f t="shared" si="190"/>
        <v>0</v>
      </c>
      <c r="T1465" s="77">
        <v>0</v>
      </c>
      <c r="U1465" s="66"/>
      <c r="V1465" s="79"/>
      <c r="W1465" s="66" t="s">
        <v>1606</v>
      </c>
      <c r="X1465" s="264" t="s">
        <v>1607</v>
      </c>
      <c r="Y1465" s="62"/>
      <c r="Z1465" s="260" t="s">
        <v>18</v>
      </c>
      <c r="AA1465" s="166" t="s">
        <v>28</v>
      </c>
      <c r="AB1465" s="152"/>
      <c r="AC1465" s="153"/>
      <c r="AD1465" s="154"/>
      <c r="AE1465" s="153"/>
      <c r="AF1465" s="153"/>
      <c r="AG1465" s="153"/>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c r="BI1465" s="153"/>
      <c r="BJ1465" s="153"/>
      <c r="BK1465" s="153"/>
      <c r="BL1465" s="153"/>
      <c r="BM1465" s="153"/>
      <c r="BN1465" s="153"/>
      <c r="BO1465" s="153"/>
      <c r="BP1465" s="153"/>
      <c r="BQ1465" s="153"/>
      <c r="BR1465" s="153"/>
      <c r="BS1465" s="153"/>
      <c r="BT1465" s="153"/>
      <c r="BU1465" s="153"/>
      <c r="BV1465" s="153"/>
      <c r="BW1465" s="153"/>
      <c r="BX1465" s="153"/>
      <c r="BY1465" s="153"/>
      <c r="BZ1465" s="153"/>
      <c r="CA1465" s="153"/>
      <c r="CB1465" s="153"/>
      <c r="CC1465" s="153"/>
      <c r="CD1465" s="155"/>
      <c r="CE1465" s="156"/>
      <c r="CF1465" s="155"/>
      <c r="CG1465" s="156"/>
      <c r="CH1465" s="155"/>
      <c r="CI1465" s="156"/>
      <c r="CJ1465" s="157">
        <f t="shared" si="189"/>
        <v>0</v>
      </c>
      <c r="CK1465" s="158"/>
      <c r="CL1465" s="159"/>
      <c r="CM1465" s="160"/>
      <c r="CN1465" s="161"/>
      <c r="CO1465" s="162"/>
      <c r="CP1465" s="161"/>
      <c r="CQ1465" s="158"/>
      <c r="CR1465" s="159"/>
      <c r="CS1465" s="68"/>
      <c r="CT1465" s="163"/>
      <c r="EC1465" s="344" t="str">
        <f t="shared" si="192"/>
        <v>TOLIMA_VALLE DE SAN JUAN</v>
      </c>
      <c r="ED1465" s="341"/>
      <c r="EE1465" s="341"/>
      <c r="EF1465" s="348"/>
      <c r="EG1465" s="341"/>
      <c r="EH1465" s="341"/>
      <c r="EI1465" s="341"/>
    </row>
    <row r="1466" spans="1:139" s="164" customFormat="1" ht="45">
      <c r="A1466" s="228">
        <v>40483</v>
      </c>
      <c r="B1466" s="205" t="s">
        <v>2400</v>
      </c>
      <c r="C1466" s="205" t="s">
        <v>27</v>
      </c>
      <c r="D1466" s="207" t="s">
        <v>1201</v>
      </c>
      <c r="E1466" s="323" t="s">
        <v>4222</v>
      </c>
      <c r="F1466" s="323"/>
      <c r="G1466" s="204"/>
      <c r="H1466" s="151"/>
      <c r="I1466" s="151"/>
      <c r="J1466" s="151">
        <v>1751</v>
      </c>
      <c r="K1466" s="151">
        <v>389</v>
      </c>
      <c r="L1466" s="1"/>
      <c r="M1466" s="73">
        <f t="shared" si="187"/>
        <v>0</v>
      </c>
      <c r="N1466" s="73">
        <f t="shared" si="191"/>
        <v>0</v>
      </c>
      <c r="O1466" s="73">
        <f t="shared" si="193"/>
        <v>0</v>
      </c>
      <c r="P1466" s="73">
        <f t="shared" si="188"/>
        <v>0</v>
      </c>
      <c r="Q1466" s="73"/>
      <c r="R1466" s="73">
        <v>0</v>
      </c>
      <c r="S1466" s="75">
        <f t="shared" si="190"/>
        <v>0</v>
      </c>
      <c r="T1466" s="77">
        <v>0</v>
      </c>
      <c r="U1466" s="66"/>
      <c r="V1466" s="79"/>
      <c r="W1466" s="66" t="s">
        <v>1606</v>
      </c>
      <c r="X1466" s="264" t="s">
        <v>1607</v>
      </c>
      <c r="Y1466" s="62"/>
      <c r="Z1466" s="260" t="s">
        <v>18</v>
      </c>
      <c r="AA1466" s="166" t="s">
        <v>28</v>
      </c>
      <c r="AB1466" s="152"/>
      <c r="AC1466" s="153"/>
      <c r="AD1466" s="154"/>
      <c r="AE1466" s="153"/>
      <c r="AF1466" s="153"/>
      <c r="AG1466" s="153"/>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53"/>
      <c r="BB1466" s="153"/>
      <c r="BC1466" s="153"/>
      <c r="BD1466" s="153"/>
      <c r="BE1466" s="153"/>
      <c r="BF1466" s="153"/>
      <c r="BG1466" s="153"/>
      <c r="BH1466" s="153"/>
      <c r="BI1466" s="153"/>
      <c r="BJ1466" s="153"/>
      <c r="BK1466" s="153"/>
      <c r="BL1466" s="153"/>
      <c r="BM1466" s="153"/>
      <c r="BN1466" s="153"/>
      <c r="BO1466" s="153"/>
      <c r="BP1466" s="153"/>
      <c r="BQ1466" s="153"/>
      <c r="BR1466" s="153"/>
      <c r="BS1466" s="153"/>
      <c r="BT1466" s="153"/>
      <c r="BU1466" s="153"/>
      <c r="BV1466" s="153"/>
      <c r="BW1466" s="153"/>
      <c r="BX1466" s="153"/>
      <c r="BY1466" s="153"/>
      <c r="BZ1466" s="153"/>
      <c r="CA1466" s="153"/>
      <c r="CB1466" s="153"/>
      <c r="CC1466" s="153"/>
      <c r="CD1466" s="155"/>
      <c r="CE1466" s="156"/>
      <c r="CF1466" s="155"/>
      <c r="CG1466" s="156"/>
      <c r="CH1466" s="155"/>
      <c r="CI1466" s="156"/>
      <c r="CJ1466" s="157">
        <f t="shared" si="189"/>
        <v>0</v>
      </c>
      <c r="CK1466" s="158"/>
      <c r="CL1466" s="159"/>
      <c r="CM1466" s="160"/>
      <c r="CN1466" s="161"/>
      <c r="CO1466" s="162"/>
      <c r="CP1466" s="161"/>
      <c r="CQ1466" s="158"/>
      <c r="CR1466" s="159"/>
      <c r="CS1466" s="68"/>
      <c r="CT1466" s="163"/>
      <c r="EC1466" s="344" t="str">
        <f t="shared" si="192"/>
        <v>TOLIMA_VILLAHERMOSA</v>
      </c>
      <c r="ED1466" s="341"/>
      <c r="EE1466" s="341"/>
      <c r="EF1466" s="348"/>
      <c r="EG1466" s="341"/>
      <c r="EH1466" s="341"/>
      <c r="EI1466" s="341"/>
    </row>
    <row r="1467" spans="1:139" s="164" customFormat="1" ht="51">
      <c r="A1467" s="228">
        <v>40483</v>
      </c>
      <c r="B1467" s="205" t="s">
        <v>1088</v>
      </c>
      <c r="C1467" s="205" t="s">
        <v>1544</v>
      </c>
      <c r="D1467" s="207" t="s">
        <v>1201</v>
      </c>
      <c r="E1467" s="323" t="s">
        <v>4230</v>
      </c>
      <c r="F1467" s="323"/>
      <c r="G1467" s="204"/>
      <c r="H1467" s="151"/>
      <c r="I1467" s="151"/>
      <c r="J1467" s="151">
        <v>1069</v>
      </c>
      <c r="K1467" s="151">
        <v>263</v>
      </c>
      <c r="L1467" s="1"/>
      <c r="M1467" s="73">
        <f t="shared" si="187"/>
        <v>0</v>
      </c>
      <c r="N1467" s="73">
        <f t="shared" si="191"/>
        <v>0</v>
      </c>
      <c r="O1467" s="73">
        <f t="shared" si="193"/>
        <v>0</v>
      </c>
      <c r="P1467" s="73">
        <f t="shared" si="188"/>
        <v>0</v>
      </c>
      <c r="Q1467" s="73"/>
      <c r="R1467" s="73">
        <v>0</v>
      </c>
      <c r="S1467" s="75">
        <f t="shared" si="190"/>
        <v>0</v>
      </c>
      <c r="T1467" s="77">
        <v>0</v>
      </c>
      <c r="U1467" s="66">
        <v>40494</v>
      </c>
      <c r="V1467" s="79"/>
      <c r="W1467" s="66" t="s">
        <v>1585</v>
      </c>
      <c r="X1467" s="24" t="s">
        <v>1586</v>
      </c>
      <c r="Y1467" s="62"/>
      <c r="Z1467" s="169" t="s">
        <v>894</v>
      </c>
      <c r="AA1467" s="166" t="s">
        <v>2834</v>
      </c>
      <c r="AB1467" s="152"/>
      <c r="AC1467" s="153"/>
      <c r="AD1467" s="154"/>
      <c r="AE1467" s="153"/>
      <c r="AF1467" s="153"/>
      <c r="AG1467" s="153"/>
      <c r="AH1467" s="153"/>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c r="BI1467" s="153"/>
      <c r="BJ1467" s="153"/>
      <c r="BK1467" s="153"/>
      <c r="BL1467" s="153"/>
      <c r="BM1467" s="153"/>
      <c r="BN1467" s="153"/>
      <c r="BO1467" s="153"/>
      <c r="BP1467" s="153"/>
      <c r="BQ1467" s="153"/>
      <c r="BR1467" s="153"/>
      <c r="BS1467" s="153"/>
      <c r="BT1467" s="153"/>
      <c r="BU1467" s="153"/>
      <c r="BV1467" s="153"/>
      <c r="BW1467" s="153"/>
      <c r="BX1467" s="153"/>
      <c r="BY1467" s="153"/>
      <c r="BZ1467" s="153"/>
      <c r="CA1467" s="153"/>
      <c r="CB1467" s="153"/>
      <c r="CC1467" s="153"/>
      <c r="CD1467" s="155"/>
      <c r="CE1467" s="156"/>
      <c r="CF1467" s="155"/>
      <c r="CG1467" s="156"/>
      <c r="CH1467" s="155"/>
      <c r="CI1467" s="156"/>
      <c r="CJ1467" s="157">
        <f t="shared" si="189"/>
        <v>0</v>
      </c>
      <c r="CK1467" s="158"/>
      <c r="CL1467" s="159"/>
      <c r="CM1467" s="160"/>
      <c r="CN1467" s="161"/>
      <c r="CO1467" s="162"/>
      <c r="CP1467" s="161"/>
      <c r="CQ1467" s="158"/>
      <c r="CR1467" s="159"/>
      <c r="CS1467" s="68"/>
      <c r="CT1467" s="163"/>
      <c r="EC1467" s="344" t="str">
        <f t="shared" si="192"/>
        <v>VALLE DEL CAUCA_BUENAVENTURA</v>
      </c>
      <c r="ED1467" s="341"/>
      <c r="EE1467" s="341"/>
      <c r="EF1467" s="348"/>
      <c r="EG1467" s="341"/>
      <c r="EH1467" s="341"/>
      <c r="EI1467" s="341"/>
    </row>
    <row r="1468" spans="1:139" s="164" customFormat="1" ht="38.25">
      <c r="A1468" s="235">
        <v>40484</v>
      </c>
      <c r="B1468" s="269" t="s">
        <v>1972</v>
      </c>
      <c r="C1468" s="269" t="s">
        <v>2820</v>
      </c>
      <c r="D1468" s="270" t="s">
        <v>1201</v>
      </c>
      <c r="E1468" s="327" t="s">
        <v>3263</v>
      </c>
      <c r="F1468" s="327"/>
      <c r="G1468" s="204"/>
      <c r="H1468" s="151"/>
      <c r="I1468" s="151"/>
      <c r="J1468" s="151">
        <v>200</v>
      </c>
      <c r="K1468" s="151">
        <v>50</v>
      </c>
      <c r="L1468" s="1"/>
      <c r="M1468" s="73">
        <f t="shared" si="187"/>
        <v>0</v>
      </c>
      <c r="N1468" s="73">
        <f t="shared" si="191"/>
        <v>0</v>
      </c>
      <c r="O1468" s="73">
        <f t="shared" si="193"/>
        <v>0</v>
      </c>
      <c r="P1468" s="73">
        <f t="shared" si="188"/>
        <v>0</v>
      </c>
      <c r="Q1468" s="73"/>
      <c r="R1468" s="73">
        <v>0</v>
      </c>
      <c r="S1468" s="75">
        <f t="shared" si="190"/>
        <v>0</v>
      </c>
      <c r="T1468" s="77">
        <v>0</v>
      </c>
      <c r="U1468" s="66">
        <v>40483</v>
      </c>
      <c r="V1468" s="79"/>
      <c r="W1468" s="66" t="s">
        <v>1585</v>
      </c>
      <c r="X1468" s="24" t="s">
        <v>1586</v>
      </c>
      <c r="Y1468" s="62"/>
      <c r="Z1468" s="169" t="s">
        <v>894</v>
      </c>
      <c r="AA1468" s="166" t="s">
        <v>843</v>
      </c>
      <c r="AB1468" s="152"/>
      <c r="AC1468" s="153"/>
      <c r="AD1468" s="154"/>
      <c r="AE1468" s="153"/>
      <c r="AF1468" s="153"/>
      <c r="AG1468" s="153"/>
      <c r="AH1468" s="153"/>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c r="BI1468" s="153"/>
      <c r="BJ1468" s="153"/>
      <c r="BK1468" s="153"/>
      <c r="BL1468" s="153"/>
      <c r="BM1468" s="153"/>
      <c r="BN1468" s="153"/>
      <c r="BO1468" s="153"/>
      <c r="BP1468" s="153"/>
      <c r="BQ1468" s="153"/>
      <c r="BR1468" s="153"/>
      <c r="BS1468" s="153"/>
      <c r="BT1468" s="153"/>
      <c r="BU1468" s="153"/>
      <c r="BV1468" s="153"/>
      <c r="BW1468" s="153"/>
      <c r="BX1468" s="153"/>
      <c r="BY1468" s="153"/>
      <c r="BZ1468" s="153"/>
      <c r="CA1468" s="153"/>
      <c r="CB1468" s="153"/>
      <c r="CC1468" s="153"/>
      <c r="CD1468" s="155"/>
      <c r="CE1468" s="156"/>
      <c r="CF1468" s="155"/>
      <c r="CG1468" s="156"/>
      <c r="CH1468" s="155"/>
      <c r="CI1468" s="156"/>
      <c r="CJ1468" s="157">
        <f t="shared" si="189"/>
        <v>0</v>
      </c>
      <c r="CK1468" s="158"/>
      <c r="CL1468" s="159"/>
      <c r="CM1468" s="160"/>
      <c r="CN1468" s="161"/>
      <c r="CO1468" s="162"/>
      <c r="CP1468" s="161"/>
      <c r="CQ1468" s="158"/>
      <c r="CR1468" s="159"/>
      <c r="CS1468" s="68"/>
      <c r="CT1468" s="163"/>
      <c r="EC1468" s="344" t="str">
        <f t="shared" si="192"/>
        <v>ANTIOQUIA_CISNEROS</v>
      </c>
      <c r="ED1468" s="341"/>
      <c r="EE1468" s="341"/>
      <c r="EF1468" s="348"/>
      <c r="EG1468" s="341"/>
      <c r="EH1468" s="341"/>
      <c r="EI1468" s="341"/>
    </row>
    <row r="1469" spans="1:139" s="164" customFormat="1" ht="72">
      <c r="A1469" s="228">
        <v>40484</v>
      </c>
      <c r="B1469" s="205" t="s">
        <v>1615</v>
      </c>
      <c r="C1469" s="205" t="s">
        <v>1642</v>
      </c>
      <c r="D1469" s="207" t="s">
        <v>1201</v>
      </c>
      <c r="E1469" s="323" t="s">
        <v>3376</v>
      </c>
      <c r="F1469" s="323"/>
      <c r="G1469" s="204">
        <v>1</v>
      </c>
      <c r="H1469" s="151"/>
      <c r="I1469" s="151"/>
      <c r="J1469" s="151">
        <v>12515</v>
      </c>
      <c r="K1469" s="151">
        <v>2503</v>
      </c>
      <c r="L1469" s="1">
        <v>40507</v>
      </c>
      <c r="M1469" s="73">
        <f t="shared" si="187"/>
        <v>230652000</v>
      </c>
      <c r="N1469" s="73">
        <f t="shared" si="191"/>
        <v>170000000</v>
      </c>
      <c r="O1469" s="73">
        <f t="shared" si="193"/>
        <v>0</v>
      </c>
      <c r="P1469" s="73">
        <f t="shared" si="188"/>
        <v>0</v>
      </c>
      <c r="Q1469" s="73"/>
      <c r="R1469" s="73">
        <v>0</v>
      </c>
      <c r="S1469" s="75">
        <f t="shared" si="190"/>
        <v>400652000</v>
      </c>
      <c r="T1469" s="77">
        <v>0</v>
      </c>
      <c r="U1469" s="66">
        <v>40484</v>
      </c>
      <c r="V1469" s="79">
        <v>62474</v>
      </c>
      <c r="W1469" s="66" t="s">
        <v>1606</v>
      </c>
      <c r="X1469" s="24" t="s">
        <v>1607</v>
      </c>
      <c r="Y1469" s="83" t="s">
        <v>1128</v>
      </c>
      <c r="Z1469" s="177" t="s">
        <v>2580</v>
      </c>
      <c r="AA1469" s="166" t="s">
        <v>2577</v>
      </c>
      <c r="AB1469" s="152"/>
      <c r="AC1469" s="153"/>
      <c r="AD1469" s="154"/>
      <c r="AE1469" s="153"/>
      <c r="AF1469" s="153"/>
      <c r="AG1469" s="153"/>
      <c r="AH1469" s="153"/>
      <c r="AI1469" s="153"/>
      <c r="AJ1469" s="153"/>
      <c r="AK1469" s="153"/>
      <c r="AL1469" s="153"/>
      <c r="AM1469" s="153"/>
      <c r="AN1469" s="153">
        <v>2000</v>
      </c>
      <c r="AO1469" s="153">
        <f>2000*56000</f>
        <v>112000000</v>
      </c>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c r="BI1469" s="153"/>
      <c r="BJ1469" s="153"/>
      <c r="BK1469" s="153"/>
      <c r="BL1469" s="153"/>
      <c r="BM1469" s="153"/>
      <c r="BN1469" s="153"/>
      <c r="BO1469" s="153"/>
      <c r="BP1469" s="153"/>
      <c r="BQ1469" s="153"/>
      <c r="BR1469" s="153"/>
      <c r="BS1469" s="153"/>
      <c r="BT1469" s="153"/>
      <c r="BU1469" s="153"/>
      <c r="BV1469" s="153"/>
      <c r="BW1469" s="153"/>
      <c r="BX1469" s="153">
        <v>2000</v>
      </c>
      <c r="BY1469" s="153">
        <f>2000*21000</f>
        <v>42000000</v>
      </c>
      <c r="BZ1469" s="153"/>
      <c r="CA1469" s="153"/>
      <c r="CB1469" s="153"/>
      <c r="CC1469" s="153"/>
      <c r="CD1469" s="155">
        <v>1000</v>
      </c>
      <c r="CE1469" s="156">
        <f>1000*36952</f>
        <v>36952000</v>
      </c>
      <c r="CF1469" s="155">
        <v>1000</v>
      </c>
      <c r="CG1469" s="156">
        <f>1000*39700</f>
        <v>39700000</v>
      </c>
      <c r="CH1469" s="155"/>
      <c r="CI1469" s="156"/>
      <c r="CJ1469" s="157">
        <f t="shared" si="189"/>
        <v>230652000</v>
      </c>
      <c r="CK1469" s="158"/>
      <c r="CL1469" s="159"/>
      <c r="CM1469" s="160">
        <v>2000</v>
      </c>
      <c r="CN1469" s="161">
        <f>2000*85000</f>
        <v>170000000</v>
      </c>
      <c r="CO1469" s="162"/>
      <c r="CP1469" s="161"/>
      <c r="CQ1469" s="158"/>
      <c r="CR1469" s="159"/>
      <c r="CS1469" s="68"/>
      <c r="CT1469" s="163"/>
      <c r="EC1469" s="344" t="str">
        <f t="shared" si="192"/>
        <v>BOLIVAR_CARTAGENA</v>
      </c>
      <c r="ED1469" s="341"/>
      <c r="EE1469" s="341"/>
      <c r="EF1469" s="348"/>
      <c r="EG1469" s="341"/>
      <c r="EH1469" s="341"/>
      <c r="EI1469" s="341"/>
    </row>
    <row r="1470" spans="1:139" s="164" customFormat="1" ht="38.25">
      <c r="A1470" s="228">
        <v>40484</v>
      </c>
      <c r="B1470" s="205" t="s">
        <v>1604</v>
      </c>
      <c r="C1470" s="205" t="s">
        <v>1008</v>
      </c>
      <c r="D1470" s="207" t="s">
        <v>1201</v>
      </c>
      <c r="E1470" s="323" t="s">
        <v>3734</v>
      </c>
      <c r="F1470" s="323"/>
      <c r="G1470" s="204">
        <v>1</v>
      </c>
      <c r="H1470" s="151"/>
      <c r="I1470" s="151"/>
      <c r="J1470" s="151">
        <f>103-16</f>
        <v>87</v>
      </c>
      <c r="K1470" s="151">
        <v>46</v>
      </c>
      <c r="L1470" s="1"/>
      <c r="M1470" s="73">
        <f t="shared" si="187"/>
        <v>0</v>
      </c>
      <c r="N1470" s="73">
        <f t="shared" si="191"/>
        <v>0</v>
      </c>
      <c r="O1470" s="73">
        <f t="shared" si="193"/>
        <v>0</v>
      </c>
      <c r="P1470" s="73">
        <f t="shared" si="188"/>
        <v>0</v>
      </c>
      <c r="Q1470" s="73"/>
      <c r="R1470" s="73">
        <v>0</v>
      </c>
      <c r="S1470" s="75">
        <f t="shared" si="190"/>
        <v>0</v>
      </c>
      <c r="T1470" s="77">
        <v>0</v>
      </c>
      <c r="U1470" s="228">
        <v>40484</v>
      </c>
      <c r="V1470" s="79"/>
      <c r="W1470" s="66" t="s">
        <v>1585</v>
      </c>
      <c r="X1470" s="24" t="s">
        <v>1586</v>
      </c>
      <c r="Y1470" s="104"/>
      <c r="Z1470" s="169" t="s">
        <v>894</v>
      </c>
      <c r="AA1470" s="166" t="s">
        <v>2524</v>
      </c>
      <c r="AB1470" s="152"/>
      <c r="AC1470" s="153"/>
      <c r="AD1470" s="154"/>
      <c r="AE1470" s="153"/>
      <c r="AF1470" s="153"/>
      <c r="AG1470" s="153"/>
      <c r="AH1470" s="153"/>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c r="BI1470" s="153"/>
      <c r="BJ1470" s="153"/>
      <c r="BK1470" s="153"/>
      <c r="BL1470" s="153"/>
      <c r="BM1470" s="153"/>
      <c r="BN1470" s="153"/>
      <c r="BO1470" s="153"/>
      <c r="BP1470" s="153"/>
      <c r="BQ1470" s="153"/>
      <c r="BR1470" s="153"/>
      <c r="BS1470" s="153"/>
      <c r="BT1470" s="153"/>
      <c r="BU1470" s="153"/>
      <c r="BV1470" s="153"/>
      <c r="BW1470" s="153"/>
      <c r="BX1470" s="153"/>
      <c r="BY1470" s="153"/>
      <c r="BZ1470" s="153"/>
      <c r="CA1470" s="153"/>
      <c r="CB1470" s="153"/>
      <c r="CC1470" s="153"/>
      <c r="CD1470" s="155"/>
      <c r="CE1470" s="156"/>
      <c r="CF1470" s="155"/>
      <c r="CG1470" s="156"/>
      <c r="CH1470" s="155"/>
      <c r="CI1470" s="156"/>
      <c r="CJ1470" s="157">
        <f t="shared" si="189"/>
        <v>0</v>
      </c>
      <c r="CK1470" s="158"/>
      <c r="CL1470" s="159"/>
      <c r="CM1470" s="160"/>
      <c r="CN1470" s="161"/>
      <c r="CO1470" s="162"/>
      <c r="CP1470" s="161"/>
      <c r="CQ1470" s="158"/>
      <c r="CR1470" s="159"/>
      <c r="CS1470" s="68"/>
      <c r="CT1470" s="163"/>
      <c r="EC1470" s="344" t="str">
        <f t="shared" si="192"/>
        <v>CUNDINAMARCA_MEDINA</v>
      </c>
      <c r="ED1470" s="341"/>
      <c r="EE1470" s="341"/>
      <c r="EF1470" s="348"/>
      <c r="EG1470" s="341"/>
      <c r="EH1470" s="341"/>
      <c r="EI1470" s="341"/>
    </row>
    <row r="1471" spans="1:139" s="164" customFormat="1" ht="25.5">
      <c r="A1471" s="228">
        <v>40484</v>
      </c>
      <c r="B1471" s="205" t="s">
        <v>962</v>
      </c>
      <c r="C1471" s="205" t="s">
        <v>599</v>
      </c>
      <c r="D1471" s="207" t="s">
        <v>1316</v>
      </c>
      <c r="E1471" s="323" t="s">
        <v>3823</v>
      </c>
      <c r="F1471" s="323"/>
      <c r="G1471" s="204"/>
      <c r="H1471" s="151"/>
      <c r="I1471" s="151"/>
      <c r="J1471" s="151">
        <v>5</v>
      </c>
      <c r="K1471" s="151">
        <v>1</v>
      </c>
      <c r="L1471" s="1"/>
      <c r="M1471" s="73">
        <f t="shared" si="187"/>
        <v>0</v>
      </c>
      <c r="N1471" s="73">
        <f t="shared" si="191"/>
        <v>0</v>
      </c>
      <c r="O1471" s="73">
        <f t="shared" si="193"/>
        <v>0</v>
      </c>
      <c r="P1471" s="73">
        <f t="shared" si="188"/>
        <v>0</v>
      </c>
      <c r="Q1471" s="73"/>
      <c r="R1471" s="73">
        <v>0</v>
      </c>
      <c r="S1471" s="75">
        <f t="shared" si="190"/>
        <v>0</v>
      </c>
      <c r="T1471" s="77">
        <v>0</v>
      </c>
      <c r="U1471" s="66">
        <v>40484</v>
      </c>
      <c r="V1471" s="79"/>
      <c r="W1471" s="66" t="s">
        <v>1585</v>
      </c>
      <c r="X1471" s="24" t="s">
        <v>1586</v>
      </c>
      <c r="Y1471" s="104"/>
      <c r="Z1471" s="169" t="s">
        <v>894</v>
      </c>
      <c r="AA1471" s="166" t="s">
        <v>1680</v>
      </c>
      <c r="AB1471" s="152"/>
      <c r="AC1471" s="153"/>
      <c r="AD1471" s="154"/>
      <c r="AE1471" s="153"/>
      <c r="AF1471" s="153"/>
      <c r="AG1471" s="153"/>
      <c r="AH1471" s="153"/>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c r="BI1471" s="153"/>
      <c r="BJ1471" s="153"/>
      <c r="BK1471" s="153"/>
      <c r="BL1471" s="153"/>
      <c r="BM1471" s="153"/>
      <c r="BN1471" s="153"/>
      <c r="BO1471" s="153"/>
      <c r="BP1471" s="153"/>
      <c r="BQ1471" s="153"/>
      <c r="BR1471" s="153"/>
      <c r="BS1471" s="153"/>
      <c r="BT1471" s="153"/>
      <c r="BU1471" s="153"/>
      <c r="BV1471" s="153"/>
      <c r="BW1471" s="153"/>
      <c r="BX1471" s="153"/>
      <c r="BY1471" s="153"/>
      <c r="BZ1471" s="153"/>
      <c r="CA1471" s="153"/>
      <c r="CB1471" s="153"/>
      <c r="CC1471" s="153"/>
      <c r="CD1471" s="155"/>
      <c r="CE1471" s="156"/>
      <c r="CF1471" s="155"/>
      <c r="CG1471" s="156"/>
      <c r="CH1471" s="155"/>
      <c r="CI1471" s="156"/>
      <c r="CJ1471" s="157">
        <f t="shared" si="189"/>
        <v>0</v>
      </c>
      <c r="CK1471" s="158"/>
      <c r="CL1471" s="159"/>
      <c r="CM1471" s="160"/>
      <c r="CN1471" s="161"/>
      <c r="CO1471" s="162"/>
      <c r="CP1471" s="161"/>
      <c r="CQ1471" s="158"/>
      <c r="CR1471" s="159"/>
      <c r="CS1471" s="68"/>
      <c r="CT1471" s="163"/>
      <c r="EC1471" s="344" t="str">
        <f t="shared" si="192"/>
        <v>HUILA_NEIVA</v>
      </c>
      <c r="ED1471" s="341"/>
      <c r="EE1471" s="341"/>
      <c r="EF1471" s="348"/>
      <c r="EG1471" s="341"/>
      <c r="EH1471" s="341"/>
      <c r="EI1471" s="341"/>
    </row>
    <row r="1472" spans="1:139" s="164" customFormat="1" ht="25.5">
      <c r="A1472" s="228">
        <v>40484</v>
      </c>
      <c r="B1472" s="205" t="s">
        <v>396</v>
      </c>
      <c r="C1472" s="205" t="s">
        <v>1685</v>
      </c>
      <c r="D1472" s="207" t="s">
        <v>1201</v>
      </c>
      <c r="E1472" s="323" t="s">
        <v>3906</v>
      </c>
      <c r="F1472" s="323"/>
      <c r="G1472" s="204">
        <v>1</v>
      </c>
      <c r="H1472" s="151"/>
      <c r="I1472" s="151"/>
      <c r="J1472" s="151">
        <v>30</v>
      </c>
      <c r="K1472" s="151">
        <v>8</v>
      </c>
      <c r="L1472" s="1"/>
      <c r="M1472" s="73">
        <f t="shared" si="187"/>
        <v>0</v>
      </c>
      <c r="N1472" s="73">
        <f t="shared" si="191"/>
        <v>0</v>
      </c>
      <c r="O1472" s="73">
        <f t="shared" si="193"/>
        <v>0</v>
      </c>
      <c r="P1472" s="73">
        <f t="shared" si="188"/>
        <v>0</v>
      </c>
      <c r="Q1472" s="73"/>
      <c r="R1472" s="73">
        <v>0</v>
      </c>
      <c r="S1472" s="75">
        <f t="shared" si="190"/>
        <v>0</v>
      </c>
      <c r="T1472" s="77">
        <v>0</v>
      </c>
      <c r="U1472" s="66">
        <v>40484</v>
      </c>
      <c r="V1472" s="79"/>
      <c r="W1472" s="66" t="s">
        <v>1585</v>
      </c>
      <c r="X1472" s="24" t="s">
        <v>1586</v>
      </c>
      <c r="Y1472" s="104"/>
      <c r="Z1472" s="169" t="s">
        <v>894</v>
      </c>
      <c r="AA1472" s="166" t="s">
        <v>1686</v>
      </c>
      <c r="AB1472" s="152"/>
      <c r="AC1472" s="153"/>
      <c r="AD1472" s="154"/>
      <c r="AE1472" s="153"/>
      <c r="AF1472" s="153"/>
      <c r="AG1472" s="153"/>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c r="BI1472" s="153"/>
      <c r="BJ1472" s="153"/>
      <c r="BK1472" s="153"/>
      <c r="BL1472" s="153"/>
      <c r="BM1472" s="153"/>
      <c r="BN1472" s="153"/>
      <c r="BO1472" s="153"/>
      <c r="BP1472" s="153"/>
      <c r="BQ1472" s="153"/>
      <c r="BR1472" s="153"/>
      <c r="BS1472" s="153"/>
      <c r="BT1472" s="153"/>
      <c r="BU1472" s="153"/>
      <c r="BV1472" s="153"/>
      <c r="BW1472" s="153"/>
      <c r="BX1472" s="153"/>
      <c r="BY1472" s="153"/>
      <c r="BZ1472" s="153"/>
      <c r="CA1472" s="153"/>
      <c r="CB1472" s="153"/>
      <c r="CC1472" s="153"/>
      <c r="CD1472" s="155"/>
      <c r="CE1472" s="156"/>
      <c r="CF1472" s="155"/>
      <c r="CG1472" s="156"/>
      <c r="CH1472" s="155"/>
      <c r="CI1472" s="156"/>
      <c r="CJ1472" s="157">
        <f t="shared" si="189"/>
        <v>0</v>
      </c>
      <c r="CK1472" s="158"/>
      <c r="CL1472" s="159"/>
      <c r="CM1472" s="160"/>
      <c r="CN1472" s="161"/>
      <c r="CO1472" s="162"/>
      <c r="CP1472" s="161"/>
      <c r="CQ1472" s="158"/>
      <c r="CR1472" s="159"/>
      <c r="CS1472" s="68"/>
      <c r="CT1472" s="163"/>
      <c r="EC1472" s="344" t="str">
        <f t="shared" si="192"/>
        <v>META_ACACIAS</v>
      </c>
      <c r="ED1472" s="341"/>
      <c r="EE1472" s="341"/>
      <c r="EF1472" s="348"/>
      <c r="EG1472" s="341"/>
      <c r="EH1472" s="341"/>
      <c r="EI1472" s="341"/>
    </row>
    <row r="1473" spans="1:139" s="164" customFormat="1" ht="48">
      <c r="A1473" s="228">
        <v>40484</v>
      </c>
      <c r="B1473" s="205" t="s">
        <v>1824</v>
      </c>
      <c r="C1473" s="205" t="s">
        <v>2531</v>
      </c>
      <c r="D1473" s="207" t="s">
        <v>1201</v>
      </c>
      <c r="E1473" s="323" t="s">
        <v>3985</v>
      </c>
      <c r="F1473" s="323"/>
      <c r="G1473" s="204"/>
      <c r="H1473" s="151"/>
      <c r="I1473" s="151"/>
      <c r="J1473" s="151">
        <f>3372-583-1465</f>
        <v>1324</v>
      </c>
      <c r="K1473" s="151">
        <f>870-152-366</f>
        <v>352</v>
      </c>
      <c r="L1473" s="1"/>
      <c r="M1473" s="73">
        <f t="shared" si="187"/>
        <v>0</v>
      </c>
      <c r="N1473" s="73">
        <f t="shared" si="191"/>
        <v>0</v>
      </c>
      <c r="O1473" s="73">
        <f t="shared" si="193"/>
        <v>0</v>
      </c>
      <c r="P1473" s="73">
        <f t="shared" si="188"/>
        <v>0</v>
      </c>
      <c r="Q1473" s="73"/>
      <c r="R1473" s="73">
        <v>0</v>
      </c>
      <c r="S1473" s="75">
        <f t="shared" si="190"/>
        <v>0</v>
      </c>
      <c r="T1473" s="77">
        <v>0</v>
      </c>
      <c r="U1473" s="66">
        <v>40484</v>
      </c>
      <c r="V1473" s="79"/>
      <c r="W1473" s="66" t="s">
        <v>1585</v>
      </c>
      <c r="X1473" s="24" t="s">
        <v>1586</v>
      </c>
      <c r="Y1473" s="104"/>
      <c r="Z1473" s="169" t="s">
        <v>894</v>
      </c>
      <c r="AA1473" s="166" t="s">
        <v>2533</v>
      </c>
      <c r="AB1473" s="152"/>
      <c r="AC1473" s="153"/>
      <c r="AD1473" s="154"/>
      <c r="AE1473" s="153"/>
      <c r="AF1473" s="153"/>
      <c r="AG1473" s="153"/>
      <c r="AH1473" s="153"/>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c r="BI1473" s="153"/>
      <c r="BJ1473" s="153"/>
      <c r="BK1473" s="153"/>
      <c r="BL1473" s="153"/>
      <c r="BM1473" s="153"/>
      <c r="BN1473" s="153"/>
      <c r="BO1473" s="153"/>
      <c r="BP1473" s="153"/>
      <c r="BQ1473" s="153"/>
      <c r="BR1473" s="153"/>
      <c r="BS1473" s="153"/>
      <c r="BT1473" s="153"/>
      <c r="BU1473" s="153"/>
      <c r="BV1473" s="153"/>
      <c r="BW1473" s="153"/>
      <c r="BX1473" s="153"/>
      <c r="BY1473" s="153"/>
      <c r="BZ1473" s="153"/>
      <c r="CA1473" s="153"/>
      <c r="CB1473" s="153"/>
      <c r="CC1473" s="153"/>
      <c r="CD1473" s="155"/>
      <c r="CE1473" s="156"/>
      <c r="CF1473" s="155"/>
      <c r="CG1473" s="156"/>
      <c r="CH1473" s="155"/>
      <c r="CI1473" s="156"/>
      <c r="CJ1473" s="157">
        <f t="shared" si="189"/>
        <v>0</v>
      </c>
      <c r="CK1473" s="158"/>
      <c r="CL1473" s="159"/>
      <c r="CM1473" s="160"/>
      <c r="CN1473" s="161"/>
      <c r="CO1473" s="162"/>
      <c r="CP1473" s="161"/>
      <c r="CQ1473" s="158"/>
      <c r="CR1473" s="159"/>
      <c r="CS1473" s="68"/>
      <c r="CT1473" s="163"/>
      <c r="EC1473" s="344" t="str">
        <f t="shared" si="192"/>
        <v>NARIÑO_SANDONA</v>
      </c>
      <c r="ED1473" s="341"/>
      <c r="EE1473" s="341"/>
      <c r="EF1473" s="348"/>
      <c r="EG1473" s="341"/>
      <c r="EH1473" s="341"/>
      <c r="EI1473" s="341"/>
    </row>
    <row r="1474" spans="1:139" s="164" customFormat="1" ht="38.25">
      <c r="A1474" s="235">
        <v>40485</v>
      </c>
      <c r="B1474" s="269" t="s">
        <v>1972</v>
      </c>
      <c r="C1474" s="269" t="s">
        <v>2042</v>
      </c>
      <c r="D1474" s="270" t="s">
        <v>1201</v>
      </c>
      <c r="E1474" s="327" t="s">
        <v>3291</v>
      </c>
      <c r="F1474" s="327"/>
      <c r="G1474" s="204"/>
      <c r="H1474" s="151"/>
      <c r="I1474" s="151"/>
      <c r="J1474" s="151">
        <f>439-160-75</f>
        <v>204</v>
      </c>
      <c r="K1474" s="151">
        <f>118-32-15</f>
        <v>71</v>
      </c>
      <c r="L1474" s="1"/>
      <c r="M1474" s="73">
        <f t="shared" si="187"/>
        <v>0</v>
      </c>
      <c r="N1474" s="73">
        <f t="shared" si="191"/>
        <v>0</v>
      </c>
      <c r="O1474" s="73">
        <f t="shared" si="193"/>
        <v>0</v>
      </c>
      <c r="P1474" s="73">
        <f t="shared" si="188"/>
        <v>0</v>
      </c>
      <c r="Q1474" s="73"/>
      <c r="R1474" s="73">
        <v>0</v>
      </c>
      <c r="S1474" s="75">
        <f t="shared" si="190"/>
        <v>0</v>
      </c>
      <c r="T1474" s="77">
        <v>0</v>
      </c>
      <c r="U1474" s="66">
        <v>40484</v>
      </c>
      <c r="V1474" s="79"/>
      <c r="W1474" s="66" t="s">
        <v>1606</v>
      </c>
      <c r="X1474" s="24" t="s">
        <v>1607</v>
      </c>
      <c r="Y1474" s="104"/>
      <c r="Z1474" s="176" t="s">
        <v>2836</v>
      </c>
      <c r="AA1474" s="166" t="s">
        <v>2539</v>
      </c>
      <c r="AB1474" s="152"/>
      <c r="AC1474" s="153"/>
      <c r="AD1474" s="154"/>
      <c r="AE1474" s="153"/>
      <c r="AF1474" s="153"/>
      <c r="AG1474" s="153"/>
      <c r="AH1474" s="153"/>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c r="BI1474" s="153"/>
      <c r="BJ1474" s="153"/>
      <c r="BK1474" s="153"/>
      <c r="BL1474" s="153"/>
      <c r="BM1474" s="153"/>
      <c r="BN1474" s="153"/>
      <c r="BO1474" s="153"/>
      <c r="BP1474" s="153"/>
      <c r="BQ1474" s="153"/>
      <c r="BR1474" s="153"/>
      <c r="BS1474" s="153"/>
      <c r="BT1474" s="153"/>
      <c r="BU1474" s="153"/>
      <c r="BV1474" s="153"/>
      <c r="BW1474" s="153"/>
      <c r="BX1474" s="153"/>
      <c r="BY1474" s="153"/>
      <c r="BZ1474" s="153"/>
      <c r="CA1474" s="153"/>
      <c r="CB1474" s="153"/>
      <c r="CC1474" s="153"/>
      <c r="CD1474" s="155"/>
      <c r="CE1474" s="156"/>
      <c r="CF1474" s="155"/>
      <c r="CG1474" s="156"/>
      <c r="CH1474" s="155"/>
      <c r="CI1474" s="156"/>
      <c r="CJ1474" s="157">
        <f t="shared" si="189"/>
        <v>0</v>
      </c>
      <c r="CK1474" s="158"/>
      <c r="CL1474" s="159"/>
      <c r="CM1474" s="160"/>
      <c r="CN1474" s="161"/>
      <c r="CO1474" s="162"/>
      <c r="CP1474" s="161"/>
      <c r="CQ1474" s="158"/>
      <c r="CR1474" s="159"/>
      <c r="CS1474" s="68"/>
      <c r="CT1474" s="163"/>
      <c r="EC1474" s="344" t="str">
        <f t="shared" si="192"/>
        <v>ANTIOQUIA_LA PINTADA</v>
      </c>
      <c r="ED1474" s="341"/>
      <c r="EE1474" s="341"/>
      <c r="EF1474" s="348"/>
      <c r="EG1474" s="341"/>
      <c r="EH1474" s="341"/>
      <c r="EI1474" s="341"/>
    </row>
    <row r="1475" spans="1:139" s="164" customFormat="1" ht="25.5">
      <c r="A1475" s="228">
        <v>40485</v>
      </c>
      <c r="B1475" s="205" t="s">
        <v>1972</v>
      </c>
      <c r="C1475" s="205" t="s">
        <v>2358</v>
      </c>
      <c r="D1475" s="207" t="s">
        <v>1923</v>
      </c>
      <c r="E1475" s="323" t="s">
        <v>3227</v>
      </c>
      <c r="F1475" s="323"/>
      <c r="G1475" s="204"/>
      <c r="H1475" s="151"/>
      <c r="I1475" s="151"/>
      <c r="J1475" s="151">
        <v>8</v>
      </c>
      <c r="K1475" s="151">
        <v>1</v>
      </c>
      <c r="L1475" s="1"/>
      <c r="M1475" s="73">
        <f t="shared" ref="M1475:M1538" si="194">CJ1475</f>
        <v>0</v>
      </c>
      <c r="N1475" s="73">
        <f t="shared" si="191"/>
        <v>0</v>
      </c>
      <c r="O1475" s="73">
        <f t="shared" si="193"/>
        <v>0</v>
      </c>
      <c r="P1475" s="73">
        <f t="shared" ref="P1475:P1538" si="195">CL1475</f>
        <v>0</v>
      </c>
      <c r="Q1475" s="73"/>
      <c r="R1475" s="73">
        <v>0</v>
      </c>
      <c r="S1475" s="75">
        <f t="shared" si="190"/>
        <v>0</v>
      </c>
      <c r="T1475" s="77">
        <v>0</v>
      </c>
      <c r="U1475" s="66">
        <v>40484</v>
      </c>
      <c r="V1475" s="79"/>
      <c r="W1475" s="66" t="s">
        <v>1585</v>
      </c>
      <c r="X1475" s="24" t="s">
        <v>1586</v>
      </c>
      <c r="Y1475" s="104"/>
      <c r="Z1475" s="169" t="s">
        <v>894</v>
      </c>
      <c r="AA1475" s="166" t="s">
        <v>1684</v>
      </c>
      <c r="AB1475" s="152"/>
      <c r="AC1475" s="153"/>
      <c r="AD1475" s="154"/>
      <c r="AE1475" s="153"/>
      <c r="AF1475" s="153"/>
      <c r="AG1475" s="153"/>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c r="BI1475" s="153"/>
      <c r="BJ1475" s="153"/>
      <c r="BK1475" s="153"/>
      <c r="BL1475" s="153"/>
      <c r="BM1475" s="153"/>
      <c r="BN1475" s="153"/>
      <c r="BO1475" s="153"/>
      <c r="BP1475" s="153"/>
      <c r="BQ1475" s="153"/>
      <c r="BR1475" s="153"/>
      <c r="BS1475" s="153"/>
      <c r="BT1475" s="153"/>
      <c r="BU1475" s="153"/>
      <c r="BV1475" s="153"/>
      <c r="BW1475" s="153"/>
      <c r="BX1475" s="153"/>
      <c r="BY1475" s="153"/>
      <c r="BZ1475" s="153"/>
      <c r="CA1475" s="153"/>
      <c r="CB1475" s="153"/>
      <c r="CC1475" s="153"/>
      <c r="CD1475" s="155"/>
      <c r="CE1475" s="156"/>
      <c r="CF1475" s="155"/>
      <c r="CG1475" s="156"/>
      <c r="CH1475" s="155"/>
      <c r="CI1475" s="156"/>
      <c r="CJ1475" s="157">
        <f t="shared" ref="CJ1475:CJ1538" si="196">AC1475+AE1475+AG1475+AI1475+AK1475+AM1475+AO1475+AQ1475+AS1475+AU1475+AW1475+AY1475+BA1475+BC1475+BE1475+BG1475+BI1475+BK1475+BM1475+BO1475+BQ1475+BS1475+BU1475+BW1475+BY1475+CA1475+CC1475+CE1475+CG1475+CI1475</f>
        <v>0</v>
      </c>
      <c r="CK1475" s="158"/>
      <c r="CL1475" s="159"/>
      <c r="CM1475" s="160"/>
      <c r="CN1475" s="161"/>
      <c r="CO1475" s="162"/>
      <c r="CP1475" s="161"/>
      <c r="CQ1475" s="158"/>
      <c r="CR1475" s="159"/>
      <c r="CS1475" s="68"/>
      <c r="CT1475" s="163"/>
      <c r="EC1475" s="344" t="str">
        <f t="shared" si="192"/>
        <v>ANTIOQUIA_MEDELLIN</v>
      </c>
      <c r="ED1475" s="341"/>
      <c r="EE1475" s="341"/>
      <c r="EF1475" s="348"/>
      <c r="EG1475" s="341"/>
      <c r="EH1475" s="341"/>
      <c r="EI1475" s="341"/>
    </row>
    <row r="1476" spans="1:139" s="164" customFormat="1" ht="25.5">
      <c r="A1476" s="235">
        <v>40485</v>
      </c>
      <c r="B1476" s="269" t="s">
        <v>1972</v>
      </c>
      <c r="C1476" s="269" t="s">
        <v>2358</v>
      </c>
      <c r="D1476" s="236" t="s">
        <v>1878</v>
      </c>
      <c r="E1476" s="324" t="s">
        <v>3227</v>
      </c>
      <c r="F1476" s="324"/>
      <c r="G1476" s="204"/>
      <c r="H1476" s="151"/>
      <c r="I1476" s="151"/>
      <c r="J1476" s="151">
        <v>10</v>
      </c>
      <c r="K1476" s="151">
        <v>2</v>
      </c>
      <c r="L1476" s="1"/>
      <c r="M1476" s="73">
        <f t="shared" si="194"/>
        <v>0</v>
      </c>
      <c r="N1476" s="73">
        <f t="shared" si="191"/>
        <v>0</v>
      </c>
      <c r="O1476" s="73">
        <f t="shared" si="193"/>
        <v>0</v>
      </c>
      <c r="P1476" s="73">
        <f t="shared" si="195"/>
        <v>0</v>
      </c>
      <c r="Q1476" s="73"/>
      <c r="R1476" s="73">
        <v>0</v>
      </c>
      <c r="S1476" s="75">
        <f t="shared" si="190"/>
        <v>0</v>
      </c>
      <c r="T1476" s="77">
        <v>0</v>
      </c>
      <c r="U1476" s="66">
        <v>40484</v>
      </c>
      <c r="V1476" s="79"/>
      <c r="W1476" s="66" t="s">
        <v>1585</v>
      </c>
      <c r="X1476" s="24" t="s">
        <v>1586</v>
      </c>
      <c r="Y1476" s="104"/>
      <c r="Z1476" s="169" t="s">
        <v>894</v>
      </c>
      <c r="AA1476" s="166" t="s">
        <v>2541</v>
      </c>
      <c r="AB1476" s="152"/>
      <c r="AC1476" s="153"/>
      <c r="AD1476" s="154"/>
      <c r="AE1476" s="153"/>
      <c r="AF1476" s="153"/>
      <c r="AG1476" s="153"/>
      <c r="AH1476" s="153"/>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c r="BI1476" s="153"/>
      <c r="BJ1476" s="153"/>
      <c r="BK1476" s="153"/>
      <c r="BL1476" s="153"/>
      <c r="BM1476" s="153"/>
      <c r="BN1476" s="153"/>
      <c r="BO1476" s="153"/>
      <c r="BP1476" s="153"/>
      <c r="BQ1476" s="153"/>
      <c r="BR1476" s="153"/>
      <c r="BS1476" s="153"/>
      <c r="BT1476" s="153"/>
      <c r="BU1476" s="153"/>
      <c r="BV1476" s="153"/>
      <c r="BW1476" s="153"/>
      <c r="BX1476" s="153"/>
      <c r="BY1476" s="153"/>
      <c r="BZ1476" s="153"/>
      <c r="CA1476" s="153"/>
      <c r="CB1476" s="153"/>
      <c r="CC1476" s="153"/>
      <c r="CD1476" s="155"/>
      <c r="CE1476" s="156"/>
      <c r="CF1476" s="155"/>
      <c r="CG1476" s="156"/>
      <c r="CH1476" s="155"/>
      <c r="CI1476" s="156"/>
      <c r="CJ1476" s="157">
        <f t="shared" si="196"/>
        <v>0</v>
      </c>
      <c r="CK1476" s="158"/>
      <c r="CL1476" s="159"/>
      <c r="CM1476" s="160"/>
      <c r="CN1476" s="161"/>
      <c r="CO1476" s="162"/>
      <c r="CP1476" s="161"/>
      <c r="CQ1476" s="158"/>
      <c r="CR1476" s="159"/>
      <c r="CS1476" s="68"/>
      <c r="CT1476" s="163"/>
      <c r="EC1476" s="344" t="str">
        <f t="shared" si="192"/>
        <v>ANTIOQUIA_MEDELLIN</v>
      </c>
      <c r="ED1476" s="341"/>
      <c r="EE1476" s="341"/>
      <c r="EF1476" s="348"/>
      <c r="EG1476" s="341"/>
      <c r="EH1476" s="341"/>
      <c r="EI1476" s="341"/>
    </row>
    <row r="1477" spans="1:139" s="164" customFormat="1" ht="84">
      <c r="A1477" s="235">
        <v>40485</v>
      </c>
      <c r="B1477" s="269" t="s">
        <v>1972</v>
      </c>
      <c r="C1477" s="269" t="s">
        <v>2538</v>
      </c>
      <c r="D1477" s="270" t="s">
        <v>1201</v>
      </c>
      <c r="E1477" s="327" t="s">
        <v>3298</v>
      </c>
      <c r="F1477" s="327"/>
      <c r="G1477" s="204"/>
      <c r="H1477" s="151"/>
      <c r="I1477" s="151"/>
      <c r="J1477" s="151">
        <v>6880</v>
      </c>
      <c r="K1477" s="151">
        <v>1376</v>
      </c>
      <c r="L1477" s="1"/>
      <c r="M1477" s="73">
        <f t="shared" si="194"/>
        <v>0</v>
      </c>
      <c r="N1477" s="73">
        <f t="shared" si="191"/>
        <v>0</v>
      </c>
      <c r="O1477" s="73">
        <f t="shared" si="193"/>
        <v>0</v>
      </c>
      <c r="P1477" s="73">
        <f t="shared" si="195"/>
        <v>0</v>
      </c>
      <c r="Q1477" s="73"/>
      <c r="R1477" s="73">
        <v>0</v>
      </c>
      <c r="S1477" s="75">
        <f t="shared" si="190"/>
        <v>0</v>
      </c>
      <c r="T1477" s="77">
        <v>0</v>
      </c>
      <c r="U1477" s="66">
        <v>40484</v>
      </c>
      <c r="V1477" s="79"/>
      <c r="W1477" s="66" t="s">
        <v>1606</v>
      </c>
      <c r="X1477" s="24" t="s">
        <v>1607</v>
      </c>
      <c r="Y1477" s="104"/>
      <c r="Z1477" s="176" t="s">
        <v>2836</v>
      </c>
      <c r="AA1477" s="166" t="s">
        <v>3057</v>
      </c>
      <c r="AB1477" s="152"/>
      <c r="AC1477" s="153"/>
      <c r="AD1477" s="154"/>
      <c r="AE1477" s="153"/>
      <c r="AF1477" s="153"/>
      <c r="AG1477" s="153"/>
      <c r="AH1477" s="153"/>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c r="BI1477" s="153"/>
      <c r="BJ1477" s="153"/>
      <c r="BK1477" s="153"/>
      <c r="BL1477" s="153"/>
      <c r="BM1477" s="153"/>
      <c r="BN1477" s="153"/>
      <c r="BO1477" s="153"/>
      <c r="BP1477" s="153"/>
      <c r="BQ1477" s="153"/>
      <c r="BR1477" s="153"/>
      <c r="BS1477" s="153"/>
      <c r="BT1477" s="153"/>
      <c r="BU1477" s="153"/>
      <c r="BV1477" s="153"/>
      <c r="BW1477" s="153"/>
      <c r="BX1477" s="153"/>
      <c r="BY1477" s="153"/>
      <c r="BZ1477" s="153"/>
      <c r="CA1477" s="153"/>
      <c r="CB1477" s="153"/>
      <c r="CC1477" s="153"/>
      <c r="CD1477" s="155"/>
      <c r="CE1477" s="156"/>
      <c r="CF1477" s="155"/>
      <c r="CG1477" s="156"/>
      <c r="CH1477" s="155"/>
      <c r="CI1477" s="156"/>
      <c r="CJ1477" s="157">
        <f t="shared" si="196"/>
        <v>0</v>
      </c>
      <c r="CK1477" s="158"/>
      <c r="CL1477" s="159"/>
      <c r="CM1477" s="160"/>
      <c r="CN1477" s="161"/>
      <c r="CO1477" s="162"/>
      <c r="CP1477" s="161"/>
      <c r="CQ1477" s="158"/>
      <c r="CR1477" s="159"/>
      <c r="CS1477" s="68"/>
      <c r="CT1477" s="163"/>
      <c r="EC1477" s="344" t="str">
        <f t="shared" si="192"/>
        <v>ANTIOQUIA_MUTATA</v>
      </c>
      <c r="ED1477" s="341"/>
      <c r="EE1477" s="341"/>
      <c r="EF1477" s="348"/>
      <c r="EG1477" s="341"/>
      <c r="EH1477" s="341"/>
      <c r="EI1477" s="341"/>
    </row>
    <row r="1478" spans="1:139" s="164" customFormat="1" ht="25.5">
      <c r="A1478" s="235">
        <v>40485</v>
      </c>
      <c r="B1478" s="269" t="s">
        <v>1972</v>
      </c>
      <c r="C1478" s="269" t="s">
        <v>3059</v>
      </c>
      <c r="D1478" s="270" t="s">
        <v>1201</v>
      </c>
      <c r="E1478" s="327" t="s">
        <v>3314</v>
      </c>
      <c r="F1478" s="327"/>
      <c r="G1478" s="204"/>
      <c r="H1478" s="151"/>
      <c r="I1478" s="151"/>
      <c r="J1478" s="151">
        <v>572</v>
      </c>
      <c r="K1478" s="151">
        <v>137</v>
      </c>
      <c r="L1478" s="1"/>
      <c r="M1478" s="73">
        <f t="shared" si="194"/>
        <v>0</v>
      </c>
      <c r="N1478" s="73">
        <f t="shared" si="191"/>
        <v>0</v>
      </c>
      <c r="O1478" s="73">
        <f t="shared" si="193"/>
        <v>0</v>
      </c>
      <c r="P1478" s="73">
        <f t="shared" si="195"/>
        <v>0</v>
      </c>
      <c r="Q1478" s="73"/>
      <c r="R1478" s="73">
        <v>0</v>
      </c>
      <c r="S1478" s="75">
        <f t="shared" si="190"/>
        <v>0</v>
      </c>
      <c r="T1478" s="77">
        <v>0</v>
      </c>
      <c r="U1478" s="66">
        <v>40485</v>
      </c>
      <c r="V1478" s="79"/>
      <c r="W1478" s="66" t="s">
        <v>1585</v>
      </c>
      <c r="X1478" s="24" t="s">
        <v>1586</v>
      </c>
      <c r="Y1478" s="62"/>
      <c r="Z1478" s="169" t="s">
        <v>894</v>
      </c>
      <c r="AA1478" s="166" t="s">
        <v>3060</v>
      </c>
      <c r="AB1478" s="152"/>
      <c r="AC1478" s="153"/>
      <c r="AD1478" s="154"/>
      <c r="AE1478" s="153"/>
      <c r="AF1478" s="153"/>
      <c r="AG1478" s="153"/>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c r="BI1478" s="153"/>
      <c r="BJ1478" s="153"/>
      <c r="BK1478" s="153"/>
      <c r="BL1478" s="153"/>
      <c r="BM1478" s="153"/>
      <c r="BN1478" s="153"/>
      <c r="BO1478" s="153"/>
      <c r="BP1478" s="153"/>
      <c r="BQ1478" s="153"/>
      <c r="BR1478" s="153"/>
      <c r="BS1478" s="153"/>
      <c r="BT1478" s="153"/>
      <c r="BU1478" s="153"/>
      <c r="BV1478" s="153"/>
      <c r="BW1478" s="153"/>
      <c r="BX1478" s="153"/>
      <c r="BY1478" s="153"/>
      <c r="BZ1478" s="153"/>
      <c r="CA1478" s="153"/>
      <c r="CB1478" s="153"/>
      <c r="CC1478" s="153"/>
      <c r="CD1478" s="155"/>
      <c r="CE1478" s="156"/>
      <c r="CF1478" s="155"/>
      <c r="CG1478" s="156"/>
      <c r="CH1478" s="155"/>
      <c r="CI1478" s="156"/>
      <c r="CJ1478" s="157">
        <f t="shared" si="196"/>
        <v>0</v>
      </c>
      <c r="CK1478" s="158"/>
      <c r="CL1478" s="159"/>
      <c r="CM1478" s="160"/>
      <c r="CN1478" s="161"/>
      <c r="CO1478" s="162"/>
      <c r="CP1478" s="161"/>
      <c r="CQ1478" s="158"/>
      <c r="CR1478" s="159"/>
      <c r="CS1478" s="68"/>
      <c r="CT1478" s="163"/>
      <c r="EC1478" s="344" t="str">
        <f t="shared" si="192"/>
        <v>ANTIOQUIA_SALGAR</v>
      </c>
      <c r="ED1478" s="341"/>
      <c r="EE1478" s="341"/>
      <c r="EF1478" s="348"/>
      <c r="EG1478" s="341"/>
      <c r="EH1478" s="341"/>
      <c r="EI1478" s="341"/>
    </row>
    <row r="1479" spans="1:139" s="164" customFormat="1" ht="25.5">
      <c r="A1479" s="235">
        <v>40485</v>
      </c>
      <c r="B1479" s="269" t="s">
        <v>1972</v>
      </c>
      <c r="C1479" s="269" t="s">
        <v>2543</v>
      </c>
      <c r="D1479" s="270" t="s">
        <v>1201</v>
      </c>
      <c r="E1479" s="327" t="s">
        <v>3337</v>
      </c>
      <c r="F1479" s="327"/>
      <c r="G1479" s="204">
        <v>1</v>
      </c>
      <c r="H1479" s="151"/>
      <c r="I1479" s="151"/>
      <c r="J1479" s="151">
        <v>47</v>
      </c>
      <c r="K1479" s="151">
        <v>15</v>
      </c>
      <c r="L1479" s="1"/>
      <c r="M1479" s="73">
        <f t="shared" si="194"/>
        <v>0</v>
      </c>
      <c r="N1479" s="73">
        <f t="shared" si="191"/>
        <v>0</v>
      </c>
      <c r="O1479" s="73">
        <f t="shared" si="193"/>
        <v>0</v>
      </c>
      <c r="P1479" s="73">
        <f t="shared" si="195"/>
        <v>0</v>
      </c>
      <c r="Q1479" s="73"/>
      <c r="R1479" s="73">
        <v>0</v>
      </c>
      <c r="S1479" s="75">
        <f t="shared" si="190"/>
        <v>0</v>
      </c>
      <c r="T1479" s="77">
        <v>0</v>
      </c>
      <c r="U1479" s="66">
        <v>40487</v>
      </c>
      <c r="V1479" s="79"/>
      <c r="W1479" s="66" t="s">
        <v>1585</v>
      </c>
      <c r="X1479" s="24" t="s">
        <v>1586</v>
      </c>
      <c r="Y1479" s="62"/>
      <c r="Z1479" s="169" t="s">
        <v>894</v>
      </c>
      <c r="AA1479" s="166" t="s">
        <v>2544</v>
      </c>
      <c r="AB1479" s="152"/>
      <c r="AC1479" s="153"/>
      <c r="AD1479" s="154"/>
      <c r="AE1479" s="153"/>
      <c r="AF1479" s="153"/>
      <c r="AG1479" s="153"/>
      <c r="AH1479" s="153"/>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c r="BI1479" s="153"/>
      <c r="BJ1479" s="153"/>
      <c r="BK1479" s="153"/>
      <c r="BL1479" s="153"/>
      <c r="BM1479" s="153"/>
      <c r="BN1479" s="153"/>
      <c r="BO1479" s="153"/>
      <c r="BP1479" s="153"/>
      <c r="BQ1479" s="153"/>
      <c r="BR1479" s="153"/>
      <c r="BS1479" s="153"/>
      <c r="BT1479" s="153"/>
      <c r="BU1479" s="153"/>
      <c r="BV1479" s="153"/>
      <c r="BW1479" s="153"/>
      <c r="BX1479" s="153"/>
      <c r="BY1479" s="153"/>
      <c r="BZ1479" s="153"/>
      <c r="CA1479" s="153"/>
      <c r="CB1479" s="153"/>
      <c r="CC1479" s="153"/>
      <c r="CD1479" s="155"/>
      <c r="CE1479" s="156"/>
      <c r="CF1479" s="155"/>
      <c r="CG1479" s="156"/>
      <c r="CH1479" s="155"/>
      <c r="CI1479" s="156"/>
      <c r="CJ1479" s="157">
        <f t="shared" si="196"/>
        <v>0</v>
      </c>
      <c r="CK1479" s="158"/>
      <c r="CL1479" s="159"/>
      <c r="CM1479" s="160"/>
      <c r="CN1479" s="161"/>
      <c r="CO1479" s="162"/>
      <c r="CP1479" s="161"/>
      <c r="CQ1479" s="158"/>
      <c r="CR1479" s="159"/>
      <c r="CS1479" s="68"/>
      <c r="CT1479" s="163"/>
      <c r="EC1479" s="344" t="str">
        <f t="shared" si="192"/>
        <v>ANTIOQUIA_TITIRIBI</v>
      </c>
      <c r="ED1479" s="341"/>
      <c r="EE1479" s="341"/>
      <c r="EF1479" s="348"/>
      <c r="EG1479" s="341"/>
      <c r="EH1479" s="341"/>
      <c r="EI1479" s="341"/>
    </row>
    <row r="1480" spans="1:139" s="164" customFormat="1" ht="25.5">
      <c r="A1480" s="235">
        <v>40485</v>
      </c>
      <c r="B1480" s="269" t="s">
        <v>1972</v>
      </c>
      <c r="C1480" s="269" t="s">
        <v>1174</v>
      </c>
      <c r="D1480" s="270" t="s">
        <v>1201</v>
      </c>
      <c r="E1480" s="327" t="s">
        <v>3342</v>
      </c>
      <c r="F1480" s="327"/>
      <c r="G1480" s="204"/>
      <c r="H1480" s="151"/>
      <c r="I1480" s="151"/>
      <c r="J1480" s="151">
        <f>541-61-50-200</f>
        <v>230</v>
      </c>
      <c r="K1480" s="151">
        <f>124-11-10-40</f>
        <v>63</v>
      </c>
      <c r="L1480" s="1"/>
      <c r="M1480" s="73">
        <f t="shared" si="194"/>
        <v>0</v>
      </c>
      <c r="N1480" s="73">
        <f t="shared" si="191"/>
        <v>0</v>
      </c>
      <c r="O1480" s="73">
        <f t="shared" si="193"/>
        <v>0</v>
      </c>
      <c r="P1480" s="73">
        <f t="shared" si="195"/>
        <v>0</v>
      </c>
      <c r="Q1480" s="73"/>
      <c r="R1480" s="73">
        <v>0</v>
      </c>
      <c r="S1480" s="75">
        <f t="shared" si="190"/>
        <v>0</v>
      </c>
      <c r="T1480" s="77">
        <v>0</v>
      </c>
      <c r="U1480" s="66">
        <v>40484</v>
      </c>
      <c r="V1480" s="79"/>
      <c r="W1480" s="66" t="s">
        <v>1606</v>
      </c>
      <c r="X1480" s="24" t="s">
        <v>1607</v>
      </c>
      <c r="Y1480" s="104"/>
      <c r="Z1480" s="176" t="s">
        <v>2836</v>
      </c>
      <c r="AA1480" s="166" t="s">
        <v>2173</v>
      </c>
      <c r="AB1480" s="152"/>
      <c r="AC1480" s="153"/>
      <c r="AD1480" s="154"/>
      <c r="AE1480" s="153"/>
      <c r="AF1480" s="153"/>
      <c r="AG1480" s="153"/>
      <c r="AH1480" s="153"/>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c r="BF1480" s="153"/>
      <c r="BG1480" s="153"/>
      <c r="BH1480" s="153"/>
      <c r="BI1480" s="153"/>
      <c r="BJ1480" s="153"/>
      <c r="BK1480" s="153"/>
      <c r="BL1480" s="153"/>
      <c r="BM1480" s="153"/>
      <c r="BN1480" s="153"/>
      <c r="BO1480" s="153"/>
      <c r="BP1480" s="153"/>
      <c r="BQ1480" s="153"/>
      <c r="BR1480" s="153"/>
      <c r="BS1480" s="153"/>
      <c r="BT1480" s="153"/>
      <c r="BU1480" s="153"/>
      <c r="BV1480" s="153"/>
      <c r="BW1480" s="153"/>
      <c r="BX1480" s="153"/>
      <c r="BY1480" s="153"/>
      <c r="BZ1480" s="153"/>
      <c r="CA1480" s="153"/>
      <c r="CB1480" s="153"/>
      <c r="CC1480" s="153"/>
      <c r="CD1480" s="155"/>
      <c r="CE1480" s="156"/>
      <c r="CF1480" s="155"/>
      <c r="CG1480" s="156"/>
      <c r="CH1480" s="155"/>
      <c r="CI1480" s="156"/>
      <c r="CJ1480" s="157">
        <f t="shared" si="196"/>
        <v>0</v>
      </c>
      <c r="CK1480" s="158"/>
      <c r="CL1480" s="159"/>
      <c r="CM1480" s="160"/>
      <c r="CN1480" s="161"/>
      <c r="CO1480" s="162"/>
      <c r="CP1480" s="161"/>
      <c r="CQ1480" s="158"/>
      <c r="CR1480" s="159"/>
      <c r="CS1480" s="68"/>
      <c r="CT1480" s="163"/>
      <c r="EC1480" s="344" t="str">
        <f t="shared" si="192"/>
        <v>ANTIOQUIA_VALDIVIA</v>
      </c>
      <c r="ED1480" s="341"/>
      <c r="EE1480" s="341"/>
      <c r="EF1480" s="348"/>
      <c r="EG1480" s="341"/>
      <c r="EH1480" s="341"/>
      <c r="EI1480" s="341"/>
    </row>
    <row r="1481" spans="1:139" s="164" customFormat="1" ht="25.5">
      <c r="A1481" s="235">
        <v>40485</v>
      </c>
      <c r="B1481" s="269" t="s">
        <v>1972</v>
      </c>
      <c r="C1481" s="269" t="s">
        <v>1629</v>
      </c>
      <c r="D1481" s="270" t="s">
        <v>1201</v>
      </c>
      <c r="E1481" s="327" t="s">
        <v>3344</v>
      </c>
      <c r="F1481" s="327"/>
      <c r="G1481" s="204"/>
      <c r="H1481" s="151"/>
      <c r="I1481" s="151"/>
      <c r="J1481" s="151">
        <v>200</v>
      </c>
      <c r="K1481" s="151">
        <v>50</v>
      </c>
      <c r="L1481" s="1"/>
      <c r="M1481" s="73">
        <f t="shared" si="194"/>
        <v>0</v>
      </c>
      <c r="N1481" s="73">
        <f t="shared" si="191"/>
        <v>0</v>
      </c>
      <c r="O1481" s="73">
        <f t="shared" si="193"/>
        <v>0</v>
      </c>
      <c r="P1481" s="73">
        <f t="shared" si="195"/>
        <v>0</v>
      </c>
      <c r="Q1481" s="73"/>
      <c r="R1481" s="73">
        <v>0</v>
      </c>
      <c r="S1481" s="75">
        <f t="shared" ref="S1481:S1544" si="197">M1481+N1481+O1481+P1481+Q1481+R1481</f>
        <v>0</v>
      </c>
      <c r="T1481" s="77">
        <v>0</v>
      </c>
      <c r="U1481" s="66">
        <v>40487</v>
      </c>
      <c r="V1481" s="79"/>
      <c r="W1481" s="66" t="s">
        <v>1585</v>
      </c>
      <c r="X1481" s="24" t="s">
        <v>1586</v>
      </c>
      <c r="Y1481" s="62"/>
      <c r="Z1481" s="169" t="s">
        <v>894</v>
      </c>
      <c r="AA1481" s="166" t="s">
        <v>2542</v>
      </c>
      <c r="AB1481" s="152"/>
      <c r="AC1481" s="153"/>
      <c r="AD1481" s="154"/>
      <c r="AE1481" s="153"/>
      <c r="AF1481" s="153"/>
      <c r="AG1481" s="153"/>
      <c r="AH1481" s="153"/>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c r="BF1481" s="153"/>
      <c r="BG1481" s="153"/>
      <c r="BH1481" s="153"/>
      <c r="BI1481" s="153"/>
      <c r="BJ1481" s="153"/>
      <c r="BK1481" s="153"/>
      <c r="BL1481" s="153"/>
      <c r="BM1481" s="153"/>
      <c r="BN1481" s="153"/>
      <c r="BO1481" s="153"/>
      <c r="BP1481" s="153"/>
      <c r="BQ1481" s="153"/>
      <c r="BR1481" s="153"/>
      <c r="BS1481" s="153"/>
      <c r="BT1481" s="153"/>
      <c r="BU1481" s="153"/>
      <c r="BV1481" s="153"/>
      <c r="BW1481" s="153"/>
      <c r="BX1481" s="153"/>
      <c r="BY1481" s="153"/>
      <c r="BZ1481" s="153"/>
      <c r="CA1481" s="153"/>
      <c r="CB1481" s="153"/>
      <c r="CC1481" s="153"/>
      <c r="CD1481" s="155"/>
      <c r="CE1481" s="156"/>
      <c r="CF1481" s="155"/>
      <c r="CG1481" s="156"/>
      <c r="CH1481" s="155"/>
      <c r="CI1481" s="156"/>
      <c r="CJ1481" s="157">
        <f t="shared" si="196"/>
        <v>0</v>
      </c>
      <c r="CK1481" s="158"/>
      <c r="CL1481" s="159"/>
      <c r="CM1481" s="160"/>
      <c r="CN1481" s="161"/>
      <c r="CO1481" s="162"/>
      <c r="CP1481" s="161"/>
      <c r="CQ1481" s="158"/>
      <c r="CR1481" s="159"/>
      <c r="CS1481" s="68"/>
      <c r="CT1481" s="171" t="s">
        <v>1202</v>
      </c>
      <c r="EC1481" s="344" t="str">
        <f t="shared" si="192"/>
        <v>ANTIOQUIA_VEGACHI</v>
      </c>
      <c r="ED1481" s="341"/>
      <c r="EE1481" s="341"/>
      <c r="EF1481" s="348"/>
      <c r="EG1481" s="341"/>
      <c r="EH1481" s="341"/>
      <c r="EI1481" s="341"/>
    </row>
    <row r="1482" spans="1:139" s="164" customFormat="1" ht="25.5">
      <c r="A1482" s="235">
        <v>40485</v>
      </c>
      <c r="B1482" s="269" t="s">
        <v>1972</v>
      </c>
      <c r="C1482" s="269" t="s">
        <v>1629</v>
      </c>
      <c r="D1482" s="270" t="s">
        <v>2606</v>
      </c>
      <c r="E1482" s="327" t="s">
        <v>3344</v>
      </c>
      <c r="F1482" s="327"/>
      <c r="G1482" s="204"/>
      <c r="H1482" s="151"/>
      <c r="I1482" s="151"/>
      <c r="J1482" s="151">
        <v>50</v>
      </c>
      <c r="K1482" s="151">
        <v>10</v>
      </c>
      <c r="L1482" s="1"/>
      <c r="M1482" s="73">
        <f t="shared" si="194"/>
        <v>0</v>
      </c>
      <c r="N1482" s="73">
        <f t="shared" si="191"/>
        <v>0</v>
      </c>
      <c r="O1482" s="73">
        <f t="shared" si="193"/>
        <v>0</v>
      </c>
      <c r="P1482" s="73">
        <f t="shared" si="195"/>
        <v>0</v>
      </c>
      <c r="Q1482" s="73"/>
      <c r="R1482" s="73">
        <v>0</v>
      </c>
      <c r="S1482" s="75">
        <f t="shared" si="197"/>
        <v>0</v>
      </c>
      <c r="T1482" s="77">
        <v>0</v>
      </c>
      <c r="U1482" s="66">
        <v>40487</v>
      </c>
      <c r="V1482" s="79"/>
      <c r="W1482" s="66" t="s">
        <v>1585</v>
      </c>
      <c r="X1482" s="24" t="s">
        <v>1586</v>
      </c>
      <c r="Y1482" s="62"/>
      <c r="Z1482" s="169" t="s">
        <v>894</v>
      </c>
      <c r="AA1482" s="166" t="s">
        <v>2545</v>
      </c>
      <c r="AB1482" s="152"/>
      <c r="AC1482" s="153"/>
      <c r="AD1482" s="154"/>
      <c r="AE1482" s="153"/>
      <c r="AF1482" s="153"/>
      <c r="AG1482" s="153"/>
      <c r="AH1482" s="153"/>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c r="BF1482" s="153"/>
      <c r="BG1482" s="153"/>
      <c r="BH1482" s="153"/>
      <c r="BI1482" s="153"/>
      <c r="BJ1482" s="153"/>
      <c r="BK1482" s="153"/>
      <c r="BL1482" s="153"/>
      <c r="BM1482" s="153"/>
      <c r="BN1482" s="153"/>
      <c r="BO1482" s="153"/>
      <c r="BP1482" s="153"/>
      <c r="BQ1482" s="153"/>
      <c r="BR1482" s="153"/>
      <c r="BS1482" s="153"/>
      <c r="BT1482" s="153"/>
      <c r="BU1482" s="153"/>
      <c r="BV1482" s="153"/>
      <c r="BW1482" s="153"/>
      <c r="BX1482" s="153"/>
      <c r="BY1482" s="153"/>
      <c r="BZ1482" s="153"/>
      <c r="CA1482" s="153"/>
      <c r="CB1482" s="153"/>
      <c r="CC1482" s="153"/>
      <c r="CD1482" s="155"/>
      <c r="CE1482" s="156"/>
      <c r="CF1482" s="155"/>
      <c r="CG1482" s="156"/>
      <c r="CH1482" s="155"/>
      <c r="CI1482" s="156"/>
      <c r="CJ1482" s="157">
        <f t="shared" si="196"/>
        <v>0</v>
      </c>
      <c r="CK1482" s="158"/>
      <c r="CL1482" s="159"/>
      <c r="CM1482" s="160"/>
      <c r="CN1482" s="161"/>
      <c r="CO1482" s="162"/>
      <c r="CP1482" s="161"/>
      <c r="CQ1482" s="158"/>
      <c r="CR1482" s="159"/>
      <c r="CS1482" s="68"/>
      <c r="CT1482" s="163"/>
      <c r="EC1482" s="344" t="str">
        <f t="shared" si="192"/>
        <v>ANTIOQUIA_VEGACHI</v>
      </c>
      <c r="ED1482" s="341"/>
      <c r="EE1482" s="341"/>
      <c r="EF1482" s="348"/>
      <c r="EG1482" s="341"/>
      <c r="EH1482" s="341"/>
      <c r="EI1482" s="341"/>
    </row>
    <row r="1483" spans="1:139" s="164" customFormat="1" ht="72">
      <c r="A1483" s="235">
        <v>40485</v>
      </c>
      <c r="B1483" s="269" t="s">
        <v>1972</v>
      </c>
      <c r="C1483" s="269" t="s">
        <v>826</v>
      </c>
      <c r="D1483" s="270" t="s">
        <v>1201</v>
      </c>
      <c r="E1483" s="327" t="s">
        <v>3345</v>
      </c>
      <c r="F1483" s="327"/>
      <c r="G1483" s="204"/>
      <c r="H1483" s="151"/>
      <c r="I1483" s="151"/>
      <c r="J1483" s="151">
        <v>1154</v>
      </c>
      <c r="K1483" s="151">
        <v>360</v>
      </c>
      <c r="L1483" s="1"/>
      <c r="M1483" s="73">
        <f t="shared" si="194"/>
        <v>0</v>
      </c>
      <c r="N1483" s="73">
        <f t="shared" si="191"/>
        <v>0</v>
      </c>
      <c r="O1483" s="73">
        <f t="shared" si="193"/>
        <v>0</v>
      </c>
      <c r="P1483" s="73">
        <f t="shared" si="195"/>
        <v>0</v>
      </c>
      <c r="Q1483" s="73"/>
      <c r="R1483" s="73">
        <v>0</v>
      </c>
      <c r="S1483" s="75">
        <f t="shared" si="197"/>
        <v>0</v>
      </c>
      <c r="T1483" s="77">
        <v>0</v>
      </c>
      <c r="U1483" s="66">
        <v>40484</v>
      </c>
      <c r="V1483" s="79"/>
      <c r="W1483" s="66" t="s">
        <v>1606</v>
      </c>
      <c r="X1483" s="24" t="s">
        <v>1607</v>
      </c>
      <c r="Y1483" s="104"/>
      <c r="Z1483" s="176" t="s">
        <v>2836</v>
      </c>
      <c r="AA1483" s="166" t="s">
        <v>3058</v>
      </c>
      <c r="AB1483" s="152"/>
      <c r="AC1483" s="153"/>
      <c r="AD1483" s="154"/>
      <c r="AE1483" s="153"/>
      <c r="AF1483" s="153"/>
      <c r="AG1483" s="153"/>
      <c r="AH1483" s="153"/>
      <c r="AI1483" s="153"/>
      <c r="AJ1483" s="153"/>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c r="BF1483" s="153"/>
      <c r="BG1483" s="153"/>
      <c r="BH1483" s="153"/>
      <c r="BI1483" s="153"/>
      <c r="BJ1483" s="153"/>
      <c r="BK1483" s="153"/>
      <c r="BL1483" s="153"/>
      <c r="BM1483" s="153"/>
      <c r="BN1483" s="153"/>
      <c r="BO1483" s="153"/>
      <c r="BP1483" s="153"/>
      <c r="BQ1483" s="153"/>
      <c r="BR1483" s="153"/>
      <c r="BS1483" s="153"/>
      <c r="BT1483" s="153"/>
      <c r="BU1483" s="153"/>
      <c r="BV1483" s="153"/>
      <c r="BW1483" s="153"/>
      <c r="BX1483" s="153"/>
      <c r="BY1483" s="153"/>
      <c r="BZ1483" s="153"/>
      <c r="CA1483" s="153"/>
      <c r="CB1483" s="153"/>
      <c r="CC1483" s="153"/>
      <c r="CD1483" s="155"/>
      <c r="CE1483" s="156"/>
      <c r="CF1483" s="155"/>
      <c r="CG1483" s="156"/>
      <c r="CH1483" s="155"/>
      <c r="CI1483" s="156"/>
      <c r="CJ1483" s="157">
        <f t="shared" si="196"/>
        <v>0</v>
      </c>
      <c r="CK1483" s="158"/>
      <c r="CL1483" s="159"/>
      <c r="CM1483" s="160"/>
      <c r="CN1483" s="161"/>
      <c r="CO1483" s="162"/>
      <c r="CP1483" s="161"/>
      <c r="CQ1483" s="158"/>
      <c r="CR1483" s="159"/>
      <c r="CS1483" s="68"/>
      <c r="CT1483" s="163"/>
      <c r="EC1483" s="344" t="str">
        <f t="shared" si="192"/>
        <v>ANTIOQUIA_VENECIA</v>
      </c>
      <c r="ED1483" s="341"/>
      <c r="EE1483" s="341"/>
      <c r="EF1483" s="348"/>
      <c r="EG1483" s="341"/>
      <c r="EH1483" s="341"/>
      <c r="EI1483" s="341"/>
    </row>
    <row r="1484" spans="1:139" s="164" customFormat="1" ht="72">
      <c r="A1484" s="235">
        <v>40485</v>
      </c>
      <c r="B1484" s="269" t="s">
        <v>1972</v>
      </c>
      <c r="C1484" s="269" t="s">
        <v>2546</v>
      </c>
      <c r="D1484" s="270" t="s">
        <v>1201</v>
      </c>
      <c r="E1484" s="327" t="s">
        <v>3346</v>
      </c>
      <c r="F1484" s="327"/>
      <c r="G1484" s="204"/>
      <c r="H1484" s="151"/>
      <c r="I1484" s="151"/>
      <c r="J1484" s="151">
        <v>4122</v>
      </c>
      <c r="K1484" s="151">
        <v>1531</v>
      </c>
      <c r="L1484" s="1">
        <v>40527</v>
      </c>
      <c r="M1484" s="73">
        <f t="shared" si="194"/>
        <v>0</v>
      </c>
      <c r="N1484" s="73">
        <f t="shared" si="191"/>
        <v>0</v>
      </c>
      <c r="O1484" s="73">
        <f t="shared" si="193"/>
        <v>0</v>
      </c>
      <c r="P1484" s="73">
        <f t="shared" si="195"/>
        <v>0</v>
      </c>
      <c r="Q1484" s="73"/>
      <c r="R1484" s="73">
        <v>109900000</v>
      </c>
      <c r="S1484" s="75">
        <f t="shared" si="197"/>
        <v>109900000</v>
      </c>
      <c r="T1484" s="77">
        <v>0</v>
      </c>
      <c r="U1484" s="66">
        <v>40487</v>
      </c>
      <c r="V1484" s="79">
        <v>68797</v>
      </c>
      <c r="W1484" s="66" t="s">
        <v>1606</v>
      </c>
      <c r="X1484" s="24" t="s">
        <v>1607</v>
      </c>
      <c r="Y1484" s="62">
        <v>47278</v>
      </c>
      <c r="Z1484" s="169" t="s">
        <v>2836</v>
      </c>
      <c r="AA1484" s="166" t="s">
        <v>528</v>
      </c>
      <c r="AB1484" s="152"/>
      <c r="AC1484" s="153"/>
      <c r="AD1484" s="154"/>
      <c r="AE1484" s="153"/>
      <c r="AF1484" s="153"/>
      <c r="AG1484" s="153"/>
      <c r="AH1484" s="153"/>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c r="BF1484" s="153"/>
      <c r="BG1484" s="153"/>
      <c r="BH1484" s="153"/>
      <c r="BI1484" s="153"/>
      <c r="BJ1484" s="153"/>
      <c r="BK1484" s="153"/>
      <c r="BL1484" s="153"/>
      <c r="BM1484" s="153"/>
      <c r="BN1484" s="153"/>
      <c r="BO1484" s="153"/>
      <c r="BP1484" s="153"/>
      <c r="BQ1484" s="153"/>
      <c r="BR1484" s="153"/>
      <c r="BS1484" s="153"/>
      <c r="BT1484" s="153"/>
      <c r="BU1484" s="153"/>
      <c r="BV1484" s="153"/>
      <c r="BW1484" s="153"/>
      <c r="BX1484" s="153"/>
      <c r="BY1484" s="153"/>
      <c r="BZ1484" s="153"/>
      <c r="CA1484" s="153"/>
      <c r="CB1484" s="153"/>
      <c r="CC1484" s="153"/>
      <c r="CD1484" s="155"/>
      <c r="CE1484" s="156"/>
      <c r="CF1484" s="155"/>
      <c r="CG1484" s="156"/>
      <c r="CH1484" s="155"/>
      <c r="CI1484" s="156"/>
      <c r="CJ1484" s="157">
        <f t="shared" si="196"/>
        <v>0</v>
      </c>
      <c r="CK1484" s="158"/>
      <c r="CL1484" s="159"/>
      <c r="CM1484" s="160"/>
      <c r="CN1484" s="161"/>
      <c r="CO1484" s="162"/>
      <c r="CP1484" s="161"/>
      <c r="CQ1484" s="158"/>
      <c r="CR1484" s="159"/>
      <c r="CS1484" s="68">
        <v>2</v>
      </c>
      <c r="CT1484" s="163"/>
      <c r="EC1484" s="344" t="str">
        <f t="shared" si="192"/>
        <v>ANTIOQUIA_VIGIA DEL FUERTE</v>
      </c>
      <c r="ED1484" s="341"/>
      <c r="EE1484" s="341"/>
      <c r="EF1484" s="348"/>
      <c r="EG1484" s="341"/>
      <c r="EH1484" s="341"/>
      <c r="EI1484" s="341"/>
    </row>
    <row r="1485" spans="1:139" s="164" customFormat="1" ht="25.5">
      <c r="A1485" s="228">
        <v>40485</v>
      </c>
      <c r="B1485" s="205" t="s">
        <v>1615</v>
      </c>
      <c r="C1485" s="205" t="s">
        <v>1556</v>
      </c>
      <c r="D1485" s="207" t="s">
        <v>1201</v>
      </c>
      <c r="E1485" s="323" t="s">
        <v>3417</v>
      </c>
      <c r="F1485" s="323"/>
      <c r="G1485" s="204"/>
      <c r="H1485" s="151"/>
      <c r="I1485" s="151"/>
      <c r="J1485" s="151"/>
      <c r="K1485" s="151"/>
      <c r="L1485" s="1"/>
      <c r="M1485" s="73">
        <f t="shared" si="194"/>
        <v>0</v>
      </c>
      <c r="N1485" s="73">
        <f t="shared" si="191"/>
        <v>0</v>
      </c>
      <c r="O1485" s="73">
        <f t="shared" si="193"/>
        <v>0</v>
      </c>
      <c r="P1485" s="73">
        <f t="shared" si="195"/>
        <v>0</v>
      </c>
      <c r="Q1485" s="73"/>
      <c r="R1485" s="73">
        <v>0</v>
      </c>
      <c r="S1485" s="75">
        <f t="shared" si="197"/>
        <v>0</v>
      </c>
      <c r="T1485" s="77">
        <v>0</v>
      </c>
      <c r="U1485" s="66">
        <v>40484</v>
      </c>
      <c r="V1485" s="79"/>
      <c r="W1485" s="66" t="s">
        <v>1585</v>
      </c>
      <c r="X1485" s="24" t="s">
        <v>1586</v>
      </c>
      <c r="Y1485" s="104"/>
      <c r="Z1485" s="169" t="s">
        <v>894</v>
      </c>
      <c r="AA1485" s="166" t="s">
        <v>2534</v>
      </c>
      <c r="AB1485" s="152"/>
      <c r="AC1485" s="153"/>
      <c r="AD1485" s="154"/>
      <c r="AE1485" s="153"/>
      <c r="AF1485" s="153"/>
      <c r="AG1485" s="153"/>
      <c r="AH1485" s="153"/>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c r="BF1485" s="153"/>
      <c r="BG1485" s="153"/>
      <c r="BH1485" s="153"/>
      <c r="BI1485" s="153"/>
      <c r="BJ1485" s="153"/>
      <c r="BK1485" s="153"/>
      <c r="BL1485" s="153"/>
      <c r="BM1485" s="153"/>
      <c r="BN1485" s="153"/>
      <c r="BO1485" s="153"/>
      <c r="BP1485" s="153"/>
      <c r="BQ1485" s="153"/>
      <c r="BR1485" s="153"/>
      <c r="BS1485" s="153"/>
      <c r="BT1485" s="153"/>
      <c r="BU1485" s="153"/>
      <c r="BV1485" s="153"/>
      <c r="BW1485" s="153"/>
      <c r="BX1485" s="153"/>
      <c r="BY1485" s="153"/>
      <c r="BZ1485" s="153"/>
      <c r="CA1485" s="153"/>
      <c r="CB1485" s="153"/>
      <c r="CC1485" s="153"/>
      <c r="CD1485" s="155"/>
      <c r="CE1485" s="156"/>
      <c r="CF1485" s="155"/>
      <c r="CG1485" s="156"/>
      <c r="CH1485" s="155"/>
      <c r="CI1485" s="156"/>
      <c r="CJ1485" s="157">
        <f t="shared" si="196"/>
        <v>0</v>
      </c>
      <c r="CK1485" s="158"/>
      <c r="CL1485" s="159"/>
      <c r="CM1485" s="160"/>
      <c r="CN1485" s="161"/>
      <c r="CO1485" s="162"/>
      <c r="CP1485" s="161"/>
      <c r="CQ1485" s="158"/>
      <c r="CR1485" s="159"/>
      <c r="CS1485" s="68"/>
      <c r="CT1485" s="163"/>
      <c r="EC1485" s="344" t="str">
        <f t="shared" si="192"/>
        <v>BOLIVAR_TURBACO</v>
      </c>
      <c r="ED1485" s="341"/>
      <c r="EE1485" s="341"/>
      <c r="EF1485" s="348"/>
      <c r="EG1485" s="341"/>
      <c r="EH1485" s="341"/>
      <c r="EI1485" s="341"/>
    </row>
    <row r="1486" spans="1:139" s="164" customFormat="1" ht="84">
      <c r="A1486" s="228">
        <v>40485</v>
      </c>
      <c r="B1486" s="205" t="s">
        <v>1314</v>
      </c>
      <c r="C1486" s="205" t="s">
        <v>2535</v>
      </c>
      <c r="D1486" s="207" t="s">
        <v>1201</v>
      </c>
      <c r="E1486" s="323" t="s">
        <v>3592</v>
      </c>
      <c r="F1486" s="323"/>
      <c r="G1486" s="204"/>
      <c r="H1486" s="151"/>
      <c r="I1486" s="151"/>
      <c r="J1486" s="151">
        <f>510*5</f>
        <v>2550</v>
      </c>
      <c r="K1486" s="151">
        <f>555-15-30</f>
        <v>510</v>
      </c>
      <c r="L1486" s="1"/>
      <c r="M1486" s="73">
        <f t="shared" si="194"/>
        <v>0</v>
      </c>
      <c r="N1486" s="73">
        <f t="shared" ref="N1486:N1549" si="198">CN1486</f>
        <v>0</v>
      </c>
      <c r="O1486" s="73">
        <f t="shared" si="193"/>
        <v>0</v>
      </c>
      <c r="P1486" s="73">
        <f t="shared" si="195"/>
        <v>0</v>
      </c>
      <c r="Q1486" s="73"/>
      <c r="R1486" s="73">
        <v>0</v>
      </c>
      <c r="S1486" s="75">
        <f t="shared" si="197"/>
        <v>0</v>
      </c>
      <c r="T1486" s="77">
        <v>0</v>
      </c>
      <c r="U1486" s="66">
        <v>40484</v>
      </c>
      <c r="V1486" s="79"/>
      <c r="W1486" s="66" t="s">
        <v>1585</v>
      </c>
      <c r="X1486" s="24" t="s">
        <v>1586</v>
      </c>
      <c r="Y1486" s="104"/>
      <c r="Z1486" s="169" t="s">
        <v>894</v>
      </c>
      <c r="AA1486" s="166" t="s">
        <v>2536</v>
      </c>
      <c r="AB1486" s="152"/>
      <c r="AC1486" s="153"/>
      <c r="AD1486" s="154"/>
      <c r="AE1486" s="153"/>
      <c r="AF1486" s="153"/>
      <c r="AG1486" s="153"/>
      <c r="AH1486" s="153"/>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c r="BF1486" s="153"/>
      <c r="BG1486" s="153"/>
      <c r="BH1486" s="153"/>
      <c r="BI1486" s="153"/>
      <c r="BJ1486" s="153"/>
      <c r="BK1486" s="153"/>
      <c r="BL1486" s="153"/>
      <c r="BM1486" s="153"/>
      <c r="BN1486" s="153"/>
      <c r="BO1486" s="153"/>
      <c r="BP1486" s="153"/>
      <c r="BQ1486" s="153"/>
      <c r="BR1486" s="153"/>
      <c r="BS1486" s="153"/>
      <c r="BT1486" s="153"/>
      <c r="BU1486" s="153"/>
      <c r="BV1486" s="153"/>
      <c r="BW1486" s="153"/>
      <c r="BX1486" s="153"/>
      <c r="BY1486" s="153"/>
      <c r="BZ1486" s="153"/>
      <c r="CA1486" s="153"/>
      <c r="CB1486" s="153"/>
      <c r="CC1486" s="153"/>
      <c r="CD1486" s="155"/>
      <c r="CE1486" s="156"/>
      <c r="CF1486" s="155"/>
      <c r="CG1486" s="156"/>
      <c r="CH1486" s="155"/>
      <c r="CI1486" s="156"/>
      <c r="CJ1486" s="157">
        <f t="shared" si="196"/>
        <v>0</v>
      </c>
      <c r="CK1486" s="158"/>
      <c r="CL1486" s="159"/>
      <c r="CM1486" s="160"/>
      <c r="CN1486" s="161"/>
      <c r="CO1486" s="162"/>
      <c r="CP1486" s="161"/>
      <c r="CQ1486" s="158"/>
      <c r="CR1486" s="159"/>
      <c r="CS1486" s="68"/>
      <c r="CT1486" s="163"/>
      <c r="EC1486" s="344" t="str">
        <f t="shared" si="192"/>
        <v>CAUCA_CAJIBIO</v>
      </c>
      <c r="ED1486" s="341"/>
      <c r="EE1486" s="341"/>
      <c r="EF1486" s="348"/>
      <c r="EG1486" s="341"/>
      <c r="EH1486" s="341"/>
      <c r="EI1486" s="341"/>
    </row>
    <row r="1487" spans="1:139" s="164" customFormat="1" ht="36">
      <c r="A1487" s="228">
        <v>40485</v>
      </c>
      <c r="B1487" s="205" t="s">
        <v>1314</v>
      </c>
      <c r="C1487" s="205" t="s">
        <v>1598</v>
      </c>
      <c r="D1487" s="207" t="s">
        <v>1201</v>
      </c>
      <c r="E1487" s="323" t="s">
        <v>3626</v>
      </c>
      <c r="F1487" s="323"/>
      <c r="G1487" s="204"/>
      <c r="H1487" s="151"/>
      <c r="I1487" s="151"/>
      <c r="J1487" s="151">
        <f>142*5</f>
        <v>710</v>
      </c>
      <c r="K1487" s="151">
        <f>146-4</f>
        <v>142</v>
      </c>
      <c r="L1487" s="1"/>
      <c r="M1487" s="73">
        <f t="shared" si="194"/>
        <v>0</v>
      </c>
      <c r="N1487" s="73">
        <f t="shared" si="198"/>
        <v>0</v>
      </c>
      <c r="O1487" s="73">
        <f t="shared" si="193"/>
        <v>0</v>
      </c>
      <c r="P1487" s="73">
        <f t="shared" si="195"/>
        <v>0</v>
      </c>
      <c r="Q1487" s="73"/>
      <c r="R1487" s="73">
        <v>0</v>
      </c>
      <c r="S1487" s="75">
        <f t="shared" si="197"/>
        <v>0</v>
      </c>
      <c r="T1487" s="77">
        <v>0</v>
      </c>
      <c r="U1487" s="66">
        <v>40484</v>
      </c>
      <c r="V1487" s="79"/>
      <c r="W1487" s="66" t="s">
        <v>1585</v>
      </c>
      <c r="X1487" s="24" t="s">
        <v>1586</v>
      </c>
      <c r="Y1487" s="104"/>
      <c r="Z1487" s="169" t="s">
        <v>894</v>
      </c>
      <c r="AA1487" s="166" t="s">
        <v>2537</v>
      </c>
      <c r="AB1487" s="152"/>
      <c r="AC1487" s="153"/>
      <c r="AD1487" s="154"/>
      <c r="AE1487" s="153"/>
      <c r="AF1487" s="153"/>
      <c r="AG1487" s="153"/>
      <c r="AH1487" s="153"/>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c r="BF1487" s="153"/>
      <c r="BG1487" s="153"/>
      <c r="BH1487" s="153"/>
      <c r="BI1487" s="153"/>
      <c r="BJ1487" s="153"/>
      <c r="BK1487" s="153"/>
      <c r="BL1487" s="153"/>
      <c r="BM1487" s="153"/>
      <c r="BN1487" s="153"/>
      <c r="BO1487" s="153"/>
      <c r="BP1487" s="153"/>
      <c r="BQ1487" s="153"/>
      <c r="BR1487" s="153"/>
      <c r="BS1487" s="153"/>
      <c r="BT1487" s="153"/>
      <c r="BU1487" s="153"/>
      <c r="BV1487" s="153"/>
      <c r="BW1487" s="153"/>
      <c r="BX1487" s="153"/>
      <c r="BY1487" s="153"/>
      <c r="BZ1487" s="153"/>
      <c r="CA1487" s="153"/>
      <c r="CB1487" s="153"/>
      <c r="CC1487" s="153"/>
      <c r="CD1487" s="155"/>
      <c r="CE1487" s="156"/>
      <c r="CF1487" s="155"/>
      <c r="CG1487" s="156"/>
      <c r="CH1487" s="155"/>
      <c r="CI1487" s="156"/>
      <c r="CJ1487" s="157">
        <f t="shared" si="196"/>
        <v>0</v>
      </c>
      <c r="CK1487" s="158"/>
      <c r="CL1487" s="159"/>
      <c r="CM1487" s="160"/>
      <c r="CN1487" s="161"/>
      <c r="CO1487" s="162"/>
      <c r="CP1487" s="161"/>
      <c r="CQ1487" s="158"/>
      <c r="CR1487" s="159"/>
      <c r="CS1487" s="68"/>
      <c r="CT1487" s="163"/>
      <c r="EC1487" s="344" t="str">
        <f t="shared" si="192"/>
        <v>CAUCA_TOTORO</v>
      </c>
      <c r="ED1487" s="341"/>
      <c r="EE1487" s="341"/>
      <c r="EF1487" s="348"/>
      <c r="EG1487" s="341"/>
      <c r="EH1487" s="341"/>
      <c r="EI1487" s="341"/>
    </row>
    <row r="1488" spans="1:139" s="164" customFormat="1" ht="45">
      <c r="A1488" s="228">
        <v>40485</v>
      </c>
      <c r="B1488" s="205" t="s">
        <v>1996</v>
      </c>
      <c r="C1488" s="205" t="s">
        <v>1645</v>
      </c>
      <c r="D1488" s="207" t="s">
        <v>1201</v>
      </c>
      <c r="E1488" s="323" t="s">
        <v>3795</v>
      </c>
      <c r="F1488" s="323"/>
      <c r="G1488" s="204">
        <v>1</v>
      </c>
      <c r="H1488" s="151"/>
      <c r="I1488" s="151"/>
      <c r="J1488" s="151">
        <f>4501*5</f>
        <v>22505</v>
      </c>
      <c r="K1488" s="151">
        <v>4501</v>
      </c>
      <c r="L1488" s="1">
        <v>40529</v>
      </c>
      <c r="M1488" s="73">
        <f t="shared" si="194"/>
        <v>74330000</v>
      </c>
      <c r="N1488" s="73">
        <f t="shared" si="198"/>
        <v>293675000</v>
      </c>
      <c r="O1488" s="73">
        <f t="shared" si="193"/>
        <v>0</v>
      </c>
      <c r="P1488" s="73">
        <f t="shared" si="195"/>
        <v>0</v>
      </c>
      <c r="Q1488" s="73"/>
      <c r="R1488" s="73">
        <v>0</v>
      </c>
      <c r="S1488" s="75">
        <f t="shared" si="197"/>
        <v>368005000</v>
      </c>
      <c r="T1488" s="77">
        <v>0</v>
      </c>
      <c r="U1488" s="66">
        <v>40487</v>
      </c>
      <c r="V1488" s="79">
        <v>62735</v>
      </c>
      <c r="W1488" s="66" t="s">
        <v>1606</v>
      </c>
      <c r="X1488" s="24" t="s">
        <v>1607</v>
      </c>
      <c r="Y1488" s="62">
        <v>26371</v>
      </c>
      <c r="Z1488" s="177" t="s">
        <v>2580</v>
      </c>
      <c r="AA1488" s="166" t="s">
        <v>2551</v>
      </c>
      <c r="AB1488" s="152"/>
      <c r="AC1488" s="153"/>
      <c r="AD1488" s="154"/>
      <c r="AE1488" s="153"/>
      <c r="AF1488" s="153"/>
      <c r="AG1488" s="153"/>
      <c r="AH1488" s="153"/>
      <c r="AI1488" s="153"/>
      <c r="AJ1488" s="153"/>
      <c r="AK1488" s="153"/>
      <c r="AL1488" s="153"/>
      <c r="AM1488" s="153"/>
      <c r="AN1488" s="153"/>
      <c r="AO1488" s="153"/>
      <c r="AP1488" s="153">
        <v>400</v>
      </c>
      <c r="AQ1488" s="153">
        <f>400*56000</f>
        <v>22400000</v>
      </c>
      <c r="AR1488" s="153"/>
      <c r="AS1488" s="153"/>
      <c r="AT1488" s="153"/>
      <c r="AU1488" s="153"/>
      <c r="AV1488" s="153"/>
      <c r="AW1488" s="153"/>
      <c r="AX1488" s="153"/>
      <c r="AY1488" s="153"/>
      <c r="AZ1488" s="153"/>
      <c r="BA1488" s="153"/>
      <c r="BB1488" s="153"/>
      <c r="BC1488" s="153"/>
      <c r="BD1488" s="153"/>
      <c r="BE1488" s="153"/>
      <c r="BF1488" s="153"/>
      <c r="BG1488" s="153"/>
      <c r="BH1488" s="153"/>
      <c r="BI1488" s="153"/>
      <c r="BJ1488" s="153"/>
      <c r="BK1488" s="153"/>
      <c r="BL1488" s="153"/>
      <c r="BM1488" s="153"/>
      <c r="BN1488" s="153"/>
      <c r="BO1488" s="153"/>
      <c r="BP1488" s="153"/>
      <c r="BQ1488" s="153"/>
      <c r="BR1488" s="153"/>
      <c r="BS1488" s="153"/>
      <c r="BT1488" s="153"/>
      <c r="BU1488" s="153"/>
      <c r="BV1488" s="153"/>
      <c r="BW1488" s="153"/>
      <c r="BX1488" s="153"/>
      <c r="BY1488" s="153"/>
      <c r="BZ1488" s="153"/>
      <c r="CA1488" s="153"/>
      <c r="CB1488" s="153">
        <v>2885</v>
      </c>
      <c r="CC1488" s="153">
        <f>2885*18000</f>
        <v>51930000</v>
      </c>
      <c r="CD1488" s="155"/>
      <c r="CE1488" s="156"/>
      <c r="CF1488" s="155"/>
      <c r="CG1488" s="156"/>
      <c r="CH1488" s="155"/>
      <c r="CI1488" s="156"/>
      <c r="CJ1488" s="157">
        <f t="shared" si="196"/>
        <v>74330000</v>
      </c>
      <c r="CK1488" s="158"/>
      <c r="CL1488" s="159"/>
      <c r="CM1488" s="160">
        <f>570+2885</f>
        <v>3455</v>
      </c>
      <c r="CN1488" s="161">
        <f>570*85000+2885*85000</f>
        <v>293675000</v>
      </c>
      <c r="CO1488" s="162"/>
      <c r="CP1488" s="161"/>
      <c r="CQ1488" s="158"/>
      <c r="CR1488" s="159"/>
      <c r="CS1488" s="68"/>
      <c r="CT1488" s="163"/>
      <c r="EC1488" s="344" t="str">
        <f t="shared" si="192"/>
        <v>CHOCO_ALTO BAUDO</v>
      </c>
      <c r="ED1488" s="341"/>
      <c r="EE1488" s="341"/>
      <c r="EF1488" s="348"/>
      <c r="EG1488" s="341"/>
      <c r="EH1488" s="341"/>
      <c r="EI1488" s="341"/>
    </row>
    <row r="1489" spans="1:139" s="164" customFormat="1" ht="45">
      <c r="A1489" s="228">
        <v>40485</v>
      </c>
      <c r="B1489" s="205" t="s">
        <v>1996</v>
      </c>
      <c r="C1489" s="205" t="s">
        <v>2548</v>
      </c>
      <c r="D1489" s="207" t="s">
        <v>1201</v>
      </c>
      <c r="E1489" s="323" t="s">
        <v>3800</v>
      </c>
      <c r="F1489" s="323"/>
      <c r="G1489" s="204"/>
      <c r="H1489" s="151"/>
      <c r="I1489" s="151"/>
      <c r="J1489" s="151">
        <v>9364</v>
      </c>
      <c r="K1489" s="151">
        <v>1894</v>
      </c>
      <c r="L1489" s="1"/>
      <c r="M1489" s="73">
        <f t="shared" si="194"/>
        <v>33574000</v>
      </c>
      <c r="N1489" s="73">
        <f t="shared" si="198"/>
        <v>176205000</v>
      </c>
      <c r="O1489" s="73">
        <f t="shared" si="193"/>
        <v>0</v>
      </c>
      <c r="P1489" s="73">
        <f t="shared" si="195"/>
        <v>0</v>
      </c>
      <c r="Q1489" s="73"/>
      <c r="R1489" s="73">
        <v>0</v>
      </c>
      <c r="S1489" s="75">
        <f t="shared" si="197"/>
        <v>209779000</v>
      </c>
      <c r="T1489" s="77">
        <v>0</v>
      </c>
      <c r="U1489" s="228">
        <v>40487</v>
      </c>
      <c r="V1489" s="79"/>
      <c r="W1489" s="66" t="s">
        <v>1606</v>
      </c>
      <c r="X1489" s="24" t="s">
        <v>1607</v>
      </c>
      <c r="Y1489" s="62"/>
      <c r="Z1489" s="177" t="s">
        <v>2580</v>
      </c>
      <c r="AA1489" s="166" t="s">
        <v>2549</v>
      </c>
      <c r="AB1489" s="152"/>
      <c r="AC1489" s="153"/>
      <c r="AD1489" s="154"/>
      <c r="AE1489" s="153"/>
      <c r="AF1489" s="153"/>
      <c r="AG1489" s="153"/>
      <c r="AH1489" s="153"/>
      <c r="AI1489" s="153"/>
      <c r="AJ1489" s="153"/>
      <c r="AK1489" s="153"/>
      <c r="AL1489" s="153"/>
      <c r="AM1489" s="153"/>
      <c r="AN1489" s="153"/>
      <c r="AO1489" s="153"/>
      <c r="AP1489" s="153">
        <v>200</v>
      </c>
      <c r="AQ1489" s="153">
        <f>200*56000</f>
        <v>11200000</v>
      </c>
      <c r="AR1489" s="153"/>
      <c r="AS1489" s="153"/>
      <c r="AT1489" s="153"/>
      <c r="AU1489" s="153"/>
      <c r="AV1489" s="153"/>
      <c r="AW1489" s="153"/>
      <c r="AX1489" s="153"/>
      <c r="AY1489" s="153"/>
      <c r="AZ1489" s="153"/>
      <c r="BA1489" s="153"/>
      <c r="BB1489" s="153"/>
      <c r="BC1489" s="153"/>
      <c r="BD1489" s="153"/>
      <c r="BE1489" s="153"/>
      <c r="BF1489" s="153"/>
      <c r="BG1489" s="153"/>
      <c r="BH1489" s="153"/>
      <c r="BI1489" s="153"/>
      <c r="BJ1489" s="153"/>
      <c r="BK1489" s="153"/>
      <c r="BL1489" s="153"/>
      <c r="BM1489" s="153"/>
      <c r="BN1489" s="153"/>
      <c r="BO1489" s="153"/>
      <c r="BP1489" s="153"/>
      <c r="BQ1489" s="153"/>
      <c r="BR1489" s="153"/>
      <c r="BS1489" s="153"/>
      <c r="BT1489" s="153"/>
      <c r="BU1489" s="153"/>
      <c r="BV1489" s="153"/>
      <c r="BW1489" s="153"/>
      <c r="BX1489" s="153"/>
      <c r="BY1489" s="153"/>
      <c r="BZ1489" s="153"/>
      <c r="CA1489" s="153"/>
      <c r="CB1489" s="153">
        <v>1243</v>
      </c>
      <c r="CC1489" s="153">
        <f>1243*18000</f>
        <v>22374000</v>
      </c>
      <c r="CD1489" s="155"/>
      <c r="CE1489" s="156"/>
      <c r="CF1489" s="155"/>
      <c r="CG1489" s="156"/>
      <c r="CH1489" s="155"/>
      <c r="CI1489" s="156"/>
      <c r="CJ1489" s="157">
        <f t="shared" si="196"/>
        <v>33574000</v>
      </c>
      <c r="CK1489" s="158"/>
      <c r="CL1489" s="159"/>
      <c r="CM1489" s="160">
        <f>830+1243</f>
        <v>2073</v>
      </c>
      <c r="CN1489" s="161">
        <f>830*85000+1243*85000</f>
        <v>176205000</v>
      </c>
      <c r="CO1489" s="162"/>
      <c r="CP1489" s="161"/>
      <c r="CQ1489" s="158"/>
      <c r="CR1489" s="159"/>
      <c r="CS1489" s="68"/>
      <c r="CT1489" s="163"/>
      <c r="EC1489" s="344" t="str">
        <f t="shared" si="192"/>
        <v>CHOCO_BOJAYA</v>
      </c>
      <c r="ED1489" s="341"/>
      <c r="EE1489" s="341"/>
      <c r="EF1489" s="348"/>
      <c r="EG1489" s="341"/>
      <c r="EH1489" s="341"/>
      <c r="EI1489" s="341"/>
    </row>
    <row r="1490" spans="1:139" s="164" customFormat="1" ht="45">
      <c r="A1490" s="228">
        <v>40485</v>
      </c>
      <c r="B1490" s="205" t="s">
        <v>1996</v>
      </c>
      <c r="C1490" s="205" t="s">
        <v>2675</v>
      </c>
      <c r="D1490" s="207" t="s">
        <v>1201</v>
      </c>
      <c r="E1490" s="323" t="s">
        <v>3802</v>
      </c>
      <c r="F1490" s="323"/>
      <c r="G1490" s="204"/>
      <c r="H1490" s="151"/>
      <c r="I1490" s="151"/>
      <c r="J1490" s="416">
        <f>1680*3.3</f>
        <v>5544</v>
      </c>
      <c r="K1490" s="151">
        <v>1680</v>
      </c>
      <c r="L1490" s="1"/>
      <c r="M1490" s="73">
        <f t="shared" si="194"/>
        <v>0</v>
      </c>
      <c r="N1490" s="73">
        <f t="shared" si="198"/>
        <v>86700000</v>
      </c>
      <c r="O1490" s="73">
        <f t="shared" si="193"/>
        <v>0</v>
      </c>
      <c r="P1490" s="73">
        <f t="shared" si="195"/>
        <v>0</v>
      </c>
      <c r="Q1490" s="73"/>
      <c r="R1490" s="73">
        <v>0</v>
      </c>
      <c r="S1490" s="75">
        <f t="shared" si="197"/>
        <v>86700000</v>
      </c>
      <c r="T1490" s="77">
        <v>0</v>
      </c>
      <c r="U1490" s="66">
        <v>40492</v>
      </c>
      <c r="V1490" s="79"/>
      <c r="W1490" s="66" t="s">
        <v>1606</v>
      </c>
      <c r="X1490" s="24" t="s">
        <v>1607</v>
      </c>
      <c r="Y1490" s="62"/>
      <c r="Z1490" s="177" t="s">
        <v>2580</v>
      </c>
      <c r="AA1490" s="166" t="s">
        <v>2547</v>
      </c>
      <c r="AB1490" s="152"/>
      <c r="AC1490" s="153"/>
      <c r="AD1490" s="154"/>
      <c r="AE1490" s="153"/>
      <c r="AF1490" s="153"/>
      <c r="AG1490" s="153"/>
      <c r="AH1490" s="153"/>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c r="BF1490" s="153"/>
      <c r="BG1490" s="153"/>
      <c r="BH1490" s="153"/>
      <c r="BI1490" s="153"/>
      <c r="BJ1490" s="153"/>
      <c r="BK1490" s="153"/>
      <c r="BL1490" s="153"/>
      <c r="BM1490" s="153"/>
      <c r="BN1490" s="153"/>
      <c r="BO1490" s="153"/>
      <c r="BP1490" s="153"/>
      <c r="BQ1490" s="153"/>
      <c r="BR1490" s="153"/>
      <c r="BS1490" s="153"/>
      <c r="BT1490" s="153"/>
      <c r="BU1490" s="153"/>
      <c r="BV1490" s="153"/>
      <c r="BW1490" s="153"/>
      <c r="BX1490" s="153"/>
      <c r="BY1490" s="153"/>
      <c r="BZ1490" s="153"/>
      <c r="CA1490" s="153"/>
      <c r="CB1490" s="153"/>
      <c r="CC1490" s="153"/>
      <c r="CD1490" s="155"/>
      <c r="CE1490" s="156"/>
      <c r="CF1490" s="155"/>
      <c r="CG1490" s="156"/>
      <c r="CH1490" s="155"/>
      <c r="CI1490" s="156"/>
      <c r="CJ1490" s="157">
        <f t="shared" si="196"/>
        <v>0</v>
      </c>
      <c r="CK1490" s="158"/>
      <c r="CL1490" s="159"/>
      <c r="CM1490" s="160">
        <v>1020</v>
      </c>
      <c r="CN1490" s="161">
        <f>1020*85000</f>
        <v>86700000</v>
      </c>
      <c r="CO1490" s="162"/>
      <c r="CP1490" s="161"/>
      <c r="CQ1490" s="158"/>
      <c r="CR1490" s="159"/>
      <c r="CS1490" s="68"/>
      <c r="CT1490" s="163"/>
      <c r="EC1490" s="344" t="str">
        <f t="shared" si="192"/>
        <v>CHOCO_CARMEN DEL DARIEN</v>
      </c>
      <c r="ED1490" s="341"/>
      <c r="EE1490" s="341"/>
      <c r="EF1490" s="348"/>
      <c r="EG1490" s="341"/>
      <c r="EH1490" s="341"/>
      <c r="EI1490" s="341"/>
    </row>
    <row r="1491" spans="1:139" s="164" customFormat="1" ht="45">
      <c r="A1491" s="228">
        <v>40485</v>
      </c>
      <c r="B1491" s="205" t="s">
        <v>1996</v>
      </c>
      <c r="C1491" s="205" t="s">
        <v>1901</v>
      </c>
      <c r="D1491" s="207" t="s">
        <v>1201</v>
      </c>
      <c r="E1491" s="323" t="s">
        <v>3810</v>
      </c>
      <c r="F1491" s="323"/>
      <c r="G1491" s="204"/>
      <c r="H1491" s="151"/>
      <c r="I1491" s="151"/>
      <c r="J1491" s="151">
        <v>8450</v>
      </c>
      <c r="K1491" s="151">
        <v>1690</v>
      </c>
      <c r="L1491" s="1"/>
      <c r="M1491" s="73">
        <f t="shared" si="194"/>
        <v>74294000</v>
      </c>
      <c r="N1491" s="73">
        <f t="shared" si="198"/>
        <v>181645000</v>
      </c>
      <c r="O1491" s="73">
        <f t="shared" si="193"/>
        <v>0</v>
      </c>
      <c r="P1491" s="73">
        <f t="shared" si="195"/>
        <v>0</v>
      </c>
      <c r="Q1491" s="73"/>
      <c r="R1491" s="73">
        <v>0</v>
      </c>
      <c r="S1491" s="75">
        <f t="shared" si="197"/>
        <v>255939000</v>
      </c>
      <c r="T1491" s="77">
        <v>0</v>
      </c>
      <c r="U1491" s="66">
        <v>40487</v>
      </c>
      <c r="V1491" s="79"/>
      <c r="W1491" s="66" t="s">
        <v>1606</v>
      </c>
      <c r="X1491" s="24" t="s">
        <v>1607</v>
      </c>
      <c r="Y1491" s="62"/>
      <c r="Z1491" s="177" t="s">
        <v>2580</v>
      </c>
      <c r="AA1491" s="166" t="s">
        <v>2549</v>
      </c>
      <c r="AB1491" s="152"/>
      <c r="AC1491" s="153"/>
      <c r="AD1491" s="154"/>
      <c r="AE1491" s="153"/>
      <c r="AF1491" s="153"/>
      <c r="AG1491" s="153"/>
      <c r="AH1491" s="153"/>
      <c r="AI1491" s="153"/>
      <c r="AJ1491" s="153"/>
      <c r="AK1491" s="153"/>
      <c r="AL1491" s="153"/>
      <c r="AM1491" s="153"/>
      <c r="AN1491" s="153"/>
      <c r="AO1491" s="153"/>
      <c r="AP1491" s="153">
        <v>940</v>
      </c>
      <c r="AQ1491" s="153">
        <f>940*56000</f>
        <v>52640000</v>
      </c>
      <c r="AR1491" s="153"/>
      <c r="AS1491" s="153"/>
      <c r="AT1491" s="153"/>
      <c r="AU1491" s="153"/>
      <c r="AV1491" s="153"/>
      <c r="AW1491" s="153"/>
      <c r="AX1491" s="153"/>
      <c r="AY1491" s="153"/>
      <c r="AZ1491" s="153"/>
      <c r="BA1491" s="153"/>
      <c r="BB1491" s="153"/>
      <c r="BC1491" s="153"/>
      <c r="BD1491" s="153"/>
      <c r="BE1491" s="153"/>
      <c r="BF1491" s="153"/>
      <c r="BG1491" s="153"/>
      <c r="BH1491" s="153"/>
      <c r="BI1491" s="153"/>
      <c r="BJ1491" s="153"/>
      <c r="BK1491" s="153"/>
      <c r="BL1491" s="153"/>
      <c r="BM1491" s="153"/>
      <c r="BN1491" s="153"/>
      <c r="BO1491" s="153"/>
      <c r="BP1491" s="153"/>
      <c r="BQ1491" s="153"/>
      <c r="BR1491" s="153"/>
      <c r="BS1491" s="153"/>
      <c r="BT1491" s="153"/>
      <c r="BU1491" s="153"/>
      <c r="BV1491" s="153"/>
      <c r="BW1491" s="153"/>
      <c r="BX1491" s="153"/>
      <c r="BY1491" s="153"/>
      <c r="BZ1491" s="153"/>
      <c r="CA1491" s="153"/>
      <c r="CB1491" s="153">
        <v>1203</v>
      </c>
      <c r="CC1491" s="153">
        <f>1203*18000</f>
        <v>21654000</v>
      </c>
      <c r="CD1491" s="155"/>
      <c r="CE1491" s="156"/>
      <c r="CF1491" s="155"/>
      <c r="CG1491" s="156"/>
      <c r="CH1491" s="155"/>
      <c r="CI1491" s="156"/>
      <c r="CJ1491" s="157">
        <f t="shared" si="196"/>
        <v>74294000</v>
      </c>
      <c r="CK1491" s="158"/>
      <c r="CL1491" s="159"/>
      <c r="CM1491" s="160">
        <f>934+1203</f>
        <v>2137</v>
      </c>
      <c r="CN1491" s="161">
        <f>934*85000+1203*85000</f>
        <v>181645000</v>
      </c>
      <c r="CO1491" s="162"/>
      <c r="CP1491" s="161"/>
      <c r="CQ1491" s="158"/>
      <c r="CR1491" s="159"/>
      <c r="CS1491" s="68"/>
      <c r="CT1491" s="163"/>
      <c r="EC1491" s="344" t="str">
        <f t="shared" si="192"/>
        <v>CHOCO_MEDIO ATRATO</v>
      </c>
      <c r="ED1491" s="341"/>
      <c r="EE1491" s="341"/>
      <c r="EF1491" s="348"/>
      <c r="EG1491" s="341"/>
      <c r="EH1491" s="341"/>
      <c r="EI1491" s="341"/>
    </row>
    <row r="1492" spans="1:139" s="164" customFormat="1" ht="45">
      <c r="A1492" s="228">
        <v>40485</v>
      </c>
      <c r="B1492" s="205" t="s">
        <v>1996</v>
      </c>
      <c r="C1492" s="205" t="s">
        <v>947</v>
      </c>
      <c r="D1492" s="207" t="s">
        <v>1201</v>
      </c>
      <c r="E1492" s="323" t="s">
        <v>3811</v>
      </c>
      <c r="F1492" s="323"/>
      <c r="G1492" s="204"/>
      <c r="H1492" s="151"/>
      <c r="I1492" s="151"/>
      <c r="J1492" s="151">
        <v>12490</v>
      </c>
      <c r="K1492" s="151">
        <v>3039</v>
      </c>
      <c r="L1492" s="1"/>
      <c r="M1492" s="73">
        <f t="shared" si="194"/>
        <v>0</v>
      </c>
      <c r="N1492" s="73">
        <f t="shared" si="198"/>
        <v>44625000</v>
      </c>
      <c r="O1492" s="73">
        <f t="shared" si="193"/>
        <v>0</v>
      </c>
      <c r="P1492" s="73">
        <f t="shared" si="195"/>
        <v>0</v>
      </c>
      <c r="Q1492" s="73"/>
      <c r="R1492" s="73">
        <v>0</v>
      </c>
      <c r="S1492" s="75">
        <f t="shared" si="197"/>
        <v>44625000</v>
      </c>
      <c r="T1492" s="77">
        <v>0</v>
      </c>
      <c r="U1492" s="66">
        <v>40487</v>
      </c>
      <c r="V1492" s="79"/>
      <c r="W1492" s="66" t="s">
        <v>1606</v>
      </c>
      <c r="X1492" s="24" t="s">
        <v>1607</v>
      </c>
      <c r="Y1492" s="62"/>
      <c r="Z1492" s="177" t="s">
        <v>2580</v>
      </c>
      <c r="AA1492" s="166" t="s">
        <v>2550</v>
      </c>
      <c r="AB1492" s="152"/>
      <c r="AC1492" s="153"/>
      <c r="AD1492" s="154"/>
      <c r="AE1492" s="153"/>
      <c r="AF1492" s="153"/>
      <c r="AG1492" s="153"/>
      <c r="AH1492" s="153"/>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c r="BF1492" s="153"/>
      <c r="BG1492" s="153"/>
      <c r="BH1492" s="153"/>
      <c r="BI1492" s="153"/>
      <c r="BJ1492" s="153"/>
      <c r="BK1492" s="153"/>
      <c r="BL1492" s="153"/>
      <c r="BM1492" s="153"/>
      <c r="BN1492" s="153"/>
      <c r="BO1492" s="153"/>
      <c r="BP1492" s="153"/>
      <c r="BQ1492" s="153"/>
      <c r="BR1492" s="153"/>
      <c r="BS1492" s="153"/>
      <c r="BT1492" s="153"/>
      <c r="BU1492" s="153"/>
      <c r="BV1492" s="153"/>
      <c r="BW1492" s="153"/>
      <c r="BX1492" s="153"/>
      <c r="BY1492" s="153"/>
      <c r="BZ1492" s="153"/>
      <c r="CA1492" s="153"/>
      <c r="CB1492" s="153"/>
      <c r="CC1492" s="153"/>
      <c r="CD1492" s="155"/>
      <c r="CE1492" s="156"/>
      <c r="CF1492" s="155"/>
      <c r="CG1492" s="156"/>
      <c r="CH1492" s="155"/>
      <c r="CI1492" s="156"/>
      <c r="CJ1492" s="157">
        <f t="shared" si="196"/>
        <v>0</v>
      </c>
      <c r="CK1492" s="158"/>
      <c r="CL1492" s="159"/>
      <c r="CM1492" s="160">
        <v>525</v>
      </c>
      <c r="CN1492" s="161">
        <f>525*85000</f>
        <v>44625000</v>
      </c>
      <c r="CO1492" s="162"/>
      <c r="CP1492" s="161"/>
      <c r="CQ1492" s="158"/>
      <c r="CR1492" s="159"/>
      <c r="CS1492" s="68"/>
      <c r="CT1492" s="163"/>
      <c r="EC1492" s="344" t="str">
        <f t="shared" si="192"/>
        <v>CHOCO_MEDIO BAUDO</v>
      </c>
      <c r="ED1492" s="341"/>
      <c r="EE1492" s="341"/>
      <c r="EF1492" s="348"/>
      <c r="EG1492" s="341"/>
      <c r="EH1492" s="341"/>
      <c r="EI1492" s="341"/>
    </row>
    <row r="1493" spans="1:139" s="164" customFormat="1" ht="38.25">
      <c r="A1493" s="228">
        <v>40485</v>
      </c>
      <c r="B1493" s="205" t="s">
        <v>1996</v>
      </c>
      <c r="C1493" s="205" t="s">
        <v>1891</v>
      </c>
      <c r="D1493" s="207" t="s">
        <v>1201</v>
      </c>
      <c r="E1493" s="323" t="s">
        <v>3812</v>
      </c>
      <c r="F1493" s="323"/>
      <c r="G1493" s="204"/>
      <c r="H1493" s="151"/>
      <c r="I1493" s="151"/>
      <c r="J1493" s="151">
        <v>8305</v>
      </c>
      <c r="K1493" s="151">
        <v>1550</v>
      </c>
      <c r="L1493" s="1">
        <v>40529</v>
      </c>
      <c r="M1493" s="73">
        <f t="shared" si="194"/>
        <v>50300000</v>
      </c>
      <c r="N1493" s="73">
        <f t="shared" si="198"/>
        <v>172125000</v>
      </c>
      <c r="O1493" s="73">
        <f t="shared" si="193"/>
        <v>0</v>
      </c>
      <c r="P1493" s="73">
        <f t="shared" si="195"/>
        <v>0</v>
      </c>
      <c r="Q1493" s="73"/>
      <c r="R1493" s="73">
        <v>0</v>
      </c>
      <c r="S1493" s="75">
        <f t="shared" si="197"/>
        <v>222425000</v>
      </c>
      <c r="T1493" s="77">
        <v>0</v>
      </c>
      <c r="U1493" s="66">
        <v>40500</v>
      </c>
      <c r="V1493" s="79">
        <v>62735</v>
      </c>
      <c r="W1493" s="66" t="s">
        <v>1606</v>
      </c>
      <c r="X1493" s="24" t="s">
        <v>1607</v>
      </c>
      <c r="Y1493" s="62">
        <v>26371</v>
      </c>
      <c r="Z1493" s="169" t="s">
        <v>1435</v>
      </c>
      <c r="AA1493" s="166" t="s">
        <v>647</v>
      </c>
      <c r="AB1493" s="152"/>
      <c r="AC1493" s="153"/>
      <c r="AD1493" s="154"/>
      <c r="AE1493" s="153"/>
      <c r="AF1493" s="153"/>
      <c r="AG1493" s="153"/>
      <c r="AH1493" s="153"/>
      <c r="AI1493" s="153"/>
      <c r="AJ1493" s="153"/>
      <c r="AK1493" s="153"/>
      <c r="AL1493" s="153"/>
      <c r="AM1493" s="153"/>
      <c r="AN1493" s="153"/>
      <c r="AO1493" s="153"/>
      <c r="AP1493" s="153">
        <v>400</v>
      </c>
      <c r="AQ1493" s="153">
        <f>400*56000</f>
        <v>22400000</v>
      </c>
      <c r="AR1493" s="153"/>
      <c r="AS1493" s="153"/>
      <c r="AT1493" s="153"/>
      <c r="AU1493" s="153"/>
      <c r="AV1493" s="153"/>
      <c r="AW1493" s="153"/>
      <c r="AX1493" s="153"/>
      <c r="AY1493" s="153"/>
      <c r="AZ1493" s="153"/>
      <c r="BA1493" s="153"/>
      <c r="BB1493" s="153"/>
      <c r="BC1493" s="153"/>
      <c r="BD1493" s="153"/>
      <c r="BE1493" s="153"/>
      <c r="BF1493" s="153"/>
      <c r="BG1493" s="153"/>
      <c r="BH1493" s="153"/>
      <c r="BI1493" s="153"/>
      <c r="BJ1493" s="153"/>
      <c r="BK1493" s="153"/>
      <c r="BL1493" s="153"/>
      <c r="BM1493" s="153"/>
      <c r="BN1493" s="153"/>
      <c r="BO1493" s="153"/>
      <c r="BP1493" s="153"/>
      <c r="BQ1493" s="153"/>
      <c r="BR1493" s="153"/>
      <c r="BS1493" s="153"/>
      <c r="BT1493" s="153"/>
      <c r="BU1493" s="153"/>
      <c r="BV1493" s="153"/>
      <c r="BW1493" s="153"/>
      <c r="BX1493" s="153"/>
      <c r="BY1493" s="153"/>
      <c r="BZ1493" s="153"/>
      <c r="CA1493" s="153"/>
      <c r="CB1493" s="153">
        <v>1550</v>
      </c>
      <c r="CC1493" s="153">
        <f>1550*18000</f>
        <v>27900000</v>
      </c>
      <c r="CD1493" s="155"/>
      <c r="CE1493" s="156"/>
      <c r="CF1493" s="155"/>
      <c r="CG1493" s="156"/>
      <c r="CH1493" s="155"/>
      <c r="CI1493" s="156"/>
      <c r="CJ1493" s="157">
        <f t="shared" si="196"/>
        <v>50300000</v>
      </c>
      <c r="CK1493" s="158"/>
      <c r="CL1493" s="159"/>
      <c r="CM1493" s="160">
        <f>475+1550</f>
        <v>2025</v>
      </c>
      <c r="CN1493" s="161">
        <f>475*85000+1550*85000</f>
        <v>172125000</v>
      </c>
      <c r="CO1493" s="162"/>
      <c r="CP1493" s="161"/>
      <c r="CQ1493" s="158"/>
      <c r="CR1493" s="159"/>
      <c r="CS1493" s="68"/>
      <c r="CT1493" s="163"/>
      <c r="EC1493" s="344" t="str">
        <f t="shared" ref="EC1493:EC1555" si="199">B1493&amp;"_"&amp;C1493</f>
        <v>CHOCO_MEDIO SAN JUAN</v>
      </c>
      <c r="ED1493" s="341"/>
      <c r="EE1493" s="341"/>
      <c r="EF1493" s="348"/>
      <c r="EG1493" s="341"/>
      <c r="EH1493" s="341"/>
      <c r="EI1493" s="341"/>
    </row>
    <row r="1494" spans="1:139" s="164" customFormat="1" ht="84">
      <c r="A1494" s="228">
        <v>40485</v>
      </c>
      <c r="B1494" s="205" t="s">
        <v>1996</v>
      </c>
      <c r="C1494" s="205" t="s">
        <v>939</v>
      </c>
      <c r="D1494" s="207" t="s">
        <v>1201</v>
      </c>
      <c r="E1494" s="323" t="s">
        <v>3813</v>
      </c>
      <c r="F1494" s="323"/>
      <c r="G1494" s="204"/>
      <c r="H1494" s="151"/>
      <c r="I1494" s="151"/>
      <c r="J1494" s="151">
        <f>2360-1250</f>
        <v>1110</v>
      </c>
      <c r="K1494" s="151">
        <f>665-350</f>
        <v>315</v>
      </c>
      <c r="L1494" s="1">
        <v>40529</v>
      </c>
      <c r="M1494" s="73">
        <f t="shared" si="194"/>
        <v>0</v>
      </c>
      <c r="N1494" s="73">
        <f t="shared" si="198"/>
        <v>74800000</v>
      </c>
      <c r="O1494" s="73">
        <f t="shared" si="193"/>
        <v>0</v>
      </c>
      <c r="P1494" s="73">
        <f t="shared" si="195"/>
        <v>0</v>
      </c>
      <c r="Q1494" s="73"/>
      <c r="R1494" s="73">
        <v>0</v>
      </c>
      <c r="S1494" s="75">
        <f t="shared" si="197"/>
        <v>74800000</v>
      </c>
      <c r="T1494" s="77">
        <v>0</v>
      </c>
      <c r="U1494" s="66">
        <v>40484</v>
      </c>
      <c r="V1494" s="79">
        <v>62735</v>
      </c>
      <c r="W1494" s="66" t="s">
        <v>1606</v>
      </c>
      <c r="X1494" s="24" t="s">
        <v>1607</v>
      </c>
      <c r="Y1494" s="104">
        <v>26371</v>
      </c>
      <c r="Z1494" s="177" t="s">
        <v>2580</v>
      </c>
      <c r="AA1494" s="166" t="s">
        <v>1682</v>
      </c>
      <c r="AB1494" s="152"/>
      <c r="AC1494" s="153"/>
      <c r="AD1494" s="154"/>
      <c r="AE1494" s="153"/>
      <c r="AF1494" s="153"/>
      <c r="AG1494" s="153"/>
      <c r="AH1494" s="153"/>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c r="BF1494" s="153"/>
      <c r="BG1494" s="153"/>
      <c r="BH1494" s="153"/>
      <c r="BI1494" s="153"/>
      <c r="BJ1494" s="153"/>
      <c r="BK1494" s="153"/>
      <c r="BL1494" s="153"/>
      <c r="BM1494" s="153"/>
      <c r="BN1494" s="153"/>
      <c r="BO1494" s="153"/>
      <c r="BP1494" s="153"/>
      <c r="BQ1494" s="153"/>
      <c r="BR1494" s="153"/>
      <c r="BS1494" s="153"/>
      <c r="BT1494" s="153"/>
      <c r="BU1494" s="153"/>
      <c r="BV1494" s="153"/>
      <c r="BW1494" s="153"/>
      <c r="BX1494" s="153"/>
      <c r="BY1494" s="153"/>
      <c r="BZ1494" s="153"/>
      <c r="CA1494" s="153"/>
      <c r="CB1494" s="153"/>
      <c r="CC1494" s="153"/>
      <c r="CD1494" s="155"/>
      <c r="CE1494" s="156"/>
      <c r="CF1494" s="155"/>
      <c r="CG1494" s="156"/>
      <c r="CH1494" s="155"/>
      <c r="CI1494" s="156"/>
      <c r="CJ1494" s="157">
        <f t="shared" si="196"/>
        <v>0</v>
      </c>
      <c r="CK1494" s="158"/>
      <c r="CL1494" s="159"/>
      <c r="CM1494" s="160">
        <v>880</v>
      </c>
      <c r="CN1494" s="161">
        <f>880*85000</f>
        <v>74800000</v>
      </c>
      <c r="CO1494" s="162"/>
      <c r="CP1494" s="161"/>
      <c r="CQ1494" s="158"/>
      <c r="CR1494" s="159"/>
      <c r="CS1494" s="68"/>
      <c r="CT1494" s="163">
        <v>1375</v>
      </c>
      <c r="EC1494" s="344" t="str">
        <f t="shared" si="199"/>
        <v>CHOCO_NOVITA</v>
      </c>
      <c r="ED1494" s="341"/>
      <c r="EE1494" s="341"/>
      <c r="EF1494" s="348"/>
      <c r="EG1494" s="341"/>
      <c r="EH1494" s="341"/>
      <c r="EI1494" s="341"/>
    </row>
    <row r="1495" spans="1:139" s="164" customFormat="1" ht="45">
      <c r="A1495" s="228">
        <v>40485</v>
      </c>
      <c r="B1495" s="205" t="s">
        <v>1996</v>
      </c>
      <c r="C1495" s="205" t="s">
        <v>1945</v>
      </c>
      <c r="D1495" s="207" t="s">
        <v>1201</v>
      </c>
      <c r="E1495" s="323" t="s">
        <v>3793</v>
      </c>
      <c r="F1495" s="323"/>
      <c r="G1495" s="204"/>
      <c r="H1495" s="151"/>
      <c r="I1495" s="151"/>
      <c r="J1495" s="151">
        <v>1700</v>
      </c>
      <c r="K1495" s="151">
        <v>870</v>
      </c>
      <c r="L1495" s="1"/>
      <c r="M1495" s="73">
        <f t="shared" si="194"/>
        <v>0</v>
      </c>
      <c r="N1495" s="73">
        <f t="shared" si="198"/>
        <v>36975000</v>
      </c>
      <c r="O1495" s="73">
        <f t="shared" si="193"/>
        <v>0</v>
      </c>
      <c r="P1495" s="73">
        <f t="shared" si="195"/>
        <v>0</v>
      </c>
      <c r="Q1495" s="73"/>
      <c r="R1495" s="73">
        <v>0</v>
      </c>
      <c r="S1495" s="75">
        <f t="shared" si="197"/>
        <v>36975000</v>
      </c>
      <c r="T1495" s="77">
        <v>0</v>
      </c>
      <c r="U1495" s="66">
        <v>40487</v>
      </c>
      <c r="V1495" s="79"/>
      <c r="W1495" s="66" t="s">
        <v>1606</v>
      </c>
      <c r="X1495" s="24" t="s">
        <v>1607</v>
      </c>
      <c r="Y1495" s="62"/>
      <c r="Z1495" s="177" t="s">
        <v>2580</v>
      </c>
      <c r="AA1495" s="166" t="s">
        <v>886</v>
      </c>
      <c r="AB1495" s="152"/>
      <c r="AC1495" s="153"/>
      <c r="AD1495" s="154"/>
      <c r="AE1495" s="153"/>
      <c r="AF1495" s="153"/>
      <c r="AG1495" s="153"/>
      <c r="AH1495" s="153"/>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c r="BF1495" s="153"/>
      <c r="BG1495" s="153"/>
      <c r="BH1495" s="153"/>
      <c r="BI1495" s="153"/>
      <c r="BJ1495" s="153"/>
      <c r="BK1495" s="153"/>
      <c r="BL1495" s="153"/>
      <c r="BM1495" s="153"/>
      <c r="BN1495" s="153"/>
      <c r="BO1495" s="153"/>
      <c r="BP1495" s="153"/>
      <c r="BQ1495" s="153"/>
      <c r="BR1495" s="153"/>
      <c r="BS1495" s="153"/>
      <c r="BT1495" s="153"/>
      <c r="BU1495" s="153"/>
      <c r="BV1495" s="153"/>
      <c r="BW1495" s="153"/>
      <c r="BX1495" s="153"/>
      <c r="BY1495" s="153"/>
      <c r="BZ1495" s="153"/>
      <c r="CA1495" s="153"/>
      <c r="CB1495" s="153"/>
      <c r="CC1495" s="153"/>
      <c r="CD1495" s="155"/>
      <c r="CE1495" s="156"/>
      <c r="CF1495" s="155"/>
      <c r="CG1495" s="156"/>
      <c r="CH1495" s="155"/>
      <c r="CI1495" s="156"/>
      <c r="CJ1495" s="157">
        <f t="shared" si="196"/>
        <v>0</v>
      </c>
      <c r="CK1495" s="158"/>
      <c r="CL1495" s="159"/>
      <c r="CM1495" s="160">
        <v>435</v>
      </c>
      <c r="CN1495" s="161">
        <f>435*85000</f>
        <v>36975000</v>
      </c>
      <c r="CO1495" s="162"/>
      <c r="CP1495" s="161"/>
      <c r="CQ1495" s="158"/>
      <c r="CR1495" s="159"/>
      <c r="CS1495" s="68"/>
      <c r="CT1495" s="163"/>
      <c r="EC1495" s="344" t="str">
        <f t="shared" si="199"/>
        <v>CHOCO_QUIBDO</v>
      </c>
      <c r="ED1495" s="341"/>
      <c r="EE1495" s="341"/>
      <c r="EF1495" s="348"/>
      <c r="EG1495" s="341"/>
      <c r="EH1495" s="341"/>
      <c r="EI1495" s="341"/>
    </row>
    <row r="1496" spans="1:139" s="164" customFormat="1" ht="45">
      <c r="A1496" s="228">
        <v>40485</v>
      </c>
      <c r="B1496" s="205" t="s">
        <v>1996</v>
      </c>
      <c r="C1496" s="205" t="s">
        <v>941</v>
      </c>
      <c r="D1496" s="207" t="s">
        <v>1201</v>
      </c>
      <c r="E1496" s="323" t="s">
        <v>3815</v>
      </c>
      <c r="F1496" s="323"/>
      <c r="G1496" s="204"/>
      <c r="H1496" s="151"/>
      <c r="I1496" s="151"/>
      <c r="J1496" s="151">
        <f>2869-475-225</f>
        <v>2169</v>
      </c>
      <c r="K1496" s="151">
        <f>555-95-45</f>
        <v>415</v>
      </c>
      <c r="L1496" s="1"/>
      <c r="M1496" s="73">
        <f t="shared" si="194"/>
        <v>21190000</v>
      </c>
      <c r="N1496" s="73">
        <f t="shared" si="198"/>
        <v>72675000</v>
      </c>
      <c r="O1496" s="73">
        <f t="shared" si="193"/>
        <v>0</v>
      </c>
      <c r="P1496" s="73">
        <f t="shared" si="195"/>
        <v>0</v>
      </c>
      <c r="Q1496" s="73"/>
      <c r="R1496" s="73">
        <v>0</v>
      </c>
      <c r="S1496" s="75">
        <f t="shared" si="197"/>
        <v>93865000</v>
      </c>
      <c r="T1496" s="77">
        <v>0</v>
      </c>
      <c r="U1496" s="66">
        <v>40492</v>
      </c>
      <c r="V1496" s="79"/>
      <c r="W1496" s="66" t="s">
        <v>1606</v>
      </c>
      <c r="X1496" s="24" t="s">
        <v>1607</v>
      </c>
      <c r="Y1496" s="62"/>
      <c r="Z1496" s="177" t="s">
        <v>2580</v>
      </c>
      <c r="AA1496" s="166" t="s">
        <v>2676</v>
      </c>
      <c r="AB1496" s="152"/>
      <c r="AC1496" s="153"/>
      <c r="AD1496" s="154"/>
      <c r="AE1496" s="153"/>
      <c r="AF1496" s="153"/>
      <c r="AG1496" s="153"/>
      <c r="AH1496" s="153"/>
      <c r="AI1496" s="153"/>
      <c r="AJ1496" s="153"/>
      <c r="AK1496" s="153"/>
      <c r="AL1496" s="153"/>
      <c r="AM1496" s="153"/>
      <c r="AN1496" s="153"/>
      <c r="AO1496" s="153"/>
      <c r="AP1496" s="153">
        <v>200</v>
      </c>
      <c r="AQ1496" s="153">
        <f>200*56000</f>
        <v>11200000</v>
      </c>
      <c r="AR1496" s="153"/>
      <c r="AS1496" s="153"/>
      <c r="AT1496" s="153"/>
      <c r="AU1496" s="153"/>
      <c r="AV1496" s="153"/>
      <c r="AW1496" s="153"/>
      <c r="AX1496" s="153"/>
      <c r="AY1496" s="153"/>
      <c r="AZ1496" s="153"/>
      <c r="BA1496" s="153"/>
      <c r="BB1496" s="153"/>
      <c r="BC1496" s="153"/>
      <c r="BD1496" s="153"/>
      <c r="BE1496" s="153"/>
      <c r="BF1496" s="153"/>
      <c r="BG1496" s="153"/>
      <c r="BH1496" s="153"/>
      <c r="BI1496" s="153"/>
      <c r="BJ1496" s="153"/>
      <c r="BK1496" s="153"/>
      <c r="BL1496" s="153"/>
      <c r="BM1496" s="153"/>
      <c r="BN1496" s="153"/>
      <c r="BO1496" s="153"/>
      <c r="BP1496" s="153"/>
      <c r="BQ1496" s="153"/>
      <c r="BR1496" s="153"/>
      <c r="BS1496" s="153"/>
      <c r="BT1496" s="153"/>
      <c r="BU1496" s="153"/>
      <c r="BV1496" s="153"/>
      <c r="BW1496" s="153"/>
      <c r="BX1496" s="153"/>
      <c r="BY1496" s="153"/>
      <c r="BZ1496" s="153"/>
      <c r="CA1496" s="153"/>
      <c r="CB1496" s="153">
        <v>555</v>
      </c>
      <c r="CC1496" s="153">
        <f>555*18000</f>
        <v>9990000</v>
      </c>
      <c r="CD1496" s="155"/>
      <c r="CE1496" s="156"/>
      <c r="CF1496" s="155"/>
      <c r="CG1496" s="156"/>
      <c r="CH1496" s="155"/>
      <c r="CI1496" s="156"/>
      <c r="CJ1496" s="157">
        <f t="shared" si="196"/>
        <v>21190000</v>
      </c>
      <c r="CK1496" s="158"/>
      <c r="CL1496" s="159"/>
      <c r="CM1496" s="160">
        <f>300+555</f>
        <v>855</v>
      </c>
      <c r="CN1496" s="161">
        <f>300*85000+555*85000</f>
        <v>72675000</v>
      </c>
      <c r="CO1496" s="162"/>
      <c r="CP1496" s="161"/>
      <c r="CQ1496" s="158"/>
      <c r="CR1496" s="159"/>
      <c r="CS1496" s="68"/>
      <c r="CT1496" s="163"/>
      <c r="EC1496" s="344" t="str">
        <f t="shared" si="199"/>
        <v>CHOCO_RIO IRO</v>
      </c>
      <c r="ED1496" s="341"/>
      <c r="EE1496" s="341"/>
      <c r="EF1496" s="348"/>
      <c r="EG1496" s="341"/>
      <c r="EH1496" s="341"/>
      <c r="EI1496" s="341"/>
    </row>
    <row r="1497" spans="1:139" s="164" customFormat="1" ht="45">
      <c r="A1497" s="228">
        <v>40485</v>
      </c>
      <c r="B1497" s="205" t="s">
        <v>1996</v>
      </c>
      <c r="C1497" s="205" t="s">
        <v>2677</v>
      </c>
      <c r="D1497" s="207" t="s">
        <v>1201</v>
      </c>
      <c r="E1497" s="323" t="s">
        <v>3819</v>
      </c>
      <c r="F1497" s="323"/>
      <c r="G1497" s="204"/>
      <c r="H1497" s="151"/>
      <c r="I1497" s="151"/>
      <c r="J1497" s="151">
        <v>1448</v>
      </c>
      <c r="K1497" s="151">
        <v>323</v>
      </c>
      <c r="L1497" s="1"/>
      <c r="M1497" s="73">
        <f t="shared" si="194"/>
        <v>11414000</v>
      </c>
      <c r="N1497" s="73">
        <f t="shared" si="198"/>
        <v>52955000</v>
      </c>
      <c r="O1497" s="73">
        <f t="shared" si="193"/>
        <v>0</v>
      </c>
      <c r="P1497" s="73">
        <f t="shared" si="195"/>
        <v>0</v>
      </c>
      <c r="Q1497" s="73"/>
      <c r="R1497" s="73">
        <v>0</v>
      </c>
      <c r="S1497" s="75">
        <f t="shared" si="197"/>
        <v>64369000</v>
      </c>
      <c r="T1497" s="77">
        <v>0</v>
      </c>
      <c r="U1497" s="66">
        <v>40492</v>
      </c>
      <c r="V1497" s="79"/>
      <c r="W1497" s="66" t="s">
        <v>1606</v>
      </c>
      <c r="X1497" s="24" t="s">
        <v>1607</v>
      </c>
      <c r="Y1497" s="62"/>
      <c r="Z1497" s="177" t="s">
        <v>2580</v>
      </c>
      <c r="AA1497" s="166" t="s">
        <v>2678</v>
      </c>
      <c r="AB1497" s="152"/>
      <c r="AC1497" s="153"/>
      <c r="AD1497" s="154"/>
      <c r="AE1497" s="153"/>
      <c r="AF1497" s="153"/>
      <c r="AG1497" s="153"/>
      <c r="AH1497" s="153"/>
      <c r="AI1497" s="153"/>
      <c r="AJ1497" s="153"/>
      <c r="AK1497" s="153"/>
      <c r="AL1497" s="153"/>
      <c r="AM1497" s="153"/>
      <c r="AN1497" s="153"/>
      <c r="AO1497" s="153"/>
      <c r="AP1497" s="153">
        <v>100</v>
      </c>
      <c r="AQ1497" s="153">
        <f>100*56000</f>
        <v>5600000</v>
      </c>
      <c r="AR1497" s="153"/>
      <c r="AS1497" s="153"/>
      <c r="AT1497" s="153"/>
      <c r="AU1497" s="153"/>
      <c r="AV1497" s="153"/>
      <c r="AW1497" s="153"/>
      <c r="AX1497" s="153"/>
      <c r="AY1497" s="153"/>
      <c r="AZ1497" s="153"/>
      <c r="BA1497" s="153"/>
      <c r="BB1497" s="153"/>
      <c r="BC1497" s="153"/>
      <c r="BD1497" s="153"/>
      <c r="BE1497" s="153"/>
      <c r="BF1497" s="153"/>
      <c r="BG1497" s="153"/>
      <c r="BH1497" s="153"/>
      <c r="BI1497" s="153"/>
      <c r="BJ1497" s="153"/>
      <c r="BK1497" s="153"/>
      <c r="BL1497" s="153"/>
      <c r="BM1497" s="153"/>
      <c r="BN1497" s="153"/>
      <c r="BO1497" s="153"/>
      <c r="BP1497" s="153"/>
      <c r="BQ1497" s="153"/>
      <c r="BR1497" s="153"/>
      <c r="BS1497" s="153"/>
      <c r="BT1497" s="153"/>
      <c r="BU1497" s="153"/>
      <c r="BV1497" s="153"/>
      <c r="BW1497" s="153"/>
      <c r="BX1497" s="153"/>
      <c r="BY1497" s="153"/>
      <c r="BZ1497" s="153"/>
      <c r="CA1497" s="153"/>
      <c r="CB1497" s="153">
        <v>323</v>
      </c>
      <c r="CC1497" s="153">
        <f>323*18000</f>
        <v>5814000</v>
      </c>
      <c r="CD1497" s="155"/>
      <c r="CE1497" s="156"/>
      <c r="CF1497" s="155"/>
      <c r="CG1497" s="156"/>
      <c r="CH1497" s="155"/>
      <c r="CI1497" s="156"/>
      <c r="CJ1497" s="157">
        <f t="shared" si="196"/>
        <v>11414000</v>
      </c>
      <c r="CK1497" s="158"/>
      <c r="CL1497" s="159"/>
      <c r="CM1497" s="160">
        <f>300+323</f>
        <v>623</v>
      </c>
      <c r="CN1497" s="161">
        <f>300*85000+323*85000</f>
        <v>52955000</v>
      </c>
      <c r="CO1497" s="162"/>
      <c r="CP1497" s="161"/>
      <c r="CQ1497" s="158"/>
      <c r="CR1497" s="159"/>
      <c r="CS1497" s="68"/>
      <c r="CT1497" s="163"/>
      <c r="EC1497" s="344" t="str">
        <f t="shared" si="199"/>
        <v>CHOCO_SIPI</v>
      </c>
      <c r="ED1497" s="341"/>
      <c r="EE1497" s="341"/>
      <c r="EF1497" s="348"/>
      <c r="EG1497" s="341"/>
      <c r="EH1497" s="341"/>
      <c r="EI1497" s="341"/>
    </row>
    <row r="1498" spans="1:139" s="164" customFormat="1" ht="25.5">
      <c r="A1498" s="228">
        <v>40485</v>
      </c>
      <c r="B1498" s="205" t="s">
        <v>962</v>
      </c>
      <c r="C1498" s="205" t="s">
        <v>1161</v>
      </c>
      <c r="D1498" s="207" t="s">
        <v>2606</v>
      </c>
      <c r="E1498" s="323" t="s">
        <v>3840</v>
      </c>
      <c r="F1498" s="323"/>
      <c r="G1498" s="204"/>
      <c r="H1498" s="151"/>
      <c r="I1498" s="151"/>
      <c r="J1498" s="151">
        <v>5</v>
      </c>
      <c r="K1498" s="151">
        <v>1</v>
      </c>
      <c r="L1498" s="1"/>
      <c r="M1498" s="73">
        <f t="shared" si="194"/>
        <v>0</v>
      </c>
      <c r="N1498" s="73">
        <f t="shared" si="198"/>
        <v>0</v>
      </c>
      <c r="O1498" s="73">
        <f t="shared" si="193"/>
        <v>0</v>
      </c>
      <c r="P1498" s="73">
        <f t="shared" si="195"/>
        <v>0</v>
      </c>
      <c r="Q1498" s="73"/>
      <c r="R1498" s="73">
        <v>0</v>
      </c>
      <c r="S1498" s="75">
        <f t="shared" si="197"/>
        <v>0</v>
      </c>
      <c r="T1498" s="77">
        <v>0</v>
      </c>
      <c r="U1498" s="66">
        <v>40484</v>
      </c>
      <c r="V1498" s="79"/>
      <c r="W1498" s="66" t="s">
        <v>1585</v>
      </c>
      <c r="X1498" s="24" t="s">
        <v>1586</v>
      </c>
      <c r="Y1498" s="104"/>
      <c r="Z1498" s="169" t="s">
        <v>894</v>
      </c>
      <c r="AA1498" s="166" t="s">
        <v>902</v>
      </c>
      <c r="AB1498" s="152"/>
      <c r="AC1498" s="153"/>
      <c r="AD1498" s="154"/>
      <c r="AE1498" s="153"/>
      <c r="AF1498" s="153"/>
      <c r="AG1498" s="153"/>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53"/>
      <c r="BB1498" s="153"/>
      <c r="BC1498" s="153"/>
      <c r="BD1498" s="153"/>
      <c r="BE1498" s="153"/>
      <c r="BF1498" s="153"/>
      <c r="BG1498" s="153"/>
      <c r="BH1498" s="153"/>
      <c r="BI1498" s="153"/>
      <c r="BJ1498" s="153"/>
      <c r="BK1498" s="153"/>
      <c r="BL1498" s="153"/>
      <c r="BM1498" s="153"/>
      <c r="BN1498" s="153"/>
      <c r="BO1498" s="153"/>
      <c r="BP1498" s="153"/>
      <c r="BQ1498" s="153"/>
      <c r="BR1498" s="153"/>
      <c r="BS1498" s="153"/>
      <c r="BT1498" s="153"/>
      <c r="BU1498" s="153"/>
      <c r="BV1498" s="153"/>
      <c r="BW1498" s="153"/>
      <c r="BX1498" s="153"/>
      <c r="BY1498" s="153"/>
      <c r="BZ1498" s="153"/>
      <c r="CA1498" s="153"/>
      <c r="CB1498" s="153"/>
      <c r="CC1498" s="153"/>
      <c r="CD1498" s="155"/>
      <c r="CE1498" s="156"/>
      <c r="CF1498" s="155"/>
      <c r="CG1498" s="156"/>
      <c r="CH1498" s="155"/>
      <c r="CI1498" s="156"/>
      <c r="CJ1498" s="157">
        <f t="shared" si="196"/>
        <v>0</v>
      </c>
      <c r="CK1498" s="158"/>
      <c r="CL1498" s="159"/>
      <c r="CM1498" s="160"/>
      <c r="CN1498" s="161"/>
      <c r="CO1498" s="162"/>
      <c r="CP1498" s="161"/>
      <c r="CQ1498" s="158"/>
      <c r="CR1498" s="159"/>
      <c r="CS1498" s="68"/>
      <c r="CT1498" s="163"/>
      <c r="EC1498" s="344" t="str">
        <f t="shared" si="199"/>
        <v>HUILA_LA PLATA</v>
      </c>
      <c r="ED1498" s="341"/>
      <c r="EE1498" s="341"/>
      <c r="EF1498" s="348"/>
      <c r="EG1498" s="341"/>
      <c r="EH1498" s="341"/>
      <c r="EI1498" s="341"/>
    </row>
    <row r="1499" spans="1:139" s="164" customFormat="1" ht="25.5">
      <c r="A1499" s="228">
        <v>40485</v>
      </c>
      <c r="B1499" s="205" t="s">
        <v>962</v>
      </c>
      <c r="C1499" s="205" t="s">
        <v>3158</v>
      </c>
      <c r="D1499" s="207" t="s">
        <v>1316</v>
      </c>
      <c r="E1499" s="323" t="s">
        <v>3846</v>
      </c>
      <c r="F1499" s="323"/>
      <c r="G1499" s="204"/>
      <c r="H1499" s="151"/>
      <c r="I1499" s="151"/>
      <c r="J1499" s="151"/>
      <c r="K1499" s="151"/>
      <c r="L1499" s="1"/>
      <c r="M1499" s="73">
        <f t="shared" si="194"/>
        <v>0</v>
      </c>
      <c r="N1499" s="73">
        <f t="shared" si="198"/>
        <v>0</v>
      </c>
      <c r="O1499" s="73">
        <f t="shared" si="193"/>
        <v>0</v>
      </c>
      <c r="P1499" s="73">
        <f t="shared" si="195"/>
        <v>0</v>
      </c>
      <c r="Q1499" s="73"/>
      <c r="R1499" s="73">
        <v>0</v>
      </c>
      <c r="S1499" s="75">
        <f t="shared" si="197"/>
        <v>0</v>
      </c>
      <c r="T1499" s="77">
        <v>0</v>
      </c>
      <c r="U1499" s="66">
        <v>40484</v>
      </c>
      <c r="V1499" s="79"/>
      <c r="W1499" s="66" t="s">
        <v>1585</v>
      </c>
      <c r="X1499" s="24" t="s">
        <v>1586</v>
      </c>
      <c r="Y1499" s="104"/>
      <c r="Z1499" s="169" t="s">
        <v>894</v>
      </c>
      <c r="AA1499" s="166" t="s">
        <v>2525</v>
      </c>
      <c r="AB1499" s="152"/>
      <c r="AC1499" s="153"/>
      <c r="AD1499" s="154"/>
      <c r="AE1499" s="153"/>
      <c r="AF1499" s="153"/>
      <c r="AG1499" s="153"/>
      <c r="AH1499" s="153"/>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c r="BF1499" s="153"/>
      <c r="BG1499" s="153"/>
      <c r="BH1499" s="153"/>
      <c r="BI1499" s="153"/>
      <c r="BJ1499" s="153"/>
      <c r="BK1499" s="153"/>
      <c r="BL1499" s="153"/>
      <c r="BM1499" s="153"/>
      <c r="BN1499" s="153"/>
      <c r="BO1499" s="153"/>
      <c r="BP1499" s="153"/>
      <c r="BQ1499" s="153"/>
      <c r="BR1499" s="153"/>
      <c r="BS1499" s="153"/>
      <c r="BT1499" s="153"/>
      <c r="BU1499" s="153"/>
      <c r="BV1499" s="153"/>
      <c r="BW1499" s="153"/>
      <c r="BX1499" s="153"/>
      <c r="BY1499" s="153"/>
      <c r="BZ1499" s="153"/>
      <c r="CA1499" s="153"/>
      <c r="CB1499" s="153"/>
      <c r="CC1499" s="153"/>
      <c r="CD1499" s="155"/>
      <c r="CE1499" s="156"/>
      <c r="CF1499" s="155"/>
      <c r="CG1499" s="156"/>
      <c r="CH1499" s="155"/>
      <c r="CI1499" s="156"/>
      <c r="CJ1499" s="157">
        <f t="shared" si="196"/>
        <v>0</v>
      </c>
      <c r="CK1499" s="158"/>
      <c r="CL1499" s="159"/>
      <c r="CM1499" s="160"/>
      <c r="CN1499" s="161"/>
      <c r="CO1499" s="162"/>
      <c r="CP1499" s="161"/>
      <c r="CQ1499" s="158"/>
      <c r="CR1499" s="159"/>
      <c r="CS1499" s="68"/>
      <c r="CT1499" s="163"/>
      <c r="EC1499" s="344" t="str">
        <f t="shared" si="199"/>
        <v>HUILA_PITAL</v>
      </c>
      <c r="ED1499" s="341"/>
      <c r="EE1499" s="341"/>
      <c r="EF1499" s="348"/>
      <c r="EG1499" s="341"/>
      <c r="EH1499" s="341"/>
      <c r="EI1499" s="341"/>
    </row>
    <row r="1500" spans="1:139" s="164" customFormat="1" ht="25.5">
      <c r="A1500" s="228">
        <v>40485</v>
      </c>
      <c r="B1500" s="205" t="s">
        <v>1612</v>
      </c>
      <c r="C1500" s="205" t="s">
        <v>1613</v>
      </c>
      <c r="D1500" s="207" t="s">
        <v>1316</v>
      </c>
      <c r="E1500" s="323" t="s">
        <v>4038</v>
      </c>
      <c r="F1500" s="323"/>
      <c r="G1500" s="204"/>
      <c r="H1500" s="151">
        <v>1</v>
      </c>
      <c r="I1500" s="151"/>
      <c r="J1500" s="151">
        <v>5</v>
      </c>
      <c r="K1500" s="151">
        <v>1</v>
      </c>
      <c r="L1500" s="1"/>
      <c r="M1500" s="73">
        <f t="shared" si="194"/>
        <v>0</v>
      </c>
      <c r="N1500" s="73">
        <f t="shared" si="198"/>
        <v>0</v>
      </c>
      <c r="O1500" s="73">
        <f t="shared" si="193"/>
        <v>0</v>
      </c>
      <c r="P1500" s="73">
        <f t="shared" si="195"/>
        <v>0</v>
      </c>
      <c r="Q1500" s="73"/>
      <c r="R1500" s="73">
        <v>0</v>
      </c>
      <c r="S1500" s="75">
        <f t="shared" si="197"/>
        <v>0</v>
      </c>
      <c r="T1500" s="77">
        <v>0</v>
      </c>
      <c r="U1500" s="66">
        <v>40487</v>
      </c>
      <c r="V1500" s="79"/>
      <c r="W1500" s="66" t="s">
        <v>1585</v>
      </c>
      <c r="X1500" s="24" t="s">
        <v>1586</v>
      </c>
      <c r="Y1500" s="62"/>
      <c r="Z1500" s="169" t="s">
        <v>894</v>
      </c>
      <c r="AA1500" s="166" t="s">
        <v>2553</v>
      </c>
      <c r="AB1500" s="152"/>
      <c r="AC1500" s="153"/>
      <c r="AD1500" s="154"/>
      <c r="AE1500" s="153"/>
      <c r="AF1500" s="153"/>
      <c r="AG1500" s="153"/>
      <c r="AH1500" s="153"/>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c r="BF1500" s="153"/>
      <c r="BG1500" s="153"/>
      <c r="BH1500" s="153"/>
      <c r="BI1500" s="153"/>
      <c r="BJ1500" s="153"/>
      <c r="BK1500" s="153"/>
      <c r="BL1500" s="153"/>
      <c r="BM1500" s="153"/>
      <c r="BN1500" s="153"/>
      <c r="BO1500" s="153"/>
      <c r="BP1500" s="153"/>
      <c r="BQ1500" s="153"/>
      <c r="BR1500" s="153"/>
      <c r="BS1500" s="153"/>
      <c r="BT1500" s="153"/>
      <c r="BU1500" s="153"/>
      <c r="BV1500" s="153"/>
      <c r="BW1500" s="153"/>
      <c r="BX1500" s="153"/>
      <c r="BY1500" s="153"/>
      <c r="BZ1500" s="153"/>
      <c r="CA1500" s="153"/>
      <c r="CB1500" s="153"/>
      <c r="CC1500" s="153"/>
      <c r="CD1500" s="155"/>
      <c r="CE1500" s="156"/>
      <c r="CF1500" s="155"/>
      <c r="CG1500" s="156"/>
      <c r="CH1500" s="155"/>
      <c r="CI1500" s="156"/>
      <c r="CJ1500" s="157">
        <f t="shared" si="196"/>
        <v>0</v>
      </c>
      <c r="CK1500" s="158"/>
      <c r="CL1500" s="159"/>
      <c r="CM1500" s="160"/>
      <c r="CN1500" s="161"/>
      <c r="CO1500" s="162"/>
      <c r="CP1500" s="161"/>
      <c r="CQ1500" s="158"/>
      <c r="CR1500" s="159"/>
      <c r="CS1500" s="68"/>
      <c r="CT1500" s="163"/>
      <c r="EC1500" s="344" t="str">
        <f t="shared" si="199"/>
        <v>QUINDIO_ARMENIA</v>
      </c>
      <c r="ED1500" s="341"/>
      <c r="EE1500" s="341"/>
      <c r="EF1500" s="348"/>
      <c r="EG1500" s="341"/>
      <c r="EH1500" s="341"/>
      <c r="EI1500" s="341"/>
    </row>
    <row r="1501" spans="1:139" s="164" customFormat="1" ht="25.5">
      <c r="A1501" s="228">
        <v>40485</v>
      </c>
      <c r="B1501" s="205" t="s">
        <v>1612</v>
      </c>
      <c r="C1501" s="205" t="s">
        <v>2713</v>
      </c>
      <c r="D1501" s="206" t="s">
        <v>1878</v>
      </c>
      <c r="E1501" s="320" t="s">
        <v>4047</v>
      </c>
      <c r="F1501" s="320"/>
      <c r="G1501" s="204"/>
      <c r="H1501" s="151"/>
      <c r="I1501" s="151"/>
      <c r="J1501" s="151"/>
      <c r="K1501" s="151"/>
      <c r="L1501" s="1"/>
      <c r="M1501" s="73">
        <f t="shared" si="194"/>
        <v>0</v>
      </c>
      <c r="N1501" s="73">
        <f t="shared" si="198"/>
        <v>0</v>
      </c>
      <c r="O1501" s="73">
        <f t="shared" si="193"/>
        <v>0</v>
      </c>
      <c r="P1501" s="73">
        <f t="shared" si="195"/>
        <v>0</v>
      </c>
      <c r="Q1501" s="73"/>
      <c r="R1501" s="73">
        <v>0</v>
      </c>
      <c r="S1501" s="75">
        <f t="shared" si="197"/>
        <v>0</v>
      </c>
      <c r="T1501" s="77">
        <v>0</v>
      </c>
      <c r="U1501" s="66">
        <v>40484</v>
      </c>
      <c r="V1501" s="79"/>
      <c r="W1501" s="66" t="s">
        <v>1585</v>
      </c>
      <c r="X1501" s="24" t="s">
        <v>1586</v>
      </c>
      <c r="Y1501" s="104"/>
      <c r="Z1501" s="169" t="s">
        <v>894</v>
      </c>
      <c r="AA1501" s="166" t="s">
        <v>2532</v>
      </c>
      <c r="AB1501" s="152"/>
      <c r="AC1501" s="153"/>
      <c r="AD1501" s="154"/>
      <c r="AE1501" s="153"/>
      <c r="AF1501" s="153"/>
      <c r="AG1501" s="153"/>
      <c r="AH1501" s="153"/>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c r="BF1501" s="153"/>
      <c r="BG1501" s="153"/>
      <c r="BH1501" s="153"/>
      <c r="BI1501" s="153"/>
      <c r="BJ1501" s="153"/>
      <c r="BK1501" s="153"/>
      <c r="BL1501" s="153"/>
      <c r="BM1501" s="153"/>
      <c r="BN1501" s="153"/>
      <c r="BO1501" s="153"/>
      <c r="BP1501" s="153"/>
      <c r="BQ1501" s="153"/>
      <c r="BR1501" s="153"/>
      <c r="BS1501" s="153"/>
      <c r="BT1501" s="153"/>
      <c r="BU1501" s="153"/>
      <c r="BV1501" s="153"/>
      <c r="BW1501" s="153"/>
      <c r="BX1501" s="153"/>
      <c r="BY1501" s="153"/>
      <c r="BZ1501" s="153"/>
      <c r="CA1501" s="153"/>
      <c r="CB1501" s="153"/>
      <c r="CC1501" s="153"/>
      <c r="CD1501" s="155"/>
      <c r="CE1501" s="156"/>
      <c r="CF1501" s="155"/>
      <c r="CG1501" s="156"/>
      <c r="CH1501" s="155"/>
      <c r="CI1501" s="156"/>
      <c r="CJ1501" s="157">
        <f t="shared" si="196"/>
        <v>0</v>
      </c>
      <c r="CK1501" s="158"/>
      <c r="CL1501" s="159"/>
      <c r="CM1501" s="160"/>
      <c r="CN1501" s="161"/>
      <c r="CO1501" s="162"/>
      <c r="CP1501" s="161"/>
      <c r="CQ1501" s="158"/>
      <c r="CR1501" s="159"/>
      <c r="CS1501" s="68"/>
      <c r="CT1501" s="163"/>
      <c r="EC1501" s="344" t="str">
        <f t="shared" si="199"/>
        <v>QUINDIO_PIJAO</v>
      </c>
      <c r="ED1501" s="341"/>
      <c r="EE1501" s="341"/>
      <c r="EF1501" s="348"/>
      <c r="EG1501" s="341"/>
      <c r="EH1501" s="341"/>
      <c r="EI1501" s="341"/>
    </row>
    <row r="1502" spans="1:139" s="164" customFormat="1" ht="25.5">
      <c r="A1502" s="228">
        <v>40485</v>
      </c>
      <c r="B1502" s="205" t="s">
        <v>1612</v>
      </c>
      <c r="C1502" s="205" t="s">
        <v>1149</v>
      </c>
      <c r="D1502" s="206" t="s">
        <v>1878</v>
      </c>
      <c r="E1502" s="320" t="s">
        <v>4049</v>
      </c>
      <c r="F1502" s="320"/>
      <c r="G1502" s="204"/>
      <c r="H1502" s="151"/>
      <c r="I1502" s="151"/>
      <c r="J1502" s="151">
        <v>25</v>
      </c>
      <c r="K1502" s="151">
        <v>5</v>
      </c>
      <c r="L1502" s="1"/>
      <c r="M1502" s="73">
        <f t="shared" si="194"/>
        <v>0</v>
      </c>
      <c r="N1502" s="73">
        <f t="shared" si="198"/>
        <v>0</v>
      </c>
      <c r="O1502" s="73">
        <f t="shared" si="193"/>
        <v>0</v>
      </c>
      <c r="P1502" s="73">
        <f t="shared" si="195"/>
        <v>0</v>
      </c>
      <c r="Q1502" s="73"/>
      <c r="R1502" s="73">
        <v>0</v>
      </c>
      <c r="S1502" s="75">
        <f t="shared" si="197"/>
        <v>0</v>
      </c>
      <c r="T1502" s="77">
        <v>0</v>
      </c>
      <c r="U1502" s="66">
        <v>40487</v>
      </c>
      <c r="V1502" s="79"/>
      <c r="W1502" s="66" t="s">
        <v>1585</v>
      </c>
      <c r="X1502" s="24" t="s">
        <v>1586</v>
      </c>
      <c r="Y1502" s="62"/>
      <c r="Z1502" s="169" t="s">
        <v>894</v>
      </c>
      <c r="AA1502" s="166" t="s">
        <v>2552</v>
      </c>
      <c r="AB1502" s="152"/>
      <c r="AC1502" s="153"/>
      <c r="AD1502" s="154"/>
      <c r="AE1502" s="153"/>
      <c r="AF1502" s="153"/>
      <c r="AG1502" s="153"/>
      <c r="AH1502" s="153"/>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c r="BF1502" s="153"/>
      <c r="BG1502" s="153"/>
      <c r="BH1502" s="153"/>
      <c r="BI1502" s="153"/>
      <c r="BJ1502" s="153"/>
      <c r="BK1502" s="153"/>
      <c r="BL1502" s="153"/>
      <c r="BM1502" s="153"/>
      <c r="BN1502" s="153"/>
      <c r="BO1502" s="153"/>
      <c r="BP1502" s="153"/>
      <c r="BQ1502" s="153"/>
      <c r="BR1502" s="153"/>
      <c r="BS1502" s="153"/>
      <c r="BT1502" s="153"/>
      <c r="BU1502" s="153"/>
      <c r="BV1502" s="153"/>
      <c r="BW1502" s="153"/>
      <c r="BX1502" s="153"/>
      <c r="BY1502" s="153"/>
      <c r="BZ1502" s="153"/>
      <c r="CA1502" s="153"/>
      <c r="CB1502" s="153"/>
      <c r="CC1502" s="153"/>
      <c r="CD1502" s="155"/>
      <c r="CE1502" s="156"/>
      <c r="CF1502" s="155"/>
      <c r="CG1502" s="156"/>
      <c r="CH1502" s="155"/>
      <c r="CI1502" s="156"/>
      <c r="CJ1502" s="157">
        <f t="shared" si="196"/>
        <v>0</v>
      </c>
      <c r="CK1502" s="158"/>
      <c r="CL1502" s="159"/>
      <c r="CM1502" s="160"/>
      <c r="CN1502" s="161"/>
      <c r="CO1502" s="162"/>
      <c r="CP1502" s="161"/>
      <c r="CQ1502" s="158"/>
      <c r="CR1502" s="159"/>
      <c r="CS1502" s="68"/>
      <c r="CT1502" s="163"/>
      <c r="EC1502" s="344" t="str">
        <f t="shared" si="199"/>
        <v>QUINDIO_SALENTO</v>
      </c>
      <c r="ED1502" s="341"/>
      <c r="EE1502" s="341"/>
      <c r="EF1502" s="348"/>
      <c r="EG1502" s="341"/>
      <c r="EH1502" s="341"/>
      <c r="EI1502" s="341"/>
    </row>
    <row r="1503" spans="1:139" s="164" customFormat="1" ht="38.25">
      <c r="A1503" s="228">
        <v>40485</v>
      </c>
      <c r="B1503" s="205" t="s">
        <v>1609</v>
      </c>
      <c r="C1503" s="205" t="s">
        <v>2377</v>
      </c>
      <c r="D1503" s="207" t="s">
        <v>2606</v>
      </c>
      <c r="E1503" s="323"/>
      <c r="F1503" s="323"/>
      <c r="G1503" s="204"/>
      <c r="H1503" s="151"/>
      <c r="I1503" s="151"/>
      <c r="J1503" s="151">
        <v>270</v>
      </c>
      <c r="K1503" s="151">
        <v>54</v>
      </c>
      <c r="L1503" s="1"/>
      <c r="M1503" s="73">
        <f t="shared" si="194"/>
        <v>0</v>
      </c>
      <c r="N1503" s="73">
        <f t="shared" si="198"/>
        <v>0</v>
      </c>
      <c r="O1503" s="73">
        <f t="shared" si="193"/>
        <v>0</v>
      </c>
      <c r="P1503" s="73">
        <f t="shared" si="195"/>
        <v>0</v>
      </c>
      <c r="Q1503" s="73"/>
      <c r="R1503" s="73">
        <v>0</v>
      </c>
      <c r="S1503" s="75">
        <f t="shared" si="197"/>
        <v>0</v>
      </c>
      <c r="T1503" s="77">
        <v>0</v>
      </c>
      <c r="U1503" s="66">
        <v>40624</v>
      </c>
      <c r="V1503" s="79"/>
      <c r="W1503" s="66" t="s">
        <v>1585</v>
      </c>
      <c r="X1503" s="24" t="s">
        <v>1586</v>
      </c>
      <c r="Y1503" s="62"/>
      <c r="Z1503" s="169" t="s">
        <v>894</v>
      </c>
      <c r="AA1503" s="166" t="s">
        <v>155</v>
      </c>
      <c r="AB1503" s="152"/>
      <c r="AC1503" s="153"/>
      <c r="AD1503" s="154"/>
      <c r="AE1503" s="153"/>
      <c r="AF1503" s="153"/>
      <c r="AG1503" s="153"/>
      <c r="AH1503" s="153"/>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c r="BF1503" s="153"/>
      <c r="BG1503" s="153"/>
      <c r="BH1503" s="153"/>
      <c r="BI1503" s="153"/>
      <c r="BJ1503" s="153"/>
      <c r="BK1503" s="153"/>
      <c r="BL1503" s="153"/>
      <c r="BM1503" s="153"/>
      <c r="BN1503" s="153"/>
      <c r="BO1503" s="153"/>
      <c r="BP1503" s="153"/>
      <c r="BQ1503" s="153"/>
      <c r="BR1503" s="153"/>
      <c r="BS1503" s="153"/>
      <c r="BT1503" s="153"/>
      <c r="BU1503" s="153"/>
      <c r="BV1503" s="153"/>
      <c r="BW1503" s="153"/>
      <c r="BX1503" s="153"/>
      <c r="BY1503" s="153"/>
      <c r="BZ1503" s="153"/>
      <c r="CA1503" s="153"/>
      <c r="CB1503" s="153"/>
      <c r="CC1503" s="153"/>
      <c r="CD1503" s="155"/>
      <c r="CE1503" s="156"/>
      <c r="CF1503" s="155"/>
      <c r="CG1503" s="156"/>
      <c r="CH1503" s="155"/>
      <c r="CI1503" s="156"/>
      <c r="CJ1503" s="157">
        <f t="shared" si="196"/>
        <v>0</v>
      </c>
      <c r="CK1503" s="158"/>
      <c r="CL1503" s="159"/>
      <c r="CM1503" s="160"/>
      <c r="CN1503" s="161"/>
      <c r="CO1503" s="162"/>
      <c r="CP1503" s="161"/>
      <c r="CQ1503" s="158"/>
      <c r="CR1503" s="159"/>
      <c r="CS1503" s="68"/>
      <c r="CT1503" s="163"/>
      <c r="EC1503" s="344" t="str">
        <f t="shared" si="199"/>
        <v>RISARALDA_MARSELLA</v>
      </c>
      <c r="ED1503" s="341"/>
      <c r="EE1503" s="341"/>
      <c r="EF1503" s="348"/>
      <c r="EG1503" s="341"/>
      <c r="EH1503" s="341"/>
      <c r="EI1503" s="341"/>
    </row>
    <row r="1504" spans="1:139" s="164" customFormat="1" ht="120">
      <c r="A1504" s="228">
        <v>40485</v>
      </c>
      <c r="B1504" s="205" t="s">
        <v>1088</v>
      </c>
      <c r="C1504" s="205" t="s">
        <v>1615</v>
      </c>
      <c r="D1504" s="207" t="s">
        <v>1201</v>
      </c>
      <c r="E1504" s="323" t="s">
        <v>4229</v>
      </c>
      <c r="F1504" s="323"/>
      <c r="G1504" s="204"/>
      <c r="H1504" s="151"/>
      <c r="I1504" s="151"/>
      <c r="J1504" s="151">
        <f>326*5</f>
        <v>1630</v>
      </c>
      <c r="K1504" s="151">
        <v>326</v>
      </c>
      <c r="L1504" s="1"/>
      <c r="M1504" s="73">
        <f t="shared" si="194"/>
        <v>21018000</v>
      </c>
      <c r="N1504" s="73">
        <f t="shared" si="198"/>
        <v>19210000</v>
      </c>
      <c r="O1504" s="73">
        <f t="shared" si="193"/>
        <v>0</v>
      </c>
      <c r="P1504" s="73">
        <f t="shared" si="195"/>
        <v>0</v>
      </c>
      <c r="Q1504" s="73"/>
      <c r="R1504" s="73">
        <v>0</v>
      </c>
      <c r="S1504" s="75">
        <f t="shared" si="197"/>
        <v>40228000</v>
      </c>
      <c r="T1504" s="77">
        <v>0</v>
      </c>
      <c r="U1504" s="66">
        <v>40484</v>
      </c>
      <c r="V1504" s="79"/>
      <c r="W1504" s="66" t="s">
        <v>1606</v>
      </c>
      <c r="X1504" s="24" t="s">
        <v>1607</v>
      </c>
      <c r="Y1504" s="104"/>
      <c r="Z1504" s="169" t="s">
        <v>894</v>
      </c>
      <c r="AA1504" s="166" t="s">
        <v>2778</v>
      </c>
      <c r="AB1504" s="152"/>
      <c r="AC1504" s="153"/>
      <c r="AD1504" s="154"/>
      <c r="AE1504" s="153"/>
      <c r="AF1504" s="153"/>
      <c r="AG1504" s="153"/>
      <c r="AH1504" s="153"/>
      <c r="AI1504" s="153"/>
      <c r="AJ1504" s="153"/>
      <c r="AK1504" s="153"/>
      <c r="AL1504" s="153"/>
      <c r="AM1504" s="153"/>
      <c r="AN1504" s="153">
        <v>226</v>
      </c>
      <c r="AO1504" s="153">
        <f>226*56000</f>
        <v>12656000</v>
      </c>
      <c r="AP1504" s="153"/>
      <c r="AQ1504" s="153"/>
      <c r="AR1504" s="153"/>
      <c r="AS1504" s="153"/>
      <c r="AT1504" s="153"/>
      <c r="AU1504" s="153"/>
      <c r="AV1504" s="153"/>
      <c r="AW1504" s="153"/>
      <c r="AX1504" s="153"/>
      <c r="AY1504" s="153"/>
      <c r="AZ1504" s="153"/>
      <c r="BA1504" s="153"/>
      <c r="BB1504" s="153"/>
      <c r="BC1504" s="153"/>
      <c r="BD1504" s="153"/>
      <c r="BE1504" s="153"/>
      <c r="BF1504" s="153"/>
      <c r="BG1504" s="153"/>
      <c r="BH1504" s="153"/>
      <c r="BI1504" s="153"/>
      <c r="BJ1504" s="153"/>
      <c r="BK1504" s="153"/>
      <c r="BL1504" s="153"/>
      <c r="BM1504" s="153"/>
      <c r="BN1504" s="153"/>
      <c r="BO1504" s="153"/>
      <c r="BP1504" s="153"/>
      <c r="BQ1504" s="153"/>
      <c r="BR1504" s="153"/>
      <c r="BS1504" s="153"/>
      <c r="BT1504" s="153"/>
      <c r="BU1504" s="153"/>
      <c r="BV1504" s="153"/>
      <c r="BW1504" s="153"/>
      <c r="BX1504" s="153"/>
      <c r="BY1504" s="153"/>
      <c r="BZ1504" s="153"/>
      <c r="CA1504" s="153"/>
      <c r="CB1504" s="153"/>
      <c r="CC1504" s="153"/>
      <c r="CD1504" s="155">
        <v>226</v>
      </c>
      <c r="CE1504" s="156">
        <f>226*37000</f>
        <v>8362000</v>
      </c>
      <c r="CF1504" s="155"/>
      <c r="CG1504" s="156"/>
      <c r="CH1504" s="155"/>
      <c r="CI1504" s="156"/>
      <c r="CJ1504" s="157">
        <f t="shared" si="196"/>
        <v>21018000</v>
      </c>
      <c r="CK1504" s="158"/>
      <c r="CL1504" s="159"/>
      <c r="CM1504" s="160">
        <v>226</v>
      </c>
      <c r="CN1504" s="161">
        <f>226*85000</f>
        <v>19210000</v>
      </c>
      <c r="CO1504" s="162"/>
      <c r="CP1504" s="161"/>
      <c r="CQ1504" s="158"/>
      <c r="CR1504" s="159"/>
      <c r="CS1504" s="68"/>
      <c r="CT1504" s="163"/>
      <c r="EC1504" s="344" t="str">
        <f t="shared" si="199"/>
        <v>VALLE DEL CAUCA_BOLIVAR</v>
      </c>
      <c r="ED1504" s="341"/>
      <c r="EE1504" s="341"/>
      <c r="EF1504" s="348"/>
      <c r="EG1504" s="341"/>
      <c r="EH1504" s="341"/>
      <c r="EI1504" s="341"/>
    </row>
    <row r="1505" spans="1:139" s="164" customFormat="1" ht="51">
      <c r="A1505" s="228">
        <v>40485</v>
      </c>
      <c r="B1505" s="205" t="s">
        <v>1088</v>
      </c>
      <c r="C1505" s="205" t="s">
        <v>1544</v>
      </c>
      <c r="D1505" s="207" t="s">
        <v>1201</v>
      </c>
      <c r="E1505" s="323" t="s">
        <v>4230</v>
      </c>
      <c r="F1505" s="323"/>
      <c r="G1505" s="204"/>
      <c r="H1505" s="151"/>
      <c r="I1505" s="151"/>
      <c r="J1505" s="151">
        <v>33</v>
      </c>
      <c r="K1505" s="151">
        <v>9</v>
      </c>
      <c r="L1505" s="1"/>
      <c r="M1505" s="73">
        <f t="shared" si="194"/>
        <v>0</v>
      </c>
      <c r="N1505" s="73">
        <f t="shared" si="198"/>
        <v>0</v>
      </c>
      <c r="O1505" s="73">
        <f t="shared" si="193"/>
        <v>0</v>
      </c>
      <c r="P1505" s="73">
        <f t="shared" si="195"/>
        <v>0</v>
      </c>
      <c r="Q1505" s="73"/>
      <c r="R1505" s="73">
        <v>0</v>
      </c>
      <c r="S1505" s="75">
        <f t="shared" si="197"/>
        <v>0</v>
      </c>
      <c r="T1505" s="77">
        <v>0</v>
      </c>
      <c r="U1505" s="66">
        <v>40487</v>
      </c>
      <c r="V1505" s="79"/>
      <c r="W1505" s="66" t="s">
        <v>1585</v>
      </c>
      <c r="X1505" s="24" t="s">
        <v>1586</v>
      </c>
      <c r="Y1505" s="62"/>
      <c r="Z1505" s="169" t="s">
        <v>894</v>
      </c>
      <c r="AA1505" s="166" t="s">
        <v>2554</v>
      </c>
      <c r="AB1505" s="152"/>
      <c r="AC1505" s="153"/>
      <c r="AD1505" s="154"/>
      <c r="AE1505" s="153"/>
      <c r="AF1505" s="153"/>
      <c r="AG1505" s="153"/>
      <c r="AH1505" s="153"/>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c r="BF1505" s="153"/>
      <c r="BG1505" s="153"/>
      <c r="BH1505" s="153"/>
      <c r="BI1505" s="153"/>
      <c r="BJ1505" s="153"/>
      <c r="BK1505" s="153"/>
      <c r="BL1505" s="153"/>
      <c r="BM1505" s="153"/>
      <c r="BN1505" s="153"/>
      <c r="BO1505" s="153"/>
      <c r="BP1505" s="153"/>
      <c r="BQ1505" s="153"/>
      <c r="BR1505" s="153"/>
      <c r="BS1505" s="153"/>
      <c r="BT1505" s="153"/>
      <c r="BU1505" s="153"/>
      <c r="BV1505" s="153"/>
      <c r="BW1505" s="153"/>
      <c r="BX1505" s="153"/>
      <c r="BY1505" s="153"/>
      <c r="BZ1505" s="153"/>
      <c r="CA1505" s="153"/>
      <c r="CB1505" s="153"/>
      <c r="CC1505" s="153"/>
      <c r="CD1505" s="155"/>
      <c r="CE1505" s="156"/>
      <c r="CF1505" s="155"/>
      <c r="CG1505" s="156"/>
      <c r="CH1505" s="155"/>
      <c r="CI1505" s="156"/>
      <c r="CJ1505" s="157">
        <f t="shared" si="196"/>
        <v>0</v>
      </c>
      <c r="CK1505" s="158"/>
      <c r="CL1505" s="159"/>
      <c r="CM1505" s="160"/>
      <c r="CN1505" s="161"/>
      <c r="CO1505" s="162"/>
      <c r="CP1505" s="161"/>
      <c r="CQ1505" s="158"/>
      <c r="CR1505" s="159"/>
      <c r="CS1505" s="68"/>
      <c r="CT1505" s="163"/>
      <c r="EC1505" s="344" t="str">
        <f t="shared" si="199"/>
        <v>VALLE DEL CAUCA_BUENAVENTURA</v>
      </c>
      <c r="ED1505" s="341"/>
      <c r="EE1505" s="341"/>
      <c r="EF1505" s="348"/>
      <c r="EG1505" s="341"/>
      <c r="EH1505" s="341"/>
      <c r="EI1505" s="341"/>
    </row>
    <row r="1506" spans="1:139" s="164" customFormat="1" ht="84">
      <c r="A1506" s="228">
        <v>40485</v>
      </c>
      <c r="B1506" s="205" t="s">
        <v>1088</v>
      </c>
      <c r="C1506" s="205" t="s">
        <v>1246</v>
      </c>
      <c r="D1506" s="207" t="s">
        <v>1201</v>
      </c>
      <c r="E1506" s="323" t="s">
        <v>4232</v>
      </c>
      <c r="F1506" s="323"/>
      <c r="G1506" s="204"/>
      <c r="H1506" s="151"/>
      <c r="I1506" s="151"/>
      <c r="J1506" s="151">
        <f>415*5</f>
        <v>2075</v>
      </c>
      <c r="K1506" s="151">
        <v>415</v>
      </c>
      <c r="L1506" s="1"/>
      <c r="M1506" s="73">
        <f t="shared" si="194"/>
        <v>38595000</v>
      </c>
      <c r="N1506" s="73">
        <f t="shared" si="198"/>
        <v>35275000</v>
      </c>
      <c r="O1506" s="73">
        <f t="shared" si="193"/>
        <v>0</v>
      </c>
      <c r="P1506" s="73">
        <f t="shared" si="195"/>
        <v>0</v>
      </c>
      <c r="Q1506" s="73"/>
      <c r="R1506" s="73">
        <v>0</v>
      </c>
      <c r="S1506" s="75">
        <f t="shared" si="197"/>
        <v>73870000</v>
      </c>
      <c r="T1506" s="77">
        <v>0</v>
      </c>
      <c r="U1506" s="66">
        <v>40484</v>
      </c>
      <c r="V1506" s="79"/>
      <c r="W1506" s="66" t="s">
        <v>1606</v>
      </c>
      <c r="X1506" s="24" t="s">
        <v>1607</v>
      </c>
      <c r="Y1506" s="104"/>
      <c r="Z1506" s="169" t="s">
        <v>894</v>
      </c>
      <c r="AA1506" s="166" t="s">
        <v>2780</v>
      </c>
      <c r="AB1506" s="152"/>
      <c r="AC1506" s="153"/>
      <c r="AD1506" s="154"/>
      <c r="AE1506" s="153"/>
      <c r="AF1506" s="153"/>
      <c r="AG1506" s="153"/>
      <c r="AH1506" s="153"/>
      <c r="AI1506" s="153"/>
      <c r="AJ1506" s="153"/>
      <c r="AK1506" s="153"/>
      <c r="AL1506" s="153"/>
      <c r="AM1506" s="153"/>
      <c r="AN1506" s="153">
        <v>415</v>
      </c>
      <c r="AO1506" s="153">
        <f>415*56000</f>
        <v>23240000</v>
      </c>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c r="BI1506" s="153"/>
      <c r="BJ1506" s="153"/>
      <c r="BK1506" s="153"/>
      <c r="BL1506" s="153"/>
      <c r="BM1506" s="153"/>
      <c r="BN1506" s="153"/>
      <c r="BO1506" s="153"/>
      <c r="BP1506" s="153"/>
      <c r="BQ1506" s="153"/>
      <c r="BR1506" s="153"/>
      <c r="BS1506" s="153"/>
      <c r="BT1506" s="153"/>
      <c r="BU1506" s="153"/>
      <c r="BV1506" s="153"/>
      <c r="BW1506" s="153"/>
      <c r="BX1506" s="153"/>
      <c r="BY1506" s="153"/>
      <c r="BZ1506" s="153"/>
      <c r="CA1506" s="153"/>
      <c r="CB1506" s="153"/>
      <c r="CC1506" s="153"/>
      <c r="CD1506" s="155">
        <v>415</v>
      </c>
      <c r="CE1506" s="156">
        <f>415*37000</f>
        <v>15355000</v>
      </c>
      <c r="CF1506" s="155"/>
      <c r="CG1506" s="156"/>
      <c r="CH1506" s="155"/>
      <c r="CI1506" s="156"/>
      <c r="CJ1506" s="157">
        <f t="shared" si="196"/>
        <v>38595000</v>
      </c>
      <c r="CK1506" s="158"/>
      <c r="CL1506" s="159"/>
      <c r="CM1506" s="160">
        <v>415</v>
      </c>
      <c r="CN1506" s="161">
        <f>415*85000</f>
        <v>35275000</v>
      </c>
      <c r="CO1506" s="162"/>
      <c r="CP1506" s="161"/>
      <c r="CQ1506" s="158"/>
      <c r="CR1506" s="159"/>
      <c r="CS1506" s="68"/>
      <c r="CT1506" s="163"/>
      <c r="EC1506" s="344" t="str">
        <f t="shared" si="199"/>
        <v>VALLE DEL CAUCA_BUGALAGRANDE</v>
      </c>
      <c r="ED1506" s="341"/>
      <c r="EE1506" s="341"/>
      <c r="EF1506" s="348"/>
      <c r="EG1506" s="341"/>
      <c r="EH1506" s="341"/>
      <c r="EI1506" s="341"/>
    </row>
    <row r="1507" spans="1:139" s="164" customFormat="1" ht="38.25">
      <c r="A1507" s="228">
        <v>40485</v>
      </c>
      <c r="B1507" s="205" t="s">
        <v>1088</v>
      </c>
      <c r="C1507" s="205" t="s">
        <v>2529</v>
      </c>
      <c r="D1507" s="206" t="s">
        <v>1878</v>
      </c>
      <c r="E1507" s="320" t="s">
        <v>4237</v>
      </c>
      <c r="F1507" s="320"/>
      <c r="G1507" s="204"/>
      <c r="H1507" s="151"/>
      <c r="I1507" s="151"/>
      <c r="J1507" s="151">
        <v>25</v>
      </c>
      <c r="K1507" s="151">
        <v>5</v>
      </c>
      <c r="L1507" s="1"/>
      <c r="M1507" s="73">
        <f t="shared" si="194"/>
        <v>0</v>
      </c>
      <c r="N1507" s="73">
        <f t="shared" si="198"/>
        <v>0</v>
      </c>
      <c r="O1507" s="73">
        <f t="shared" si="193"/>
        <v>0</v>
      </c>
      <c r="P1507" s="73">
        <f t="shared" si="195"/>
        <v>0</v>
      </c>
      <c r="Q1507" s="73"/>
      <c r="R1507" s="73">
        <v>0</v>
      </c>
      <c r="S1507" s="75">
        <f t="shared" si="197"/>
        <v>0</v>
      </c>
      <c r="T1507" s="77">
        <v>0</v>
      </c>
      <c r="U1507" s="66">
        <v>40484</v>
      </c>
      <c r="V1507" s="79"/>
      <c r="W1507" s="66" t="s">
        <v>1585</v>
      </c>
      <c r="X1507" s="24" t="s">
        <v>1586</v>
      </c>
      <c r="Y1507" s="104"/>
      <c r="Z1507" s="169" t="s">
        <v>894</v>
      </c>
      <c r="AA1507" s="166" t="s">
        <v>2530</v>
      </c>
      <c r="AB1507" s="152"/>
      <c r="AC1507" s="153"/>
      <c r="AD1507" s="154"/>
      <c r="AE1507" s="153"/>
      <c r="AF1507" s="153"/>
      <c r="AG1507" s="153"/>
      <c r="AH1507" s="153"/>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c r="BI1507" s="153"/>
      <c r="BJ1507" s="153"/>
      <c r="BK1507" s="153"/>
      <c r="BL1507" s="153"/>
      <c r="BM1507" s="153"/>
      <c r="BN1507" s="153"/>
      <c r="BO1507" s="153"/>
      <c r="BP1507" s="153"/>
      <c r="BQ1507" s="153"/>
      <c r="BR1507" s="153"/>
      <c r="BS1507" s="153"/>
      <c r="BT1507" s="153"/>
      <c r="BU1507" s="153"/>
      <c r="BV1507" s="153"/>
      <c r="BW1507" s="153"/>
      <c r="BX1507" s="153"/>
      <c r="BY1507" s="153"/>
      <c r="BZ1507" s="153"/>
      <c r="CA1507" s="153"/>
      <c r="CB1507" s="153"/>
      <c r="CC1507" s="153"/>
      <c r="CD1507" s="155"/>
      <c r="CE1507" s="156"/>
      <c r="CF1507" s="155"/>
      <c r="CG1507" s="156"/>
      <c r="CH1507" s="155"/>
      <c r="CI1507" s="156"/>
      <c r="CJ1507" s="157">
        <f t="shared" si="196"/>
        <v>0</v>
      </c>
      <c r="CK1507" s="158"/>
      <c r="CL1507" s="159"/>
      <c r="CM1507" s="160"/>
      <c r="CN1507" s="161"/>
      <c r="CO1507" s="162"/>
      <c r="CP1507" s="161"/>
      <c r="CQ1507" s="158"/>
      <c r="CR1507" s="159"/>
      <c r="CS1507" s="68"/>
      <c r="CT1507" s="163"/>
      <c r="EC1507" s="344" t="str">
        <f t="shared" si="199"/>
        <v>VALLE DEL CAUCA_DAGUA</v>
      </c>
      <c r="ED1507" s="341"/>
      <c r="EE1507" s="341"/>
      <c r="EF1507" s="348"/>
      <c r="EG1507" s="341"/>
      <c r="EH1507" s="341"/>
      <c r="EI1507" s="341"/>
    </row>
    <row r="1508" spans="1:139" s="164" customFormat="1" ht="72">
      <c r="A1508" s="228">
        <v>40485</v>
      </c>
      <c r="B1508" s="205" t="s">
        <v>1088</v>
      </c>
      <c r="C1508" s="205" t="s">
        <v>2528</v>
      </c>
      <c r="D1508" s="207" t="s">
        <v>1201</v>
      </c>
      <c r="E1508" s="323" t="s">
        <v>4244</v>
      </c>
      <c r="F1508" s="323"/>
      <c r="G1508" s="204"/>
      <c r="H1508" s="151"/>
      <c r="I1508" s="151"/>
      <c r="J1508" s="151">
        <f>330*5</f>
        <v>1650</v>
      </c>
      <c r="K1508" s="151">
        <v>330</v>
      </c>
      <c r="L1508" s="1"/>
      <c r="M1508" s="73">
        <f t="shared" si="194"/>
        <v>27528000</v>
      </c>
      <c r="N1508" s="73">
        <f t="shared" si="198"/>
        <v>25160000</v>
      </c>
      <c r="O1508" s="73">
        <f t="shared" si="193"/>
        <v>0</v>
      </c>
      <c r="P1508" s="73">
        <f t="shared" si="195"/>
        <v>0</v>
      </c>
      <c r="Q1508" s="73"/>
      <c r="R1508" s="73">
        <v>0</v>
      </c>
      <c r="S1508" s="75">
        <f t="shared" si="197"/>
        <v>52688000</v>
      </c>
      <c r="T1508" s="77">
        <v>0</v>
      </c>
      <c r="U1508" s="66">
        <v>40484</v>
      </c>
      <c r="V1508" s="79"/>
      <c r="W1508" s="66" t="s">
        <v>1606</v>
      </c>
      <c r="X1508" s="24" t="s">
        <v>1607</v>
      </c>
      <c r="Y1508" s="104"/>
      <c r="Z1508" s="169" t="s">
        <v>894</v>
      </c>
      <c r="AA1508" s="166" t="s">
        <v>2781</v>
      </c>
      <c r="AB1508" s="152"/>
      <c r="AC1508" s="153"/>
      <c r="AD1508" s="154"/>
      <c r="AE1508" s="153"/>
      <c r="AF1508" s="153"/>
      <c r="AG1508" s="153"/>
      <c r="AH1508" s="153"/>
      <c r="AI1508" s="153"/>
      <c r="AJ1508" s="153"/>
      <c r="AK1508" s="153"/>
      <c r="AL1508" s="153"/>
      <c r="AM1508" s="153"/>
      <c r="AN1508" s="153">
        <v>296</v>
      </c>
      <c r="AO1508" s="153">
        <f>296*56000</f>
        <v>16576000</v>
      </c>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c r="BI1508" s="153"/>
      <c r="BJ1508" s="153"/>
      <c r="BK1508" s="153"/>
      <c r="BL1508" s="153"/>
      <c r="BM1508" s="153"/>
      <c r="BN1508" s="153"/>
      <c r="BO1508" s="153"/>
      <c r="BP1508" s="153"/>
      <c r="BQ1508" s="153"/>
      <c r="BR1508" s="153"/>
      <c r="BS1508" s="153"/>
      <c r="BT1508" s="153"/>
      <c r="BU1508" s="153"/>
      <c r="BV1508" s="153"/>
      <c r="BW1508" s="153"/>
      <c r="BX1508" s="153"/>
      <c r="BY1508" s="153"/>
      <c r="BZ1508" s="153"/>
      <c r="CA1508" s="153"/>
      <c r="CB1508" s="153"/>
      <c r="CC1508" s="153"/>
      <c r="CD1508" s="155">
        <v>296</v>
      </c>
      <c r="CE1508" s="156">
        <f>296*37000</f>
        <v>10952000</v>
      </c>
      <c r="CF1508" s="155"/>
      <c r="CG1508" s="156"/>
      <c r="CH1508" s="155"/>
      <c r="CI1508" s="156"/>
      <c r="CJ1508" s="157">
        <f t="shared" si="196"/>
        <v>27528000</v>
      </c>
      <c r="CK1508" s="158"/>
      <c r="CL1508" s="159"/>
      <c r="CM1508" s="160">
        <v>296</v>
      </c>
      <c r="CN1508" s="161">
        <f>296*85000</f>
        <v>25160000</v>
      </c>
      <c r="CO1508" s="162"/>
      <c r="CP1508" s="161"/>
      <c r="CQ1508" s="158"/>
      <c r="CR1508" s="159"/>
      <c r="CS1508" s="68"/>
      <c r="CT1508" s="163"/>
      <c r="EC1508" s="344" t="str">
        <f t="shared" si="199"/>
        <v>VALLE DEL CAUCA_GUACARI</v>
      </c>
      <c r="ED1508" s="341"/>
      <c r="EE1508" s="341"/>
      <c r="EF1508" s="348"/>
      <c r="EG1508" s="341"/>
      <c r="EH1508" s="341"/>
      <c r="EI1508" s="341"/>
    </row>
    <row r="1509" spans="1:139" s="164" customFormat="1" ht="60">
      <c r="A1509" s="228">
        <v>40485</v>
      </c>
      <c r="B1509" s="205" t="s">
        <v>1088</v>
      </c>
      <c r="C1509" s="205" t="s">
        <v>514</v>
      </c>
      <c r="D1509" s="207" t="s">
        <v>1201</v>
      </c>
      <c r="E1509" s="323" t="s">
        <v>4247</v>
      </c>
      <c r="F1509" s="323"/>
      <c r="G1509" s="204"/>
      <c r="H1509" s="151"/>
      <c r="I1509" s="151"/>
      <c r="J1509" s="151">
        <f>550*5</f>
        <v>2750</v>
      </c>
      <c r="K1509" s="151">
        <v>550</v>
      </c>
      <c r="L1509" s="1">
        <v>40498</v>
      </c>
      <c r="M1509" s="73">
        <f t="shared" si="194"/>
        <v>0</v>
      </c>
      <c r="N1509" s="73">
        <f t="shared" si="198"/>
        <v>0</v>
      </c>
      <c r="O1509" s="73">
        <f t="shared" si="193"/>
        <v>0</v>
      </c>
      <c r="P1509" s="73">
        <f t="shared" si="195"/>
        <v>0</v>
      </c>
      <c r="Q1509" s="73"/>
      <c r="R1509" s="73">
        <v>15000000</v>
      </c>
      <c r="S1509" s="75">
        <f t="shared" si="197"/>
        <v>15000000</v>
      </c>
      <c r="T1509" s="77">
        <v>0</v>
      </c>
      <c r="U1509" s="66">
        <v>40494</v>
      </c>
      <c r="V1509" s="79">
        <v>63901</v>
      </c>
      <c r="W1509" s="66" t="s">
        <v>1606</v>
      </c>
      <c r="X1509" s="24" t="s">
        <v>1607</v>
      </c>
      <c r="Y1509" s="62">
        <v>42881</v>
      </c>
      <c r="Z1509" s="169" t="s">
        <v>2872</v>
      </c>
      <c r="AA1509" s="170" t="s">
        <v>2873</v>
      </c>
      <c r="AB1509" s="152"/>
      <c r="AC1509" s="153"/>
      <c r="AD1509" s="154"/>
      <c r="AE1509" s="153"/>
      <c r="AF1509" s="153"/>
      <c r="AG1509" s="153"/>
      <c r="AH1509" s="153"/>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c r="BI1509" s="153"/>
      <c r="BJ1509" s="153"/>
      <c r="BK1509" s="153"/>
      <c r="BL1509" s="153"/>
      <c r="BM1509" s="153"/>
      <c r="BN1509" s="153"/>
      <c r="BO1509" s="153"/>
      <c r="BP1509" s="153"/>
      <c r="BQ1509" s="153"/>
      <c r="BR1509" s="153"/>
      <c r="BS1509" s="153"/>
      <c r="BT1509" s="153"/>
      <c r="BU1509" s="153"/>
      <c r="BV1509" s="153"/>
      <c r="BW1509" s="153"/>
      <c r="BX1509" s="153"/>
      <c r="BY1509" s="153"/>
      <c r="BZ1509" s="153"/>
      <c r="CA1509" s="153"/>
      <c r="CB1509" s="153"/>
      <c r="CC1509" s="153"/>
      <c r="CD1509" s="155"/>
      <c r="CE1509" s="156"/>
      <c r="CF1509" s="155"/>
      <c r="CG1509" s="156"/>
      <c r="CH1509" s="155"/>
      <c r="CI1509" s="156"/>
      <c r="CJ1509" s="157">
        <f t="shared" si="196"/>
        <v>0</v>
      </c>
      <c r="CK1509" s="158"/>
      <c r="CL1509" s="159"/>
      <c r="CM1509" s="160"/>
      <c r="CN1509" s="161"/>
      <c r="CO1509" s="162"/>
      <c r="CP1509" s="161"/>
      <c r="CQ1509" s="158"/>
      <c r="CR1509" s="159"/>
      <c r="CS1509" s="68">
        <v>2</v>
      </c>
      <c r="CT1509" s="163"/>
      <c r="EC1509" s="344" t="str">
        <f t="shared" si="199"/>
        <v>VALLE DEL CAUCA_LA UNION</v>
      </c>
      <c r="ED1509" s="341"/>
      <c r="EE1509" s="341"/>
      <c r="EF1509" s="348"/>
      <c r="EG1509" s="341"/>
      <c r="EH1509" s="341"/>
      <c r="EI1509" s="341"/>
    </row>
    <row r="1510" spans="1:139" s="164" customFormat="1" ht="108">
      <c r="A1510" s="228">
        <v>40485</v>
      </c>
      <c r="B1510" s="205" t="s">
        <v>1088</v>
      </c>
      <c r="C1510" s="205" t="s">
        <v>2183</v>
      </c>
      <c r="D1510" s="207" t="s">
        <v>1201</v>
      </c>
      <c r="E1510" s="323" t="s">
        <v>4254</v>
      </c>
      <c r="F1510" s="323"/>
      <c r="G1510" s="204"/>
      <c r="H1510" s="151"/>
      <c r="I1510" s="151"/>
      <c r="J1510" s="151">
        <f>555*5</f>
        <v>2775</v>
      </c>
      <c r="K1510" s="151">
        <f>665-110</f>
        <v>555</v>
      </c>
      <c r="L1510" s="1">
        <v>40498</v>
      </c>
      <c r="M1510" s="73">
        <f t="shared" si="194"/>
        <v>4700000</v>
      </c>
      <c r="N1510" s="73">
        <f t="shared" si="198"/>
        <v>25500000</v>
      </c>
      <c r="O1510" s="73">
        <f t="shared" si="193"/>
        <v>0</v>
      </c>
      <c r="P1510" s="73">
        <f t="shared" si="195"/>
        <v>19000000</v>
      </c>
      <c r="Q1510" s="73"/>
      <c r="R1510" s="73">
        <f>25000000+50000000</f>
        <v>75000000</v>
      </c>
      <c r="S1510" s="75">
        <f t="shared" si="197"/>
        <v>124200000</v>
      </c>
      <c r="T1510" s="77">
        <v>0</v>
      </c>
      <c r="U1510" s="66">
        <v>40494</v>
      </c>
      <c r="V1510" s="79">
        <v>63924</v>
      </c>
      <c r="W1510" s="66" t="s">
        <v>1606</v>
      </c>
      <c r="X1510" s="24" t="s">
        <v>1607</v>
      </c>
      <c r="Y1510" s="83" t="s">
        <v>769</v>
      </c>
      <c r="Z1510" s="169" t="s">
        <v>2872</v>
      </c>
      <c r="AA1510" s="170" t="s">
        <v>770</v>
      </c>
      <c r="AB1510" s="152"/>
      <c r="AC1510" s="153"/>
      <c r="AD1510" s="154"/>
      <c r="AE1510" s="153"/>
      <c r="AF1510" s="153"/>
      <c r="AG1510" s="153"/>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c r="BI1510" s="153"/>
      <c r="BJ1510" s="153"/>
      <c r="BK1510" s="153"/>
      <c r="BL1510" s="153"/>
      <c r="BM1510" s="153"/>
      <c r="BN1510" s="153">
        <v>10</v>
      </c>
      <c r="BO1510" s="153">
        <f>10*470000</f>
        <v>4700000</v>
      </c>
      <c r="BP1510" s="153"/>
      <c r="BQ1510" s="153"/>
      <c r="BR1510" s="153"/>
      <c r="BS1510" s="153"/>
      <c r="BT1510" s="153"/>
      <c r="BU1510" s="153"/>
      <c r="BV1510" s="153"/>
      <c r="BW1510" s="153"/>
      <c r="BX1510" s="153"/>
      <c r="BY1510" s="153"/>
      <c r="BZ1510" s="153"/>
      <c r="CA1510" s="153"/>
      <c r="CB1510" s="153"/>
      <c r="CC1510" s="153"/>
      <c r="CD1510" s="155"/>
      <c r="CE1510" s="156"/>
      <c r="CF1510" s="155"/>
      <c r="CG1510" s="156"/>
      <c r="CH1510" s="155"/>
      <c r="CI1510" s="156"/>
      <c r="CJ1510" s="157">
        <f t="shared" si="196"/>
        <v>4700000</v>
      </c>
      <c r="CK1510" s="158">
        <v>20000</v>
      </c>
      <c r="CL1510" s="159">
        <f>20000*950</f>
        <v>19000000</v>
      </c>
      <c r="CM1510" s="160">
        <v>300</v>
      </c>
      <c r="CN1510" s="161">
        <f>300*85000</f>
        <v>25500000</v>
      </c>
      <c r="CO1510" s="162"/>
      <c r="CP1510" s="161"/>
      <c r="CQ1510" s="158"/>
      <c r="CR1510" s="159"/>
      <c r="CS1510" s="68">
        <v>2</v>
      </c>
      <c r="CT1510" s="163">
        <v>1407</v>
      </c>
      <c r="EC1510" s="344" t="str">
        <f t="shared" si="199"/>
        <v>VALLE DEL CAUCA_ROLDANILLO</v>
      </c>
      <c r="ED1510" s="341"/>
      <c r="EE1510" s="341"/>
      <c r="EF1510" s="348"/>
      <c r="EG1510" s="341"/>
      <c r="EH1510" s="341"/>
      <c r="EI1510" s="341"/>
    </row>
    <row r="1511" spans="1:139" s="164" customFormat="1" ht="25.5">
      <c r="A1511" s="228">
        <v>40486</v>
      </c>
      <c r="B1511" s="205" t="s">
        <v>653</v>
      </c>
      <c r="C1511" s="205" t="s">
        <v>399</v>
      </c>
      <c r="D1511" s="206" t="s">
        <v>1878</v>
      </c>
      <c r="E1511" s="320" t="s">
        <v>3543</v>
      </c>
      <c r="F1511" s="320"/>
      <c r="G1511" s="204"/>
      <c r="H1511" s="151">
        <v>4</v>
      </c>
      <c r="I1511" s="151"/>
      <c r="J1511" s="151"/>
      <c r="K1511" s="151"/>
      <c r="L1511" s="1"/>
      <c r="M1511" s="73">
        <f t="shared" si="194"/>
        <v>0</v>
      </c>
      <c r="N1511" s="73">
        <f t="shared" si="198"/>
        <v>0</v>
      </c>
      <c r="O1511" s="73">
        <f t="shared" si="193"/>
        <v>0</v>
      </c>
      <c r="P1511" s="73">
        <f t="shared" si="195"/>
        <v>0</v>
      </c>
      <c r="Q1511" s="73"/>
      <c r="R1511" s="73">
        <v>0</v>
      </c>
      <c r="S1511" s="75">
        <f t="shared" si="197"/>
        <v>0</v>
      </c>
      <c r="T1511" s="77">
        <v>0</v>
      </c>
      <c r="U1511" s="66">
        <v>40487</v>
      </c>
      <c r="V1511" s="79"/>
      <c r="W1511" s="66" t="s">
        <v>1606</v>
      </c>
      <c r="X1511" s="24" t="s">
        <v>1607</v>
      </c>
      <c r="Y1511" s="62"/>
      <c r="Z1511" s="176" t="s">
        <v>3056</v>
      </c>
      <c r="AA1511" s="166" t="s">
        <v>2555</v>
      </c>
      <c r="AB1511" s="152"/>
      <c r="AC1511" s="153"/>
      <c r="AD1511" s="154"/>
      <c r="AE1511" s="153"/>
      <c r="AF1511" s="153"/>
      <c r="AG1511" s="153"/>
      <c r="AH1511" s="153"/>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c r="BF1511" s="153"/>
      <c r="BG1511" s="153"/>
      <c r="BH1511" s="153"/>
      <c r="BI1511" s="153"/>
      <c r="BJ1511" s="153"/>
      <c r="BK1511" s="153"/>
      <c r="BL1511" s="153"/>
      <c r="BM1511" s="153"/>
      <c r="BN1511" s="153"/>
      <c r="BO1511" s="153"/>
      <c r="BP1511" s="153"/>
      <c r="BQ1511" s="153"/>
      <c r="BR1511" s="153"/>
      <c r="BS1511" s="153"/>
      <c r="BT1511" s="153"/>
      <c r="BU1511" s="153"/>
      <c r="BV1511" s="153"/>
      <c r="BW1511" s="153"/>
      <c r="BX1511" s="153"/>
      <c r="BY1511" s="153"/>
      <c r="BZ1511" s="153"/>
      <c r="CA1511" s="153"/>
      <c r="CB1511" s="153"/>
      <c r="CC1511" s="153"/>
      <c r="CD1511" s="155"/>
      <c r="CE1511" s="156"/>
      <c r="CF1511" s="155"/>
      <c r="CG1511" s="156"/>
      <c r="CH1511" s="155"/>
      <c r="CI1511" s="156"/>
      <c r="CJ1511" s="157">
        <f t="shared" si="196"/>
        <v>0</v>
      </c>
      <c r="CK1511" s="158"/>
      <c r="CL1511" s="159"/>
      <c r="CM1511" s="160"/>
      <c r="CN1511" s="161"/>
      <c r="CO1511" s="162"/>
      <c r="CP1511" s="161"/>
      <c r="CQ1511" s="158"/>
      <c r="CR1511" s="159"/>
      <c r="CS1511" s="68"/>
      <c r="CT1511" s="163"/>
      <c r="EC1511" s="344" t="str">
        <f t="shared" si="199"/>
        <v>CALDAS_MANIZALES</v>
      </c>
      <c r="ED1511" s="341"/>
      <c r="EE1511" s="341"/>
      <c r="EF1511" s="348"/>
      <c r="EG1511" s="341"/>
      <c r="EH1511" s="341"/>
      <c r="EI1511" s="341"/>
    </row>
    <row r="1512" spans="1:139" s="164" customFormat="1" ht="36">
      <c r="A1512" s="228">
        <v>40486</v>
      </c>
      <c r="B1512" s="205" t="s">
        <v>1314</v>
      </c>
      <c r="C1512" s="205" t="s">
        <v>1385</v>
      </c>
      <c r="D1512" s="207" t="s">
        <v>2606</v>
      </c>
      <c r="E1512" s="323" t="s">
        <v>3607</v>
      </c>
      <c r="F1512" s="323"/>
      <c r="G1512" s="204"/>
      <c r="H1512" s="151"/>
      <c r="I1512" s="151"/>
      <c r="J1512" s="151">
        <v>1860</v>
      </c>
      <c r="K1512" s="151">
        <v>372</v>
      </c>
      <c r="L1512" s="1"/>
      <c r="M1512" s="73">
        <f t="shared" si="194"/>
        <v>0</v>
      </c>
      <c r="N1512" s="73">
        <f t="shared" si="198"/>
        <v>0</v>
      </c>
      <c r="O1512" s="73">
        <f t="shared" si="193"/>
        <v>0</v>
      </c>
      <c r="P1512" s="73">
        <f t="shared" si="195"/>
        <v>0</v>
      </c>
      <c r="Q1512" s="73"/>
      <c r="R1512" s="73">
        <v>0</v>
      </c>
      <c r="S1512" s="75">
        <f t="shared" si="197"/>
        <v>0</v>
      </c>
      <c r="T1512" s="77">
        <v>0</v>
      </c>
      <c r="U1512" s="66">
        <v>40490</v>
      </c>
      <c r="V1512" s="79"/>
      <c r="W1512" s="66" t="s">
        <v>1585</v>
      </c>
      <c r="X1512" s="24" t="s">
        <v>1586</v>
      </c>
      <c r="Y1512" s="62"/>
      <c r="Z1512" s="169" t="s">
        <v>894</v>
      </c>
      <c r="AA1512" s="166" t="s">
        <v>2573</v>
      </c>
      <c r="AB1512" s="152"/>
      <c r="AC1512" s="153"/>
      <c r="AD1512" s="154"/>
      <c r="AE1512" s="153"/>
      <c r="AF1512" s="153"/>
      <c r="AG1512" s="153"/>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c r="BF1512" s="153"/>
      <c r="BG1512" s="153"/>
      <c r="BH1512" s="153"/>
      <c r="BI1512" s="153"/>
      <c r="BJ1512" s="153"/>
      <c r="BK1512" s="153"/>
      <c r="BL1512" s="153"/>
      <c r="BM1512" s="153"/>
      <c r="BN1512" s="153"/>
      <c r="BO1512" s="153"/>
      <c r="BP1512" s="153"/>
      <c r="BQ1512" s="153"/>
      <c r="BR1512" s="153"/>
      <c r="BS1512" s="153"/>
      <c r="BT1512" s="153"/>
      <c r="BU1512" s="153"/>
      <c r="BV1512" s="153"/>
      <c r="BW1512" s="153"/>
      <c r="BX1512" s="153"/>
      <c r="BY1512" s="153"/>
      <c r="BZ1512" s="153"/>
      <c r="CA1512" s="153"/>
      <c r="CB1512" s="153"/>
      <c r="CC1512" s="153"/>
      <c r="CD1512" s="155"/>
      <c r="CE1512" s="156"/>
      <c r="CF1512" s="155"/>
      <c r="CG1512" s="156"/>
      <c r="CH1512" s="155"/>
      <c r="CI1512" s="156"/>
      <c r="CJ1512" s="157">
        <f t="shared" si="196"/>
        <v>0</v>
      </c>
      <c r="CK1512" s="158"/>
      <c r="CL1512" s="159"/>
      <c r="CM1512" s="160"/>
      <c r="CN1512" s="161"/>
      <c r="CO1512" s="162"/>
      <c r="CP1512" s="161"/>
      <c r="CQ1512" s="158"/>
      <c r="CR1512" s="159"/>
      <c r="CS1512" s="68"/>
      <c r="CT1512" s="163"/>
      <c r="EC1512" s="344" t="str">
        <f t="shared" si="199"/>
        <v>CAUCA_MORALES</v>
      </c>
      <c r="ED1512" s="341"/>
      <c r="EE1512" s="341"/>
      <c r="EF1512" s="348"/>
      <c r="EG1512" s="341"/>
      <c r="EH1512" s="341"/>
      <c r="EI1512" s="341"/>
    </row>
    <row r="1513" spans="1:139" s="164" customFormat="1" ht="48">
      <c r="A1513" s="228">
        <v>40486</v>
      </c>
      <c r="B1513" s="205" t="s">
        <v>1314</v>
      </c>
      <c r="C1513" s="102" t="s">
        <v>1315</v>
      </c>
      <c r="D1513" s="206" t="s">
        <v>1878</v>
      </c>
      <c r="E1513" s="320" t="s">
        <v>3586</v>
      </c>
      <c r="F1513" s="320"/>
      <c r="G1513" s="204"/>
      <c r="H1513" s="151"/>
      <c r="I1513" s="151"/>
      <c r="J1513" s="151">
        <v>655</v>
      </c>
      <c r="K1513" s="151">
        <f>18+113</f>
        <v>131</v>
      </c>
      <c r="L1513" s="1"/>
      <c r="M1513" s="73">
        <f t="shared" si="194"/>
        <v>0</v>
      </c>
      <c r="N1513" s="73">
        <f t="shared" si="198"/>
        <v>0</v>
      </c>
      <c r="O1513" s="73">
        <f t="shared" si="193"/>
        <v>0</v>
      </c>
      <c r="P1513" s="73">
        <f t="shared" si="195"/>
        <v>0</v>
      </c>
      <c r="Q1513" s="73"/>
      <c r="R1513" s="73">
        <v>0</v>
      </c>
      <c r="S1513" s="75">
        <f t="shared" si="197"/>
        <v>0</v>
      </c>
      <c r="T1513" s="77">
        <v>0</v>
      </c>
      <c r="U1513" s="66">
        <v>40487</v>
      </c>
      <c r="V1513" s="79"/>
      <c r="W1513" s="66" t="s">
        <v>1585</v>
      </c>
      <c r="X1513" s="24" t="s">
        <v>1586</v>
      </c>
      <c r="Y1513" s="62"/>
      <c r="Z1513" s="169" t="s">
        <v>894</v>
      </c>
      <c r="AA1513" s="166" t="s">
        <v>2556</v>
      </c>
      <c r="AB1513" s="152"/>
      <c r="AC1513" s="153"/>
      <c r="AD1513" s="154"/>
      <c r="AE1513" s="153"/>
      <c r="AF1513" s="153"/>
      <c r="AG1513" s="153"/>
      <c r="AH1513" s="153"/>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c r="BF1513" s="153"/>
      <c r="BG1513" s="153"/>
      <c r="BH1513" s="153"/>
      <c r="BI1513" s="153"/>
      <c r="BJ1513" s="153"/>
      <c r="BK1513" s="153"/>
      <c r="BL1513" s="153"/>
      <c r="BM1513" s="153"/>
      <c r="BN1513" s="153"/>
      <c r="BO1513" s="153"/>
      <c r="BP1513" s="153"/>
      <c r="BQ1513" s="153"/>
      <c r="BR1513" s="153"/>
      <c r="BS1513" s="153"/>
      <c r="BT1513" s="153"/>
      <c r="BU1513" s="153"/>
      <c r="BV1513" s="153"/>
      <c r="BW1513" s="153"/>
      <c r="BX1513" s="153"/>
      <c r="BY1513" s="153"/>
      <c r="BZ1513" s="153"/>
      <c r="CA1513" s="153"/>
      <c r="CB1513" s="153"/>
      <c r="CC1513" s="153"/>
      <c r="CD1513" s="155"/>
      <c r="CE1513" s="156"/>
      <c r="CF1513" s="155"/>
      <c r="CG1513" s="156"/>
      <c r="CH1513" s="155"/>
      <c r="CI1513" s="156"/>
      <c r="CJ1513" s="157">
        <f t="shared" si="196"/>
        <v>0</v>
      </c>
      <c r="CK1513" s="158"/>
      <c r="CL1513" s="159"/>
      <c r="CM1513" s="160"/>
      <c r="CN1513" s="161"/>
      <c r="CO1513" s="162"/>
      <c r="CP1513" s="161"/>
      <c r="CQ1513" s="158"/>
      <c r="CR1513" s="159"/>
      <c r="CS1513" s="68"/>
      <c r="CT1513" s="163"/>
      <c r="EC1513" s="344" t="str">
        <f t="shared" si="199"/>
        <v>CAUCA_POPAYAN</v>
      </c>
      <c r="ED1513" s="341"/>
      <c r="EE1513" s="341"/>
      <c r="EF1513" s="348"/>
      <c r="EG1513" s="341"/>
      <c r="EH1513" s="341"/>
      <c r="EI1513" s="341"/>
    </row>
    <row r="1514" spans="1:139" s="164" customFormat="1" ht="216">
      <c r="A1514" s="228">
        <v>40486</v>
      </c>
      <c r="B1514" s="205" t="s">
        <v>1314</v>
      </c>
      <c r="C1514" s="205" t="s">
        <v>2574</v>
      </c>
      <c r="D1514" s="207" t="s">
        <v>1201</v>
      </c>
      <c r="E1514" s="323" t="s">
        <v>3615</v>
      </c>
      <c r="F1514" s="323"/>
      <c r="G1514" s="204"/>
      <c r="H1514" s="151"/>
      <c r="I1514" s="151"/>
      <c r="J1514" s="151">
        <f>2168*5</f>
        <v>10840</v>
      </c>
      <c r="K1514" s="151">
        <f>2177-9</f>
        <v>2168</v>
      </c>
      <c r="L1514" s="1"/>
      <c r="M1514" s="73">
        <f t="shared" si="194"/>
        <v>0</v>
      </c>
      <c r="N1514" s="73">
        <f t="shared" si="198"/>
        <v>0</v>
      </c>
      <c r="O1514" s="73">
        <f t="shared" si="193"/>
        <v>0</v>
      </c>
      <c r="P1514" s="73">
        <f t="shared" si="195"/>
        <v>0</v>
      </c>
      <c r="Q1514" s="73"/>
      <c r="R1514" s="73">
        <v>0</v>
      </c>
      <c r="S1514" s="75">
        <f t="shared" si="197"/>
        <v>0</v>
      </c>
      <c r="T1514" s="77">
        <v>0</v>
      </c>
      <c r="U1514" s="66">
        <v>40490</v>
      </c>
      <c r="V1514" s="79"/>
      <c r="W1514" s="66" t="s">
        <v>1585</v>
      </c>
      <c r="X1514" s="24" t="s">
        <v>1586</v>
      </c>
      <c r="Y1514" s="62"/>
      <c r="Z1514" s="66" t="s">
        <v>894</v>
      </c>
      <c r="AA1514" s="166" t="s">
        <v>2934</v>
      </c>
      <c r="AB1514" s="152"/>
      <c r="AC1514" s="153"/>
      <c r="AD1514" s="154"/>
      <c r="AE1514" s="153"/>
      <c r="AF1514" s="153"/>
      <c r="AG1514" s="153"/>
      <c r="AH1514" s="153"/>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c r="BF1514" s="153"/>
      <c r="BG1514" s="153"/>
      <c r="BH1514" s="153"/>
      <c r="BI1514" s="153"/>
      <c r="BJ1514" s="153"/>
      <c r="BK1514" s="153"/>
      <c r="BL1514" s="153"/>
      <c r="BM1514" s="153"/>
      <c r="BN1514" s="153"/>
      <c r="BO1514" s="153"/>
      <c r="BP1514" s="153"/>
      <c r="BQ1514" s="153"/>
      <c r="BR1514" s="153"/>
      <c r="BS1514" s="153"/>
      <c r="BT1514" s="153"/>
      <c r="BU1514" s="153"/>
      <c r="BV1514" s="153"/>
      <c r="BW1514" s="153"/>
      <c r="BX1514" s="153"/>
      <c r="BY1514" s="153"/>
      <c r="BZ1514" s="153"/>
      <c r="CA1514" s="153"/>
      <c r="CB1514" s="153"/>
      <c r="CC1514" s="153"/>
      <c r="CD1514" s="155"/>
      <c r="CE1514" s="156"/>
      <c r="CF1514" s="155"/>
      <c r="CG1514" s="156"/>
      <c r="CH1514" s="155"/>
      <c r="CI1514" s="156"/>
      <c r="CJ1514" s="157">
        <f t="shared" si="196"/>
        <v>0</v>
      </c>
      <c r="CK1514" s="158"/>
      <c r="CL1514" s="159"/>
      <c r="CM1514" s="160"/>
      <c r="CN1514" s="161"/>
      <c r="CO1514" s="162"/>
      <c r="CP1514" s="161"/>
      <c r="CQ1514" s="158"/>
      <c r="CR1514" s="159"/>
      <c r="CS1514" s="68"/>
      <c r="CT1514" s="163"/>
      <c r="EC1514" s="344" t="str">
        <f t="shared" si="199"/>
        <v>CAUCA_ROSAS</v>
      </c>
      <c r="ED1514" s="341"/>
      <c r="EE1514" s="341"/>
      <c r="EF1514" s="348"/>
      <c r="EG1514" s="341"/>
      <c r="EH1514" s="341"/>
      <c r="EI1514" s="341"/>
    </row>
    <row r="1515" spans="1:139" s="164" customFormat="1" ht="38.25">
      <c r="A1515" s="228">
        <v>40486</v>
      </c>
      <c r="B1515" s="205" t="s">
        <v>1604</v>
      </c>
      <c r="C1515" s="205" t="s">
        <v>594</v>
      </c>
      <c r="D1515" s="207" t="s">
        <v>1201</v>
      </c>
      <c r="E1515" s="323" t="s">
        <v>3725</v>
      </c>
      <c r="F1515" s="323"/>
      <c r="G1515" s="204"/>
      <c r="H1515" s="151"/>
      <c r="I1515" s="151"/>
      <c r="J1515" s="151">
        <v>5</v>
      </c>
      <c r="K1515" s="151">
        <v>1</v>
      </c>
      <c r="L1515" s="1"/>
      <c r="M1515" s="73">
        <f t="shared" si="194"/>
        <v>0</v>
      </c>
      <c r="N1515" s="73">
        <f t="shared" si="198"/>
        <v>0</v>
      </c>
      <c r="O1515" s="73">
        <f t="shared" si="193"/>
        <v>0</v>
      </c>
      <c r="P1515" s="73">
        <f t="shared" si="195"/>
        <v>0</v>
      </c>
      <c r="Q1515" s="73"/>
      <c r="R1515" s="73">
        <v>0</v>
      </c>
      <c r="S1515" s="75">
        <f t="shared" si="197"/>
        <v>0</v>
      </c>
      <c r="T1515" s="77">
        <v>0</v>
      </c>
      <c r="U1515" s="66">
        <v>40492</v>
      </c>
      <c r="V1515" s="79"/>
      <c r="W1515" s="66" t="s">
        <v>1585</v>
      </c>
      <c r="X1515" s="24" t="s">
        <v>1586</v>
      </c>
      <c r="Y1515" s="62"/>
      <c r="Z1515" s="169" t="s">
        <v>894</v>
      </c>
      <c r="AA1515" s="166" t="s">
        <v>2686</v>
      </c>
      <c r="AB1515" s="152"/>
      <c r="AC1515" s="153"/>
      <c r="AD1515" s="154"/>
      <c r="AE1515" s="153"/>
      <c r="AF1515" s="153"/>
      <c r="AG1515" s="153"/>
      <c r="AH1515" s="153"/>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c r="BF1515" s="153"/>
      <c r="BG1515" s="153"/>
      <c r="BH1515" s="153"/>
      <c r="BI1515" s="153"/>
      <c r="BJ1515" s="153"/>
      <c r="BK1515" s="153"/>
      <c r="BL1515" s="153"/>
      <c r="BM1515" s="153"/>
      <c r="BN1515" s="153"/>
      <c r="BO1515" s="153"/>
      <c r="BP1515" s="153"/>
      <c r="BQ1515" s="153"/>
      <c r="BR1515" s="153"/>
      <c r="BS1515" s="153"/>
      <c r="BT1515" s="153"/>
      <c r="BU1515" s="153"/>
      <c r="BV1515" s="153"/>
      <c r="BW1515" s="153"/>
      <c r="BX1515" s="153"/>
      <c r="BY1515" s="153"/>
      <c r="BZ1515" s="153"/>
      <c r="CA1515" s="153"/>
      <c r="CB1515" s="153"/>
      <c r="CC1515" s="153"/>
      <c r="CD1515" s="155"/>
      <c r="CE1515" s="156"/>
      <c r="CF1515" s="155"/>
      <c r="CG1515" s="156"/>
      <c r="CH1515" s="155"/>
      <c r="CI1515" s="156"/>
      <c r="CJ1515" s="157">
        <f t="shared" si="196"/>
        <v>0</v>
      </c>
      <c r="CK1515" s="158"/>
      <c r="CL1515" s="159"/>
      <c r="CM1515" s="160"/>
      <c r="CN1515" s="161"/>
      <c r="CO1515" s="162"/>
      <c r="CP1515" s="161"/>
      <c r="CQ1515" s="158"/>
      <c r="CR1515" s="159"/>
      <c r="CS1515" s="68"/>
      <c r="CT1515" s="163"/>
      <c r="EC1515" s="344" t="str">
        <f t="shared" si="199"/>
        <v>CUNDINAMARCA_LA CALERA</v>
      </c>
      <c r="ED1515" s="341"/>
      <c r="EE1515" s="341"/>
      <c r="EF1515" s="348"/>
      <c r="EG1515" s="341"/>
      <c r="EH1515" s="341"/>
      <c r="EI1515" s="341"/>
    </row>
    <row r="1516" spans="1:139" s="164" customFormat="1" ht="38.25">
      <c r="A1516" s="228">
        <v>40486</v>
      </c>
      <c r="B1516" s="205" t="s">
        <v>1604</v>
      </c>
      <c r="C1516" s="205" t="s">
        <v>2616</v>
      </c>
      <c r="D1516" s="207" t="s">
        <v>2606</v>
      </c>
      <c r="E1516" s="323" t="s">
        <v>3739</v>
      </c>
      <c r="F1516" s="323"/>
      <c r="G1516" s="204"/>
      <c r="H1516" s="151"/>
      <c r="I1516" s="151"/>
      <c r="J1516" s="151">
        <v>91</v>
      </c>
      <c r="K1516" s="151">
        <v>27</v>
      </c>
      <c r="L1516" s="1"/>
      <c r="M1516" s="73">
        <f t="shared" si="194"/>
        <v>0</v>
      </c>
      <c r="N1516" s="73">
        <f t="shared" si="198"/>
        <v>0</v>
      </c>
      <c r="O1516" s="73">
        <f t="shared" si="193"/>
        <v>0</v>
      </c>
      <c r="P1516" s="73">
        <f t="shared" si="195"/>
        <v>0</v>
      </c>
      <c r="Q1516" s="73"/>
      <c r="R1516" s="73">
        <v>0</v>
      </c>
      <c r="S1516" s="75">
        <f t="shared" si="197"/>
        <v>0</v>
      </c>
      <c r="T1516" s="77">
        <v>0</v>
      </c>
      <c r="U1516" s="66">
        <v>40492</v>
      </c>
      <c r="V1516" s="79"/>
      <c r="W1516" s="66" t="s">
        <v>1585</v>
      </c>
      <c r="X1516" s="24" t="s">
        <v>1586</v>
      </c>
      <c r="Y1516" s="62"/>
      <c r="Z1516" s="169" t="s">
        <v>894</v>
      </c>
      <c r="AA1516" s="166" t="s">
        <v>2685</v>
      </c>
      <c r="AB1516" s="152"/>
      <c r="AC1516" s="153"/>
      <c r="AD1516" s="154"/>
      <c r="AE1516" s="153"/>
      <c r="AF1516" s="153"/>
      <c r="AG1516" s="153"/>
      <c r="AH1516" s="153"/>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c r="BF1516" s="153"/>
      <c r="BG1516" s="153"/>
      <c r="BH1516" s="153"/>
      <c r="BI1516" s="153"/>
      <c r="BJ1516" s="153"/>
      <c r="BK1516" s="153"/>
      <c r="BL1516" s="153"/>
      <c r="BM1516" s="153"/>
      <c r="BN1516" s="153"/>
      <c r="BO1516" s="153"/>
      <c r="BP1516" s="153"/>
      <c r="BQ1516" s="153"/>
      <c r="BR1516" s="153"/>
      <c r="BS1516" s="153"/>
      <c r="BT1516" s="153"/>
      <c r="BU1516" s="153"/>
      <c r="BV1516" s="153"/>
      <c r="BW1516" s="153"/>
      <c r="BX1516" s="153"/>
      <c r="BY1516" s="153"/>
      <c r="BZ1516" s="153"/>
      <c r="CA1516" s="153"/>
      <c r="CB1516" s="153"/>
      <c r="CC1516" s="153"/>
      <c r="CD1516" s="155"/>
      <c r="CE1516" s="156"/>
      <c r="CF1516" s="155"/>
      <c r="CG1516" s="156"/>
      <c r="CH1516" s="155"/>
      <c r="CI1516" s="156"/>
      <c r="CJ1516" s="157">
        <f t="shared" si="196"/>
        <v>0</v>
      </c>
      <c r="CK1516" s="158"/>
      <c r="CL1516" s="159"/>
      <c r="CM1516" s="160"/>
      <c r="CN1516" s="161"/>
      <c r="CO1516" s="162"/>
      <c r="CP1516" s="161"/>
      <c r="CQ1516" s="158"/>
      <c r="CR1516" s="159"/>
      <c r="CS1516" s="68"/>
      <c r="CT1516" s="163"/>
      <c r="EC1516" s="344" t="str">
        <f t="shared" si="199"/>
        <v>CUNDINAMARCA_NIMAIMA</v>
      </c>
      <c r="ED1516" s="341"/>
      <c r="EE1516" s="341"/>
      <c r="EF1516" s="348"/>
      <c r="EG1516" s="341"/>
      <c r="EH1516" s="341"/>
      <c r="EI1516" s="341"/>
    </row>
    <row r="1517" spans="1:139" s="164" customFormat="1" ht="25.5">
      <c r="A1517" s="228">
        <v>40486</v>
      </c>
      <c r="B1517" s="205" t="s">
        <v>962</v>
      </c>
      <c r="C1517" s="205" t="s">
        <v>2056</v>
      </c>
      <c r="D1517" s="207" t="s">
        <v>2606</v>
      </c>
      <c r="E1517" s="323" t="s">
        <v>3847</v>
      </c>
      <c r="F1517" s="323"/>
      <c r="G1517" s="204"/>
      <c r="H1517" s="151"/>
      <c r="I1517" s="151"/>
      <c r="J1517" s="151">
        <v>75</v>
      </c>
      <c r="K1517" s="151">
        <v>15</v>
      </c>
      <c r="L1517" s="1"/>
      <c r="M1517" s="73">
        <f t="shared" si="194"/>
        <v>0</v>
      </c>
      <c r="N1517" s="73">
        <f t="shared" si="198"/>
        <v>0</v>
      </c>
      <c r="O1517" s="73">
        <f t="shared" si="193"/>
        <v>0</v>
      </c>
      <c r="P1517" s="73">
        <f t="shared" si="195"/>
        <v>0</v>
      </c>
      <c r="Q1517" s="73"/>
      <c r="R1517" s="73">
        <v>0</v>
      </c>
      <c r="S1517" s="75">
        <f t="shared" si="197"/>
        <v>0</v>
      </c>
      <c r="T1517" s="77">
        <v>0</v>
      </c>
      <c r="U1517" s="66">
        <v>40490</v>
      </c>
      <c r="V1517" s="79"/>
      <c r="W1517" s="66" t="s">
        <v>1585</v>
      </c>
      <c r="X1517" s="24" t="s">
        <v>1586</v>
      </c>
      <c r="Y1517" s="62"/>
      <c r="Z1517" s="169" t="s">
        <v>894</v>
      </c>
      <c r="AA1517" s="166" t="s">
        <v>2630</v>
      </c>
      <c r="AB1517" s="152"/>
      <c r="AC1517" s="153"/>
      <c r="AD1517" s="154"/>
      <c r="AE1517" s="153"/>
      <c r="AF1517" s="153"/>
      <c r="AG1517" s="153"/>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c r="BF1517" s="153"/>
      <c r="BG1517" s="153"/>
      <c r="BH1517" s="153"/>
      <c r="BI1517" s="153"/>
      <c r="BJ1517" s="153"/>
      <c r="BK1517" s="153"/>
      <c r="BL1517" s="153"/>
      <c r="BM1517" s="153"/>
      <c r="BN1517" s="153"/>
      <c r="BO1517" s="153"/>
      <c r="BP1517" s="153"/>
      <c r="BQ1517" s="153"/>
      <c r="BR1517" s="153"/>
      <c r="BS1517" s="153"/>
      <c r="BT1517" s="153"/>
      <c r="BU1517" s="153"/>
      <c r="BV1517" s="153"/>
      <c r="BW1517" s="153"/>
      <c r="BX1517" s="153"/>
      <c r="BY1517" s="153"/>
      <c r="BZ1517" s="153"/>
      <c r="CA1517" s="153"/>
      <c r="CB1517" s="153"/>
      <c r="CC1517" s="153"/>
      <c r="CD1517" s="155"/>
      <c r="CE1517" s="156"/>
      <c r="CF1517" s="155"/>
      <c r="CG1517" s="156"/>
      <c r="CH1517" s="155"/>
      <c r="CI1517" s="156"/>
      <c r="CJ1517" s="157">
        <f t="shared" si="196"/>
        <v>0</v>
      </c>
      <c r="CK1517" s="158"/>
      <c r="CL1517" s="159"/>
      <c r="CM1517" s="160"/>
      <c r="CN1517" s="161"/>
      <c r="CO1517" s="162"/>
      <c r="CP1517" s="161"/>
      <c r="CQ1517" s="158"/>
      <c r="CR1517" s="159"/>
      <c r="CS1517" s="68"/>
      <c r="CT1517" s="163"/>
      <c r="EC1517" s="344" t="str">
        <f t="shared" si="199"/>
        <v>HUILA_PITALITO</v>
      </c>
      <c r="ED1517" s="341"/>
      <c r="EE1517" s="341"/>
      <c r="EF1517" s="348"/>
      <c r="EG1517" s="341"/>
      <c r="EH1517" s="341"/>
      <c r="EI1517" s="341"/>
    </row>
    <row r="1518" spans="1:139" s="164" customFormat="1" ht="25.5">
      <c r="A1518" s="228">
        <v>40486</v>
      </c>
      <c r="B1518" s="205" t="s">
        <v>1824</v>
      </c>
      <c r="C1518" s="205" t="s">
        <v>2140</v>
      </c>
      <c r="D1518" s="207" t="s">
        <v>1878</v>
      </c>
      <c r="E1518" s="323" t="s">
        <v>3940</v>
      </c>
      <c r="F1518" s="323"/>
      <c r="G1518" s="204"/>
      <c r="H1518" s="151"/>
      <c r="I1518" s="151"/>
      <c r="J1518" s="151"/>
      <c r="K1518" s="151"/>
      <c r="L1518" s="1"/>
      <c r="M1518" s="73">
        <f t="shared" si="194"/>
        <v>0</v>
      </c>
      <c r="N1518" s="73">
        <f t="shared" si="198"/>
        <v>0</v>
      </c>
      <c r="O1518" s="73">
        <f t="shared" si="193"/>
        <v>0</v>
      </c>
      <c r="P1518" s="73">
        <f t="shared" si="195"/>
        <v>0</v>
      </c>
      <c r="Q1518" s="73"/>
      <c r="R1518" s="73">
        <v>0</v>
      </c>
      <c r="S1518" s="75">
        <f t="shared" si="197"/>
        <v>0</v>
      </c>
      <c r="T1518" s="77">
        <v>0</v>
      </c>
      <c r="U1518" s="66">
        <v>40486</v>
      </c>
      <c r="V1518" s="79"/>
      <c r="W1518" s="66" t="s">
        <v>1585</v>
      </c>
      <c r="X1518" s="24" t="s">
        <v>1586</v>
      </c>
      <c r="Y1518" s="62"/>
      <c r="Z1518" s="169" t="s">
        <v>894</v>
      </c>
      <c r="AA1518" s="166" t="s">
        <v>2980</v>
      </c>
      <c r="AB1518" s="152"/>
      <c r="AC1518" s="153"/>
      <c r="AD1518" s="154"/>
      <c r="AE1518" s="153"/>
      <c r="AF1518" s="153"/>
      <c r="AG1518" s="153"/>
      <c r="AH1518" s="153"/>
      <c r="AI1518" s="153"/>
      <c r="AJ1518" s="153"/>
      <c r="AK1518" s="153"/>
      <c r="AL1518" s="153"/>
      <c r="AM1518" s="153"/>
      <c r="AN1518" s="153"/>
      <c r="AO1518" s="153"/>
      <c r="AP1518" s="153"/>
      <c r="AQ1518" s="153"/>
      <c r="AR1518" s="153"/>
      <c r="AS1518" s="153"/>
      <c r="AT1518" s="153"/>
      <c r="AU1518" s="153"/>
      <c r="AV1518" s="153"/>
      <c r="AW1518" s="153"/>
      <c r="AX1518" s="153"/>
      <c r="AY1518" s="153"/>
      <c r="AZ1518" s="153"/>
      <c r="BA1518" s="153"/>
      <c r="BB1518" s="153"/>
      <c r="BC1518" s="153"/>
      <c r="BD1518" s="153"/>
      <c r="BE1518" s="153"/>
      <c r="BF1518" s="153"/>
      <c r="BG1518" s="153"/>
      <c r="BH1518" s="153"/>
      <c r="BI1518" s="153"/>
      <c r="BJ1518" s="153"/>
      <c r="BK1518" s="153"/>
      <c r="BL1518" s="153"/>
      <c r="BM1518" s="153"/>
      <c r="BN1518" s="153"/>
      <c r="BO1518" s="153"/>
      <c r="BP1518" s="153"/>
      <c r="BQ1518" s="153"/>
      <c r="BR1518" s="153"/>
      <c r="BS1518" s="153"/>
      <c r="BT1518" s="153"/>
      <c r="BU1518" s="153"/>
      <c r="BV1518" s="153"/>
      <c r="BW1518" s="153"/>
      <c r="BX1518" s="153"/>
      <c r="BY1518" s="153"/>
      <c r="BZ1518" s="153"/>
      <c r="CA1518" s="153"/>
      <c r="CB1518" s="153"/>
      <c r="CC1518" s="153"/>
      <c r="CD1518" s="155"/>
      <c r="CE1518" s="156"/>
      <c r="CF1518" s="155"/>
      <c r="CG1518" s="156"/>
      <c r="CH1518" s="155"/>
      <c r="CI1518" s="156"/>
      <c r="CJ1518" s="157">
        <f t="shared" si="196"/>
        <v>0</v>
      </c>
      <c r="CK1518" s="158"/>
      <c r="CL1518" s="159"/>
      <c r="CM1518" s="160"/>
      <c r="CN1518" s="161"/>
      <c r="CO1518" s="162"/>
      <c r="CP1518" s="161"/>
      <c r="CQ1518" s="158"/>
      <c r="CR1518" s="159"/>
      <c r="CS1518" s="68"/>
      <c r="CT1518" s="163"/>
      <c r="EC1518" s="344" t="str">
        <f t="shared" si="199"/>
        <v>NARIÑO_BELEN</v>
      </c>
      <c r="ED1518" s="341"/>
      <c r="EE1518" s="341"/>
      <c r="EF1518" s="348"/>
      <c r="EG1518" s="341"/>
      <c r="EH1518" s="341"/>
      <c r="EI1518" s="341"/>
    </row>
    <row r="1519" spans="1:139" s="164" customFormat="1" ht="38.25">
      <c r="A1519" s="228">
        <v>40486</v>
      </c>
      <c r="B1519" s="102" t="s">
        <v>1609</v>
      </c>
      <c r="C1519" s="205" t="s">
        <v>1838</v>
      </c>
      <c r="D1519" s="207" t="s">
        <v>1316</v>
      </c>
      <c r="E1519" s="323" t="s">
        <v>4054</v>
      </c>
      <c r="F1519" s="323"/>
      <c r="G1519" s="204"/>
      <c r="H1519" s="151"/>
      <c r="I1519" s="151"/>
      <c r="J1519" s="151"/>
      <c r="K1519" s="151"/>
      <c r="L1519" s="1"/>
      <c r="M1519" s="73">
        <f t="shared" si="194"/>
        <v>0</v>
      </c>
      <c r="N1519" s="73">
        <f t="shared" si="198"/>
        <v>0</v>
      </c>
      <c r="O1519" s="73">
        <f t="shared" si="193"/>
        <v>0</v>
      </c>
      <c r="P1519" s="73">
        <f t="shared" si="195"/>
        <v>0</v>
      </c>
      <c r="Q1519" s="73"/>
      <c r="R1519" s="73">
        <v>0</v>
      </c>
      <c r="S1519" s="75">
        <f t="shared" si="197"/>
        <v>0</v>
      </c>
      <c r="T1519" s="77">
        <v>0</v>
      </c>
      <c r="U1519" s="66">
        <v>40490</v>
      </c>
      <c r="V1519" s="79"/>
      <c r="W1519" s="66" t="s">
        <v>1585</v>
      </c>
      <c r="X1519" s="24" t="s">
        <v>1586</v>
      </c>
      <c r="Y1519" s="62"/>
      <c r="Z1519" s="169" t="s">
        <v>894</v>
      </c>
      <c r="AA1519" s="166" t="s">
        <v>2572</v>
      </c>
      <c r="AB1519" s="152"/>
      <c r="AC1519" s="153"/>
      <c r="AD1519" s="154"/>
      <c r="AE1519" s="153"/>
      <c r="AF1519" s="153"/>
      <c r="AG1519" s="153"/>
      <c r="AH1519" s="153"/>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c r="BF1519" s="153"/>
      <c r="BG1519" s="153"/>
      <c r="BH1519" s="153"/>
      <c r="BI1519" s="153"/>
      <c r="BJ1519" s="153"/>
      <c r="BK1519" s="153"/>
      <c r="BL1519" s="153"/>
      <c r="BM1519" s="153"/>
      <c r="BN1519" s="153"/>
      <c r="BO1519" s="153"/>
      <c r="BP1519" s="153"/>
      <c r="BQ1519" s="153"/>
      <c r="BR1519" s="153"/>
      <c r="BS1519" s="153"/>
      <c r="BT1519" s="153"/>
      <c r="BU1519" s="153"/>
      <c r="BV1519" s="153"/>
      <c r="BW1519" s="153"/>
      <c r="BX1519" s="153"/>
      <c r="BY1519" s="153"/>
      <c r="BZ1519" s="153"/>
      <c r="CA1519" s="153"/>
      <c r="CB1519" s="153"/>
      <c r="CC1519" s="153"/>
      <c r="CD1519" s="155"/>
      <c r="CE1519" s="156"/>
      <c r="CF1519" s="155"/>
      <c r="CG1519" s="156"/>
      <c r="CH1519" s="155"/>
      <c r="CI1519" s="156"/>
      <c r="CJ1519" s="157">
        <f t="shared" si="196"/>
        <v>0</v>
      </c>
      <c r="CK1519" s="158"/>
      <c r="CL1519" s="159"/>
      <c r="CM1519" s="160"/>
      <c r="CN1519" s="161"/>
      <c r="CO1519" s="162"/>
      <c r="CP1519" s="161"/>
      <c r="CQ1519" s="158"/>
      <c r="CR1519" s="159"/>
      <c r="CS1519" s="68"/>
      <c r="CT1519" s="163"/>
      <c r="EC1519" s="344" t="str">
        <f t="shared" si="199"/>
        <v>RISARALDA_DOSQUEBRADAS</v>
      </c>
      <c r="ED1519" s="341"/>
      <c r="EE1519" s="341"/>
      <c r="EF1519" s="348"/>
      <c r="EG1519" s="341"/>
      <c r="EH1519" s="341"/>
      <c r="EI1519" s="341"/>
    </row>
    <row r="1520" spans="1:139" s="164" customFormat="1" ht="132">
      <c r="A1520" s="228">
        <v>40486</v>
      </c>
      <c r="B1520" s="205" t="s">
        <v>1998</v>
      </c>
      <c r="C1520" s="205" t="s">
        <v>662</v>
      </c>
      <c r="D1520" s="207" t="s">
        <v>1201</v>
      </c>
      <c r="E1520" s="323" t="s">
        <v>4096</v>
      </c>
      <c r="F1520" s="323"/>
      <c r="G1520" s="263"/>
      <c r="H1520" s="151">
        <v>2</v>
      </c>
      <c r="I1520" s="151"/>
      <c r="J1520" s="151">
        <v>1061</v>
      </c>
      <c r="K1520" s="151">
        <v>262</v>
      </c>
      <c r="L1520" s="1"/>
      <c r="M1520" s="73">
        <f t="shared" si="194"/>
        <v>0</v>
      </c>
      <c r="N1520" s="73">
        <f t="shared" si="198"/>
        <v>0</v>
      </c>
      <c r="O1520" s="73">
        <f t="shared" si="193"/>
        <v>0</v>
      </c>
      <c r="P1520" s="73">
        <f t="shared" si="195"/>
        <v>0</v>
      </c>
      <c r="Q1520" s="73"/>
      <c r="R1520" s="73">
        <v>0</v>
      </c>
      <c r="S1520" s="75">
        <f t="shared" si="197"/>
        <v>0</v>
      </c>
      <c r="T1520" s="77">
        <v>0</v>
      </c>
      <c r="U1520" s="66">
        <v>40492</v>
      </c>
      <c r="V1520" s="79"/>
      <c r="W1520" s="66" t="s">
        <v>1585</v>
      </c>
      <c r="X1520" s="67" t="s">
        <v>1586</v>
      </c>
      <c r="Y1520" s="62"/>
      <c r="Z1520" s="169" t="s">
        <v>894</v>
      </c>
      <c r="AA1520" s="166" t="s">
        <v>703</v>
      </c>
      <c r="AB1520" s="152"/>
      <c r="AC1520" s="153"/>
      <c r="AD1520" s="154"/>
      <c r="AE1520" s="153"/>
      <c r="AF1520" s="153"/>
      <c r="AG1520" s="153"/>
      <c r="AH1520" s="153"/>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c r="BF1520" s="153"/>
      <c r="BG1520" s="153"/>
      <c r="BH1520" s="153"/>
      <c r="BI1520" s="153"/>
      <c r="BJ1520" s="153"/>
      <c r="BK1520" s="153"/>
      <c r="BL1520" s="153"/>
      <c r="BM1520" s="153"/>
      <c r="BN1520" s="153"/>
      <c r="BO1520" s="153"/>
      <c r="BP1520" s="153"/>
      <c r="BQ1520" s="153"/>
      <c r="BR1520" s="153"/>
      <c r="BS1520" s="153"/>
      <c r="BT1520" s="153"/>
      <c r="BU1520" s="153"/>
      <c r="BV1520" s="153"/>
      <c r="BW1520" s="153"/>
      <c r="BX1520" s="153"/>
      <c r="BY1520" s="153"/>
      <c r="BZ1520" s="153"/>
      <c r="CA1520" s="153"/>
      <c r="CB1520" s="153"/>
      <c r="CC1520" s="153"/>
      <c r="CD1520" s="155"/>
      <c r="CE1520" s="156"/>
      <c r="CF1520" s="155"/>
      <c r="CG1520" s="156"/>
      <c r="CH1520" s="155"/>
      <c r="CI1520" s="156"/>
      <c r="CJ1520" s="157">
        <f t="shared" si="196"/>
        <v>0</v>
      </c>
      <c r="CK1520" s="158"/>
      <c r="CL1520" s="159"/>
      <c r="CM1520" s="160"/>
      <c r="CN1520" s="161"/>
      <c r="CO1520" s="162"/>
      <c r="CP1520" s="161"/>
      <c r="CQ1520" s="158"/>
      <c r="CR1520" s="159"/>
      <c r="CS1520" s="68"/>
      <c r="CT1520" s="163">
        <v>1440</v>
      </c>
      <c r="EC1520" s="344" t="str">
        <f t="shared" si="199"/>
        <v>SANTANDER_FLORIDABLANCA</v>
      </c>
      <c r="ED1520" s="341"/>
      <c r="EE1520" s="341"/>
      <c r="EF1520" s="348"/>
      <c r="EG1520" s="341"/>
      <c r="EH1520" s="341"/>
      <c r="EI1520" s="341"/>
    </row>
    <row r="1521" spans="1:139" s="164" customFormat="1" ht="108">
      <c r="A1521" s="228">
        <v>40486</v>
      </c>
      <c r="B1521" s="205" t="s">
        <v>1088</v>
      </c>
      <c r="C1521" s="205" t="s">
        <v>2912</v>
      </c>
      <c r="D1521" s="207" t="s">
        <v>1201</v>
      </c>
      <c r="E1521" s="323" t="s">
        <v>4253</v>
      </c>
      <c r="F1521" s="323"/>
      <c r="G1521" s="204"/>
      <c r="H1521" s="151"/>
      <c r="I1521" s="151"/>
      <c r="J1521" s="151">
        <f>677*5</f>
        <v>3385</v>
      </c>
      <c r="K1521" s="151">
        <v>677</v>
      </c>
      <c r="L1521" s="1">
        <v>40520</v>
      </c>
      <c r="M1521" s="73">
        <f t="shared" si="194"/>
        <v>19623000</v>
      </c>
      <c r="N1521" s="73">
        <f t="shared" si="198"/>
        <v>17935000</v>
      </c>
      <c r="O1521" s="73">
        <f t="shared" si="193"/>
        <v>0</v>
      </c>
      <c r="P1521" s="73">
        <f t="shared" si="195"/>
        <v>0</v>
      </c>
      <c r="Q1521" s="73"/>
      <c r="R1521" s="73">
        <v>0</v>
      </c>
      <c r="S1521" s="75">
        <f t="shared" si="197"/>
        <v>37558000</v>
      </c>
      <c r="T1521" s="77">
        <v>0</v>
      </c>
      <c r="U1521" s="66">
        <v>40483</v>
      </c>
      <c r="V1521" s="79"/>
      <c r="W1521" s="66" t="s">
        <v>1606</v>
      </c>
      <c r="X1521" s="24" t="s">
        <v>1607</v>
      </c>
      <c r="Y1521" s="62">
        <v>26384</v>
      </c>
      <c r="Z1521" s="169" t="s">
        <v>1435</v>
      </c>
      <c r="AA1521" s="166" t="s">
        <v>2913</v>
      </c>
      <c r="AB1521" s="152"/>
      <c r="AC1521" s="153"/>
      <c r="AD1521" s="154"/>
      <c r="AE1521" s="153"/>
      <c r="AF1521" s="153"/>
      <c r="AG1521" s="153"/>
      <c r="AH1521" s="153"/>
      <c r="AI1521" s="153"/>
      <c r="AJ1521" s="153"/>
      <c r="AK1521" s="153"/>
      <c r="AL1521" s="153"/>
      <c r="AM1521" s="153"/>
      <c r="AN1521" s="153">
        <v>211</v>
      </c>
      <c r="AO1521" s="153">
        <f>211*56000</f>
        <v>11816000</v>
      </c>
      <c r="AP1521" s="153"/>
      <c r="AQ1521" s="153"/>
      <c r="AR1521" s="153"/>
      <c r="AS1521" s="153"/>
      <c r="AT1521" s="153"/>
      <c r="AU1521" s="153"/>
      <c r="AV1521" s="153"/>
      <c r="AW1521" s="153"/>
      <c r="AX1521" s="153"/>
      <c r="AY1521" s="153"/>
      <c r="AZ1521" s="153"/>
      <c r="BA1521" s="153"/>
      <c r="BB1521" s="153"/>
      <c r="BC1521" s="153"/>
      <c r="BD1521" s="153"/>
      <c r="BE1521" s="153"/>
      <c r="BF1521" s="153"/>
      <c r="BG1521" s="153"/>
      <c r="BH1521" s="153"/>
      <c r="BI1521" s="153"/>
      <c r="BJ1521" s="153"/>
      <c r="BK1521" s="153"/>
      <c r="BL1521" s="153"/>
      <c r="BM1521" s="153"/>
      <c r="BN1521" s="153"/>
      <c r="BO1521" s="153"/>
      <c r="BP1521" s="153"/>
      <c r="BQ1521" s="153"/>
      <c r="BR1521" s="153"/>
      <c r="BS1521" s="153"/>
      <c r="BT1521" s="153"/>
      <c r="BU1521" s="153"/>
      <c r="BV1521" s="153"/>
      <c r="BW1521" s="153"/>
      <c r="BX1521" s="153"/>
      <c r="BY1521" s="153"/>
      <c r="BZ1521" s="153"/>
      <c r="CA1521" s="153"/>
      <c r="CB1521" s="153"/>
      <c r="CC1521" s="153"/>
      <c r="CD1521" s="155">
        <v>211</v>
      </c>
      <c r="CE1521" s="156">
        <f>211*37000</f>
        <v>7807000</v>
      </c>
      <c r="CF1521" s="155"/>
      <c r="CG1521" s="156"/>
      <c r="CH1521" s="155"/>
      <c r="CI1521" s="156"/>
      <c r="CJ1521" s="157">
        <f t="shared" si="196"/>
        <v>19623000</v>
      </c>
      <c r="CK1521" s="158"/>
      <c r="CL1521" s="159"/>
      <c r="CM1521" s="160">
        <v>211</v>
      </c>
      <c r="CN1521" s="161">
        <f>211*85000</f>
        <v>17935000</v>
      </c>
      <c r="CO1521" s="162"/>
      <c r="CP1521" s="161"/>
      <c r="CQ1521" s="158"/>
      <c r="CR1521" s="159"/>
      <c r="CS1521" s="68"/>
      <c r="CT1521" s="163"/>
      <c r="EC1521" s="344" t="str">
        <f t="shared" si="199"/>
        <v>VALLE DEL CAUCA_RIOFRIO</v>
      </c>
      <c r="ED1521" s="341"/>
      <c r="EE1521" s="341"/>
      <c r="EF1521" s="348"/>
      <c r="EG1521" s="341"/>
      <c r="EH1521" s="341"/>
      <c r="EI1521" s="341"/>
    </row>
    <row r="1522" spans="1:139" s="164" customFormat="1" ht="144">
      <c r="A1522" s="235">
        <v>40487</v>
      </c>
      <c r="B1522" s="269" t="s">
        <v>1972</v>
      </c>
      <c r="C1522" s="269" t="s">
        <v>2049</v>
      </c>
      <c r="D1522" s="270" t="s">
        <v>1201</v>
      </c>
      <c r="E1522" s="327" t="s">
        <v>3261</v>
      </c>
      <c r="F1522" s="327"/>
      <c r="G1522" s="204"/>
      <c r="H1522" s="151"/>
      <c r="I1522" s="151"/>
      <c r="J1522" s="151">
        <v>4942</v>
      </c>
      <c r="K1522" s="151">
        <v>1266</v>
      </c>
      <c r="L1522" s="1"/>
      <c r="M1522" s="73">
        <f t="shared" si="194"/>
        <v>0</v>
      </c>
      <c r="N1522" s="73">
        <f t="shared" si="198"/>
        <v>0</v>
      </c>
      <c r="O1522" s="73">
        <f t="shared" si="193"/>
        <v>0</v>
      </c>
      <c r="P1522" s="73">
        <f t="shared" si="195"/>
        <v>0</v>
      </c>
      <c r="Q1522" s="73"/>
      <c r="R1522" s="73">
        <v>0</v>
      </c>
      <c r="S1522" s="75">
        <f t="shared" si="197"/>
        <v>0</v>
      </c>
      <c r="T1522" s="77">
        <v>0</v>
      </c>
      <c r="U1522" s="66">
        <v>40490</v>
      </c>
      <c r="V1522" s="79"/>
      <c r="W1522" s="66" t="s">
        <v>1606</v>
      </c>
      <c r="X1522" s="24" t="s">
        <v>1607</v>
      </c>
      <c r="Y1522" s="62"/>
      <c r="Z1522" s="176" t="s">
        <v>2836</v>
      </c>
      <c r="AA1522" s="166" t="s">
        <v>870</v>
      </c>
      <c r="AB1522" s="152"/>
      <c r="AC1522" s="153"/>
      <c r="AD1522" s="154"/>
      <c r="AE1522" s="153"/>
      <c r="AF1522" s="153"/>
      <c r="AG1522" s="153"/>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c r="BF1522" s="153"/>
      <c r="BG1522" s="153"/>
      <c r="BH1522" s="153"/>
      <c r="BI1522" s="153"/>
      <c r="BJ1522" s="153"/>
      <c r="BK1522" s="153"/>
      <c r="BL1522" s="153"/>
      <c r="BM1522" s="153"/>
      <c r="BN1522" s="153"/>
      <c r="BO1522" s="153"/>
      <c r="BP1522" s="153"/>
      <c r="BQ1522" s="153"/>
      <c r="BR1522" s="153"/>
      <c r="BS1522" s="153"/>
      <c r="BT1522" s="153"/>
      <c r="BU1522" s="153"/>
      <c r="BV1522" s="153"/>
      <c r="BW1522" s="153"/>
      <c r="BX1522" s="153"/>
      <c r="BY1522" s="153"/>
      <c r="BZ1522" s="153"/>
      <c r="CA1522" s="153"/>
      <c r="CB1522" s="153"/>
      <c r="CC1522" s="153"/>
      <c r="CD1522" s="155"/>
      <c r="CE1522" s="156"/>
      <c r="CF1522" s="155"/>
      <c r="CG1522" s="156"/>
      <c r="CH1522" s="155"/>
      <c r="CI1522" s="156"/>
      <c r="CJ1522" s="157">
        <f t="shared" si="196"/>
        <v>0</v>
      </c>
      <c r="CK1522" s="158"/>
      <c r="CL1522" s="159"/>
      <c r="CM1522" s="160"/>
      <c r="CN1522" s="161"/>
      <c r="CO1522" s="162"/>
      <c r="CP1522" s="161"/>
      <c r="CQ1522" s="158"/>
      <c r="CR1522" s="159"/>
      <c r="CS1522" s="68"/>
      <c r="CT1522" s="163"/>
      <c r="EC1522" s="344" t="str">
        <f t="shared" si="199"/>
        <v>ANTIOQUIA_CAUCASIA</v>
      </c>
      <c r="ED1522" s="341"/>
      <c r="EE1522" s="341"/>
      <c r="EF1522" s="348"/>
      <c r="EG1522" s="341"/>
      <c r="EH1522" s="341"/>
      <c r="EI1522" s="341"/>
    </row>
    <row r="1523" spans="1:139" s="164" customFormat="1" ht="48">
      <c r="A1523" s="235">
        <v>40487</v>
      </c>
      <c r="B1523" s="269" t="s">
        <v>1972</v>
      </c>
      <c r="C1523" s="269" t="s">
        <v>2634</v>
      </c>
      <c r="D1523" s="270" t="s">
        <v>1201</v>
      </c>
      <c r="E1523" s="327" t="s">
        <v>3268</v>
      </c>
      <c r="F1523" s="327"/>
      <c r="G1523" s="204">
        <v>1</v>
      </c>
      <c r="H1523" s="151"/>
      <c r="I1523" s="151"/>
      <c r="J1523" s="151">
        <v>437</v>
      </c>
      <c r="K1523" s="151">
        <v>107</v>
      </c>
      <c r="L1523" s="1"/>
      <c r="M1523" s="73">
        <f t="shared" si="194"/>
        <v>0</v>
      </c>
      <c r="N1523" s="73">
        <f t="shared" si="198"/>
        <v>0</v>
      </c>
      <c r="O1523" s="73">
        <f t="shared" si="193"/>
        <v>0</v>
      </c>
      <c r="P1523" s="73">
        <f t="shared" si="195"/>
        <v>0</v>
      </c>
      <c r="Q1523" s="73"/>
      <c r="R1523" s="73">
        <v>0</v>
      </c>
      <c r="S1523" s="75">
        <f t="shared" si="197"/>
        <v>0</v>
      </c>
      <c r="T1523" s="77">
        <v>0</v>
      </c>
      <c r="U1523" s="66">
        <v>40490</v>
      </c>
      <c r="V1523" s="79"/>
      <c r="W1523" s="66" t="s">
        <v>1606</v>
      </c>
      <c r="X1523" s="24" t="s">
        <v>1607</v>
      </c>
      <c r="Y1523" s="62"/>
      <c r="Z1523" s="176" t="s">
        <v>2836</v>
      </c>
      <c r="AA1523" s="166" t="s">
        <v>2635</v>
      </c>
      <c r="AB1523" s="152"/>
      <c r="AC1523" s="153"/>
      <c r="AD1523" s="154"/>
      <c r="AE1523" s="153"/>
      <c r="AF1523" s="153"/>
      <c r="AG1523" s="153"/>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c r="BF1523" s="153"/>
      <c r="BG1523" s="153"/>
      <c r="BH1523" s="153"/>
      <c r="BI1523" s="153"/>
      <c r="BJ1523" s="153"/>
      <c r="BK1523" s="153"/>
      <c r="BL1523" s="153"/>
      <c r="BM1523" s="153"/>
      <c r="BN1523" s="153"/>
      <c r="BO1523" s="153"/>
      <c r="BP1523" s="153"/>
      <c r="BQ1523" s="153"/>
      <c r="BR1523" s="153"/>
      <c r="BS1523" s="153"/>
      <c r="BT1523" s="153"/>
      <c r="BU1523" s="153"/>
      <c r="BV1523" s="153"/>
      <c r="BW1523" s="153"/>
      <c r="BX1523" s="153"/>
      <c r="BY1523" s="153"/>
      <c r="BZ1523" s="153"/>
      <c r="CA1523" s="153"/>
      <c r="CB1523" s="153"/>
      <c r="CC1523" s="153"/>
      <c r="CD1523" s="155"/>
      <c r="CE1523" s="156"/>
      <c r="CF1523" s="155"/>
      <c r="CG1523" s="156"/>
      <c r="CH1523" s="155"/>
      <c r="CI1523" s="156"/>
      <c r="CJ1523" s="157">
        <f t="shared" si="196"/>
        <v>0</v>
      </c>
      <c r="CK1523" s="158"/>
      <c r="CL1523" s="159"/>
      <c r="CM1523" s="160"/>
      <c r="CN1523" s="161"/>
      <c r="CO1523" s="162"/>
      <c r="CP1523" s="161"/>
      <c r="CQ1523" s="158"/>
      <c r="CR1523" s="159"/>
      <c r="CS1523" s="68"/>
      <c r="CT1523" s="163"/>
      <c r="EC1523" s="344" t="str">
        <f t="shared" si="199"/>
        <v>ANTIOQUIA_DABEIBA</v>
      </c>
      <c r="ED1523" s="341"/>
      <c r="EE1523" s="341"/>
      <c r="EF1523" s="348"/>
      <c r="EG1523" s="341"/>
      <c r="EH1523" s="341"/>
      <c r="EI1523" s="341"/>
    </row>
    <row r="1524" spans="1:139" s="164" customFormat="1" ht="72">
      <c r="A1524" s="228">
        <v>40487</v>
      </c>
      <c r="B1524" s="205" t="s">
        <v>1314</v>
      </c>
      <c r="C1524" s="205" t="s">
        <v>2734</v>
      </c>
      <c r="D1524" s="207" t="s">
        <v>1201</v>
      </c>
      <c r="E1524" s="323" t="s">
        <v>3603</v>
      </c>
      <c r="F1524" s="323"/>
      <c r="G1524" s="204"/>
      <c r="H1524" s="151"/>
      <c r="I1524" s="151"/>
      <c r="J1524" s="151">
        <f>2048*5</f>
        <v>10240</v>
      </c>
      <c r="K1524" s="151">
        <f>2110-62</f>
        <v>2048</v>
      </c>
      <c r="L1524" s="1"/>
      <c r="M1524" s="73">
        <f t="shared" si="194"/>
        <v>0</v>
      </c>
      <c r="N1524" s="73">
        <f t="shared" si="198"/>
        <v>0</v>
      </c>
      <c r="O1524" s="73">
        <f t="shared" ref="O1524:O1587" si="200">CP1524+CR1524</f>
        <v>0</v>
      </c>
      <c r="P1524" s="73">
        <f t="shared" si="195"/>
        <v>0</v>
      </c>
      <c r="Q1524" s="73"/>
      <c r="R1524" s="73">
        <v>0</v>
      </c>
      <c r="S1524" s="75">
        <f t="shared" si="197"/>
        <v>0</v>
      </c>
      <c r="T1524" s="77">
        <v>0</v>
      </c>
      <c r="U1524" s="66"/>
      <c r="V1524" s="79"/>
      <c r="W1524" s="66" t="s">
        <v>1606</v>
      </c>
      <c r="X1524" s="264" t="s">
        <v>1607</v>
      </c>
      <c r="Y1524" s="62"/>
      <c r="Z1524" s="260" t="s">
        <v>18</v>
      </c>
      <c r="AA1524" s="166" t="s">
        <v>2931</v>
      </c>
      <c r="AB1524" s="152"/>
      <c r="AC1524" s="153"/>
      <c r="AD1524" s="154"/>
      <c r="AE1524" s="153"/>
      <c r="AF1524" s="153"/>
      <c r="AG1524" s="153"/>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c r="BF1524" s="153"/>
      <c r="BG1524" s="153"/>
      <c r="BH1524" s="153"/>
      <c r="BI1524" s="153"/>
      <c r="BJ1524" s="153"/>
      <c r="BK1524" s="153"/>
      <c r="BL1524" s="153"/>
      <c r="BM1524" s="153"/>
      <c r="BN1524" s="153"/>
      <c r="BO1524" s="153"/>
      <c r="BP1524" s="153"/>
      <c r="BQ1524" s="153"/>
      <c r="BR1524" s="153"/>
      <c r="BS1524" s="153"/>
      <c r="BT1524" s="153"/>
      <c r="BU1524" s="153"/>
      <c r="BV1524" s="153"/>
      <c r="BW1524" s="153"/>
      <c r="BX1524" s="153"/>
      <c r="BY1524" s="153"/>
      <c r="BZ1524" s="153"/>
      <c r="CA1524" s="153"/>
      <c r="CB1524" s="153"/>
      <c r="CC1524" s="153"/>
      <c r="CD1524" s="155"/>
      <c r="CE1524" s="156"/>
      <c r="CF1524" s="155"/>
      <c r="CG1524" s="156"/>
      <c r="CH1524" s="155"/>
      <c r="CI1524" s="156"/>
      <c r="CJ1524" s="157">
        <f t="shared" si="196"/>
        <v>0</v>
      </c>
      <c r="CK1524" s="158"/>
      <c r="CL1524" s="159"/>
      <c r="CM1524" s="160"/>
      <c r="CN1524" s="161"/>
      <c r="CO1524" s="162"/>
      <c r="CP1524" s="161"/>
      <c r="CQ1524" s="158"/>
      <c r="CR1524" s="159"/>
      <c r="CS1524" s="68"/>
      <c r="CT1524" s="163"/>
      <c r="EC1524" s="344" t="str">
        <f t="shared" si="199"/>
        <v>CAUCA_LA VEGA</v>
      </c>
      <c r="ED1524" s="341"/>
      <c r="EE1524" s="341"/>
      <c r="EF1524" s="348"/>
      <c r="EG1524" s="341"/>
      <c r="EH1524" s="341"/>
      <c r="EI1524" s="341"/>
    </row>
    <row r="1525" spans="1:139" s="164" customFormat="1" ht="36">
      <c r="A1525" s="228">
        <v>40487</v>
      </c>
      <c r="B1525" s="205" t="s">
        <v>1821</v>
      </c>
      <c r="C1525" s="205" t="s">
        <v>1822</v>
      </c>
      <c r="D1525" s="207" t="s">
        <v>1201</v>
      </c>
      <c r="E1525" s="323" t="s">
        <v>3644</v>
      </c>
      <c r="F1525" s="323"/>
      <c r="G1525" s="204"/>
      <c r="H1525" s="151"/>
      <c r="I1525" s="151"/>
      <c r="J1525" s="151"/>
      <c r="K1525" s="151"/>
      <c r="L1525" s="1"/>
      <c r="M1525" s="73">
        <f t="shared" si="194"/>
        <v>0</v>
      </c>
      <c r="N1525" s="73">
        <f t="shared" si="198"/>
        <v>0</v>
      </c>
      <c r="O1525" s="73">
        <f t="shared" si="200"/>
        <v>0</v>
      </c>
      <c r="P1525" s="73">
        <f t="shared" si="195"/>
        <v>0</v>
      </c>
      <c r="Q1525" s="73"/>
      <c r="R1525" s="73">
        <v>0</v>
      </c>
      <c r="S1525" s="75">
        <f t="shared" si="197"/>
        <v>0</v>
      </c>
      <c r="T1525" s="77">
        <v>0</v>
      </c>
      <c r="U1525" s="66">
        <v>40490</v>
      </c>
      <c r="V1525" s="79"/>
      <c r="W1525" s="66" t="s">
        <v>1585</v>
      </c>
      <c r="X1525" s="24" t="s">
        <v>1586</v>
      </c>
      <c r="Y1525" s="62"/>
      <c r="Z1525" s="169" t="s">
        <v>894</v>
      </c>
      <c r="AA1525" s="166" t="s">
        <v>2629</v>
      </c>
      <c r="AB1525" s="152"/>
      <c r="AC1525" s="153"/>
      <c r="AD1525" s="154"/>
      <c r="AE1525" s="153"/>
      <c r="AF1525" s="153"/>
      <c r="AG1525" s="153"/>
      <c r="AH1525" s="153"/>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c r="BF1525" s="153"/>
      <c r="BG1525" s="153"/>
      <c r="BH1525" s="153"/>
      <c r="BI1525" s="153"/>
      <c r="BJ1525" s="153"/>
      <c r="BK1525" s="153"/>
      <c r="BL1525" s="153"/>
      <c r="BM1525" s="153"/>
      <c r="BN1525" s="153"/>
      <c r="BO1525" s="153"/>
      <c r="BP1525" s="153"/>
      <c r="BQ1525" s="153"/>
      <c r="BR1525" s="153"/>
      <c r="BS1525" s="153"/>
      <c r="BT1525" s="153"/>
      <c r="BU1525" s="153"/>
      <c r="BV1525" s="153"/>
      <c r="BW1525" s="153"/>
      <c r="BX1525" s="153"/>
      <c r="BY1525" s="153"/>
      <c r="BZ1525" s="153"/>
      <c r="CA1525" s="153"/>
      <c r="CB1525" s="153"/>
      <c r="CC1525" s="153"/>
      <c r="CD1525" s="155"/>
      <c r="CE1525" s="156"/>
      <c r="CF1525" s="155"/>
      <c r="CG1525" s="156"/>
      <c r="CH1525" s="155"/>
      <c r="CI1525" s="156"/>
      <c r="CJ1525" s="157">
        <f t="shared" si="196"/>
        <v>0</v>
      </c>
      <c r="CK1525" s="158"/>
      <c r="CL1525" s="159"/>
      <c r="CM1525" s="160"/>
      <c r="CN1525" s="161"/>
      <c r="CO1525" s="162"/>
      <c r="CP1525" s="161"/>
      <c r="CQ1525" s="158"/>
      <c r="CR1525" s="159"/>
      <c r="CS1525" s="68"/>
      <c r="CT1525" s="163"/>
      <c r="EC1525" s="344" t="str">
        <f t="shared" si="199"/>
        <v>CESAR_PAILITAS</v>
      </c>
      <c r="ED1525" s="341"/>
      <c r="EE1525" s="341"/>
      <c r="EF1525" s="348"/>
      <c r="EG1525" s="341"/>
      <c r="EH1525" s="341"/>
      <c r="EI1525" s="341"/>
    </row>
    <row r="1526" spans="1:139" s="164" customFormat="1" ht="25.5">
      <c r="A1526" s="228">
        <v>40487</v>
      </c>
      <c r="B1526" s="205" t="s">
        <v>1821</v>
      </c>
      <c r="C1526" s="205" t="s">
        <v>1266</v>
      </c>
      <c r="D1526" s="207" t="s">
        <v>1201</v>
      </c>
      <c r="E1526" s="323" t="s">
        <v>3650</v>
      </c>
      <c r="F1526" s="323"/>
      <c r="G1526" s="204"/>
      <c r="H1526" s="151"/>
      <c r="I1526" s="151"/>
      <c r="J1526" s="151">
        <f>108*5</f>
        <v>540</v>
      </c>
      <c r="K1526" s="151">
        <v>108</v>
      </c>
      <c r="L1526" s="1"/>
      <c r="M1526" s="73">
        <f t="shared" si="194"/>
        <v>0</v>
      </c>
      <c r="N1526" s="73">
        <f t="shared" si="198"/>
        <v>0</v>
      </c>
      <c r="O1526" s="73">
        <f t="shared" si="200"/>
        <v>0</v>
      </c>
      <c r="P1526" s="73">
        <f t="shared" si="195"/>
        <v>0</v>
      </c>
      <c r="Q1526" s="73"/>
      <c r="R1526" s="73">
        <v>0</v>
      </c>
      <c r="S1526" s="75">
        <f t="shared" si="197"/>
        <v>0</v>
      </c>
      <c r="T1526" s="77">
        <v>0</v>
      </c>
      <c r="U1526" s="66">
        <v>40490</v>
      </c>
      <c r="V1526" s="79"/>
      <c r="W1526" s="66" t="s">
        <v>1585</v>
      </c>
      <c r="X1526" s="24" t="s">
        <v>1586</v>
      </c>
      <c r="Y1526" s="62"/>
      <c r="Z1526" s="169" t="s">
        <v>894</v>
      </c>
      <c r="AA1526" s="166" t="s">
        <v>2647</v>
      </c>
      <c r="AB1526" s="152"/>
      <c r="AC1526" s="153"/>
      <c r="AD1526" s="154"/>
      <c r="AE1526" s="153"/>
      <c r="AF1526" s="153"/>
      <c r="AG1526" s="153"/>
      <c r="AH1526" s="153"/>
      <c r="AI1526" s="153"/>
      <c r="AJ1526" s="153"/>
      <c r="AK1526" s="153"/>
      <c r="AL1526" s="153"/>
      <c r="AM1526" s="153"/>
      <c r="AN1526" s="153"/>
      <c r="AO1526" s="153"/>
      <c r="AP1526" s="153"/>
      <c r="AQ1526" s="153"/>
      <c r="AR1526" s="153"/>
      <c r="AS1526" s="153"/>
      <c r="AT1526" s="153"/>
      <c r="AU1526" s="153"/>
      <c r="AV1526" s="153"/>
      <c r="AW1526" s="153"/>
      <c r="AX1526" s="153"/>
      <c r="AY1526" s="153"/>
      <c r="AZ1526" s="153"/>
      <c r="BA1526" s="153"/>
      <c r="BB1526" s="153"/>
      <c r="BC1526" s="153"/>
      <c r="BD1526" s="153"/>
      <c r="BE1526" s="153"/>
      <c r="BF1526" s="153"/>
      <c r="BG1526" s="153"/>
      <c r="BH1526" s="153"/>
      <c r="BI1526" s="153"/>
      <c r="BJ1526" s="153"/>
      <c r="BK1526" s="153"/>
      <c r="BL1526" s="153"/>
      <c r="BM1526" s="153"/>
      <c r="BN1526" s="153"/>
      <c r="BO1526" s="153"/>
      <c r="BP1526" s="153"/>
      <c r="BQ1526" s="153"/>
      <c r="BR1526" s="153"/>
      <c r="BS1526" s="153"/>
      <c r="BT1526" s="153"/>
      <c r="BU1526" s="153"/>
      <c r="BV1526" s="153"/>
      <c r="BW1526" s="153"/>
      <c r="BX1526" s="153"/>
      <c r="BY1526" s="153"/>
      <c r="BZ1526" s="153"/>
      <c r="CA1526" s="153"/>
      <c r="CB1526" s="153"/>
      <c r="CC1526" s="153"/>
      <c r="CD1526" s="155"/>
      <c r="CE1526" s="156"/>
      <c r="CF1526" s="155"/>
      <c r="CG1526" s="156"/>
      <c r="CH1526" s="155"/>
      <c r="CI1526" s="156"/>
      <c r="CJ1526" s="157">
        <f t="shared" si="196"/>
        <v>0</v>
      </c>
      <c r="CK1526" s="158"/>
      <c r="CL1526" s="159"/>
      <c r="CM1526" s="160"/>
      <c r="CN1526" s="161"/>
      <c r="CO1526" s="162"/>
      <c r="CP1526" s="161"/>
      <c r="CQ1526" s="158"/>
      <c r="CR1526" s="159"/>
      <c r="CS1526" s="68"/>
      <c r="CT1526" s="163"/>
      <c r="EC1526" s="344" t="str">
        <f t="shared" si="199"/>
        <v>CESAR_SAN DIEGO</v>
      </c>
      <c r="ED1526" s="341"/>
      <c r="EE1526" s="341"/>
      <c r="EF1526" s="348"/>
      <c r="EG1526" s="341"/>
      <c r="EH1526" s="341"/>
      <c r="EI1526" s="341"/>
    </row>
    <row r="1527" spans="1:139" s="164" customFormat="1" ht="36">
      <c r="A1527" s="228">
        <v>40487</v>
      </c>
      <c r="B1527" s="205" t="s">
        <v>1821</v>
      </c>
      <c r="C1527" s="205" t="s">
        <v>2585</v>
      </c>
      <c r="D1527" s="207" t="s">
        <v>1201</v>
      </c>
      <c r="E1527" s="323" t="s">
        <v>3651</v>
      </c>
      <c r="F1527" s="323"/>
      <c r="G1527" s="204"/>
      <c r="H1527" s="151"/>
      <c r="I1527" s="151"/>
      <c r="J1527" s="151">
        <f>584*5</f>
        <v>2920</v>
      </c>
      <c r="K1527" s="151">
        <f>602-18</f>
        <v>584</v>
      </c>
      <c r="L1527" s="1"/>
      <c r="M1527" s="73">
        <f t="shared" si="194"/>
        <v>0</v>
      </c>
      <c r="N1527" s="73">
        <f t="shared" si="198"/>
        <v>0</v>
      </c>
      <c r="O1527" s="73">
        <f t="shared" si="200"/>
        <v>0</v>
      </c>
      <c r="P1527" s="73">
        <f t="shared" si="195"/>
        <v>0</v>
      </c>
      <c r="Q1527" s="73"/>
      <c r="R1527" s="73">
        <v>0</v>
      </c>
      <c r="S1527" s="75">
        <f t="shared" si="197"/>
        <v>0</v>
      </c>
      <c r="T1527" s="77">
        <v>0</v>
      </c>
      <c r="U1527" s="66">
        <v>40490</v>
      </c>
      <c r="V1527" s="79"/>
      <c r="W1527" s="66" t="s">
        <v>1585</v>
      </c>
      <c r="X1527" s="24" t="s">
        <v>1586</v>
      </c>
      <c r="Y1527" s="62"/>
      <c r="Z1527" s="169" t="s">
        <v>894</v>
      </c>
      <c r="AA1527" s="166" t="s">
        <v>2637</v>
      </c>
      <c r="AB1527" s="152"/>
      <c r="AC1527" s="153"/>
      <c r="AD1527" s="154"/>
      <c r="AE1527" s="153"/>
      <c r="AF1527" s="153"/>
      <c r="AG1527" s="153"/>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c r="BF1527" s="153"/>
      <c r="BG1527" s="153"/>
      <c r="BH1527" s="153"/>
      <c r="BI1527" s="153"/>
      <c r="BJ1527" s="153"/>
      <c r="BK1527" s="153"/>
      <c r="BL1527" s="153"/>
      <c r="BM1527" s="153"/>
      <c r="BN1527" s="153"/>
      <c r="BO1527" s="153"/>
      <c r="BP1527" s="153"/>
      <c r="BQ1527" s="153"/>
      <c r="BR1527" s="153"/>
      <c r="BS1527" s="153"/>
      <c r="BT1527" s="153"/>
      <c r="BU1527" s="153"/>
      <c r="BV1527" s="153"/>
      <c r="BW1527" s="153"/>
      <c r="BX1527" s="153"/>
      <c r="BY1527" s="153"/>
      <c r="BZ1527" s="153"/>
      <c r="CA1527" s="153"/>
      <c r="CB1527" s="153"/>
      <c r="CC1527" s="153"/>
      <c r="CD1527" s="155"/>
      <c r="CE1527" s="156"/>
      <c r="CF1527" s="155"/>
      <c r="CG1527" s="156"/>
      <c r="CH1527" s="155"/>
      <c r="CI1527" s="156"/>
      <c r="CJ1527" s="157">
        <f t="shared" si="196"/>
        <v>0</v>
      </c>
      <c r="CK1527" s="158"/>
      <c r="CL1527" s="159"/>
      <c r="CM1527" s="160"/>
      <c r="CN1527" s="161"/>
      <c r="CO1527" s="162"/>
      <c r="CP1527" s="161"/>
      <c r="CQ1527" s="158"/>
      <c r="CR1527" s="159"/>
      <c r="CS1527" s="68"/>
      <c r="CT1527" s="163"/>
      <c r="EC1527" s="344" t="str">
        <f t="shared" si="199"/>
        <v>CESAR_SAN MARTIN</v>
      </c>
      <c r="ED1527" s="341"/>
      <c r="EE1527" s="341"/>
      <c r="EF1527" s="348"/>
      <c r="EG1527" s="341"/>
      <c r="EH1527" s="341"/>
      <c r="EI1527" s="341"/>
    </row>
    <row r="1528" spans="1:139" s="164" customFormat="1" ht="84">
      <c r="A1528" s="228">
        <v>40487</v>
      </c>
      <c r="B1528" s="205" t="s">
        <v>1604</v>
      </c>
      <c r="C1528" s="205" t="s">
        <v>739</v>
      </c>
      <c r="D1528" s="207" t="s">
        <v>1201</v>
      </c>
      <c r="E1528" s="323" t="s">
        <v>3716</v>
      </c>
      <c r="F1528" s="323"/>
      <c r="G1528" s="204"/>
      <c r="H1528" s="151"/>
      <c r="I1528" s="151"/>
      <c r="J1528" s="151">
        <f>921-200-28</f>
        <v>693</v>
      </c>
      <c r="K1528" s="151">
        <f>296-50-6</f>
        <v>240</v>
      </c>
      <c r="L1528" s="1"/>
      <c r="M1528" s="73">
        <f t="shared" si="194"/>
        <v>0</v>
      </c>
      <c r="N1528" s="73">
        <f t="shared" si="198"/>
        <v>0</v>
      </c>
      <c r="O1528" s="73">
        <f t="shared" si="200"/>
        <v>0</v>
      </c>
      <c r="P1528" s="73">
        <f t="shared" si="195"/>
        <v>0</v>
      </c>
      <c r="Q1528" s="73"/>
      <c r="R1528" s="73">
        <v>0</v>
      </c>
      <c r="S1528" s="75">
        <f t="shared" si="197"/>
        <v>0</v>
      </c>
      <c r="T1528" s="77">
        <v>0</v>
      </c>
      <c r="U1528" s="66">
        <v>40490</v>
      </c>
      <c r="V1528" s="79"/>
      <c r="W1528" s="66" t="s">
        <v>1585</v>
      </c>
      <c r="X1528" s="24" t="s">
        <v>1586</v>
      </c>
      <c r="Y1528" s="62"/>
      <c r="Z1528" s="169" t="s">
        <v>894</v>
      </c>
      <c r="AA1528" s="166" t="s">
        <v>2859</v>
      </c>
      <c r="AB1528" s="152"/>
      <c r="AC1528" s="153"/>
      <c r="AD1528" s="154"/>
      <c r="AE1528" s="153"/>
      <c r="AF1528" s="153"/>
      <c r="AG1528" s="153"/>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c r="BF1528" s="153"/>
      <c r="BG1528" s="153"/>
      <c r="BH1528" s="153"/>
      <c r="BI1528" s="153"/>
      <c r="BJ1528" s="153"/>
      <c r="BK1528" s="153"/>
      <c r="BL1528" s="153"/>
      <c r="BM1528" s="153"/>
      <c r="BN1528" s="153"/>
      <c r="BO1528" s="153"/>
      <c r="BP1528" s="153"/>
      <c r="BQ1528" s="153"/>
      <c r="BR1528" s="153"/>
      <c r="BS1528" s="153"/>
      <c r="BT1528" s="153"/>
      <c r="BU1528" s="153"/>
      <c r="BV1528" s="153"/>
      <c r="BW1528" s="153"/>
      <c r="BX1528" s="153"/>
      <c r="BY1528" s="153"/>
      <c r="BZ1528" s="153"/>
      <c r="CA1528" s="153"/>
      <c r="CB1528" s="153"/>
      <c r="CC1528" s="153"/>
      <c r="CD1528" s="155"/>
      <c r="CE1528" s="156"/>
      <c r="CF1528" s="155"/>
      <c r="CG1528" s="156"/>
      <c r="CH1528" s="155"/>
      <c r="CI1528" s="156"/>
      <c r="CJ1528" s="157">
        <f t="shared" si="196"/>
        <v>0</v>
      </c>
      <c r="CK1528" s="158"/>
      <c r="CL1528" s="159"/>
      <c r="CM1528" s="160"/>
      <c r="CN1528" s="161"/>
      <c r="CO1528" s="162"/>
      <c r="CP1528" s="161"/>
      <c r="CQ1528" s="158"/>
      <c r="CR1528" s="159"/>
      <c r="CS1528" s="68"/>
      <c r="CT1528" s="163"/>
      <c r="EC1528" s="344" t="str">
        <f t="shared" si="199"/>
        <v>CUNDINAMARCA_GUADUAS</v>
      </c>
      <c r="ED1528" s="341"/>
      <c r="EE1528" s="341"/>
      <c r="EF1528" s="348"/>
      <c r="EG1528" s="341"/>
      <c r="EH1528" s="341"/>
      <c r="EI1528" s="341"/>
    </row>
    <row r="1529" spans="1:139" s="164" customFormat="1" ht="38.25">
      <c r="A1529" s="228">
        <v>40487</v>
      </c>
      <c r="B1529" s="205" t="s">
        <v>1604</v>
      </c>
      <c r="C1529" s="205" t="s">
        <v>2210</v>
      </c>
      <c r="D1529" s="207" t="s">
        <v>1201</v>
      </c>
      <c r="E1529" s="323" t="s">
        <v>3778</v>
      </c>
      <c r="F1529" s="323"/>
      <c r="G1529" s="204"/>
      <c r="H1529" s="151"/>
      <c r="I1529" s="151"/>
      <c r="J1529" s="151">
        <v>50</v>
      </c>
      <c r="K1529" s="151">
        <v>10</v>
      </c>
      <c r="L1529" s="1"/>
      <c r="M1529" s="73">
        <f t="shared" si="194"/>
        <v>0</v>
      </c>
      <c r="N1529" s="73">
        <f t="shared" si="198"/>
        <v>0</v>
      </c>
      <c r="O1529" s="73">
        <f t="shared" si="200"/>
        <v>0</v>
      </c>
      <c r="P1529" s="73">
        <f t="shared" si="195"/>
        <v>0</v>
      </c>
      <c r="Q1529" s="73"/>
      <c r="R1529" s="73">
        <v>0</v>
      </c>
      <c r="S1529" s="75">
        <f t="shared" si="197"/>
        <v>0</v>
      </c>
      <c r="T1529" s="77">
        <v>0</v>
      </c>
      <c r="U1529" s="66">
        <v>40483</v>
      </c>
      <c r="V1529" s="79"/>
      <c r="W1529" s="66" t="s">
        <v>1585</v>
      </c>
      <c r="X1529" s="24" t="s">
        <v>1586</v>
      </c>
      <c r="Y1529" s="62"/>
      <c r="Z1529" s="169" t="s">
        <v>894</v>
      </c>
      <c r="AA1529" s="166" t="s">
        <v>2867</v>
      </c>
      <c r="AB1529" s="152"/>
      <c r="AC1529" s="153"/>
      <c r="AD1529" s="154"/>
      <c r="AE1529" s="153"/>
      <c r="AF1529" s="153"/>
      <c r="AG1529" s="153"/>
      <c r="AH1529" s="153"/>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c r="BF1529" s="153"/>
      <c r="BG1529" s="153"/>
      <c r="BH1529" s="153"/>
      <c r="BI1529" s="153"/>
      <c r="BJ1529" s="153"/>
      <c r="BK1529" s="153"/>
      <c r="BL1529" s="153"/>
      <c r="BM1529" s="153"/>
      <c r="BN1529" s="153"/>
      <c r="BO1529" s="153"/>
      <c r="BP1529" s="153"/>
      <c r="BQ1529" s="153"/>
      <c r="BR1529" s="153"/>
      <c r="BS1529" s="153"/>
      <c r="BT1529" s="153"/>
      <c r="BU1529" s="153"/>
      <c r="BV1529" s="153"/>
      <c r="BW1529" s="153"/>
      <c r="BX1529" s="153"/>
      <c r="BY1529" s="153"/>
      <c r="BZ1529" s="153"/>
      <c r="CA1529" s="153"/>
      <c r="CB1529" s="153"/>
      <c r="CC1529" s="153"/>
      <c r="CD1529" s="155"/>
      <c r="CE1529" s="156"/>
      <c r="CF1529" s="155"/>
      <c r="CG1529" s="156"/>
      <c r="CH1529" s="155"/>
      <c r="CI1529" s="156"/>
      <c r="CJ1529" s="157">
        <f t="shared" si="196"/>
        <v>0</v>
      </c>
      <c r="CK1529" s="158"/>
      <c r="CL1529" s="159"/>
      <c r="CM1529" s="160"/>
      <c r="CN1529" s="161"/>
      <c r="CO1529" s="162"/>
      <c r="CP1529" s="161"/>
      <c r="CQ1529" s="158"/>
      <c r="CR1529" s="159"/>
      <c r="CS1529" s="68"/>
      <c r="CT1529" s="163"/>
      <c r="EC1529" s="344" t="str">
        <f t="shared" si="199"/>
        <v>CUNDINAMARCA_TOCANCIPA</v>
      </c>
      <c r="ED1529" s="341"/>
      <c r="EE1529" s="341"/>
      <c r="EF1529" s="348"/>
      <c r="EG1529" s="341"/>
      <c r="EH1529" s="341"/>
      <c r="EI1529" s="341"/>
    </row>
    <row r="1530" spans="1:139" s="164" customFormat="1" ht="38.25">
      <c r="A1530" s="228">
        <v>40487</v>
      </c>
      <c r="B1530" s="205" t="s">
        <v>1604</v>
      </c>
      <c r="C1530" s="205" t="s">
        <v>958</v>
      </c>
      <c r="D1530" s="207" t="s">
        <v>1201</v>
      </c>
      <c r="E1530" s="323" t="s">
        <v>3790</v>
      </c>
      <c r="F1530" s="323"/>
      <c r="G1530" s="204"/>
      <c r="H1530" s="151"/>
      <c r="I1530" s="151"/>
      <c r="J1530" s="151">
        <v>442</v>
      </c>
      <c r="K1530" s="151">
        <v>126</v>
      </c>
      <c r="L1530" s="1"/>
      <c r="M1530" s="73">
        <f t="shared" si="194"/>
        <v>0</v>
      </c>
      <c r="N1530" s="73">
        <f t="shared" si="198"/>
        <v>0</v>
      </c>
      <c r="O1530" s="73">
        <f t="shared" si="200"/>
        <v>0</v>
      </c>
      <c r="P1530" s="73">
        <f t="shared" si="195"/>
        <v>0</v>
      </c>
      <c r="Q1530" s="73"/>
      <c r="R1530" s="73">
        <v>0</v>
      </c>
      <c r="S1530" s="75">
        <f t="shared" si="197"/>
        <v>0</v>
      </c>
      <c r="T1530" s="77">
        <v>0</v>
      </c>
      <c r="U1530" s="66">
        <v>40612</v>
      </c>
      <c r="V1530" s="79"/>
      <c r="W1530" s="66" t="s">
        <v>1585</v>
      </c>
      <c r="X1530" s="24" t="s">
        <v>1586</v>
      </c>
      <c r="Y1530" s="62"/>
      <c r="Z1530" s="169" t="s">
        <v>894</v>
      </c>
      <c r="AA1530" s="166" t="s">
        <v>155</v>
      </c>
      <c r="AB1530" s="152"/>
      <c r="AC1530" s="153"/>
      <c r="AD1530" s="154"/>
      <c r="AE1530" s="153"/>
      <c r="AF1530" s="153"/>
      <c r="AG1530" s="153"/>
      <c r="AH1530" s="153"/>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c r="BF1530" s="153"/>
      <c r="BG1530" s="153"/>
      <c r="BH1530" s="153"/>
      <c r="BI1530" s="153"/>
      <c r="BJ1530" s="153"/>
      <c r="BK1530" s="153"/>
      <c r="BL1530" s="153"/>
      <c r="BM1530" s="153"/>
      <c r="BN1530" s="153"/>
      <c r="BO1530" s="153"/>
      <c r="BP1530" s="153"/>
      <c r="BQ1530" s="153"/>
      <c r="BR1530" s="153"/>
      <c r="BS1530" s="153"/>
      <c r="BT1530" s="153"/>
      <c r="BU1530" s="153"/>
      <c r="BV1530" s="153"/>
      <c r="BW1530" s="153"/>
      <c r="BX1530" s="153"/>
      <c r="BY1530" s="153"/>
      <c r="BZ1530" s="153"/>
      <c r="CA1530" s="153"/>
      <c r="CB1530" s="153"/>
      <c r="CC1530" s="153"/>
      <c r="CD1530" s="155"/>
      <c r="CE1530" s="156"/>
      <c r="CF1530" s="155"/>
      <c r="CG1530" s="156"/>
      <c r="CH1530" s="155"/>
      <c r="CI1530" s="156"/>
      <c r="CJ1530" s="157">
        <f t="shared" si="196"/>
        <v>0</v>
      </c>
      <c r="CK1530" s="158"/>
      <c r="CL1530" s="159"/>
      <c r="CM1530" s="160"/>
      <c r="CN1530" s="161"/>
      <c r="CO1530" s="162"/>
      <c r="CP1530" s="161"/>
      <c r="CQ1530" s="158"/>
      <c r="CR1530" s="159"/>
      <c r="CS1530" s="68"/>
      <c r="CT1530" s="163"/>
      <c r="EC1530" s="344" t="str">
        <f t="shared" si="199"/>
        <v>CUNDINAMARCA_YACOPI</v>
      </c>
      <c r="ED1530" s="341"/>
      <c r="EE1530" s="341"/>
      <c r="EF1530" s="348"/>
      <c r="EG1530" s="341"/>
      <c r="EH1530" s="341"/>
      <c r="EI1530" s="341"/>
    </row>
    <row r="1531" spans="1:139" s="164" customFormat="1" ht="25.5">
      <c r="A1531" s="228">
        <v>40487</v>
      </c>
      <c r="B1531" s="205" t="s">
        <v>962</v>
      </c>
      <c r="C1531" s="205" t="s">
        <v>2631</v>
      </c>
      <c r="D1531" s="206" t="s">
        <v>1878</v>
      </c>
      <c r="E1531" s="320" t="s">
        <v>3836</v>
      </c>
      <c r="F1531" s="320"/>
      <c r="G1531" s="204"/>
      <c r="H1531" s="151"/>
      <c r="I1531" s="151"/>
      <c r="J1531" s="151">
        <v>175</v>
      </c>
      <c r="K1531" s="151">
        <v>35</v>
      </c>
      <c r="L1531" s="1"/>
      <c r="M1531" s="73">
        <f t="shared" si="194"/>
        <v>0</v>
      </c>
      <c r="N1531" s="73">
        <f t="shared" si="198"/>
        <v>0</v>
      </c>
      <c r="O1531" s="73">
        <f t="shared" si="200"/>
        <v>0</v>
      </c>
      <c r="P1531" s="73">
        <f t="shared" si="195"/>
        <v>0</v>
      </c>
      <c r="Q1531" s="73"/>
      <c r="R1531" s="73">
        <v>0</v>
      </c>
      <c r="S1531" s="75">
        <f t="shared" si="197"/>
        <v>0</v>
      </c>
      <c r="T1531" s="77">
        <v>0</v>
      </c>
      <c r="U1531" s="66">
        <v>40490</v>
      </c>
      <c r="V1531" s="79"/>
      <c r="W1531" s="66" t="s">
        <v>1585</v>
      </c>
      <c r="X1531" s="24" t="s">
        <v>1586</v>
      </c>
      <c r="Y1531" s="62"/>
      <c r="Z1531" s="169" t="s">
        <v>894</v>
      </c>
      <c r="AA1531" s="166" t="s">
        <v>2632</v>
      </c>
      <c r="AB1531" s="152"/>
      <c r="AC1531" s="153"/>
      <c r="AD1531" s="154"/>
      <c r="AE1531" s="153"/>
      <c r="AF1531" s="153"/>
      <c r="AG1531" s="153"/>
      <c r="AH1531" s="153"/>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c r="BF1531" s="153"/>
      <c r="BG1531" s="153"/>
      <c r="BH1531" s="153"/>
      <c r="BI1531" s="153"/>
      <c r="BJ1531" s="153"/>
      <c r="BK1531" s="153"/>
      <c r="BL1531" s="153"/>
      <c r="BM1531" s="153"/>
      <c r="BN1531" s="153"/>
      <c r="BO1531" s="153"/>
      <c r="BP1531" s="153"/>
      <c r="BQ1531" s="153"/>
      <c r="BR1531" s="153"/>
      <c r="BS1531" s="153"/>
      <c r="BT1531" s="153"/>
      <c r="BU1531" s="153"/>
      <c r="BV1531" s="153"/>
      <c r="BW1531" s="153"/>
      <c r="BX1531" s="153"/>
      <c r="BY1531" s="153"/>
      <c r="BZ1531" s="153"/>
      <c r="CA1531" s="153"/>
      <c r="CB1531" s="153"/>
      <c r="CC1531" s="153"/>
      <c r="CD1531" s="155"/>
      <c r="CE1531" s="156"/>
      <c r="CF1531" s="155"/>
      <c r="CG1531" s="156"/>
      <c r="CH1531" s="155"/>
      <c r="CI1531" s="156"/>
      <c r="CJ1531" s="157">
        <f t="shared" si="196"/>
        <v>0</v>
      </c>
      <c r="CK1531" s="158"/>
      <c r="CL1531" s="159"/>
      <c r="CM1531" s="160"/>
      <c r="CN1531" s="161"/>
      <c r="CO1531" s="162"/>
      <c r="CP1531" s="161"/>
      <c r="CQ1531" s="158"/>
      <c r="CR1531" s="159"/>
      <c r="CS1531" s="68"/>
      <c r="CT1531" s="163"/>
      <c r="EC1531" s="344" t="str">
        <f t="shared" si="199"/>
        <v>HUILA_HOBO</v>
      </c>
      <c r="ED1531" s="341"/>
      <c r="EE1531" s="341"/>
      <c r="EF1531" s="348"/>
      <c r="EG1531" s="341"/>
      <c r="EH1531" s="341"/>
      <c r="EI1531" s="341"/>
    </row>
    <row r="1532" spans="1:139" s="164" customFormat="1" ht="72">
      <c r="A1532" s="228">
        <v>40487</v>
      </c>
      <c r="B1532" s="102" t="s">
        <v>1609</v>
      </c>
      <c r="C1532" s="205" t="s">
        <v>742</v>
      </c>
      <c r="D1532" s="206" t="s">
        <v>1878</v>
      </c>
      <c r="E1532" s="320" t="s">
        <v>4052</v>
      </c>
      <c r="F1532" s="320"/>
      <c r="G1532" s="204"/>
      <c r="H1532" s="151"/>
      <c r="I1532" s="151"/>
      <c r="J1532" s="151"/>
      <c r="K1532" s="151"/>
      <c r="L1532" s="1"/>
      <c r="M1532" s="73">
        <f t="shared" si="194"/>
        <v>0</v>
      </c>
      <c r="N1532" s="73">
        <f t="shared" si="198"/>
        <v>0</v>
      </c>
      <c r="O1532" s="73">
        <f t="shared" si="200"/>
        <v>0</v>
      </c>
      <c r="P1532" s="73">
        <f t="shared" si="195"/>
        <v>0</v>
      </c>
      <c r="Q1532" s="73">
        <f>8*371200+2*730800</f>
        <v>4431200</v>
      </c>
      <c r="R1532" s="73">
        <v>0</v>
      </c>
      <c r="S1532" s="75">
        <f t="shared" si="197"/>
        <v>4431200</v>
      </c>
      <c r="T1532" s="77">
        <v>0</v>
      </c>
      <c r="U1532" s="66">
        <v>40490</v>
      </c>
      <c r="V1532" s="79"/>
      <c r="W1532" s="66" t="s">
        <v>1606</v>
      </c>
      <c r="X1532" s="24" t="s">
        <v>1607</v>
      </c>
      <c r="Y1532" s="62"/>
      <c r="Z1532" s="177" t="s">
        <v>2580</v>
      </c>
      <c r="AA1532" s="166" t="s">
        <v>19</v>
      </c>
      <c r="AB1532" s="152"/>
      <c r="AC1532" s="153"/>
      <c r="AD1532" s="154"/>
      <c r="AE1532" s="153"/>
      <c r="AF1532" s="153"/>
      <c r="AG1532" s="153"/>
      <c r="AH1532" s="153"/>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c r="BF1532" s="153"/>
      <c r="BG1532" s="153"/>
      <c r="BH1532" s="153"/>
      <c r="BI1532" s="153"/>
      <c r="BJ1532" s="153"/>
      <c r="BK1532" s="153"/>
      <c r="BL1532" s="153"/>
      <c r="BM1532" s="153"/>
      <c r="BN1532" s="153"/>
      <c r="BO1532" s="153"/>
      <c r="BP1532" s="153"/>
      <c r="BQ1532" s="153"/>
      <c r="BR1532" s="153"/>
      <c r="BS1532" s="153"/>
      <c r="BT1532" s="153"/>
      <c r="BU1532" s="153"/>
      <c r="BV1532" s="153"/>
      <c r="BW1532" s="153"/>
      <c r="BX1532" s="153"/>
      <c r="BY1532" s="153"/>
      <c r="BZ1532" s="153"/>
      <c r="CA1532" s="153"/>
      <c r="CB1532" s="153"/>
      <c r="CC1532" s="153"/>
      <c r="CD1532" s="155"/>
      <c r="CE1532" s="156"/>
      <c r="CF1532" s="155"/>
      <c r="CG1532" s="156"/>
      <c r="CH1532" s="155"/>
      <c r="CI1532" s="156"/>
      <c r="CJ1532" s="157">
        <f t="shared" si="196"/>
        <v>0</v>
      </c>
      <c r="CK1532" s="158"/>
      <c r="CL1532" s="159"/>
      <c r="CM1532" s="160"/>
      <c r="CN1532" s="161"/>
      <c r="CO1532" s="162"/>
      <c r="CP1532" s="161"/>
      <c r="CQ1532" s="158"/>
      <c r="CR1532" s="159"/>
      <c r="CS1532" s="68"/>
      <c r="CT1532" s="163"/>
      <c r="EC1532" s="344" t="str">
        <f t="shared" si="199"/>
        <v>RISARALDA_BALBOA</v>
      </c>
      <c r="ED1532" s="341"/>
      <c r="EE1532" s="341"/>
      <c r="EF1532" s="348"/>
      <c r="EG1532" s="341"/>
      <c r="EH1532" s="341"/>
      <c r="EI1532" s="341"/>
    </row>
    <row r="1533" spans="1:139" s="164" customFormat="1" ht="51">
      <c r="A1533" s="228">
        <v>40487</v>
      </c>
      <c r="B1533" s="102" t="s">
        <v>1609</v>
      </c>
      <c r="C1533" s="205" t="s">
        <v>1708</v>
      </c>
      <c r="D1533" s="207" t="s">
        <v>2606</v>
      </c>
      <c r="E1533" s="323" t="s">
        <v>4062</v>
      </c>
      <c r="F1533" s="323"/>
      <c r="G1533" s="204"/>
      <c r="H1533" s="151"/>
      <c r="I1533" s="151"/>
      <c r="J1533" s="151">
        <v>15</v>
      </c>
      <c r="K1533" s="151">
        <v>3</v>
      </c>
      <c r="L1533" s="1"/>
      <c r="M1533" s="73">
        <f t="shared" si="194"/>
        <v>0</v>
      </c>
      <c r="N1533" s="73">
        <f t="shared" si="198"/>
        <v>0</v>
      </c>
      <c r="O1533" s="73">
        <f t="shared" si="200"/>
        <v>0</v>
      </c>
      <c r="P1533" s="73">
        <f t="shared" si="195"/>
        <v>0</v>
      </c>
      <c r="Q1533" s="73"/>
      <c r="R1533" s="73">
        <v>0</v>
      </c>
      <c r="S1533" s="75">
        <f t="shared" si="197"/>
        <v>0</v>
      </c>
      <c r="T1533" s="77">
        <v>0</v>
      </c>
      <c r="U1533" s="66">
        <v>40490</v>
      </c>
      <c r="V1533" s="79"/>
      <c r="W1533" s="66" t="s">
        <v>1585</v>
      </c>
      <c r="X1533" s="24" t="s">
        <v>1586</v>
      </c>
      <c r="Y1533" s="62"/>
      <c r="Z1533" s="169" t="s">
        <v>894</v>
      </c>
      <c r="AA1533" s="166" t="s">
        <v>2633</v>
      </c>
      <c r="AB1533" s="152"/>
      <c r="AC1533" s="153"/>
      <c r="AD1533" s="154"/>
      <c r="AE1533" s="153"/>
      <c r="AF1533" s="153"/>
      <c r="AG1533" s="153"/>
      <c r="AH1533" s="153"/>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c r="BF1533" s="153"/>
      <c r="BG1533" s="153"/>
      <c r="BH1533" s="153"/>
      <c r="BI1533" s="153"/>
      <c r="BJ1533" s="153"/>
      <c r="BK1533" s="153"/>
      <c r="BL1533" s="153"/>
      <c r="BM1533" s="153"/>
      <c r="BN1533" s="153"/>
      <c r="BO1533" s="153"/>
      <c r="BP1533" s="153"/>
      <c r="BQ1533" s="153"/>
      <c r="BR1533" s="153"/>
      <c r="BS1533" s="153"/>
      <c r="BT1533" s="153"/>
      <c r="BU1533" s="153"/>
      <c r="BV1533" s="153"/>
      <c r="BW1533" s="153"/>
      <c r="BX1533" s="153"/>
      <c r="BY1533" s="153"/>
      <c r="BZ1533" s="153"/>
      <c r="CA1533" s="153"/>
      <c r="CB1533" s="153"/>
      <c r="CC1533" s="153"/>
      <c r="CD1533" s="155"/>
      <c r="CE1533" s="156"/>
      <c r="CF1533" s="155"/>
      <c r="CG1533" s="156"/>
      <c r="CH1533" s="155"/>
      <c r="CI1533" s="156"/>
      <c r="CJ1533" s="157">
        <f t="shared" si="196"/>
        <v>0</v>
      </c>
      <c r="CK1533" s="158"/>
      <c r="CL1533" s="159"/>
      <c r="CM1533" s="160"/>
      <c r="CN1533" s="161"/>
      <c r="CO1533" s="162"/>
      <c r="CP1533" s="161"/>
      <c r="CQ1533" s="158"/>
      <c r="CR1533" s="159"/>
      <c r="CS1533" s="68"/>
      <c r="CT1533" s="163"/>
      <c r="EC1533" s="344" t="str">
        <f t="shared" si="199"/>
        <v>RISARALDA_SANTA ROSA DE CABAL</v>
      </c>
      <c r="ED1533" s="341"/>
      <c r="EE1533" s="341"/>
      <c r="EF1533" s="348"/>
      <c r="EG1533" s="341"/>
      <c r="EH1533" s="341"/>
      <c r="EI1533" s="341"/>
    </row>
    <row r="1534" spans="1:139" s="164" customFormat="1" ht="108">
      <c r="A1534" s="228">
        <v>40488</v>
      </c>
      <c r="B1534" s="205" t="s">
        <v>1314</v>
      </c>
      <c r="C1534" s="205" t="s">
        <v>742</v>
      </c>
      <c r="D1534" s="207" t="s">
        <v>1201</v>
      </c>
      <c r="E1534" s="323" t="s">
        <v>3589</v>
      </c>
      <c r="F1534" s="323"/>
      <c r="G1534" s="204"/>
      <c r="H1534" s="151"/>
      <c r="I1534" s="151"/>
      <c r="J1534" s="151">
        <f>108*5</f>
        <v>540</v>
      </c>
      <c r="K1534" s="151">
        <v>108</v>
      </c>
      <c r="L1534" s="1"/>
      <c r="M1534" s="73">
        <f t="shared" si="194"/>
        <v>0</v>
      </c>
      <c r="N1534" s="73">
        <f t="shared" si="198"/>
        <v>0</v>
      </c>
      <c r="O1534" s="73">
        <f t="shared" si="200"/>
        <v>0</v>
      </c>
      <c r="P1534" s="73">
        <f t="shared" si="195"/>
        <v>0</v>
      </c>
      <c r="Q1534" s="73"/>
      <c r="R1534" s="73">
        <v>0</v>
      </c>
      <c r="S1534" s="75">
        <f t="shared" si="197"/>
        <v>0</v>
      </c>
      <c r="T1534" s="77">
        <v>0</v>
      </c>
      <c r="U1534" s="66">
        <v>40490</v>
      </c>
      <c r="V1534" s="79"/>
      <c r="W1534" s="66" t="s">
        <v>1585</v>
      </c>
      <c r="X1534" s="24" t="s">
        <v>1586</v>
      </c>
      <c r="Y1534" s="62"/>
      <c r="Z1534" s="169" t="s">
        <v>894</v>
      </c>
      <c r="AA1534" s="166" t="s">
        <v>2936</v>
      </c>
      <c r="AB1534" s="152"/>
      <c r="AC1534" s="153"/>
      <c r="AD1534" s="154"/>
      <c r="AE1534" s="153"/>
      <c r="AF1534" s="153"/>
      <c r="AG1534" s="153"/>
      <c r="AH1534" s="153"/>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c r="BF1534" s="153"/>
      <c r="BG1534" s="153"/>
      <c r="BH1534" s="153"/>
      <c r="BI1534" s="153"/>
      <c r="BJ1534" s="153"/>
      <c r="BK1534" s="153"/>
      <c r="BL1534" s="153"/>
      <c r="BM1534" s="153"/>
      <c r="BN1534" s="153"/>
      <c r="BO1534" s="153"/>
      <c r="BP1534" s="153"/>
      <c r="BQ1534" s="153"/>
      <c r="BR1534" s="153"/>
      <c r="BS1534" s="153"/>
      <c r="BT1534" s="153"/>
      <c r="BU1534" s="153"/>
      <c r="BV1534" s="153"/>
      <c r="BW1534" s="153"/>
      <c r="BX1534" s="153"/>
      <c r="BY1534" s="153"/>
      <c r="BZ1534" s="153"/>
      <c r="CA1534" s="153"/>
      <c r="CB1534" s="153"/>
      <c r="CC1534" s="153"/>
      <c r="CD1534" s="155"/>
      <c r="CE1534" s="156"/>
      <c r="CF1534" s="155"/>
      <c r="CG1534" s="156"/>
      <c r="CH1534" s="155"/>
      <c r="CI1534" s="156"/>
      <c r="CJ1534" s="157">
        <f t="shared" si="196"/>
        <v>0</v>
      </c>
      <c r="CK1534" s="158"/>
      <c r="CL1534" s="159"/>
      <c r="CM1534" s="160"/>
      <c r="CN1534" s="161"/>
      <c r="CO1534" s="162"/>
      <c r="CP1534" s="161"/>
      <c r="CQ1534" s="158"/>
      <c r="CR1534" s="159"/>
      <c r="CS1534" s="68"/>
      <c r="CT1534" s="163"/>
      <c r="EC1534" s="344" t="str">
        <f t="shared" si="199"/>
        <v>CAUCA_BALBOA</v>
      </c>
      <c r="ED1534" s="341"/>
      <c r="EE1534" s="341"/>
      <c r="EF1534" s="348"/>
      <c r="EG1534" s="341"/>
      <c r="EH1534" s="341"/>
      <c r="EI1534" s="341"/>
    </row>
    <row r="1535" spans="1:139" s="164" customFormat="1" ht="25.5">
      <c r="A1535" s="228">
        <v>40488</v>
      </c>
      <c r="B1535" s="205" t="s">
        <v>1314</v>
      </c>
      <c r="C1535" s="205" t="s">
        <v>2638</v>
      </c>
      <c r="D1535" s="207" t="s">
        <v>1201</v>
      </c>
      <c r="E1535" s="323" t="s">
        <v>3610</v>
      </c>
      <c r="F1535" s="323"/>
      <c r="G1535" s="204"/>
      <c r="H1535" s="151"/>
      <c r="I1535" s="151"/>
      <c r="J1535" s="151">
        <f>1563*5</f>
        <v>7815</v>
      </c>
      <c r="K1535" s="151">
        <f>1580-17</f>
        <v>1563</v>
      </c>
      <c r="L1535" s="1"/>
      <c r="M1535" s="73">
        <f t="shared" si="194"/>
        <v>0</v>
      </c>
      <c r="N1535" s="73">
        <f t="shared" si="198"/>
        <v>0</v>
      </c>
      <c r="O1535" s="73">
        <f t="shared" si="200"/>
        <v>0</v>
      </c>
      <c r="P1535" s="73">
        <f t="shared" si="195"/>
        <v>0</v>
      </c>
      <c r="Q1535" s="73"/>
      <c r="R1535" s="73">
        <v>0</v>
      </c>
      <c r="S1535" s="75">
        <f t="shared" si="197"/>
        <v>0</v>
      </c>
      <c r="T1535" s="77">
        <v>0</v>
      </c>
      <c r="U1535" s="66">
        <v>40490</v>
      </c>
      <c r="V1535" s="79"/>
      <c r="W1535" s="66" t="s">
        <v>1585</v>
      </c>
      <c r="X1535" s="24" t="s">
        <v>1586</v>
      </c>
      <c r="Y1535" s="62"/>
      <c r="Z1535" s="169" t="s">
        <v>894</v>
      </c>
      <c r="AA1535" s="166" t="s">
        <v>2639</v>
      </c>
      <c r="AB1535" s="152"/>
      <c r="AC1535" s="153"/>
      <c r="AD1535" s="154"/>
      <c r="AE1535" s="153"/>
      <c r="AF1535" s="153"/>
      <c r="AG1535" s="153"/>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c r="BF1535" s="153"/>
      <c r="BG1535" s="153"/>
      <c r="BH1535" s="153"/>
      <c r="BI1535" s="153"/>
      <c r="BJ1535" s="153"/>
      <c r="BK1535" s="153"/>
      <c r="BL1535" s="153"/>
      <c r="BM1535" s="153"/>
      <c r="BN1535" s="153"/>
      <c r="BO1535" s="153"/>
      <c r="BP1535" s="153"/>
      <c r="BQ1535" s="153"/>
      <c r="BR1535" s="153"/>
      <c r="BS1535" s="153"/>
      <c r="BT1535" s="153"/>
      <c r="BU1535" s="153"/>
      <c r="BV1535" s="153"/>
      <c r="BW1535" s="153"/>
      <c r="BX1535" s="153"/>
      <c r="BY1535" s="153"/>
      <c r="BZ1535" s="153"/>
      <c r="CA1535" s="153"/>
      <c r="CB1535" s="153"/>
      <c r="CC1535" s="153"/>
      <c r="CD1535" s="155"/>
      <c r="CE1535" s="156"/>
      <c r="CF1535" s="155"/>
      <c r="CG1535" s="156"/>
      <c r="CH1535" s="155"/>
      <c r="CI1535" s="156"/>
      <c r="CJ1535" s="157">
        <f t="shared" si="196"/>
        <v>0</v>
      </c>
      <c r="CK1535" s="158"/>
      <c r="CL1535" s="159"/>
      <c r="CM1535" s="160"/>
      <c r="CN1535" s="161"/>
      <c r="CO1535" s="162"/>
      <c r="CP1535" s="161"/>
      <c r="CQ1535" s="158"/>
      <c r="CR1535" s="159"/>
      <c r="CS1535" s="68"/>
      <c r="CT1535" s="163"/>
      <c r="EC1535" s="344" t="str">
        <f t="shared" si="199"/>
        <v>CAUCA_PATIA</v>
      </c>
      <c r="ED1535" s="341"/>
      <c r="EE1535" s="341"/>
      <c r="EF1535" s="348"/>
      <c r="EG1535" s="341"/>
      <c r="EH1535" s="341"/>
      <c r="EI1535" s="341"/>
    </row>
    <row r="1536" spans="1:139" s="164" customFormat="1" ht="25.5">
      <c r="A1536" s="228">
        <v>40488</v>
      </c>
      <c r="B1536" s="205" t="s">
        <v>1821</v>
      </c>
      <c r="C1536" s="205" t="s">
        <v>1753</v>
      </c>
      <c r="D1536" s="207" t="s">
        <v>1201</v>
      </c>
      <c r="E1536" s="323" t="s">
        <v>3641</v>
      </c>
      <c r="F1536" s="323"/>
      <c r="G1536" s="204">
        <v>1</v>
      </c>
      <c r="H1536" s="151"/>
      <c r="I1536" s="151"/>
      <c r="J1536" s="151"/>
      <c r="K1536" s="151"/>
      <c r="L1536" s="1"/>
      <c r="M1536" s="73">
        <f t="shared" si="194"/>
        <v>0</v>
      </c>
      <c r="N1536" s="73">
        <f t="shared" si="198"/>
        <v>0</v>
      </c>
      <c r="O1536" s="73">
        <f t="shared" si="200"/>
        <v>0</v>
      </c>
      <c r="P1536" s="73">
        <f t="shared" si="195"/>
        <v>0</v>
      </c>
      <c r="Q1536" s="73"/>
      <c r="R1536" s="73">
        <v>0</v>
      </c>
      <c r="S1536" s="75">
        <f t="shared" si="197"/>
        <v>0</v>
      </c>
      <c r="T1536" s="77">
        <v>0</v>
      </c>
      <c r="U1536" s="66">
        <v>40490</v>
      </c>
      <c r="V1536" s="79"/>
      <c r="W1536" s="66" t="s">
        <v>1585</v>
      </c>
      <c r="X1536" s="24" t="s">
        <v>1586</v>
      </c>
      <c r="Y1536" s="62"/>
      <c r="Z1536" s="169" t="s">
        <v>894</v>
      </c>
      <c r="AA1536" s="166" t="s">
        <v>2648</v>
      </c>
      <c r="AB1536" s="152"/>
      <c r="AC1536" s="153"/>
      <c r="AD1536" s="154"/>
      <c r="AE1536" s="153"/>
      <c r="AF1536" s="153"/>
      <c r="AG1536" s="153"/>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c r="BF1536" s="153"/>
      <c r="BG1536" s="153"/>
      <c r="BH1536" s="153"/>
      <c r="BI1536" s="153"/>
      <c r="BJ1536" s="153"/>
      <c r="BK1536" s="153"/>
      <c r="BL1536" s="153"/>
      <c r="BM1536" s="153"/>
      <c r="BN1536" s="153"/>
      <c r="BO1536" s="153"/>
      <c r="BP1536" s="153"/>
      <c r="BQ1536" s="153"/>
      <c r="BR1536" s="153"/>
      <c r="BS1536" s="153"/>
      <c r="BT1536" s="153"/>
      <c r="BU1536" s="153"/>
      <c r="BV1536" s="153"/>
      <c r="BW1536" s="153"/>
      <c r="BX1536" s="153"/>
      <c r="BY1536" s="153"/>
      <c r="BZ1536" s="153"/>
      <c r="CA1536" s="153"/>
      <c r="CB1536" s="153"/>
      <c r="CC1536" s="153"/>
      <c r="CD1536" s="155"/>
      <c r="CE1536" s="156"/>
      <c r="CF1536" s="155"/>
      <c r="CG1536" s="156"/>
      <c r="CH1536" s="155"/>
      <c r="CI1536" s="156"/>
      <c r="CJ1536" s="157">
        <f t="shared" si="196"/>
        <v>0</v>
      </c>
      <c r="CK1536" s="158"/>
      <c r="CL1536" s="159"/>
      <c r="CM1536" s="160"/>
      <c r="CN1536" s="161"/>
      <c r="CO1536" s="162"/>
      <c r="CP1536" s="161"/>
      <c r="CQ1536" s="158"/>
      <c r="CR1536" s="159"/>
      <c r="CS1536" s="68"/>
      <c r="CT1536" s="163"/>
      <c r="EC1536" s="344" t="str">
        <f t="shared" si="199"/>
        <v>CESAR_LA GLORIA</v>
      </c>
      <c r="ED1536" s="341"/>
      <c r="EE1536" s="341"/>
      <c r="EF1536" s="348"/>
      <c r="EG1536" s="341"/>
      <c r="EH1536" s="341"/>
      <c r="EI1536" s="341"/>
    </row>
    <row r="1537" spans="1:139" s="164" customFormat="1" ht="38.25">
      <c r="A1537" s="228">
        <v>40488</v>
      </c>
      <c r="B1537" s="205" t="s">
        <v>1604</v>
      </c>
      <c r="C1537" s="205" t="s">
        <v>1009</v>
      </c>
      <c r="D1537" s="207" t="s">
        <v>1201</v>
      </c>
      <c r="E1537" s="323" t="s">
        <v>3709</v>
      </c>
      <c r="F1537" s="323"/>
      <c r="G1537" s="204"/>
      <c r="H1537" s="151"/>
      <c r="I1537" s="151"/>
      <c r="J1537" s="151">
        <v>15</v>
      </c>
      <c r="K1537" s="151">
        <v>3</v>
      </c>
      <c r="L1537" s="1"/>
      <c r="M1537" s="73">
        <f t="shared" si="194"/>
        <v>0</v>
      </c>
      <c r="N1537" s="73">
        <f t="shared" si="198"/>
        <v>0</v>
      </c>
      <c r="O1537" s="73">
        <f t="shared" si="200"/>
        <v>0</v>
      </c>
      <c r="P1537" s="73">
        <f t="shared" si="195"/>
        <v>0</v>
      </c>
      <c r="Q1537" s="73"/>
      <c r="R1537" s="73">
        <v>0</v>
      </c>
      <c r="S1537" s="75">
        <f t="shared" si="197"/>
        <v>0</v>
      </c>
      <c r="T1537" s="77">
        <v>0</v>
      </c>
      <c r="U1537" s="66">
        <v>40492</v>
      </c>
      <c r="V1537" s="79"/>
      <c r="W1537" s="66" t="s">
        <v>1585</v>
      </c>
      <c r="X1537" s="24" t="s">
        <v>1586</v>
      </c>
      <c r="Y1537" s="62"/>
      <c r="Z1537" s="169" t="s">
        <v>894</v>
      </c>
      <c r="AA1537" s="166" t="s">
        <v>2688</v>
      </c>
      <c r="AB1537" s="152"/>
      <c r="AC1537" s="153"/>
      <c r="AD1537" s="154"/>
      <c r="AE1537" s="153"/>
      <c r="AF1537" s="153"/>
      <c r="AG1537" s="153"/>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c r="BF1537" s="153"/>
      <c r="BG1537" s="153"/>
      <c r="BH1537" s="153"/>
      <c r="BI1537" s="153"/>
      <c r="BJ1537" s="153"/>
      <c r="BK1537" s="153"/>
      <c r="BL1537" s="153"/>
      <c r="BM1537" s="153"/>
      <c r="BN1537" s="153"/>
      <c r="BO1537" s="153"/>
      <c r="BP1537" s="153"/>
      <c r="BQ1537" s="153"/>
      <c r="BR1537" s="153"/>
      <c r="BS1537" s="153"/>
      <c r="BT1537" s="153"/>
      <c r="BU1537" s="153"/>
      <c r="BV1537" s="153"/>
      <c r="BW1537" s="153"/>
      <c r="BX1537" s="153"/>
      <c r="BY1537" s="153"/>
      <c r="BZ1537" s="153"/>
      <c r="CA1537" s="153"/>
      <c r="CB1537" s="153"/>
      <c r="CC1537" s="153"/>
      <c r="CD1537" s="155"/>
      <c r="CE1537" s="156"/>
      <c r="CF1537" s="155"/>
      <c r="CG1537" s="156"/>
      <c r="CH1537" s="155"/>
      <c r="CI1537" s="156"/>
      <c r="CJ1537" s="157">
        <f t="shared" si="196"/>
        <v>0</v>
      </c>
      <c r="CK1537" s="158"/>
      <c r="CL1537" s="159"/>
      <c r="CM1537" s="160"/>
      <c r="CN1537" s="161"/>
      <c r="CO1537" s="162"/>
      <c r="CP1537" s="161"/>
      <c r="CQ1537" s="158"/>
      <c r="CR1537" s="159"/>
      <c r="CS1537" s="68"/>
      <c r="CT1537" s="163"/>
      <c r="EC1537" s="344" t="str">
        <f t="shared" si="199"/>
        <v>CUNDINAMARCA_FUSAGASUGA</v>
      </c>
      <c r="ED1537" s="341"/>
      <c r="EE1537" s="341"/>
      <c r="EF1537" s="348"/>
      <c r="EG1537" s="341"/>
      <c r="EH1537" s="341"/>
      <c r="EI1537" s="341"/>
    </row>
    <row r="1538" spans="1:139" s="164" customFormat="1" ht="38.25">
      <c r="A1538" s="228">
        <v>40488</v>
      </c>
      <c r="B1538" s="205" t="s">
        <v>1604</v>
      </c>
      <c r="C1538" s="205" t="s">
        <v>739</v>
      </c>
      <c r="D1538" s="206" t="s">
        <v>1878</v>
      </c>
      <c r="E1538" s="320" t="s">
        <v>3716</v>
      </c>
      <c r="F1538" s="320"/>
      <c r="G1538" s="204"/>
      <c r="H1538" s="151"/>
      <c r="I1538" s="151"/>
      <c r="J1538" s="151">
        <v>28</v>
      </c>
      <c r="K1538" s="151">
        <v>6</v>
      </c>
      <c r="L1538" s="1"/>
      <c r="M1538" s="73">
        <f t="shared" si="194"/>
        <v>0</v>
      </c>
      <c r="N1538" s="73">
        <f t="shared" si="198"/>
        <v>0</v>
      </c>
      <c r="O1538" s="73">
        <f t="shared" si="200"/>
        <v>0</v>
      </c>
      <c r="P1538" s="73">
        <f t="shared" si="195"/>
        <v>0</v>
      </c>
      <c r="Q1538" s="73"/>
      <c r="R1538" s="73">
        <v>0</v>
      </c>
      <c r="S1538" s="75">
        <f t="shared" si="197"/>
        <v>0</v>
      </c>
      <c r="T1538" s="77">
        <v>0</v>
      </c>
      <c r="U1538" s="66">
        <v>40492</v>
      </c>
      <c r="V1538" s="79"/>
      <c r="W1538" s="66" t="s">
        <v>1585</v>
      </c>
      <c r="X1538" s="24" t="s">
        <v>1586</v>
      </c>
      <c r="Y1538" s="62"/>
      <c r="Z1538" s="169" t="s">
        <v>894</v>
      </c>
      <c r="AA1538" s="166" t="s">
        <v>2687</v>
      </c>
      <c r="AB1538" s="152"/>
      <c r="AC1538" s="153"/>
      <c r="AD1538" s="154"/>
      <c r="AE1538" s="153"/>
      <c r="AF1538" s="153"/>
      <c r="AG1538" s="153"/>
      <c r="AH1538" s="153"/>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c r="BF1538" s="153"/>
      <c r="BG1538" s="153"/>
      <c r="BH1538" s="153"/>
      <c r="BI1538" s="153"/>
      <c r="BJ1538" s="153"/>
      <c r="BK1538" s="153"/>
      <c r="BL1538" s="153"/>
      <c r="BM1538" s="153"/>
      <c r="BN1538" s="153"/>
      <c r="BO1538" s="153"/>
      <c r="BP1538" s="153"/>
      <c r="BQ1538" s="153"/>
      <c r="BR1538" s="153"/>
      <c r="BS1538" s="153"/>
      <c r="BT1538" s="153"/>
      <c r="BU1538" s="153"/>
      <c r="BV1538" s="153"/>
      <c r="BW1538" s="153"/>
      <c r="BX1538" s="153"/>
      <c r="BY1538" s="153"/>
      <c r="BZ1538" s="153"/>
      <c r="CA1538" s="153"/>
      <c r="CB1538" s="153"/>
      <c r="CC1538" s="153"/>
      <c r="CD1538" s="155"/>
      <c r="CE1538" s="156"/>
      <c r="CF1538" s="155"/>
      <c r="CG1538" s="156"/>
      <c r="CH1538" s="155"/>
      <c r="CI1538" s="156"/>
      <c r="CJ1538" s="157">
        <f t="shared" si="196"/>
        <v>0</v>
      </c>
      <c r="CK1538" s="158"/>
      <c r="CL1538" s="159"/>
      <c r="CM1538" s="160"/>
      <c r="CN1538" s="161"/>
      <c r="CO1538" s="162"/>
      <c r="CP1538" s="161"/>
      <c r="CQ1538" s="158"/>
      <c r="CR1538" s="159"/>
      <c r="CS1538" s="68"/>
      <c r="CT1538" s="163"/>
      <c r="EC1538" s="344" t="str">
        <f t="shared" si="199"/>
        <v>CUNDINAMARCA_GUADUAS</v>
      </c>
      <c r="ED1538" s="341"/>
      <c r="EE1538" s="341"/>
      <c r="EF1538" s="348"/>
      <c r="EG1538" s="341"/>
      <c r="EH1538" s="341"/>
      <c r="EI1538" s="341"/>
    </row>
    <row r="1539" spans="1:139" s="164" customFormat="1" ht="51">
      <c r="A1539" s="228">
        <v>40488</v>
      </c>
      <c r="B1539" s="205" t="s">
        <v>1604</v>
      </c>
      <c r="C1539" s="205" t="s">
        <v>951</v>
      </c>
      <c r="D1539" s="207" t="s">
        <v>1201</v>
      </c>
      <c r="E1539" s="323" t="s">
        <v>3747</v>
      </c>
      <c r="F1539" s="323"/>
      <c r="G1539" s="204"/>
      <c r="H1539" s="151"/>
      <c r="I1539" s="151"/>
      <c r="J1539" s="151">
        <v>400</v>
      </c>
      <c r="K1539" s="151">
        <v>200</v>
      </c>
      <c r="L1539" s="1"/>
      <c r="M1539" s="73">
        <f t="shared" ref="M1539:M1602" si="201">CJ1539</f>
        <v>0</v>
      </c>
      <c r="N1539" s="73">
        <f t="shared" si="198"/>
        <v>0</v>
      </c>
      <c r="O1539" s="73">
        <f t="shared" si="200"/>
        <v>0</v>
      </c>
      <c r="P1539" s="73">
        <f t="shared" ref="P1539:P1602" si="202">CL1539</f>
        <v>0</v>
      </c>
      <c r="Q1539" s="73"/>
      <c r="R1539" s="73">
        <v>0</v>
      </c>
      <c r="S1539" s="75">
        <f t="shared" si="197"/>
        <v>0</v>
      </c>
      <c r="T1539" s="77">
        <v>0</v>
      </c>
      <c r="U1539" s="66">
        <v>40492</v>
      </c>
      <c r="V1539" s="79"/>
      <c r="W1539" s="66" t="s">
        <v>1585</v>
      </c>
      <c r="X1539" s="24" t="s">
        <v>1586</v>
      </c>
      <c r="Y1539" s="62"/>
      <c r="Z1539" s="169" t="s">
        <v>894</v>
      </c>
      <c r="AA1539" s="166" t="s">
        <v>2898</v>
      </c>
      <c r="AB1539" s="152"/>
      <c r="AC1539" s="153"/>
      <c r="AD1539" s="154"/>
      <c r="AE1539" s="153"/>
      <c r="AF1539" s="153"/>
      <c r="AG1539" s="153"/>
      <c r="AH1539" s="153"/>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c r="BF1539" s="153"/>
      <c r="BG1539" s="153"/>
      <c r="BH1539" s="153"/>
      <c r="BI1539" s="153"/>
      <c r="BJ1539" s="153"/>
      <c r="BK1539" s="153"/>
      <c r="BL1539" s="153"/>
      <c r="BM1539" s="153"/>
      <c r="BN1539" s="153"/>
      <c r="BO1539" s="153"/>
      <c r="BP1539" s="153"/>
      <c r="BQ1539" s="153"/>
      <c r="BR1539" s="153"/>
      <c r="BS1539" s="153"/>
      <c r="BT1539" s="153"/>
      <c r="BU1539" s="153"/>
      <c r="BV1539" s="153"/>
      <c r="BW1539" s="153"/>
      <c r="BX1539" s="153"/>
      <c r="BY1539" s="153"/>
      <c r="BZ1539" s="153"/>
      <c r="CA1539" s="153"/>
      <c r="CB1539" s="153"/>
      <c r="CC1539" s="153"/>
      <c r="CD1539" s="155"/>
      <c r="CE1539" s="156"/>
      <c r="CF1539" s="155"/>
      <c r="CG1539" s="156"/>
      <c r="CH1539" s="155"/>
      <c r="CI1539" s="156"/>
      <c r="CJ1539" s="157">
        <f t="shared" ref="CJ1539:CJ1602" si="203">AC1539+AE1539+AG1539+AI1539+AK1539+AM1539+AO1539+AQ1539+AS1539+AU1539+AW1539+AY1539+BA1539+BC1539+BE1539+BG1539+BI1539+BK1539+BM1539+BO1539+BQ1539+BS1539+BU1539+BW1539+BY1539+CA1539+CC1539+CE1539+CG1539+CI1539</f>
        <v>0</v>
      </c>
      <c r="CK1539" s="158"/>
      <c r="CL1539" s="159"/>
      <c r="CM1539" s="160"/>
      <c r="CN1539" s="161"/>
      <c r="CO1539" s="162"/>
      <c r="CP1539" s="161"/>
      <c r="CQ1539" s="158"/>
      <c r="CR1539" s="159"/>
      <c r="CS1539" s="68"/>
      <c r="CT1539" s="163"/>
      <c r="EC1539" s="344" t="str">
        <f t="shared" si="199"/>
        <v>CUNDINAMARCA_PUERTO SALGAR</v>
      </c>
      <c r="ED1539" s="341"/>
      <c r="EE1539" s="341"/>
      <c r="EF1539" s="348"/>
      <c r="EG1539" s="341"/>
      <c r="EH1539" s="341"/>
      <c r="EI1539" s="341"/>
    </row>
    <row r="1540" spans="1:139" s="164" customFormat="1" ht="25.5">
      <c r="A1540" s="228">
        <v>40488</v>
      </c>
      <c r="B1540" s="205" t="s">
        <v>962</v>
      </c>
      <c r="C1540" s="205" t="s">
        <v>944</v>
      </c>
      <c r="D1540" s="207" t="s">
        <v>1201</v>
      </c>
      <c r="E1540" s="323" t="s">
        <v>3826</v>
      </c>
      <c r="F1540" s="323"/>
      <c r="G1540" s="204"/>
      <c r="H1540" s="151"/>
      <c r="I1540" s="151"/>
      <c r="J1540" s="151">
        <v>12</v>
      </c>
      <c r="K1540" s="151">
        <v>2</v>
      </c>
      <c r="L1540" s="1"/>
      <c r="M1540" s="73">
        <f t="shared" si="201"/>
        <v>0</v>
      </c>
      <c r="N1540" s="73">
        <f t="shared" si="198"/>
        <v>0</v>
      </c>
      <c r="O1540" s="73">
        <f t="shared" si="200"/>
        <v>0</v>
      </c>
      <c r="P1540" s="73">
        <f t="shared" si="202"/>
        <v>0</v>
      </c>
      <c r="Q1540" s="73"/>
      <c r="R1540" s="73">
        <v>0</v>
      </c>
      <c r="S1540" s="75">
        <f t="shared" si="197"/>
        <v>0</v>
      </c>
      <c r="T1540" s="77">
        <v>0</v>
      </c>
      <c r="U1540" s="66">
        <v>40490</v>
      </c>
      <c r="V1540" s="79"/>
      <c r="W1540" s="66" t="s">
        <v>1585</v>
      </c>
      <c r="X1540" s="24" t="s">
        <v>1586</v>
      </c>
      <c r="Y1540" s="62"/>
      <c r="Z1540" s="169" t="s">
        <v>894</v>
      </c>
      <c r="AA1540" s="166" t="s">
        <v>2644</v>
      </c>
      <c r="AB1540" s="152"/>
      <c r="AC1540" s="153"/>
      <c r="AD1540" s="154"/>
      <c r="AE1540" s="153"/>
      <c r="AF1540" s="153"/>
      <c r="AG1540" s="153"/>
      <c r="AH1540" s="153"/>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c r="BF1540" s="153"/>
      <c r="BG1540" s="153"/>
      <c r="BH1540" s="153"/>
      <c r="BI1540" s="153"/>
      <c r="BJ1540" s="153"/>
      <c r="BK1540" s="153"/>
      <c r="BL1540" s="153"/>
      <c r="BM1540" s="153"/>
      <c r="BN1540" s="153"/>
      <c r="BO1540" s="153"/>
      <c r="BP1540" s="153"/>
      <c r="BQ1540" s="153"/>
      <c r="BR1540" s="153"/>
      <c r="BS1540" s="153"/>
      <c r="BT1540" s="153"/>
      <c r="BU1540" s="153"/>
      <c r="BV1540" s="153"/>
      <c r="BW1540" s="153"/>
      <c r="BX1540" s="153"/>
      <c r="BY1540" s="153"/>
      <c r="BZ1540" s="153"/>
      <c r="CA1540" s="153"/>
      <c r="CB1540" s="153"/>
      <c r="CC1540" s="153"/>
      <c r="CD1540" s="155"/>
      <c r="CE1540" s="156"/>
      <c r="CF1540" s="155"/>
      <c r="CG1540" s="156"/>
      <c r="CH1540" s="155"/>
      <c r="CI1540" s="156"/>
      <c r="CJ1540" s="157">
        <f t="shared" si="203"/>
        <v>0</v>
      </c>
      <c r="CK1540" s="158"/>
      <c r="CL1540" s="159"/>
      <c r="CM1540" s="160"/>
      <c r="CN1540" s="161"/>
      <c r="CO1540" s="162"/>
      <c r="CP1540" s="161"/>
      <c r="CQ1540" s="158"/>
      <c r="CR1540" s="159"/>
      <c r="CS1540" s="68"/>
      <c r="CT1540" s="163"/>
      <c r="EC1540" s="344" t="str">
        <f t="shared" si="199"/>
        <v>HUILA_AIPE</v>
      </c>
      <c r="ED1540" s="341"/>
      <c r="EE1540" s="341"/>
      <c r="EF1540" s="348"/>
      <c r="EG1540" s="341"/>
      <c r="EH1540" s="341"/>
      <c r="EI1540" s="341"/>
    </row>
    <row r="1541" spans="1:139" s="164" customFormat="1" ht="25.5">
      <c r="A1541" s="228">
        <v>40488</v>
      </c>
      <c r="B1541" s="205" t="s">
        <v>962</v>
      </c>
      <c r="C1541" s="205" t="s">
        <v>2645</v>
      </c>
      <c r="D1541" s="206" t="s">
        <v>1878</v>
      </c>
      <c r="E1541" s="320" t="s">
        <v>3837</v>
      </c>
      <c r="F1541" s="320"/>
      <c r="G1541" s="204"/>
      <c r="H1541" s="151"/>
      <c r="I1541" s="151"/>
      <c r="J1541" s="151">
        <v>5</v>
      </c>
      <c r="K1541" s="151">
        <v>1</v>
      </c>
      <c r="L1541" s="1"/>
      <c r="M1541" s="73">
        <f t="shared" si="201"/>
        <v>0</v>
      </c>
      <c r="N1541" s="73">
        <f t="shared" si="198"/>
        <v>0</v>
      </c>
      <c r="O1541" s="73">
        <f t="shared" si="200"/>
        <v>0</v>
      </c>
      <c r="P1541" s="73">
        <f t="shared" si="202"/>
        <v>0</v>
      </c>
      <c r="Q1541" s="73"/>
      <c r="R1541" s="73">
        <v>0</v>
      </c>
      <c r="S1541" s="75">
        <f t="shared" si="197"/>
        <v>0</v>
      </c>
      <c r="T1541" s="77">
        <v>0</v>
      </c>
      <c r="U1541" s="66">
        <v>40490</v>
      </c>
      <c r="V1541" s="79"/>
      <c r="W1541" s="66" t="s">
        <v>1585</v>
      </c>
      <c r="X1541" s="24" t="s">
        <v>1586</v>
      </c>
      <c r="Y1541" s="62"/>
      <c r="Z1541" s="169" t="s">
        <v>894</v>
      </c>
      <c r="AA1541" s="166" t="s">
        <v>2646</v>
      </c>
      <c r="AB1541" s="152"/>
      <c r="AC1541" s="153"/>
      <c r="AD1541" s="154"/>
      <c r="AE1541" s="153"/>
      <c r="AF1541" s="153"/>
      <c r="AG1541" s="153"/>
      <c r="AH1541" s="153"/>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c r="BF1541" s="153"/>
      <c r="BG1541" s="153"/>
      <c r="BH1541" s="153"/>
      <c r="BI1541" s="153"/>
      <c r="BJ1541" s="153"/>
      <c r="BK1541" s="153"/>
      <c r="BL1541" s="153"/>
      <c r="BM1541" s="153"/>
      <c r="BN1541" s="153"/>
      <c r="BO1541" s="153"/>
      <c r="BP1541" s="153"/>
      <c r="BQ1541" s="153"/>
      <c r="BR1541" s="153"/>
      <c r="BS1541" s="153"/>
      <c r="BT1541" s="153"/>
      <c r="BU1541" s="153"/>
      <c r="BV1541" s="153"/>
      <c r="BW1541" s="153"/>
      <c r="BX1541" s="153"/>
      <c r="BY1541" s="153"/>
      <c r="BZ1541" s="153"/>
      <c r="CA1541" s="153"/>
      <c r="CB1541" s="153"/>
      <c r="CC1541" s="153"/>
      <c r="CD1541" s="155"/>
      <c r="CE1541" s="156"/>
      <c r="CF1541" s="155"/>
      <c r="CG1541" s="156"/>
      <c r="CH1541" s="155"/>
      <c r="CI1541" s="156"/>
      <c r="CJ1541" s="157">
        <f t="shared" si="203"/>
        <v>0</v>
      </c>
      <c r="CK1541" s="158"/>
      <c r="CL1541" s="159"/>
      <c r="CM1541" s="160"/>
      <c r="CN1541" s="161"/>
      <c r="CO1541" s="162"/>
      <c r="CP1541" s="161"/>
      <c r="CQ1541" s="158"/>
      <c r="CR1541" s="159"/>
      <c r="CS1541" s="68"/>
      <c r="CT1541" s="163"/>
      <c r="EC1541" s="344" t="str">
        <f t="shared" si="199"/>
        <v>HUILA_IQUIRA</v>
      </c>
      <c r="ED1541" s="341"/>
      <c r="EE1541" s="341"/>
      <c r="EF1541" s="348"/>
      <c r="EG1541" s="341"/>
      <c r="EH1541" s="341"/>
      <c r="EI1541" s="341"/>
    </row>
    <row r="1542" spans="1:139" s="164" customFormat="1" ht="36">
      <c r="A1542" s="228">
        <v>40488</v>
      </c>
      <c r="B1542" s="205" t="s">
        <v>962</v>
      </c>
      <c r="C1542" s="205" t="s">
        <v>2756</v>
      </c>
      <c r="D1542" s="207" t="s">
        <v>1201</v>
      </c>
      <c r="E1542" s="323" t="s">
        <v>3848</v>
      </c>
      <c r="F1542" s="323"/>
      <c r="G1542" s="204"/>
      <c r="H1542" s="151"/>
      <c r="I1542" s="151"/>
      <c r="J1542" s="151">
        <f>875-15-50</f>
        <v>810</v>
      </c>
      <c r="K1542" s="151">
        <f>174-3-10</f>
        <v>161</v>
      </c>
      <c r="L1542" s="1"/>
      <c r="M1542" s="73">
        <f t="shared" si="201"/>
        <v>0</v>
      </c>
      <c r="N1542" s="73">
        <f t="shared" si="198"/>
        <v>0</v>
      </c>
      <c r="O1542" s="73">
        <f t="shared" si="200"/>
        <v>0</v>
      </c>
      <c r="P1542" s="73">
        <f t="shared" si="202"/>
        <v>0</v>
      </c>
      <c r="Q1542" s="73"/>
      <c r="R1542" s="73">
        <v>0</v>
      </c>
      <c r="S1542" s="75">
        <f t="shared" si="197"/>
        <v>0</v>
      </c>
      <c r="T1542" s="77">
        <v>0</v>
      </c>
      <c r="U1542" s="66">
        <v>40492</v>
      </c>
      <c r="V1542" s="79"/>
      <c r="W1542" s="66" t="s">
        <v>1585</v>
      </c>
      <c r="X1542" s="24" t="s">
        <v>1586</v>
      </c>
      <c r="Y1542" s="62"/>
      <c r="Z1542" s="169" t="s">
        <v>894</v>
      </c>
      <c r="AA1542" s="166" t="s">
        <v>2757</v>
      </c>
      <c r="AB1542" s="152"/>
      <c r="AC1542" s="153"/>
      <c r="AD1542" s="154"/>
      <c r="AE1542" s="153"/>
      <c r="AF1542" s="153"/>
      <c r="AG1542" s="153"/>
      <c r="AH1542" s="153"/>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c r="BF1542" s="153"/>
      <c r="BG1542" s="153"/>
      <c r="BH1542" s="153"/>
      <c r="BI1542" s="153"/>
      <c r="BJ1542" s="153"/>
      <c r="BK1542" s="153"/>
      <c r="BL1542" s="153"/>
      <c r="BM1542" s="153"/>
      <c r="BN1542" s="153"/>
      <c r="BO1542" s="153"/>
      <c r="BP1542" s="153"/>
      <c r="BQ1542" s="153"/>
      <c r="BR1542" s="153"/>
      <c r="BS1542" s="153"/>
      <c r="BT1542" s="153"/>
      <c r="BU1542" s="153"/>
      <c r="BV1542" s="153"/>
      <c r="BW1542" s="153"/>
      <c r="BX1542" s="153"/>
      <c r="BY1542" s="153"/>
      <c r="BZ1542" s="153"/>
      <c r="CA1542" s="153"/>
      <c r="CB1542" s="153"/>
      <c r="CC1542" s="153"/>
      <c r="CD1542" s="155"/>
      <c r="CE1542" s="156"/>
      <c r="CF1542" s="155"/>
      <c r="CG1542" s="156"/>
      <c r="CH1542" s="155"/>
      <c r="CI1542" s="156"/>
      <c r="CJ1542" s="157">
        <f t="shared" si="203"/>
        <v>0</v>
      </c>
      <c r="CK1542" s="158"/>
      <c r="CL1542" s="159"/>
      <c r="CM1542" s="160"/>
      <c r="CN1542" s="161"/>
      <c r="CO1542" s="162"/>
      <c r="CP1542" s="161"/>
      <c r="CQ1542" s="158"/>
      <c r="CR1542" s="159"/>
      <c r="CS1542" s="68"/>
      <c r="CT1542" s="163"/>
      <c r="EC1542" s="344" t="str">
        <f t="shared" si="199"/>
        <v>HUILA_RIVERA</v>
      </c>
      <c r="ED1542" s="341"/>
      <c r="EE1542" s="341"/>
      <c r="EF1542" s="348"/>
      <c r="EG1542" s="341"/>
      <c r="EH1542" s="341"/>
      <c r="EI1542" s="341"/>
    </row>
    <row r="1543" spans="1:139" s="164" customFormat="1" ht="45">
      <c r="A1543" s="228">
        <v>40488</v>
      </c>
      <c r="B1543" s="205" t="s">
        <v>962</v>
      </c>
      <c r="C1543" s="205" t="s">
        <v>2360</v>
      </c>
      <c r="D1543" s="207" t="s">
        <v>1201</v>
      </c>
      <c r="E1543" s="323" t="s">
        <v>3858</v>
      </c>
      <c r="F1543" s="323"/>
      <c r="G1543" s="204"/>
      <c r="H1543" s="151"/>
      <c r="I1543" s="151"/>
      <c r="J1543" s="151">
        <f>310*5</f>
        <v>1550</v>
      </c>
      <c r="K1543" s="151">
        <v>310</v>
      </c>
      <c r="L1543" s="1"/>
      <c r="M1543" s="73">
        <f t="shared" si="201"/>
        <v>0</v>
      </c>
      <c r="N1543" s="73">
        <f t="shared" si="198"/>
        <v>0</v>
      </c>
      <c r="O1543" s="73">
        <f t="shared" si="200"/>
        <v>0</v>
      </c>
      <c r="P1543" s="73">
        <f t="shared" si="202"/>
        <v>0</v>
      </c>
      <c r="Q1543" s="73"/>
      <c r="R1543" s="73">
        <v>0</v>
      </c>
      <c r="S1543" s="75">
        <f t="shared" si="197"/>
        <v>0</v>
      </c>
      <c r="T1543" s="77">
        <v>0</v>
      </c>
      <c r="U1543" s="66">
        <v>40488</v>
      </c>
      <c r="V1543" s="79"/>
      <c r="W1543" s="66" t="s">
        <v>1606</v>
      </c>
      <c r="X1543" s="264" t="s">
        <v>1607</v>
      </c>
      <c r="Y1543" s="62"/>
      <c r="Z1543" s="260" t="s">
        <v>18</v>
      </c>
      <c r="AA1543" s="166" t="s">
        <v>2955</v>
      </c>
      <c r="AB1543" s="152"/>
      <c r="AC1543" s="153"/>
      <c r="AD1543" s="154"/>
      <c r="AE1543" s="153"/>
      <c r="AF1543" s="153"/>
      <c r="AG1543" s="153"/>
      <c r="AH1543" s="153"/>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c r="BF1543" s="153"/>
      <c r="BG1543" s="153"/>
      <c r="BH1543" s="153"/>
      <c r="BI1543" s="153"/>
      <c r="BJ1543" s="153"/>
      <c r="BK1543" s="153"/>
      <c r="BL1543" s="153"/>
      <c r="BM1543" s="153"/>
      <c r="BN1543" s="153"/>
      <c r="BO1543" s="153"/>
      <c r="BP1543" s="153"/>
      <c r="BQ1543" s="153"/>
      <c r="BR1543" s="153"/>
      <c r="BS1543" s="153"/>
      <c r="BT1543" s="153"/>
      <c r="BU1543" s="153"/>
      <c r="BV1543" s="153"/>
      <c r="BW1543" s="153"/>
      <c r="BX1543" s="153"/>
      <c r="BY1543" s="153"/>
      <c r="BZ1543" s="153"/>
      <c r="CA1543" s="153"/>
      <c r="CB1543" s="153"/>
      <c r="CC1543" s="153"/>
      <c r="CD1543" s="155"/>
      <c r="CE1543" s="156"/>
      <c r="CF1543" s="155"/>
      <c r="CG1543" s="156"/>
      <c r="CH1543" s="155"/>
      <c r="CI1543" s="156"/>
      <c r="CJ1543" s="157">
        <f t="shared" si="203"/>
        <v>0</v>
      </c>
      <c r="CK1543" s="158"/>
      <c r="CL1543" s="159"/>
      <c r="CM1543" s="160"/>
      <c r="CN1543" s="161"/>
      <c r="CO1543" s="162"/>
      <c r="CP1543" s="161"/>
      <c r="CQ1543" s="158"/>
      <c r="CR1543" s="159"/>
      <c r="CS1543" s="68"/>
      <c r="CT1543" s="163"/>
      <c r="EC1543" s="344" t="str">
        <f t="shared" si="199"/>
        <v>HUILA_VILLAVIEJA</v>
      </c>
      <c r="ED1543" s="341"/>
      <c r="EE1543" s="341"/>
      <c r="EF1543" s="348"/>
      <c r="EG1543" s="341"/>
      <c r="EH1543" s="341"/>
      <c r="EI1543" s="341"/>
    </row>
    <row r="1544" spans="1:139" s="164" customFormat="1" ht="25.5">
      <c r="A1544" s="228">
        <v>40488</v>
      </c>
      <c r="B1544" s="205" t="s">
        <v>1612</v>
      </c>
      <c r="C1544" s="205" t="s">
        <v>1578</v>
      </c>
      <c r="D1544" s="206" t="s">
        <v>1878</v>
      </c>
      <c r="E1544" s="320" t="s">
        <v>4048</v>
      </c>
      <c r="F1544" s="320"/>
      <c r="G1544" s="204"/>
      <c r="H1544" s="151"/>
      <c r="I1544" s="151"/>
      <c r="J1544" s="151">
        <f>78*5</f>
        <v>390</v>
      </c>
      <c r="K1544" s="151">
        <f>124-21-2-3-12-8</f>
        <v>78</v>
      </c>
      <c r="L1544" s="1"/>
      <c r="M1544" s="73">
        <f t="shared" si="201"/>
        <v>0</v>
      </c>
      <c r="N1544" s="73">
        <f t="shared" si="198"/>
        <v>0</v>
      </c>
      <c r="O1544" s="73">
        <f t="shared" si="200"/>
        <v>0</v>
      </c>
      <c r="P1544" s="73">
        <f t="shared" si="202"/>
        <v>0</v>
      </c>
      <c r="Q1544" s="73"/>
      <c r="R1544" s="73">
        <v>0</v>
      </c>
      <c r="S1544" s="75">
        <f t="shared" si="197"/>
        <v>0</v>
      </c>
      <c r="T1544" s="77">
        <v>0</v>
      </c>
      <c r="U1544" s="66">
        <v>40490</v>
      </c>
      <c r="V1544" s="79"/>
      <c r="W1544" s="66" t="s">
        <v>1585</v>
      </c>
      <c r="X1544" s="24" t="s">
        <v>1586</v>
      </c>
      <c r="Y1544" s="62"/>
      <c r="Z1544" s="169" t="s">
        <v>894</v>
      </c>
      <c r="AA1544" s="166" t="s">
        <v>902</v>
      </c>
      <c r="AB1544" s="152"/>
      <c r="AC1544" s="153"/>
      <c r="AD1544" s="154"/>
      <c r="AE1544" s="153"/>
      <c r="AF1544" s="153"/>
      <c r="AG1544" s="153"/>
      <c r="AH1544" s="153"/>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c r="BF1544" s="153"/>
      <c r="BG1544" s="153"/>
      <c r="BH1544" s="153"/>
      <c r="BI1544" s="153"/>
      <c r="BJ1544" s="153"/>
      <c r="BK1544" s="153"/>
      <c r="BL1544" s="153"/>
      <c r="BM1544" s="153"/>
      <c r="BN1544" s="153"/>
      <c r="BO1544" s="153"/>
      <c r="BP1544" s="153"/>
      <c r="BQ1544" s="153"/>
      <c r="BR1544" s="153"/>
      <c r="BS1544" s="153"/>
      <c r="BT1544" s="153"/>
      <c r="BU1544" s="153"/>
      <c r="BV1544" s="153"/>
      <c r="BW1544" s="153"/>
      <c r="BX1544" s="153"/>
      <c r="BY1544" s="153"/>
      <c r="BZ1544" s="153"/>
      <c r="CA1544" s="153"/>
      <c r="CB1544" s="153"/>
      <c r="CC1544" s="153"/>
      <c r="CD1544" s="155"/>
      <c r="CE1544" s="156"/>
      <c r="CF1544" s="155"/>
      <c r="CG1544" s="156"/>
      <c r="CH1544" s="155"/>
      <c r="CI1544" s="156"/>
      <c r="CJ1544" s="157">
        <f t="shared" si="203"/>
        <v>0</v>
      </c>
      <c r="CK1544" s="158"/>
      <c r="CL1544" s="159"/>
      <c r="CM1544" s="160"/>
      <c r="CN1544" s="161"/>
      <c r="CO1544" s="162"/>
      <c r="CP1544" s="161"/>
      <c r="CQ1544" s="158"/>
      <c r="CR1544" s="159"/>
      <c r="CS1544" s="68"/>
      <c r="CT1544" s="163"/>
      <c r="EC1544" s="344" t="str">
        <f t="shared" si="199"/>
        <v>QUINDIO_QUIMBAYA</v>
      </c>
      <c r="ED1544" s="341"/>
      <c r="EE1544" s="341"/>
      <c r="EF1544" s="348"/>
      <c r="EG1544" s="341"/>
      <c r="EH1544" s="341"/>
      <c r="EI1544" s="341"/>
    </row>
    <row r="1545" spans="1:139" s="164" customFormat="1" ht="25.5">
      <c r="A1545" s="228">
        <v>40488</v>
      </c>
      <c r="B1545" s="102" t="s">
        <v>1609</v>
      </c>
      <c r="C1545" s="205" t="s">
        <v>2004</v>
      </c>
      <c r="D1545" s="206" t="s">
        <v>1878</v>
      </c>
      <c r="E1545" s="320" t="s">
        <v>4050</v>
      </c>
      <c r="F1545" s="320"/>
      <c r="G1545" s="204"/>
      <c r="H1545" s="151"/>
      <c r="I1545" s="151"/>
      <c r="J1545" s="151"/>
      <c r="K1545" s="151"/>
      <c r="L1545" s="1"/>
      <c r="M1545" s="73">
        <f t="shared" si="201"/>
        <v>0</v>
      </c>
      <c r="N1545" s="73">
        <f t="shared" si="198"/>
        <v>0</v>
      </c>
      <c r="O1545" s="73">
        <f t="shared" si="200"/>
        <v>0</v>
      </c>
      <c r="P1545" s="73">
        <f t="shared" si="202"/>
        <v>0</v>
      </c>
      <c r="Q1545" s="73"/>
      <c r="R1545" s="73">
        <v>0</v>
      </c>
      <c r="S1545" s="75">
        <f t="shared" ref="S1545:S1608" si="204">M1545+N1545+O1545+P1545+Q1545+R1545</f>
        <v>0</v>
      </c>
      <c r="T1545" s="77">
        <v>0</v>
      </c>
      <c r="U1545" s="66">
        <v>40490</v>
      </c>
      <c r="V1545" s="79"/>
      <c r="W1545" s="66" t="s">
        <v>1585</v>
      </c>
      <c r="X1545" s="24" t="s">
        <v>1586</v>
      </c>
      <c r="Y1545" s="62"/>
      <c r="Z1545" s="169" t="s">
        <v>894</v>
      </c>
      <c r="AA1545" s="166" t="s">
        <v>2643</v>
      </c>
      <c r="AB1545" s="152"/>
      <c r="AC1545" s="153"/>
      <c r="AD1545" s="154"/>
      <c r="AE1545" s="153"/>
      <c r="AF1545" s="153"/>
      <c r="AG1545" s="153"/>
      <c r="AH1545" s="153"/>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c r="BF1545" s="153"/>
      <c r="BG1545" s="153"/>
      <c r="BH1545" s="153"/>
      <c r="BI1545" s="153"/>
      <c r="BJ1545" s="153"/>
      <c r="BK1545" s="153"/>
      <c r="BL1545" s="153"/>
      <c r="BM1545" s="153"/>
      <c r="BN1545" s="153"/>
      <c r="BO1545" s="153"/>
      <c r="BP1545" s="153"/>
      <c r="BQ1545" s="153"/>
      <c r="BR1545" s="153"/>
      <c r="BS1545" s="153"/>
      <c r="BT1545" s="153"/>
      <c r="BU1545" s="153"/>
      <c r="BV1545" s="153"/>
      <c r="BW1545" s="153"/>
      <c r="BX1545" s="153"/>
      <c r="BY1545" s="153"/>
      <c r="BZ1545" s="153"/>
      <c r="CA1545" s="153"/>
      <c r="CB1545" s="153"/>
      <c r="CC1545" s="153"/>
      <c r="CD1545" s="155"/>
      <c r="CE1545" s="156"/>
      <c r="CF1545" s="155"/>
      <c r="CG1545" s="156"/>
      <c r="CH1545" s="155"/>
      <c r="CI1545" s="156"/>
      <c r="CJ1545" s="157">
        <f t="shared" si="203"/>
        <v>0</v>
      </c>
      <c r="CK1545" s="158"/>
      <c r="CL1545" s="159"/>
      <c r="CM1545" s="160"/>
      <c r="CN1545" s="161"/>
      <c r="CO1545" s="162"/>
      <c r="CP1545" s="161"/>
      <c r="CQ1545" s="158"/>
      <c r="CR1545" s="159"/>
      <c r="CS1545" s="68"/>
      <c r="CT1545" s="163"/>
      <c r="EC1545" s="344" t="str">
        <f t="shared" si="199"/>
        <v>RISARALDA_PEREIRA</v>
      </c>
      <c r="ED1545" s="341"/>
      <c r="EE1545" s="341"/>
      <c r="EF1545" s="348"/>
      <c r="EG1545" s="341"/>
      <c r="EH1545" s="341"/>
      <c r="EI1545" s="341"/>
    </row>
    <row r="1546" spans="1:139" s="164" customFormat="1" ht="25.5">
      <c r="A1546" s="228">
        <v>40488</v>
      </c>
      <c r="B1546" s="205" t="s">
        <v>2400</v>
      </c>
      <c r="C1546" s="205" t="s">
        <v>3054</v>
      </c>
      <c r="D1546" s="207" t="s">
        <v>1201</v>
      </c>
      <c r="E1546" s="323" t="s">
        <v>4197</v>
      </c>
      <c r="F1546" s="323"/>
      <c r="G1546" s="204"/>
      <c r="H1546" s="151"/>
      <c r="I1546" s="151"/>
      <c r="J1546" s="151">
        <f>770-400-125</f>
        <v>245</v>
      </c>
      <c r="K1546" s="151">
        <f>171-25-80</f>
        <v>66</v>
      </c>
      <c r="L1546" s="1"/>
      <c r="M1546" s="73">
        <f t="shared" si="201"/>
        <v>0</v>
      </c>
      <c r="N1546" s="73">
        <f t="shared" si="198"/>
        <v>0</v>
      </c>
      <c r="O1546" s="73">
        <f t="shared" si="200"/>
        <v>0</v>
      </c>
      <c r="P1546" s="73">
        <f t="shared" si="202"/>
        <v>0</v>
      </c>
      <c r="Q1546" s="73"/>
      <c r="R1546" s="73">
        <v>0</v>
      </c>
      <c r="S1546" s="75">
        <f t="shared" si="204"/>
        <v>0</v>
      </c>
      <c r="T1546" s="77">
        <v>0</v>
      </c>
      <c r="U1546" s="66">
        <v>40581</v>
      </c>
      <c r="V1546" s="79"/>
      <c r="W1546" s="66" t="s">
        <v>1585</v>
      </c>
      <c r="X1546" s="24" t="s">
        <v>1586</v>
      </c>
      <c r="Y1546" s="62"/>
      <c r="Z1546" s="169" t="s">
        <v>894</v>
      </c>
      <c r="AA1546" s="166" t="s">
        <v>54</v>
      </c>
      <c r="AB1546" s="152"/>
      <c r="AC1546" s="153"/>
      <c r="AD1546" s="154"/>
      <c r="AE1546" s="153"/>
      <c r="AF1546" s="153"/>
      <c r="AG1546" s="153"/>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c r="BF1546" s="153"/>
      <c r="BG1546" s="153"/>
      <c r="BH1546" s="153"/>
      <c r="BI1546" s="153"/>
      <c r="BJ1546" s="153"/>
      <c r="BK1546" s="153"/>
      <c r="BL1546" s="153"/>
      <c r="BM1546" s="153"/>
      <c r="BN1546" s="153"/>
      <c r="BO1546" s="153"/>
      <c r="BP1546" s="153"/>
      <c r="BQ1546" s="153"/>
      <c r="BR1546" s="153"/>
      <c r="BS1546" s="153"/>
      <c r="BT1546" s="153"/>
      <c r="BU1546" s="153"/>
      <c r="BV1546" s="153"/>
      <c r="BW1546" s="153"/>
      <c r="BX1546" s="153"/>
      <c r="BY1546" s="153"/>
      <c r="BZ1546" s="153"/>
      <c r="CA1546" s="153"/>
      <c r="CB1546" s="153"/>
      <c r="CC1546" s="153"/>
      <c r="CD1546" s="155"/>
      <c r="CE1546" s="156"/>
      <c r="CF1546" s="155"/>
      <c r="CG1546" s="156"/>
      <c r="CH1546" s="155"/>
      <c r="CI1546" s="156"/>
      <c r="CJ1546" s="157">
        <f t="shared" si="203"/>
        <v>0</v>
      </c>
      <c r="CK1546" s="158"/>
      <c r="CL1546" s="159"/>
      <c r="CM1546" s="160"/>
      <c r="CN1546" s="161"/>
      <c r="CO1546" s="162"/>
      <c r="CP1546" s="161"/>
      <c r="CQ1546" s="158"/>
      <c r="CR1546" s="159"/>
      <c r="CS1546" s="68"/>
      <c r="CT1546" s="163"/>
      <c r="EC1546" s="344" t="str">
        <f t="shared" si="199"/>
        <v>TOLIMA_HERVEO</v>
      </c>
      <c r="ED1546" s="341"/>
      <c r="EE1546" s="341"/>
      <c r="EF1546" s="348"/>
      <c r="EG1546" s="341"/>
      <c r="EH1546" s="341"/>
      <c r="EI1546" s="341"/>
    </row>
    <row r="1547" spans="1:139" s="164" customFormat="1" ht="60">
      <c r="A1547" s="228">
        <v>40488</v>
      </c>
      <c r="B1547" s="205" t="s">
        <v>2400</v>
      </c>
      <c r="C1547" s="205" t="s">
        <v>1025</v>
      </c>
      <c r="D1547" s="207" t="s">
        <v>1201</v>
      </c>
      <c r="E1547" s="323" t="s">
        <v>4198</v>
      </c>
      <c r="F1547" s="323"/>
      <c r="G1547" s="204"/>
      <c r="H1547" s="151"/>
      <c r="I1547" s="151"/>
      <c r="J1547" s="151">
        <f>331*5</f>
        <v>1655</v>
      </c>
      <c r="K1547" s="151">
        <v>331</v>
      </c>
      <c r="L1547" s="1"/>
      <c r="M1547" s="73">
        <f t="shared" si="201"/>
        <v>0</v>
      </c>
      <c r="N1547" s="73">
        <f t="shared" si="198"/>
        <v>0</v>
      </c>
      <c r="O1547" s="73">
        <f t="shared" si="200"/>
        <v>0</v>
      </c>
      <c r="P1547" s="73">
        <f t="shared" si="202"/>
        <v>0</v>
      </c>
      <c r="Q1547" s="73"/>
      <c r="R1547" s="73">
        <v>0</v>
      </c>
      <c r="S1547" s="75">
        <f t="shared" si="204"/>
        <v>0</v>
      </c>
      <c r="T1547" s="77">
        <v>0</v>
      </c>
      <c r="U1547" s="66">
        <v>40490</v>
      </c>
      <c r="V1547" s="79"/>
      <c r="W1547" s="66" t="s">
        <v>1585</v>
      </c>
      <c r="X1547" s="24" t="s">
        <v>1586</v>
      </c>
      <c r="Y1547" s="62"/>
      <c r="Z1547" s="169" t="s">
        <v>894</v>
      </c>
      <c r="AA1547" s="166" t="s">
        <v>2642</v>
      </c>
      <c r="AB1547" s="152"/>
      <c r="AC1547" s="153"/>
      <c r="AD1547" s="154"/>
      <c r="AE1547" s="153"/>
      <c r="AF1547" s="153"/>
      <c r="AG1547" s="153"/>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c r="BF1547" s="153"/>
      <c r="BG1547" s="153"/>
      <c r="BH1547" s="153"/>
      <c r="BI1547" s="153"/>
      <c r="BJ1547" s="153"/>
      <c r="BK1547" s="153"/>
      <c r="BL1547" s="153"/>
      <c r="BM1547" s="153"/>
      <c r="BN1547" s="153"/>
      <c r="BO1547" s="153"/>
      <c r="BP1547" s="153"/>
      <c r="BQ1547" s="153"/>
      <c r="BR1547" s="153"/>
      <c r="BS1547" s="153"/>
      <c r="BT1547" s="153"/>
      <c r="BU1547" s="153"/>
      <c r="BV1547" s="153"/>
      <c r="BW1547" s="153"/>
      <c r="BX1547" s="153"/>
      <c r="BY1547" s="153"/>
      <c r="BZ1547" s="153"/>
      <c r="CA1547" s="153"/>
      <c r="CB1547" s="153"/>
      <c r="CC1547" s="153"/>
      <c r="CD1547" s="155"/>
      <c r="CE1547" s="156"/>
      <c r="CF1547" s="155"/>
      <c r="CG1547" s="156"/>
      <c r="CH1547" s="155"/>
      <c r="CI1547" s="156"/>
      <c r="CJ1547" s="157">
        <f t="shared" si="203"/>
        <v>0</v>
      </c>
      <c r="CK1547" s="158"/>
      <c r="CL1547" s="159"/>
      <c r="CM1547" s="160"/>
      <c r="CN1547" s="161"/>
      <c r="CO1547" s="162"/>
      <c r="CP1547" s="161"/>
      <c r="CQ1547" s="158"/>
      <c r="CR1547" s="159"/>
      <c r="CS1547" s="68"/>
      <c r="CT1547" s="163"/>
      <c r="EC1547" s="344" t="str">
        <f t="shared" si="199"/>
        <v>TOLIMA_HONDA</v>
      </c>
      <c r="ED1547" s="341"/>
      <c r="EE1547" s="341"/>
      <c r="EF1547" s="348"/>
      <c r="EG1547" s="341"/>
      <c r="EH1547" s="341"/>
      <c r="EI1547" s="341"/>
    </row>
    <row r="1548" spans="1:139" s="164" customFormat="1" ht="25.5">
      <c r="A1548" s="228">
        <v>40488</v>
      </c>
      <c r="B1548" s="205" t="s">
        <v>2400</v>
      </c>
      <c r="C1548" s="205" t="s">
        <v>1018</v>
      </c>
      <c r="D1548" s="207" t="s">
        <v>1201</v>
      </c>
      <c r="E1548" s="323" t="s">
        <v>4199</v>
      </c>
      <c r="F1548" s="323"/>
      <c r="G1548" s="204"/>
      <c r="H1548" s="151"/>
      <c r="I1548" s="151"/>
      <c r="J1548" s="151">
        <v>2835</v>
      </c>
      <c r="K1548" s="151">
        <v>630</v>
      </c>
      <c r="L1548" s="1"/>
      <c r="M1548" s="73">
        <f t="shared" si="201"/>
        <v>0</v>
      </c>
      <c r="N1548" s="73">
        <f t="shared" si="198"/>
        <v>0</v>
      </c>
      <c r="O1548" s="73">
        <f t="shared" si="200"/>
        <v>0</v>
      </c>
      <c r="P1548" s="73">
        <f t="shared" si="202"/>
        <v>0</v>
      </c>
      <c r="Q1548" s="73"/>
      <c r="R1548" s="73">
        <v>0</v>
      </c>
      <c r="S1548" s="75">
        <f t="shared" si="204"/>
        <v>0</v>
      </c>
      <c r="T1548" s="77">
        <v>0</v>
      </c>
      <c r="U1548" s="66">
        <v>40490</v>
      </c>
      <c r="V1548" s="79"/>
      <c r="W1548" s="66" t="s">
        <v>1585</v>
      </c>
      <c r="X1548" s="24" t="s">
        <v>1586</v>
      </c>
      <c r="Y1548" s="62"/>
      <c r="Z1548" s="169" t="s">
        <v>894</v>
      </c>
      <c r="AA1548" s="166" t="s">
        <v>1102</v>
      </c>
      <c r="AB1548" s="152"/>
      <c r="AC1548" s="153"/>
      <c r="AD1548" s="154"/>
      <c r="AE1548" s="153"/>
      <c r="AF1548" s="153"/>
      <c r="AG1548" s="153"/>
      <c r="AH1548" s="153"/>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c r="BF1548" s="153"/>
      <c r="BG1548" s="153"/>
      <c r="BH1548" s="153"/>
      <c r="BI1548" s="153"/>
      <c r="BJ1548" s="153"/>
      <c r="BK1548" s="153"/>
      <c r="BL1548" s="153"/>
      <c r="BM1548" s="153"/>
      <c r="BN1548" s="153"/>
      <c r="BO1548" s="153"/>
      <c r="BP1548" s="153"/>
      <c r="BQ1548" s="153"/>
      <c r="BR1548" s="153"/>
      <c r="BS1548" s="153"/>
      <c r="BT1548" s="153"/>
      <c r="BU1548" s="153"/>
      <c r="BV1548" s="153"/>
      <c r="BW1548" s="153"/>
      <c r="BX1548" s="153"/>
      <c r="BY1548" s="153"/>
      <c r="BZ1548" s="153"/>
      <c r="CA1548" s="153"/>
      <c r="CB1548" s="153"/>
      <c r="CC1548" s="153"/>
      <c r="CD1548" s="155"/>
      <c r="CE1548" s="156"/>
      <c r="CF1548" s="155"/>
      <c r="CG1548" s="156"/>
      <c r="CH1548" s="155"/>
      <c r="CI1548" s="156"/>
      <c r="CJ1548" s="157">
        <f t="shared" si="203"/>
        <v>0</v>
      </c>
      <c r="CK1548" s="158"/>
      <c r="CL1548" s="159"/>
      <c r="CM1548" s="160"/>
      <c r="CN1548" s="161"/>
      <c r="CO1548" s="162"/>
      <c r="CP1548" s="161"/>
      <c r="CQ1548" s="158"/>
      <c r="CR1548" s="159"/>
      <c r="CS1548" s="68"/>
      <c r="CT1548" s="163"/>
      <c r="EC1548" s="344" t="str">
        <f t="shared" si="199"/>
        <v>TOLIMA_ICONONZO</v>
      </c>
      <c r="ED1548" s="341"/>
      <c r="EE1548" s="341"/>
      <c r="EF1548" s="348"/>
      <c r="EG1548" s="341"/>
      <c r="EH1548" s="341"/>
      <c r="EI1548" s="341"/>
    </row>
    <row r="1549" spans="1:139" s="164" customFormat="1" ht="25.5">
      <c r="A1549" s="228">
        <v>40488</v>
      </c>
      <c r="B1549" s="225" t="s">
        <v>2400</v>
      </c>
      <c r="C1549" s="205" t="s">
        <v>737</v>
      </c>
      <c r="D1549" s="206" t="s">
        <v>1878</v>
      </c>
      <c r="E1549" s="320" t="s">
        <v>4202</v>
      </c>
      <c r="F1549" s="320"/>
      <c r="G1549" s="204"/>
      <c r="H1549" s="151"/>
      <c r="I1549" s="151"/>
      <c r="J1549" s="151">
        <f>282*5</f>
        <v>1410</v>
      </c>
      <c r="K1549" s="151">
        <v>282</v>
      </c>
      <c r="L1549" s="1"/>
      <c r="M1549" s="73">
        <f t="shared" si="201"/>
        <v>0</v>
      </c>
      <c r="N1549" s="73">
        <f t="shared" si="198"/>
        <v>0</v>
      </c>
      <c r="O1549" s="73">
        <f t="shared" si="200"/>
        <v>0</v>
      </c>
      <c r="P1549" s="73">
        <f t="shared" si="202"/>
        <v>0</v>
      </c>
      <c r="Q1549" s="73"/>
      <c r="R1549" s="73">
        <v>0</v>
      </c>
      <c r="S1549" s="75">
        <f t="shared" si="204"/>
        <v>0</v>
      </c>
      <c r="T1549" s="77">
        <v>0</v>
      </c>
      <c r="U1549" s="66">
        <v>40490</v>
      </c>
      <c r="V1549" s="79"/>
      <c r="W1549" s="66" t="s">
        <v>1585</v>
      </c>
      <c r="X1549" s="24" t="s">
        <v>1586</v>
      </c>
      <c r="Y1549" s="62"/>
      <c r="Z1549" s="169" t="s">
        <v>894</v>
      </c>
      <c r="AA1549" s="166" t="s">
        <v>2636</v>
      </c>
      <c r="AB1549" s="152"/>
      <c r="AC1549" s="153"/>
      <c r="AD1549" s="154"/>
      <c r="AE1549" s="153"/>
      <c r="AF1549" s="153"/>
      <c r="AG1549" s="153"/>
      <c r="AH1549" s="153"/>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c r="BF1549" s="153"/>
      <c r="BG1549" s="153"/>
      <c r="BH1549" s="153"/>
      <c r="BI1549" s="153"/>
      <c r="BJ1549" s="153"/>
      <c r="BK1549" s="153"/>
      <c r="BL1549" s="153"/>
      <c r="BM1549" s="153"/>
      <c r="BN1549" s="153"/>
      <c r="BO1549" s="153"/>
      <c r="BP1549" s="153"/>
      <c r="BQ1549" s="153"/>
      <c r="BR1549" s="153"/>
      <c r="BS1549" s="153"/>
      <c r="BT1549" s="153"/>
      <c r="BU1549" s="153"/>
      <c r="BV1549" s="153"/>
      <c r="BW1549" s="153"/>
      <c r="BX1549" s="153"/>
      <c r="BY1549" s="153"/>
      <c r="BZ1549" s="153"/>
      <c r="CA1549" s="153"/>
      <c r="CB1549" s="153"/>
      <c r="CC1549" s="153"/>
      <c r="CD1549" s="155"/>
      <c r="CE1549" s="156"/>
      <c r="CF1549" s="155"/>
      <c r="CG1549" s="156"/>
      <c r="CH1549" s="155"/>
      <c r="CI1549" s="156"/>
      <c r="CJ1549" s="157">
        <f t="shared" si="203"/>
        <v>0</v>
      </c>
      <c r="CK1549" s="158"/>
      <c r="CL1549" s="159"/>
      <c r="CM1549" s="160"/>
      <c r="CN1549" s="161"/>
      <c r="CO1549" s="162"/>
      <c r="CP1549" s="161"/>
      <c r="CQ1549" s="158"/>
      <c r="CR1549" s="159"/>
      <c r="CS1549" s="68"/>
      <c r="CT1549" s="163"/>
      <c r="EC1549" s="344" t="str">
        <f t="shared" si="199"/>
        <v>TOLIMA_MARIQUITA</v>
      </c>
      <c r="ED1549" s="341"/>
      <c r="EE1549" s="341"/>
      <c r="EF1549" s="348"/>
      <c r="EG1549" s="341"/>
      <c r="EH1549" s="341"/>
      <c r="EI1549" s="341"/>
    </row>
    <row r="1550" spans="1:139" s="164" customFormat="1" ht="25.5">
      <c r="A1550" s="228">
        <v>40488</v>
      </c>
      <c r="B1550" s="205" t="s">
        <v>2400</v>
      </c>
      <c r="C1550" s="205" t="s">
        <v>2284</v>
      </c>
      <c r="D1550" s="207" t="s">
        <v>1201</v>
      </c>
      <c r="E1550" s="323" t="s">
        <v>4205</v>
      </c>
      <c r="F1550" s="323"/>
      <c r="G1550" s="204"/>
      <c r="H1550" s="151"/>
      <c r="I1550" s="151"/>
      <c r="J1550" s="416">
        <f>1079*5</f>
        <v>5395</v>
      </c>
      <c r="K1550" s="151">
        <v>1079</v>
      </c>
      <c r="L1550" s="1"/>
      <c r="M1550" s="73">
        <f t="shared" si="201"/>
        <v>0</v>
      </c>
      <c r="N1550" s="73">
        <f t="shared" ref="N1550:N1613" si="205">CN1550</f>
        <v>0</v>
      </c>
      <c r="O1550" s="73">
        <f t="shared" si="200"/>
        <v>0</v>
      </c>
      <c r="P1550" s="73">
        <f t="shared" si="202"/>
        <v>0</v>
      </c>
      <c r="Q1550" s="73"/>
      <c r="R1550" s="73">
        <v>0</v>
      </c>
      <c r="S1550" s="75">
        <f t="shared" si="204"/>
        <v>0</v>
      </c>
      <c r="T1550" s="77">
        <v>0</v>
      </c>
      <c r="U1550" s="66">
        <v>40490</v>
      </c>
      <c r="V1550" s="79"/>
      <c r="W1550" s="66" t="s">
        <v>1585</v>
      </c>
      <c r="X1550" s="24" t="s">
        <v>1586</v>
      </c>
      <c r="Y1550" s="62"/>
      <c r="Z1550" s="169" t="s">
        <v>894</v>
      </c>
      <c r="AA1550" s="166" t="s">
        <v>2640</v>
      </c>
      <c r="AB1550" s="152"/>
      <c r="AC1550" s="153"/>
      <c r="AD1550" s="154"/>
      <c r="AE1550" s="153"/>
      <c r="AF1550" s="153"/>
      <c r="AG1550" s="153"/>
      <c r="AH1550" s="153"/>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c r="BF1550" s="153"/>
      <c r="BG1550" s="153"/>
      <c r="BH1550" s="153"/>
      <c r="BI1550" s="153"/>
      <c r="BJ1550" s="153"/>
      <c r="BK1550" s="153"/>
      <c r="BL1550" s="153"/>
      <c r="BM1550" s="153"/>
      <c r="BN1550" s="153"/>
      <c r="BO1550" s="153"/>
      <c r="BP1550" s="153"/>
      <c r="BQ1550" s="153"/>
      <c r="BR1550" s="153"/>
      <c r="BS1550" s="153"/>
      <c r="BT1550" s="153"/>
      <c r="BU1550" s="153"/>
      <c r="BV1550" s="153"/>
      <c r="BW1550" s="153"/>
      <c r="BX1550" s="153"/>
      <c r="BY1550" s="153"/>
      <c r="BZ1550" s="153"/>
      <c r="CA1550" s="153"/>
      <c r="CB1550" s="153"/>
      <c r="CC1550" s="153"/>
      <c r="CD1550" s="155"/>
      <c r="CE1550" s="156"/>
      <c r="CF1550" s="155"/>
      <c r="CG1550" s="156"/>
      <c r="CH1550" s="155"/>
      <c r="CI1550" s="156"/>
      <c r="CJ1550" s="157">
        <f t="shared" si="203"/>
        <v>0</v>
      </c>
      <c r="CK1550" s="158"/>
      <c r="CL1550" s="159"/>
      <c r="CM1550" s="160"/>
      <c r="CN1550" s="161"/>
      <c r="CO1550" s="162"/>
      <c r="CP1550" s="161"/>
      <c r="CQ1550" s="158"/>
      <c r="CR1550" s="159"/>
      <c r="CS1550" s="68"/>
      <c r="CT1550" s="163"/>
      <c r="EC1550" s="344" t="str">
        <f t="shared" si="199"/>
        <v>TOLIMA_NATAGAIMA</v>
      </c>
      <c r="ED1550" s="341"/>
      <c r="EE1550" s="341"/>
      <c r="EF1550" s="348"/>
      <c r="EG1550" s="341"/>
      <c r="EH1550" s="341"/>
      <c r="EI1550" s="341"/>
    </row>
    <row r="1551" spans="1:139" s="164" customFormat="1" ht="25.5">
      <c r="A1551" s="228">
        <v>40488</v>
      </c>
      <c r="B1551" s="205" t="s">
        <v>2400</v>
      </c>
      <c r="C1551" s="205" t="s">
        <v>2754</v>
      </c>
      <c r="D1551" s="207" t="s">
        <v>1201</v>
      </c>
      <c r="E1551" s="323" t="s">
        <v>4210</v>
      </c>
      <c r="F1551" s="323"/>
      <c r="G1551" s="204"/>
      <c r="H1551" s="151"/>
      <c r="I1551" s="151"/>
      <c r="J1551" s="151">
        <v>2304</v>
      </c>
      <c r="K1551" s="151">
        <v>512</v>
      </c>
      <c r="L1551" s="1"/>
      <c r="M1551" s="73">
        <f t="shared" si="201"/>
        <v>0</v>
      </c>
      <c r="N1551" s="73">
        <f t="shared" si="205"/>
        <v>0</v>
      </c>
      <c r="O1551" s="73">
        <f t="shared" si="200"/>
        <v>0</v>
      </c>
      <c r="P1551" s="73">
        <f t="shared" si="202"/>
        <v>0</v>
      </c>
      <c r="Q1551" s="73"/>
      <c r="R1551" s="73">
        <v>0</v>
      </c>
      <c r="S1551" s="75">
        <f t="shared" si="204"/>
        <v>0</v>
      </c>
      <c r="T1551" s="77">
        <v>0</v>
      </c>
      <c r="U1551" s="66">
        <v>40490</v>
      </c>
      <c r="V1551" s="79"/>
      <c r="W1551" s="66" t="s">
        <v>1585</v>
      </c>
      <c r="X1551" s="24" t="s">
        <v>1586</v>
      </c>
      <c r="Y1551" s="62"/>
      <c r="Z1551" s="169" t="s">
        <v>894</v>
      </c>
      <c r="AA1551" s="166" t="s">
        <v>2641</v>
      </c>
      <c r="AB1551" s="152"/>
      <c r="AC1551" s="153"/>
      <c r="AD1551" s="154"/>
      <c r="AE1551" s="153"/>
      <c r="AF1551" s="153"/>
      <c r="AG1551" s="153"/>
      <c r="AH1551" s="153"/>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c r="BF1551" s="153"/>
      <c r="BG1551" s="153"/>
      <c r="BH1551" s="153"/>
      <c r="BI1551" s="153"/>
      <c r="BJ1551" s="153"/>
      <c r="BK1551" s="153"/>
      <c r="BL1551" s="153"/>
      <c r="BM1551" s="153"/>
      <c r="BN1551" s="153"/>
      <c r="BO1551" s="153"/>
      <c r="BP1551" s="153"/>
      <c r="BQ1551" s="153"/>
      <c r="BR1551" s="153"/>
      <c r="BS1551" s="153"/>
      <c r="BT1551" s="153"/>
      <c r="BU1551" s="153"/>
      <c r="BV1551" s="153"/>
      <c r="BW1551" s="153"/>
      <c r="BX1551" s="153"/>
      <c r="BY1551" s="153"/>
      <c r="BZ1551" s="153"/>
      <c r="CA1551" s="153"/>
      <c r="CB1551" s="153"/>
      <c r="CC1551" s="153"/>
      <c r="CD1551" s="155"/>
      <c r="CE1551" s="156"/>
      <c r="CF1551" s="155"/>
      <c r="CG1551" s="156"/>
      <c r="CH1551" s="155"/>
      <c r="CI1551" s="156"/>
      <c r="CJ1551" s="157">
        <f t="shared" si="203"/>
        <v>0</v>
      </c>
      <c r="CK1551" s="158"/>
      <c r="CL1551" s="159"/>
      <c r="CM1551" s="160"/>
      <c r="CN1551" s="161"/>
      <c r="CO1551" s="162"/>
      <c r="CP1551" s="161"/>
      <c r="CQ1551" s="158"/>
      <c r="CR1551" s="159"/>
      <c r="CS1551" s="68"/>
      <c r="CT1551" s="163"/>
      <c r="EC1551" s="344" t="str">
        <f t="shared" si="199"/>
        <v>TOLIMA_PRADO</v>
      </c>
      <c r="ED1551" s="341"/>
      <c r="EE1551" s="341"/>
      <c r="EF1551" s="348"/>
      <c r="EG1551" s="341"/>
      <c r="EH1551" s="341"/>
      <c r="EI1551" s="341"/>
    </row>
    <row r="1552" spans="1:139" s="164" customFormat="1" ht="38.25">
      <c r="A1552" s="228">
        <v>40489</v>
      </c>
      <c r="B1552" s="205" t="s">
        <v>1615</v>
      </c>
      <c r="C1552" s="205" t="s">
        <v>1554</v>
      </c>
      <c r="D1552" s="207" t="s">
        <v>1201</v>
      </c>
      <c r="E1552" s="323" t="s">
        <v>3410</v>
      </c>
      <c r="F1552" s="323"/>
      <c r="G1552" s="204"/>
      <c r="H1552" s="151"/>
      <c r="I1552" s="151"/>
      <c r="J1552" s="151">
        <f>475*5</f>
        <v>2375</v>
      </c>
      <c r="K1552" s="151">
        <v>475</v>
      </c>
      <c r="L1552" s="1"/>
      <c r="M1552" s="73">
        <f t="shared" si="201"/>
        <v>0</v>
      </c>
      <c r="N1552" s="73">
        <f t="shared" si="205"/>
        <v>0</v>
      </c>
      <c r="O1552" s="73">
        <f t="shared" si="200"/>
        <v>0</v>
      </c>
      <c r="P1552" s="73">
        <f t="shared" si="202"/>
        <v>0</v>
      </c>
      <c r="Q1552" s="73"/>
      <c r="R1552" s="73">
        <v>0</v>
      </c>
      <c r="S1552" s="75">
        <f t="shared" si="204"/>
        <v>0</v>
      </c>
      <c r="T1552" s="77">
        <v>0</v>
      </c>
      <c r="U1552" s="66">
        <v>40491</v>
      </c>
      <c r="V1552" s="79"/>
      <c r="W1552" s="66" t="s">
        <v>1585</v>
      </c>
      <c r="X1552" s="67" t="s">
        <v>1586</v>
      </c>
      <c r="Y1552" s="62"/>
      <c r="Z1552" s="169" t="s">
        <v>894</v>
      </c>
      <c r="AA1552" s="166" t="s">
        <v>2651</v>
      </c>
      <c r="AB1552" s="152"/>
      <c r="AC1552" s="153"/>
      <c r="AD1552" s="154"/>
      <c r="AE1552" s="153"/>
      <c r="AF1552" s="153"/>
      <c r="AG1552" s="153"/>
      <c r="AH1552" s="153"/>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c r="BF1552" s="153"/>
      <c r="BG1552" s="153"/>
      <c r="BH1552" s="153"/>
      <c r="BI1552" s="153"/>
      <c r="BJ1552" s="153"/>
      <c r="BK1552" s="153"/>
      <c r="BL1552" s="153"/>
      <c r="BM1552" s="153"/>
      <c r="BN1552" s="153"/>
      <c r="BO1552" s="153"/>
      <c r="BP1552" s="153"/>
      <c r="BQ1552" s="153"/>
      <c r="BR1552" s="153"/>
      <c r="BS1552" s="153"/>
      <c r="BT1552" s="153"/>
      <c r="BU1552" s="153"/>
      <c r="BV1552" s="153"/>
      <c r="BW1552" s="153"/>
      <c r="BX1552" s="153"/>
      <c r="BY1552" s="153"/>
      <c r="BZ1552" s="153"/>
      <c r="CA1552" s="153"/>
      <c r="CB1552" s="153"/>
      <c r="CC1552" s="153"/>
      <c r="CD1552" s="155"/>
      <c r="CE1552" s="156"/>
      <c r="CF1552" s="155"/>
      <c r="CG1552" s="156"/>
      <c r="CH1552" s="155"/>
      <c r="CI1552" s="156"/>
      <c r="CJ1552" s="157">
        <f t="shared" si="203"/>
        <v>0</v>
      </c>
      <c r="CK1552" s="158"/>
      <c r="CL1552" s="159"/>
      <c r="CM1552" s="160"/>
      <c r="CN1552" s="161"/>
      <c r="CO1552" s="162"/>
      <c r="CP1552" s="161"/>
      <c r="CQ1552" s="158"/>
      <c r="CR1552" s="159"/>
      <c r="CS1552" s="68"/>
      <c r="CT1552" s="163"/>
      <c r="EC1552" s="344" t="str">
        <f t="shared" si="199"/>
        <v>BOLIVAR_SANTA CATALINA</v>
      </c>
      <c r="ED1552" s="341"/>
      <c r="EE1552" s="341"/>
      <c r="EF1552" s="348"/>
      <c r="EG1552" s="341"/>
      <c r="EH1552" s="341"/>
      <c r="EI1552" s="341"/>
    </row>
    <row r="1553" spans="1:139" s="164" customFormat="1" ht="36">
      <c r="A1553" s="228">
        <v>40489</v>
      </c>
      <c r="B1553" s="205" t="s">
        <v>1192</v>
      </c>
      <c r="C1553" s="205" t="s">
        <v>2661</v>
      </c>
      <c r="D1553" s="206" t="s">
        <v>1878</v>
      </c>
      <c r="E1553" s="320" t="s">
        <v>3515</v>
      </c>
      <c r="F1553" s="320"/>
      <c r="G1553" s="204"/>
      <c r="H1553" s="151"/>
      <c r="I1553" s="151"/>
      <c r="J1553" s="151"/>
      <c r="K1553" s="151"/>
      <c r="L1553" s="1"/>
      <c r="M1553" s="73">
        <f t="shared" si="201"/>
        <v>0</v>
      </c>
      <c r="N1553" s="73">
        <f t="shared" si="205"/>
        <v>0</v>
      </c>
      <c r="O1553" s="73">
        <f t="shared" si="200"/>
        <v>0</v>
      </c>
      <c r="P1553" s="73">
        <f t="shared" si="202"/>
        <v>0</v>
      </c>
      <c r="Q1553" s="73"/>
      <c r="R1553" s="73">
        <v>0</v>
      </c>
      <c r="S1553" s="75">
        <f t="shared" si="204"/>
        <v>0</v>
      </c>
      <c r="T1553" s="77">
        <v>0</v>
      </c>
      <c r="U1553" s="66">
        <v>40491</v>
      </c>
      <c r="V1553" s="79"/>
      <c r="W1553" s="66" t="s">
        <v>1585</v>
      </c>
      <c r="X1553" s="24" t="s">
        <v>1586</v>
      </c>
      <c r="Y1553" s="62"/>
      <c r="Z1553" s="169" t="s">
        <v>894</v>
      </c>
      <c r="AA1553" s="166" t="s">
        <v>2662</v>
      </c>
      <c r="AB1553" s="152"/>
      <c r="AC1553" s="153"/>
      <c r="AD1553" s="154"/>
      <c r="AE1553" s="153"/>
      <c r="AF1553" s="153"/>
      <c r="AG1553" s="153"/>
      <c r="AH1553" s="153"/>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c r="BF1553" s="153"/>
      <c r="BG1553" s="153"/>
      <c r="BH1553" s="153"/>
      <c r="BI1553" s="153"/>
      <c r="BJ1553" s="153"/>
      <c r="BK1553" s="153"/>
      <c r="BL1553" s="153"/>
      <c r="BM1553" s="153"/>
      <c r="BN1553" s="153"/>
      <c r="BO1553" s="153"/>
      <c r="BP1553" s="153"/>
      <c r="BQ1553" s="153"/>
      <c r="BR1553" s="153"/>
      <c r="BS1553" s="153"/>
      <c r="BT1553" s="153"/>
      <c r="BU1553" s="153"/>
      <c r="BV1553" s="153"/>
      <c r="BW1553" s="153"/>
      <c r="BX1553" s="153"/>
      <c r="BY1553" s="153"/>
      <c r="BZ1553" s="153"/>
      <c r="CA1553" s="153"/>
      <c r="CB1553" s="153"/>
      <c r="CC1553" s="153"/>
      <c r="CD1553" s="155"/>
      <c r="CE1553" s="156"/>
      <c r="CF1553" s="155"/>
      <c r="CG1553" s="156"/>
      <c r="CH1553" s="155"/>
      <c r="CI1553" s="156"/>
      <c r="CJ1553" s="157">
        <f t="shared" si="203"/>
        <v>0</v>
      </c>
      <c r="CK1553" s="158"/>
      <c r="CL1553" s="159"/>
      <c r="CM1553" s="160"/>
      <c r="CN1553" s="161"/>
      <c r="CO1553" s="162"/>
      <c r="CP1553" s="161"/>
      <c r="CQ1553" s="158"/>
      <c r="CR1553" s="159"/>
      <c r="CS1553" s="68"/>
      <c r="CT1553" s="163"/>
      <c r="EC1553" s="344" t="str">
        <f t="shared" si="199"/>
        <v>BOYACA_SOATA</v>
      </c>
      <c r="ED1553" s="341"/>
      <c r="EE1553" s="341"/>
      <c r="EF1553" s="348"/>
      <c r="EG1553" s="341"/>
      <c r="EH1553" s="341"/>
      <c r="EI1553" s="341"/>
    </row>
    <row r="1554" spans="1:139" s="164" customFormat="1" ht="38.25">
      <c r="A1554" s="228">
        <v>40489</v>
      </c>
      <c r="B1554" s="205" t="s">
        <v>1604</v>
      </c>
      <c r="C1554" s="205" t="s">
        <v>982</v>
      </c>
      <c r="D1554" s="207" t="s">
        <v>1201</v>
      </c>
      <c r="E1554" s="323" t="s">
        <v>3777</v>
      </c>
      <c r="F1554" s="323"/>
      <c r="G1554" s="204"/>
      <c r="H1554" s="151"/>
      <c r="I1554" s="151"/>
      <c r="J1554" s="151">
        <v>95</v>
      </c>
      <c r="K1554" s="151">
        <v>21</v>
      </c>
      <c r="L1554" s="1"/>
      <c r="M1554" s="73">
        <f t="shared" si="201"/>
        <v>0</v>
      </c>
      <c r="N1554" s="73">
        <f t="shared" si="205"/>
        <v>0</v>
      </c>
      <c r="O1554" s="73">
        <f t="shared" si="200"/>
        <v>0</v>
      </c>
      <c r="P1554" s="73">
        <f t="shared" si="202"/>
        <v>0</v>
      </c>
      <c r="Q1554" s="73"/>
      <c r="R1554" s="73">
        <v>0</v>
      </c>
      <c r="S1554" s="75">
        <f t="shared" si="204"/>
        <v>0</v>
      </c>
      <c r="T1554" s="77">
        <v>0</v>
      </c>
      <c r="U1554" s="66">
        <v>40492</v>
      </c>
      <c r="V1554" s="79"/>
      <c r="W1554" s="66" t="s">
        <v>1585</v>
      </c>
      <c r="X1554" s="24" t="s">
        <v>1586</v>
      </c>
      <c r="Y1554" s="62"/>
      <c r="Z1554" s="169" t="s">
        <v>894</v>
      </c>
      <c r="AA1554" s="166" t="s">
        <v>2755</v>
      </c>
      <c r="AB1554" s="152"/>
      <c r="AC1554" s="153"/>
      <c r="AD1554" s="154"/>
      <c r="AE1554" s="153"/>
      <c r="AF1554" s="153"/>
      <c r="AG1554" s="153"/>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c r="BF1554" s="153"/>
      <c r="BG1554" s="153"/>
      <c r="BH1554" s="153"/>
      <c r="BI1554" s="153"/>
      <c r="BJ1554" s="153"/>
      <c r="BK1554" s="153"/>
      <c r="BL1554" s="153"/>
      <c r="BM1554" s="153"/>
      <c r="BN1554" s="153"/>
      <c r="BO1554" s="153"/>
      <c r="BP1554" s="153"/>
      <c r="BQ1554" s="153"/>
      <c r="BR1554" s="153"/>
      <c r="BS1554" s="153"/>
      <c r="BT1554" s="153"/>
      <c r="BU1554" s="153"/>
      <c r="BV1554" s="153"/>
      <c r="BW1554" s="153"/>
      <c r="BX1554" s="153"/>
      <c r="BY1554" s="153"/>
      <c r="BZ1554" s="153"/>
      <c r="CA1554" s="153"/>
      <c r="CB1554" s="153"/>
      <c r="CC1554" s="153"/>
      <c r="CD1554" s="155"/>
      <c r="CE1554" s="156"/>
      <c r="CF1554" s="155"/>
      <c r="CG1554" s="156"/>
      <c r="CH1554" s="155"/>
      <c r="CI1554" s="156"/>
      <c r="CJ1554" s="157">
        <f t="shared" si="203"/>
        <v>0</v>
      </c>
      <c r="CK1554" s="158"/>
      <c r="CL1554" s="159"/>
      <c r="CM1554" s="160"/>
      <c r="CN1554" s="161"/>
      <c r="CO1554" s="162"/>
      <c r="CP1554" s="161"/>
      <c r="CQ1554" s="158"/>
      <c r="CR1554" s="159"/>
      <c r="CS1554" s="68"/>
      <c r="CT1554" s="163"/>
      <c r="EC1554" s="344" t="str">
        <f t="shared" si="199"/>
        <v>CUNDINAMARCA_TOCAIMA</v>
      </c>
      <c r="ED1554" s="341"/>
      <c r="EE1554" s="341"/>
      <c r="EF1554" s="348"/>
      <c r="EG1554" s="341"/>
      <c r="EH1554" s="341"/>
      <c r="EI1554" s="341"/>
    </row>
    <row r="1555" spans="1:139" s="164" customFormat="1" ht="36">
      <c r="A1555" s="228">
        <v>40489</v>
      </c>
      <c r="B1555" s="205" t="s">
        <v>396</v>
      </c>
      <c r="C1555" s="205" t="s">
        <v>397</v>
      </c>
      <c r="D1555" s="207" t="s">
        <v>1201</v>
      </c>
      <c r="E1555" s="323" t="s">
        <v>3913</v>
      </c>
      <c r="F1555" s="323"/>
      <c r="G1555" s="204"/>
      <c r="H1555" s="151"/>
      <c r="I1555" s="151"/>
      <c r="J1555" s="151">
        <v>334</v>
      </c>
      <c r="K1555" s="151">
        <v>90</v>
      </c>
      <c r="L1555" s="1"/>
      <c r="M1555" s="73">
        <f t="shared" si="201"/>
        <v>0</v>
      </c>
      <c r="N1555" s="73">
        <f t="shared" si="205"/>
        <v>0</v>
      </c>
      <c r="O1555" s="73">
        <f t="shared" si="200"/>
        <v>0</v>
      </c>
      <c r="P1555" s="73">
        <f t="shared" si="202"/>
        <v>0</v>
      </c>
      <c r="Q1555" s="73"/>
      <c r="R1555" s="73">
        <v>0</v>
      </c>
      <c r="S1555" s="75">
        <f t="shared" si="204"/>
        <v>0</v>
      </c>
      <c r="T1555" s="77">
        <v>0</v>
      </c>
      <c r="U1555" s="66">
        <v>40491</v>
      </c>
      <c r="V1555" s="79"/>
      <c r="W1555" s="66" t="s">
        <v>1585</v>
      </c>
      <c r="X1555" s="24" t="s">
        <v>1586</v>
      </c>
      <c r="Y1555" s="62"/>
      <c r="Z1555" s="169" t="s">
        <v>894</v>
      </c>
      <c r="AA1555" s="166" t="s">
        <v>2652</v>
      </c>
      <c r="AB1555" s="152"/>
      <c r="AC1555" s="153"/>
      <c r="AD1555" s="154"/>
      <c r="AE1555" s="153"/>
      <c r="AF1555" s="153"/>
      <c r="AG1555" s="153"/>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c r="BF1555" s="153"/>
      <c r="BG1555" s="153"/>
      <c r="BH1555" s="153"/>
      <c r="BI1555" s="153"/>
      <c r="BJ1555" s="153"/>
      <c r="BK1555" s="153"/>
      <c r="BL1555" s="153"/>
      <c r="BM1555" s="153"/>
      <c r="BN1555" s="153"/>
      <c r="BO1555" s="153"/>
      <c r="BP1555" s="153"/>
      <c r="BQ1555" s="153"/>
      <c r="BR1555" s="153"/>
      <c r="BS1555" s="153"/>
      <c r="BT1555" s="153"/>
      <c r="BU1555" s="153"/>
      <c r="BV1555" s="153"/>
      <c r="BW1555" s="153"/>
      <c r="BX1555" s="153"/>
      <c r="BY1555" s="153"/>
      <c r="BZ1555" s="153"/>
      <c r="CA1555" s="153"/>
      <c r="CB1555" s="153"/>
      <c r="CC1555" s="153"/>
      <c r="CD1555" s="155"/>
      <c r="CE1555" s="156"/>
      <c r="CF1555" s="155"/>
      <c r="CG1555" s="156"/>
      <c r="CH1555" s="155"/>
      <c r="CI1555" s="156"/>
      <c r="CJ1555" s="157">
        <f t="shared" si="203"/>
        <v>0</v>
      </c>
      <c r="CK1555" s="158"/>
      <c r="CL1555" s="159"/>
      <c r="CM1555" s="160"/>
      <c r="CN1555" s="161"/>
      <c r="CO1555" s="162"/>
      <c r="CP1555" s="161"/>
      <c r="CQ1555" s="158"/>
      <c r="CR1555" s="159"/>
      <c r="CS1555" s="68"/>
      <c r="CT1555" s="163"/>
      <c r="EC1555" s="344" t="str">
        <f t="shared" si="199"/>
        <v>META_EL CASTILLO</v>
      </c>
      <c r="ED1555" s="341"/>
      <c r="EE1555" s="341"/>
      <c r="EF1555" s="348"/>
      <c r="EG1555" s="341"/>
      <c r="EH1555" s="341"/>
      <c r="EI1555" s="341"/>
    </row>
    <row r="1556" spans="1:139" s="164" customFormat="1" ht="38.25">
      <c r="A1556" s="228">
        <v>40489</v>
      </c>
      <c r="B1556" s="205" t="s">
        <v>965</v>
      </c>
      <c r="C1556" s="205" t="s">
        <v>2660</v>
      </c>
      <c r="D1556" s="206" t="s">
        <v>1878</v>
      </c>
      <c r="E1556" s="320" t="s">
        <v>4009</v>
      </c>
      <c r="F1556" s="320"/>
      <c r="G1556" s="204"/>
      <c r="H1556" s="151"/>
      <c r="I1556" s="151"/>
      <c r="J1556" s="151">
        <v>818</v>
      </c>
      <c r="K1556" s="151">
        <v>197</v>
      </c>
      <c r="L1556" s="1"/>
      <c r="M1556" s="73">
        <f t="shared" si="201"/>
        <v>0</v>
      </c>
      <c r="N1556" s="73">
        <f t="shared" si="205"/>
        <v>0</v>
      </c>
      <c r="O1556" s="73">
        <f t="shared" si="200"/>
        <v>0</v>
      </c>
      <c r="P1556" s="73">
        <f t="shared" si="202"/>
        <v>0</v>
      </c>
      <c r="Q1556" s="73"/>
      <c r="R1556" s="73">
        <v>0</v>
      </c>
      <c r="S1556" s="75">
        <f t="shared" si="204"/>
        <v>0</v>
      </c>
      <c r="T1556" s="77">
        <v>0</v>
      </c>
      <c r="U1556" s="66">
        <v>40491</v>
      </c>
      <c r="V1556" s="79"/>
      <c r="W1556" s="66" t="s">
        <v>1585</v>
      </c>
      <c r="X1556" s="24" t="s">
        <v>1586</v>
      </c>
      <c r="Y1556" s="62"/>
      <c r="Z1556" s="169" t="s">
        <v>894</v>
      </c>
      <c r="AA1556" s="166" t="s">
        <v>902</v>
      </c>
      <c r="AB1556" s="152"/>
      <c r="AC1556" s="153"/>
      <c r="AD1556" s="154"/>
      <c r="AE1556" s="153"/>
      <c r="AF1556" s="153"/>
      <c r="AG1556" s="153"/>
      <c r="AH1556" s="153"/>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c r="BF1556" s="153"/>
      <c r="BG1556" s="153"/>
      <c r="BH1556" s="153"/>
      <c r="BI1556" s="153"/>
      <c r="BJ1556" s="153"/>
      <c r="BK1556" s="153"/>
      <c r="BL1556" s="153"/>
      <c r="BM1556" s="153"/>
      <c r="BN1556" s="153"/>
      <c r="BO1556" s="153"/>
      <c r="BP1556" s="153"/>
      <c r="BQ1556" s="153"/>
      <c r="BR1556" s="153"/>
      <c r="BS1556" s="153"/>
      <c r="BT1556" s="153"/>
      <c r="BU1556" s="153"/>
      <c r="BV1556" s="153"/>
      <c r="BW1556" s="153"/>
      <c r="BX1556" s="153"/>
      <c r="BY1556" s="153"/>
      <c r="BZ1556" s="153"/>
      <c r="CA1556" s="153"/>
      <c r="CB1556" s="153"/>
      <c r="CC1556" s="153"/>
      <c r="CD1556" s="155"/>
      <c r="CE1556" s="156"/>
      <c r="CF1556" s="155"/>
      <c r="CG1556" s="156"/>
      <c r="CH1556" s="155"/>
      <c r="CI1556" s="156"/>
      <c r="CJ1556" s="157">
        <f t="shared" si="203"/>
        <v>0</v>
      </c>
      <c r="CK1556" s="158"/>
      <c r="CL1556" s="159"/>
      <c r="CM1556" s="160"/>
      <c r="CN1556" s="161"/>
      <c r="CO1556" s="162"/>
      <c r="CP1556" s="161"/>
      <c r="CQ1556" s="158"/>
      <c r="CR1556" s="159"/>
      <c r="CS1556" s="68"/>
      <c r="CT1556" s="163"/>
      <c r="EC1556" s="344" t="str">
        <f t="shared" ref="EC1556:EC1619" si="206">B1556&amp;"_"&amp;C1556</f>
        <v>NORTE DE SANTANDER_DURANIA</v>
      </c>
      <c r="ED1556" s="341"/>
      <c r="EE1556" s="341"/>
      <c r="EF1556" s="348"/>
      <c r="EG1556" s="341"/>
      <c r="EH1556" s="341"/>
      <c r="EI1556" s="341"/>
    </row>
    <row r="1557" spans="1:139" s="164" customFormat="1" ht="51">
      <c r="A1557" s="228">
        <v>40489</v>
      </c>
      <c r="B1557" s="205" t="s">
        <v>965</v>
      </c>
      <c r="C1557" s="205" t="s">
        <v>1329</v>
      </c>
      <c r="D1557" s="206" t="s">
        <v>1878</v>
      </c>
      <c r="E1557" s="320" t="s">
        <v>4019</v>
      </c>
      <c r="F1557" s="320"/>
      <c r="G1557" s="204"/>
      <c r="H1557" s="151"/>
      <c r="I1557" s="151"/>
      <c r="J1557" s="151">
        <v>20</v>
      </c>
      <c r="K1557" s="151">
        <v>4</v>
      </c>
      <c r="L1557" s="1"/>
      <c r="M1557" s="73">
        <f t="shared" si="201"/>
        <v>0</v>
      </c>
      <c r="N1557" s="73">
        <f t="shared" si="205"/>
        <v>0</v>
      </c>
      <c r="O1557" s="73">
        <f t="shared" si="200"/>
        <v>0</v>
      </c>
      <c r="P1557" s="73">
        <f t="shared" si="202"/>
        <v>0</v>
      </c>
      <c r="Q1557" s="73">
        <f>14960000*1.16+9285000*1.16+7260000*1.16+9250000*1.16</f>
        <v>47275800</v>
      </c>
      <c r="R1557" s="73">
        <v>0</v>
      </c>
      <c r="S1557" s="75">
        <f t="shared" si="204"/>
        <v>47275800</v>
      </c>
      <c r="T1557" s="77">
        <v>0</v>
      </c>
      <c r="U1557" s="66">
        <v>40491</v>
      </c>
      <c r="V1557" s="79">
        <v>62847</v>
      </c>
      <c r="W1557" s="66" t="s">
        <v>1606</v>
      </c>
      <c r="X1557" s="24" t="s">
        <v>1607</v>
      </c>
      <c r="Y1557" s="62"/>
      <c r="Z1557" s="169" t="s">
        <v>894</v>
      </c>
      <c r="AA1557" s="166" t="s">
        <v>2</v>
      </c>
      <c r="AB1557" s="152"/>
      <c r="AC1557" s="153"/>
      <c r="AD1557" s="154"/>
      <c r="AE1557" s="153"/>
      <c r="AF1557" s="153"/>
      <c r="AG1557" s="153"/>
      <c r="AH1557" s="153"/>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c r="BF1557" s="153"/>
      <c r="BG1557" s="153"/>
      <c r="BH1557" s="153"/>
      <c r="BI1557" s="153"/>
      <c r="BJ1557" s="153"/>
      <c r="BK1557" s="153"/>
      <c r="BL1557" s="153"/>
      <c r="BM1557" s="153"/>
      <c r="BN1557" s="153"/>
      <c r="BO1557" s="153"/>
      <c r="BP1557" s="153"/>
      <c r="BQ1557" s="153"/>
      <c r="BR1557" s="153"/>
      <c r="BS1557" s="153"/>
      <c r="BT1557" s="153"/>
      <c r="BU1557" s="153"/>
      <c r="BV1557" s="153"/>
      <c r="BW1557" s="153"/>
      <c r="BX1557" s="153"/>
      <c r="BY1557" s="153"/>
      <c r="BZ1557" s="153"/>
      <c r="CA1557" s="153"/>
      <c r="CB1557" s="153"/>
      <c r="CC1557" s="153"/>
      <c r="CD1557" s="155"/>
      <c r="CE1557" s="156"/>
      <c r="CF1557" s="155"/>
      <c r="CG1557" s="156"/>
      <c r="CH1557" s="155"/>
      <c r="CI1557" s="156"/>
      <c r="CJ1557" s="157">
        <f t="shared" si="203"/>
        <v>0</v>
      </c>
      <c r="CK1557" s="158"/>
      <c r="CL1557" s="159"/>
      <c r="CM1557" s="160"/>
      <c r="CN1557" s="161"/>
      <c r="CO1557" s="162"/>
      <c r="CP1557" s="161"/>
      <c r="CQ1557" s="158"/>
      <c r="CR1557" s="159"/>
      <c r="CS1557" s="68"/>
      <c r="CT1557" s="163"/>
      <c r="EC1557" s="344" t="str">
        <f t="shared" si="206"/>
        <v>NORTE DE SANTANDER_LOS PATIOS</v>
      </c>
      <c r="ED1557" s="341"/>
      <c r="EE1557" s="341"/>
      <c r="EF1557" s="348"/>
      <c r="EG1557" s="341"/>
      <c r="EH1557" s="341"/>
      <c r="EI1557" s="341"/>
    </row>
    <row r="1558" spans="1:139" s="164" customFormat="1" ht="25.5">
      <c r="A1558" s="228">
        <v>40489</v>
      </c>
      <c r="B1558" s="102" t="s">
        <v>1609</v>
      </c>
      <c r="C1558" s="205" t="s">
        <v>2004</v>
      </c>
      <c r="D1558" s="206" t="s">
        <v>1878</v>
      </c>
      <c r="E1558" s="320" t="s">
        <v>4050</v>
      </c>
      <c r="F1558" s="320"/>
      <c r="G1558" s="204"/>
      <c r="H1558" s="151"/>
      <c r="I1558" s="151"/>
      <c r="J1558" s="151">
        <v>5</v>
      </c>
      <c r="K1558" s="151">
        <v>1</v>
      </c>
      <c r="L1558" s="1"/>
      <c r="M1558" s="73">
        <f t="shared" si="201"/>
        <v>0</v>
      </c>
      <c r="N1558" s="73">
        <f t="shared" si="205"/>
        <v>0</v>
      </c>
      <c r="O1558" s="73">
        <f t="shared" si="200"/>
        <v>0</v>
      </c>
      <c r="P1558" s="73">
        <f t="shared" si="202"/>
        <v>0</v>
      </c>
      <c r="Q1558" s="73"/>
      <c r="R1558" s="73">
        <v>0</v>
      </c>
      <c r="S1558" s="75">
        <f t="shared" si="204"/>
        <v>0</v>
      </c>
      <c r="T1558" s="77">
        <v>0</v>
      </c>
      <c r="U1558" s="66">
        <v>40491</v>
      </c>
      <c r="V1558" s="79"/>
      <c r="W1558" s="66" t="s">
        <v>1585</v>
      </c>
      <c r="X1558" s="24" t="s">
        <v>1586</v>
      </c>
      <c r="Y1558" s="62"/>
      <c r="Z1558" s="169" t="s">
        <v>894</v>
      </c>
      <c r="AA1558" s="166" t="s">
        <v>2663</v>
      </c>
      <c r="AB1558" s="152"/>
      <c r="AC1558" s="153"/>
      <c r="AD1558" s="154"/>
      <c r="AE1558" s="153"/>
      <c r="AF1558" s="153"/>
      <c r="AG1558" s="153"/>
      <c r="AH1558" s="153"/>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c r="BF1558" s="153"/>
      <c r="BG1558" s="153"/>
      <c r="BH1558" s="153"/>
      <c r="BI1558" s="153"/>
      <c r="BJ1558" s="153"/>
      <c r="BK1558" s="153"/>
      <c r="BL1558" s="153"/>
      <c r="BM1558" s="153"/>
      <c r="BN1558" s="153"/>
      <c r="BO1558" s="153"/>
      <c r="BP1558" s="153"/>
      <c r="BQ1558" s="153"/>
      <c r="BR1558" s="153"/>
      <c r="BS1558" s="153"/>
      <c r="BT1558" s="153"/>
      <c r="BU1558" s="153"/>
      <c r="BV1558" s="153"/>
      <c r="BW1558" s="153"/>
      <c r="BX1558" s="153"/>
      <c r="BY1558" s="153"/>
      <c r="BZ1558" s="153"/>
      <c r="CA1558" s="153"/>
      <c r="CB1558" s="153"/>
      <c r="CC1558" s="153"/>
      <c r="CD1558" s="155"/>
      <c r="CE1558" s="156"/>
      <c r="CF1558" s="155"/>
      <c r="CG1558" s="156"/>
      <c r="CH1558" s="155"/>
      <c r="CI1558" s="156"/>
      <c r="CJ1558" s="157">
        <f t="shared" si="203"/>
        <v>0</v>
      </c>
      <c r="CK1558" s="158"/>
      <c r="CL1558" s="159"/>
      <c r="CM1558" s="160"/>
      <c r="CN1558" s="161"/>
      <c r="CO1558" s="162"/>
      <c r="CP1558" s="161"/>
      <c r="CQ1558" s="158"/>
      <c r="CR1558" s="159"/>
      <c r="CS1558" s="68"/>
      <c r="CT1558" s="163"/>
      <c r="EC1558" s="344" t="str">
        <f t="shared" si="206"/>
        <v>RISARALDA_PEREIRA</v>
      </c>
      <c r="ED1558" s="341"/>
      <c r="EE1558" s="341"/>
      <c r="EF1558" s="348"/>
      <c r="EG1558" s="341"/>
      <c r="EH1558" s="341"/>
      <c r="EI1558" s="341"/>
    </row>
    <row r="1559" spans="1:139" s="164" customFormat="1" ht="38.25">
      <c r="A1559" s="228">
        <v>40489</v>
      </c>
      <c r="B1559" s="102" t="s">
        <v>1609</v>
      </c>
      <c r="C1559" s="205" t="s">
        <v>1538</v>
      </c>
      <c r="D1559" s="207" t="s">
        <v>1201</v>
      </c>
      <c r="E1559" s="323" t="s">
        <v>4063</v>
      </c>
      <c r="F1559" s="323"/>
      <c r="G1559" s="204"/>
      <c r="H1559" s="151"/>
      <c r="I1559" s="151">
        <v>1</v>
      </c>
      <c r="J1559" s="151"/>
      <c r="K1559" s="151"/>
      <c r="L1559" s="1"/>
      <c r="M1559" s="73">
        <f t="shared" si="201"/>
        <v>0</v>
      </c>
      <c r="N1559" s="73">
        <f t="shared" si="205"/>
        <v>0</v>
      </c>
      <c r="O1559" s="73">
        <f t="shared" si="200"/>
        <v>0</v>
      </c>
      <c r="P1559" s="73">
        <f t="shared" si="202"/>
        <v>0</v>
      </c>
      <c r="Q1559" s="73"/>
      <c r="R1559" s="73">
        <v>0</v>
      </c>
      <c r="S1559" s="75">
        <f t="shared" si="204"/>
        <v>0</v>
      </c>
      <c r="T1559" s="77">
        <v>0</v>
      </c>
      <c r="U1559" s="66">
        <v>40494</v>
      </c>
      <c r="V1559" s="79"/>
      <c r="W1559" s="66" t="s">
        <v>1585</v>
      </c>
      <c r="X1559" s="24" t="s">
        <v>1586</v>
      </c>
      <c r="Y1559" s="62"/>
      <c r="Z1559" s="169" t="s">
        <v>894</v>
      </c>
      <c r="AA1559" s="166" t="s">
        <v>2021</v>
      </c>
      <c r="AB1559" s="152"/>
      <c r="AC1559" s="153"/>
      <c r="AD1559" s="154"/>
      <c r="AE1559" s="153"/>
      <c r="AF1559" s="153"/>
      <c r="AG1559" s="153"/>
      <c r="AH1559" s="153"/>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c r="BF1559" s="153"/>
      <c r="BG1559" s="153"/>
      <c r="BH1559" s="153"/>
      <c r="BI1559" s="153"/>
      <c r="BJ1559" s="153"/>
      <c r="BK1559" s="153"/>
      <c r="BL1559" s="153"/>
      <c r="BM1559" s="153"/>
      <c r="BN1559" s="153"/>
      <c r="BO1559" s="153"/>
      <c r="BP1559" s="153"/>
      <c r="BQ1559" s="153"/>
      <c r="BR1559" s="153"/>
      <c r="BS1559" s="153"/>
      <c r="BT1559" s="153"/>
      <c r="BU1559" s="153"/>
      <c r="BV1559" s="153"/>
      <c r="BW1559" s="153"/>
      <c r="BX1559" s="153"/>
      <c r="BY1559" s="153"/>
      <c r="BZ1559" s="153"/>
      <c r="CA1559" s="153"/>
      <c r="CB1559" s="153"/>
      <c r="CC1559" s="153"/>
      <c r="CD1559" s="155"/>
      <c r="CE1559" s="156"/>
      <c r="CF1559" s="155"/>
      <c r="CG1559" s="156"/>
      <c r="CH1559" s="155"/>
      <c r="CI1559" s="156"/>
      <c r="CJ1559" s="157">
        <f t="shared" si="203"/>
        <v>0</v>
      </c>
      <c r="CK1559" s="158"/>
      <c r="CL1559" s="159"/>
      <c r="CM1559" s="160"/>
      <c r="CN1559" s="161"/>
      <c r="CO1559" s="162"/>
      <c r="CP1559" s="161"/>
      <c r="CQ1559" s="158"/>
      <c r="CR1559" s="159"/>
      <c r="CS1559" s="68"/>
      <c r="CT1559" s="163"/>
      <c r="EC1559" s="344" t="str">
        <f t="shared" si="206"/>
        <v>RISARALDA_SANTUARIO</v>
      </c>
      <c r="ED1559" s="341"/>
      <c r="EE1559" s="341"/>
      <c r="EF1559" s="348"/>
      <c r="EG1559" s="341"/>
      <c r="EH1559" s="341"/>
      <c r="EI1559" s="341"/>
    </row>
    <row r="1560" spans="1:139" s="164" customFormat="1" ht="51">
      <c r="A1560" s="228">
        <v>40489</v>
      </c>
      <c r="B1560" s="205" t="s">
        <v>1998</v>
      </c>
      <c r="C1560" s="205" t="s">
        <v>1083</v>
      </c>
      <c r="D1560" s="206" t="s">
        <v>1878</v>
      </c>
      <c r="E1560" s="320" t="s">
        <v>4070</v>
      </c>
      <c r="F1560" s="320"/>
      <c r="G1560" s="263">
        <v>1</v>
      </c>
      <c r="H1560" s="151"/>
      <c r="I1560" s="151"/>
      <c r="J1560" s="151"/>
      <c r="K1560" s="151"/>
      <c r="L1560" s="1"/>
      <c r="M1560" s="73">
        <f t="shared" si="201"/>
        <v>0</v>
      </c>
      <c r="N1560" s="73">
        <f t="shared" si="205"/>
        <v>0</v>
      </c>
      <c r="O1560" s="73">
        <f t="shared" si="200"/>
        <v>0</v>
      </c>
      <c r="P1560" s="73">
        <f t="shared" si="202"/>
        <v>0</v>
      </c>
      <c r="Q1560" s="73"/>
      <c r="R1560" s="73">
        <v>0</v>
      </c>
      <c r="S1560" s="75">
        <f t="shared" si="204"/>
        <v>0</v>
      </c>
      <c r="T1560" s="77">
        <v>0</v>
      </c>
      <c r="U1560" s="66">
        <v>40491</v>
      </c>
      <c r="V1560" s="79"/>
      <c r="W1560" s="66" t="s">
        <v>1585</v>
      </c>
      <c r="X1560" s="24" t="s">
        <v>1586</v>
      </c>
      <c r="Y1560" s="62"/>
      <c r="Z1560" s="169" t="s">
        <v>894</v>
      </c>
      <c r="AA1560" s="166" t="s">
        <v>902</v>
      </c>
      <c r="AB1560" s="152"/>
      <c r="AC1560" s="153"/>
      <c r="AD1560" s="154"/>
      <c r="AE1560" s="153"/>
      <c r="AF1560" s="153"/>
      <c r="AG1560" s="153"/>
      <c r="AH1560" s="153"/>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c r="BF1560" s="153"/>
      <c r="BG1560" s="153"/>
      <c r="BH1560" s="153"/>
      <c r="BI1560" s="153"/>
      <c r="BJ1560" s="153"/>
      <c r="BK1560" s="153"/>
      <c r="BL1560" s="153"/>
      <c r="BM1560" s="153"/>
      <c r="BN1560" s="153"/>
      <c r="BO1560" s="153"/>
      <c r="BP1560" s="153"/>
      <c r="BQ1560" s="153"/>
      <c r="BR1560" s="153"/>
      <c r="BS1560" s="153"/>
      <c r="BT1560" s="153"/>
      <c r="BU1560" s="153"/>
      <c r="BV1560" s="153"/>
      <c r="BW1560" s="153"/>
      <c r="BX1560" s="153"/>
      <c r="BY1560" s="153"/>
      <c r="BZ1560" s="153"/>
      <c r="CA1560" s="153"/>
      <c r="CB1560" s="153"/>
      <c r="CC1560" s="153"/>
      <c r="CD1560" s="155"/>
      <c r="CE1560" s="156"/>
      <c r="CF1560" s="155"/>
      <c r="CG1560" s="156"/>
      <c r="CH1560" s="155"/>
      <c r="CI1560" s="156"/>
      <c r="CJ1560" s="157">
        <f t="shared" si="203"/>
        <v>0</v>
      </c>
      <c r="CK1560" s="158"/>
      <c r="CL1560" s="159"/>
      <c r="CM1560" s="160"/>
      <c r="CN1560" s="161"/>
      <c r="CO1560" s="162"/>
      <c r="CP1560" s="161"/>
      <c r="CQ1560" s="158"/>
      <c r="CR1560" s="159"/>
      <c r="CS1560" s="68"/>
      <c r="CT1560" s="163"/>
      <c r="EC1560" s="344" t="str">
        <f t="shared" si="206"/>
        <v>SANTANDER_BARRANCABERMEJA</v>
      </c>
      <c r="ED1560" s="341"/>
      <c r="EE1560" s="341"/>
      <c r="EF1560" s="348"/>
      <c r="EG1560" s="341"/>
      <c r="EH1560" s="341"/>
      <c r="EI1560" s="341"/>
    </row>
    <row r="1561" spans="1:139" s="164" customFormat="1" ht="25.5">
      <c r="A1561" s="228">
        <v>40489</v>
      </c>
      <c r="B1561" s="205" t="s">
        <v>1998</v>
      </c>
      <c r="C1561" s="205" t="s">
        <v>1615</v>
      </c>
      <c r="D1561" s="206" t="s">
        <v>1878</v>
      </c>
      <c r="E1561" s="320" t="s">
        <v>4072</v>
      </c>
      <c r="F1561" s="320"/>
      <c r="G1561" s="263"/>
      <c r="H1561" s="151"/>
      <c r="I1561" s="151"/>
      <c r="J1561" s="151"/>
      <c r="K1561" s="151"/>
      <c r="L1561" s="1"/>
      <c r="M1561" s="73">
        <f t="shared" si="201"/>
        <v>0</v>
      </c>
      <c r="N1561" s="73">
        <f t="shared" si="205"/>
        <v>0</v>
      </c>
      <c r="O1561" s="73">
        <f t="shared" si="200"/>
        <v>0</v>
      </c>
      <c r="P1561" s="73">
        <f t="shared" si="202"/>
        <v>0</v>
      </c>
      <c r="Q1561" s="73"/>
      <c r="R1561" s="73">
        <v>0</v>
      </c>
      <c r="S1561" s="75">
        <f t="shared" si="204"/>
        <v>0</v>
      </c>
      <c r="T1561" s="77">
        <v>0</v>
      </c>
      <c r="U1561" s="66">
        <v>40491</v>
      </c>
      <c r="V1561" s="79"/>
      <c r="W1561" s="66" t="s">
        <v>1585</v>
      </c>
      <c r="X1561" s="24" t="s">
        <v>1586</v>
      </c>
      <c r="Y1561" s="62"/>
      <c r="Z1561" s="169" t="s">
        <v>894</v>
      </c>
      <c r="AA1561" s="166" t="s">
        <v>2656</v>
      </c>
      <c r="AB1561" s="152"/>
      <c r="AC1561" s="153"/>
      <c r="AD1561" s="154"/>
      <c r="AE1561" s="153"/>
      <c r="AF1561" s="153"/>
      <c r="AG1561" s="153"/>
      <c r="AH1561" s="153"/>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c r="BF1561" s="153"/>
      <c r="BG1561" s="153"/>
      <c r="BH1561" s="153"/>
      <c r="BI1561" s="153"/>
      <c r="BJ1561" s="153"/>
      <c r="BK1561" s="153"/>
      <c r="BL1561" s="153"/>
      <c r="BM1561" s="153"/>
      <c r="BN1561" s="153"/>
      <c r="BO1561" s="153"/>
      <c r="BP1561" s="153"/>
      <c r="BQ1561" s="153"/>
      <c r="BR1561" s="153"/>
      <c r="BS1561" s="153"/>
      <c r="BT1561" s="153"/>
      <c r="BU1561" s="153"/>
      <c r="BV1561" s="153"/>
      <c r="BW1561" s="153"/>
      <c r="BX1561" s="153"/>
      <c r="BY1561" s="153"/>
      <c r="BZ1561" s="153"/>
      <c r="CA1561" s="153"/>
      <c r="CB1561" s="153"/>
      <c r="CC1561" s="153"/>
      <c r="CD1561" s="155"/>
      <c r="CE1561" s="156"/>
      <c r="CF1561" s="155"/>
      <c r="CG1561" s="156"/>
      <c r="CH1561" s="155"/>
      <c r="CI1561" s="156"/>
      <c r="CJ1561" s="157">
        <f t="shared" si="203"/>
        <v>0</v>
      </c>
      <c r="CK1561" s="158"/>
      <c r="CL1561" s="159"/>
      <c r="CM1561" s="160"/>
      <c r="CN1561" s="161"/>
      <c r="CO1561" s="162"/>
      <c r="CP1561" s="161"/>
      <c r="CQ1561" s="158"/>
      <c r="CR1561" s="159"/>
      <c r="CS1561" s="68"/>
      <c r="CT1561" s="163"/>
      <c r="EC1561" s="344" t="str">
        <f t="shared" si="206"/>
        <v>SANTANDER_BOLIVAR</v>
      </c>
      <c r="ED1561" s="341"/>
      <c r="EE1561" s="341"/>
      <c r="EF1561" s="348"/>
      <c r="EG1561" s="341"/>
      <c r="EH1561" s="341"/>
      <c r="EI1561" s="341"/>
    </row>
    <row r="1562" spans="1:139" s="164" customFormat="1" ht="38.25">
      <c r="A1562" s="228">
        <v>40489</v>
      </c>
      <c r="B1562" s="205" t="s">
        <v>1998</v>
      </c>
      <c r="C1562" s="205" t="s">
        <v>1011</v>
      </c>
      <c r="D1562" s="206" t="s">
        <v>1878</v>
      </c>
      <c r="E1562" s="320" t="s">
        <v>4064</v>
      </c>
      <c r="F1562" s="320"/>
      <c r="G1562" s="263"/>
      <c r="H1562" s="151"/>
      <c r="I1562" s="151"/>
      <c r="J1562" s="151"/>
      <c r="K1562" s="151"/>
      <c r="L1562" s="1"/>
      <c r="M1562" s="73">
        <f t="shared" si="201"/>
        <v>0</v>
      </c>
      <c r="N1562" s="73">
        <f t="shared" si="205"/>
        <v>0</v>
      </c>
      <c r="O1562" s="73">
        <f t="shared" si="200"/>
        <v>0</v>
      </c>
      <c r="P1562" s="73">
        <f t="shared" si="202"/>
        <v>0</v>
      </c>
      <c r="Q1562" s="73"/>
      <c r="R1562" s="73">
        <v>0</v>
      </c>
      <c r="S1562" s="75">
        <f t="shared" si="204"/>
        <v>0</v>
      </c>
      <c r="T1562" s="77">
        <v>0</v>
      </c>
      <c r="U1562" s="66">
        <v>40491</v>
      </c>
      <c r="V1562" s="79"/>
      <c r="W1562" s="66" t="s">
        <v>1585</v>
      </c>
      <c r="X1562" s="24" t="s">
        <v>1586</v>
      </c>
      <c r="Y1562" s="62"/>
      <c r="Z1562" s="169" t="s">
        <v>894</v>
      </c>
      <c r="AA1562" s="166" t="s">
        <v>2654</v>
      </c>
      <c r="AB1562" s="152"/>
      <c r="AC1562" s="153"/>
      <c r="AD1562" s="154"/>
      <c r="AE1562" s="153"/>
      <c r="AF1562" s="153"/>
      <c r="AG1562" s="153"/>
      <c r="AH1562" s="153"/>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c r="BF1562" s="153"/>
      <c r="BG1562" s="153"/>
      <c r="BH1562" s="153"/>
      <c r="BI1562" s="153"/>
      <c r="BJ1562" s="153"/>
      <c r="BK1562" s="153"/>
      <c r="BL1562" s="153"/>
      <c r="BM1562" s="153"/>
      <c r="BN1562" s="153"/>
      <c r="BO1562" s="153"/>
      <c r="BP1562" s="153"/>
      <c r="BQ1562" s="153"/>
      <c r="BR1562" s="153"/>
      <c r="BS1562" s="153"/>
      <c r="BT1562" s="153"/>
      <c r="BU1562" s="153"/>
      <c r="BV1562" s="153"/>
      <c r="BW1562" s="153"/>
      <c r="BX1562" s="153"/>
      <c r="BY1562" s="153"/>
      <c r="BZ1562" s="153"/>
      <c r="CA1562" s="153"/>
      <c r="CB1562" s="153"/>
      <c r="CC1562" s="153"/>
      <c r="CD1562" s="155"/>
      <c r="CE1562" s="156"/>
      <c r="CF1562" s="155"/>
      <c r="CG1562" s="156"/>
      <c r="CH1562" s="155"/>
      <c r="CI1562" s="156"/>
      <c r="CJ1562" s="157">
        <f t="shared" si="203"/>
        <v>0</v>
      </c>
      <c r="CK1562" s="158"/>
      <c r="CL1562" s="159"/>
      <c r="CM1562" s="160"/>
      <c r="CN1562" s="161"/>
      <c r="CO1562" s="162"/>
      <c r="CP1562" s="161"/>
      <c r="CQ1562" s="158"/>
      <c r="CR1562" s="159"/>
      <c r="CS1562" s="68"/>
      <c r="CT1562" s="163"/>
      <c r="EC1562" s="344" t="str">
        <f t="shared" si="206"/>
        <v>SANTANDER_BUCARAMANGA</v>
      </c>
      <c r="ED1562" s="341"/>
      <c r="EE1562" s="341"/>
      <c r="EF1562" s="348"/>
      <c r="EG1562" s="341"/>
      <c r="EH1562" s="341"/>
      <c r="EI1562" s="341"/>
    </row>
    <row r="1563" spans="1:139" s="164" customFormat="1" ht="38.25">
      <c r="A1563" s="228">
        <v>40489</v>
      </c>
      <c r="B1563" s="205" t="s">
        <v>1998</v>
      </c>
      <c r="C1563" s="205" t="s">
        <v>1731</v>
      </c>
      <c r="D1563" s="207" t="s">
        <v>1201</v>
      </c>
      <c r="E1563" s="323" t="s">
        <v>4115</v>
      </c>
      <c r="F1563" s="323"/>
      <c r="G1563" s="263">
        <v>1</v>
      </c>
      <c r="H1563" s="151"/>
      <c r="I1563" s="151"/>
      <c r="J1563" s="151">
        <f>72*5</f>
        <v>360</v>
      </c>
      <c r="K1563" s="151">
        <f>102-30</f>
        <v>72</v>
      </c>
      <c r="L1563" s="1"/>
      <c r="M1563" s="73">
        <f t="shared" si="201"/>
        <v>0</v>
      </c>
      <c r="N1563" s="73">
        <f t="shared" si="205"/>
        <v>0</v>
      </c>
      <c r="O1563" s="73">
        <f t="shared" si="200"/>
        <v>0</v>
      </c>
      <c r="P1563" s="73">
        <f t="shared" si="202"/>
        <v>0</v>
      </c>
      <c r="Q1563" s="73"/>
      <c r="R1563" s="73">
        <v>0</v>
      </c>
      <c r="S1563" s="75">
        <f t="shared" si="204"/>
        <v>0</v>
      </c>
      <c r="T1563" s="77">
        <v>0</v>
      </c>
      <c r="U1563" s="66">
        <v>40491</v>
      </c>
      <c r="V1563" s="79"/>
      <c r="W1563" s="66" t="s">
        <v>1585</v>
      </c>
      <c r="X1563" s="24" t="s">
        <v>1586</v>
      </c>
      <c r="Y1563" s="62"/>
      <c r="Z1563" s="169" t="s">
        <v>894</v>
      </c>
      <c r="AA1563" s="166" t="s">
        <v>2653</v>
      </c>
      <c r="AB1563" s="152"/>
      <c r="AC1563" s="153"/>
      <c r="AD1563" s="154"/>
      <c r="AE1563" s="153"/>
      <c r="AF1563" s="153"/>
      <c r="AG1563" s="153"/>
      <c r="AH1563" s="153"/>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c r="BF1563" s="153"/>
      <c r="BG1563" s="153"/>
      <c r="BH1563" s="153"/>
      <c r="BI1563" s="153"/>
      <c r="BJ1563" s="153"/>
      <c r="BK1563" s="153"/>
      <c r="BL1563" s="153"/>
      <c r="BM1563" s="153"/>
      <c r="BN1563" s="153"/>
      <c r="BO1563" s="153"/>
      <c r="BP1563" s="153"/>
      <c r="BQ1563" s="153"/>
      <c r="BR1563" s="153"/>
      <c r="BS1563" s="153"/>
      <c r="BT1563" s="153"/>
      <c r="BU1563" s="153"/>
      <c r="BV1563" s="153"/>
      <c r="BW1563" s="153"/>
      <c r="BX1563" s="153"/>
      <c r="BY1563" s="153"/>
      <c r="BZ1563" s="153"/>
      <c r="CA1563" s="153"/>
      <c r="CB1563" s="153"/>
      <c r="CC1563" s="153"/>
      <c r="CD1563" s="155"/>
      <c r="CE1563" s="156"/>
      <c r="CF1563" s="155"/>
      <c r="CG1563" s="156"/>
      <c r="CH1563" s="155"/>
      <c r="CI1563" s="156"/>
      <c r="CJ1563" s="157">
        <f t="shared" si="203"/>
        <v>0</v>
      </c>
      <c r="CK1563" s="158"/>
      <c r="CL1563" s="159"/>
      <c r="CM1563" s="160"/>
      <c r="CN1563" s="161"/>
      <c r="CO1563" s="162"/>
      <c r="CP1563" s="161"/>
      <c r="CQ1563" s="158"/>
      <c r="CR1563" s="159"/>
      <c r="CS1563" s="68"/>
      <c r="CT1563" s="163"/>
      <c r="EC1563" s="344" t="str">
        <f t="shared" si="206"/>
        <v>SANTANDER_MATANZA</v>
      </c>
      <c r="ED1563" s="341"/>
      <c r="EE1563" s="341"/>
      <c r="EF1563" s="348"/>
      <c r="EG1563" s="341"/>
      <c r="EH1563" s="341"/>
      <c r="EI1563" s="341"/>
    </row>
    <row r="1564" spans="1:139" s="164" customFormat="1" ht="25.5">
      <c r="A1564" s="228">
        <v>40489</v>
      </c>
      <c r="B1564" s="205" t="s">
        <v>1998</v>
      </c>
      <c r="C1564" s="205" t="s">
        <v>2274</v>
      </c>
      <c r="D1564" s="206" t="s">
        <v>1878</v>
      </c>
      <c r="E1564" s="320" t="s">
        <v>4144</v>
      </c>
      <c r="F1564" s="320"/>
      <c r="G1564" s="263"/>
      <c r="H1564" s="151"/>
      <c r="I1564" s="151"/>
      <c r="J1564" s="151"/>
      <c r="K1564" s="151"/>
      <c r="L1564" s="1"/>
      <c r="M1564" s="73">
        <f t="shared" si="201"/>
        <v>0</v>
      </c>
      <c r="N1564" s="73">
        <f t="shared" si="205"/>
        <v>0</v>
      </c>
      <c r="O1564" s="73">
        <f t="shared" si="200"/>
        <v>0</v>
      </c>
      <c r="P1564" s="73">
        <f t="shared" si="202"/>
        <v>0</v>
      </c>
      <c r="Q1564" s="73"/>
      <c r="R1564" s="73">
        <v>0</v>
      </c>
      <c r="S1564" s="75">
        <f t="shared" si="204"/>
        <v>0</v>
      </c>
      <c r="T1564" s="77">
        <v>0</v>
      </c>
      <c r="U1564" s="66">
        <v>40491</v>
      </c>
      <c r="V1564" s="79"/>
      <c r="W1564" s="66" t="s">
        <v>1585</v>
      </c>
      <c r="X1564" s="24" t="s">
        <v>1586</v>
      </c>
      <c r="Y1564" s="62"/>
      <c r="Z1564" s="169" t="s">
        <v>894</v>
      </c>
      <c r="AA1564" s="166" t="s">
        <v>2659</v>
      </c>
      <c r="AB1564" s="152"/>
      <c r="AC1564" s="153"/>
      <c r="AD1564" s="154"/>
      <c r="AE1564" s="153"/>
      <c r="AF1564" s="153"/>
      <c r="AG1564" s="153"/>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c r="BF1564" s="153"/>
      <c r="BG1564" s="153"/>
      <c r="BH1564" s="153"/>
      <c r="BI1564" s="153"/>
      <c r="BJ1564" s="153"/>
      <c r="BK1564" s="153"/>
      <c r="BL1564" s="153"/>
      <c r="BM1564" s="153"/>
      <c r="BN1564" s="153"/>
      <c r="BO1564" s="153"/>
      <c r="BP1564" s="153"/>
      <c r="BQ1564" s="153"/>
      <c r="BR1564" s="153"/>
      <c r="BS1564" s="153"/>
      <c r="BT1564" s="153"/>
      <c r="BU1564" s="153"/>
      <c r="BV1564" s="153"/>
      <c r="BW1564" s="153"/>
      <c r="BX1564" s="153"/>
      <c r="BY1564" s="153"/>
      <c r="BZ1564" s="153"/>
      <c r="CA1564" s="153"/>
      <c r="CB1564" s="153"/>
      <c r="CC1564" s="153"/>
      <c r="CD1564" s="155"/>
      <c r="CE1564" s="156"/>
      <c r="CF1564" s="155"/>
      <c r="CG1564" s="156"/>
      <c r="CH1564" s="155"/>
      <c r="CI1564" s="156"/>
      <c r="CJ1564" s="157">
        <f t="shared" si="203"/>
        <v>0</v>
      </c>
      <c r="CK1564" s="158"/>
      <c r="CL1564" s="159"/>
      <c r="CM1564" s="160"/>
      <c r="CN1564" s="161"/>
      <c r="CO1564" s="162"/>
      <c r="CP1564" s="161"/>
      <c r="CQ1564" s="158"/>
      <c r="CR1564" s="159"/>
      <c r="CS1564" s="68"/>
      <c r="CT1564" s="163"/>
      <c r="EC1564" s="344" t="str">
        <f t="shared" si="206"/>
        <v>SANTANDER_SURATA</v>
      </c>
      <c r="ED1564" s="341"/>
      <c r="EE1564" s="341"/>
      <c r="EF1564" s="348"/>
      <c r="EG1564" s="341"/>
      <c r="EH1564" s="341"/>
      <c r="EI1564" s="341"/>
    </row>
    <row r="1565" spans="1:139" s="164" customFormat="1" ht="25.5">
      <c r="A1565" s="228">
        <v>40489</v>
      </c>
      <c r="B1565" s="205" t="s">
        <v>1998</v>
      </c>
      <c r="C1565" s="205" t="s">
        <v>2657</v>
      </c>
      <c r="D1565" s="206" t="s">
        <v>1878</v>
      </c>
      <c r="E1565" s="320" t="s">
        <v>4147</v>
      </c>
      <c r="F1565" s="320"/>
      <c r="G1565" s="263"/>
      <c r="H1565" s="151"/>
      <c r="I1565" s="151"/>
      <c r="J1565" s="151">
        <f>80*5</f>
        <v>400</v>
      </c>
      <c r="K1565" s="151">
        <v>80</v>
      </c>
      <c r="L1565" s="1"/>
      <c r="M1565" s="73">
        <f t="shared" si="201"/>
        <v>0</v>
      </c>
      <c r="N1565" s="73">
        <f t="shared" si="205"/>
        <v>0</v>
      </c>
      <c r="O1565" s="73">
        <f t="shared" si="200"/>
        <v>0</v>
      </c>
      <c r="P1565" s="73">
        <f t="shared" si="202"/>
        <v>0</v>
      </c>
      <c r="Q1565" s="73"/>
      <c r="R1565" s="73">
        <v>0</v>
      </c>
      <c r="S1565" s="75">
        <f t="shared" si="204"/>
        <v>0</v>
      </c>
      <c r="T1565" s="77">
        <v>0</v>
      </c>
      <c r="U1565" s="66">
        <v>40491</v>
      </c>
      <c r="V1565" s="79"/>
      <c r="W1565" s="66" t="s">
        <v>1585</v>
      </c>
      <c r="X1565" s="24" t="s">
        <v>1586</v>
      </c>
      <c r="Y1565" s="62"/>
      <c r="Z1565" s="169" t="s">
        <v>894</v>
      </c>
      <c r="AA1565" s="166" t="s">
        <v>2658</v>
      </c>
      <c r="AB1565" s="152"/>
      <c r="AC1565" s="153"/>
      <c r="AD1565" s="154"/>
      <c r="AE1565" s="153"/>
      <c r="AF1565" s="153"/>
      <c r="AG1565" s="153"/>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c r="BF1565" s="153"/>
      <c r="BG1565" s="153"/>
      <c r="BH1565" s="153"/>
      <c r="BI1565" s="153"/>
      <c r="BJ1565" s="153"/>
      <c r="BK1565" s="153"/>
      <c r="BL1565" s="153"/>
      <c r="BM1565" s="153"/>
      <c r="BN1565" s="153"/>
      <c r="BO1565" s="153"/>
      <c r="BP1565" s="153"/>
      <c r="BQ1565" s="153"/>
      <c r="BR1565" s="153"/>
      <c r="BS1565" s="153"/>
      <c r="BT1565" s="153"/>
      <c r="BU1565" s="153"/>
      <c r="BV1565" s="153"/>
      <c r="BW1565" s="153"/>
      <c r="BX1565" s="153"/>
      <c r="BY1565" s="153"/>
      <c r="BZ1565" s="153"/>
      <c r="CA1565" s="153"/>
      <c r="CB1565" s="153"/>
      <c r="CC1565" s="153"/>
      <c r="CD1565" s="155"/>
      <c r="CE1565" s="156"/>
      <c r="CF1565" s="155"/>
      <c r="CG1565" s="156"/>
      <c r="CH1565" s="155"/>
      <c r="CI1565" s="156"/>
      <c r="CJ1565" s="157">
        <f t="shared" si="203"/>
        <v>0</v>
      </c>
      <c r="CK1565" s="158"/>
      <c r="CL1565" s="159"/>
      <c r="CM1565" s="160"/>
      <c r="CN1565" s="161"/>
      <c r="CO1565" s="162"/>
      <c r="CP1565" s="161"/>
      <c r="CQ1565" s="158"/>
      <c r="CR1565" s="159"/>
      <c r="CS1565" s="68"/>
      <c r="CT1565" s="163"/>
      <c r="EC1565" s="344" t="str">
        <f t="shared" si="206"/>
        <v>SANTANDER_VELEZ</v>
      </c>
      <c r="ED1565" s="341"/>
      <c r="EE1565" s="341"/>
      <c r="EF1565" s="348"/>
      <c r="EG1565" s="341"/>
      <c r="EH1565" s="341"/>
      <c r="EI1565" s="341"/>
    </row>
    <row r="1566" spans="1:139" s="164" customFormat="1" ht="132">
      <c r="A1566" s="228">
        <v>40489</v>
      </c>
      <c r="B1566" s="205" t="s">
        <v>1088</v>
      </c>
      <c r="C1566" s="205" t="s">
        <v>2708</v>
      </c>
      <c r="D1566" s="207" t="s">
        <v>1201</v>
      </c>
      <c r="E1566" s="323" t="s">
        <v>4257</v>
      </c>
      <c r="F1566" s="323"/>
      <c r="G1566" s="204"/>
      <c r="H1566" s="151"/>
      <c r="I1566" s="151"/>
      <c r="J1566" s="151">
        <f>341*5</f>
        <v>1705</v>
      </c>
      <c r="K1566" s="151">
        <f>400-20-39</f>
        <v>341</v>
      </c>
      <c r="L1566" s="1">
        <v>40498</v>
      </c>
      <c r="M1566" s="73">
        <f t="shared" si="201"/>
        <v>21948000</v>
      </c>
      <c r="N1566" s="73">
        <f t="shared" si="205"/>
        <v>20060000</v>
      </c>
      <c r="O1566" s="73">
        <f t="shared" si="200"/>
        <v>0</v>
      </c>
      <c r="P1566" s="73">
        <f t="shared" si="202"/>
        <v>0</v>
      </c>
      <c r="Q1566" s="73"/>
      <c r="R1566" s="73">
        <v>10000000</v>
      </c>
      <c r="S1566" s="75">
        <f t="shared" si="204"/>
        <v>52008000</v>
      </c>
      <c r="T1566" s="77">
        <v>0</v>
      </c>
      <c r="U1566" s="66">
        <v>40494</v>
      </c>
      <c r="V1566" s="79">
        <v>63891</v>
      </c>
      <c r="W1566" s="66" t="s">
        <v>1606</v>
      </c>
      <c r="X1566" s="24" t="s">
        <v>1607</v>
      </c>
      <c r="Y1566" s="62">
        <v>42905</v>
      </c>
      <c r="Z1566" s="169" t="s">
        <v>2872</v>
      </c>
      <c r="AA1566" s="170" t="s">
        <v>2914</v>
      </c>
      <c r="AB1566" s="152"/>
      <c r="AC1566" s="153"/>
      <c r="AD1566" s="154"/>
      <c r="AE1566" s="153"/>
      <c r="AF1566" s="153"/>
      <c r="AG1566" s="153"/>
      <c r="AH1566" s="153"/>
      <c r="AI1566" s="153"/>
      <c r="AJ1566" s="153"/>
      <c r="AK1566" s="153"/>
      <c r="AL1566" s="153"/>
      <c r="AM1566" s="153"/>
      <c r="AN1566" s="153">
        <v>236</v>
      </c>
      <c r="AO1566" s="153">
        <f>236*56000</f>
        <v>13216000</v>
      </c>
      <c r="AP1566" s="153"/>
      <c r="AQ1566" s="153"/>
      <c r="AR1566" s="153"/>
      <c r="AS1566" s="153"/>
      <c r="AT1566" s="153"/>
      <c r="AU1566" s="153"/>
      <c r="AV1566" s="153"/>
      <c r="AW1566" s="153"/>
      <c r="AX1566" s="153"/>
      <c r="AY1566" s="153"/>
      <c r="AZ1566" s="153"/>
      <c r="BA1566" s="153"/>
      <c r="BB1566" s="153"/>
      <c r="BC1566" s="153"/>
      <c r="BD1566" s="153"/>
      <c r="BE1566" s="153"/>
      <c r="BF1566" s="153"/>
      <c r="BG1566" s="153"/>
      <c r="BH1566" s="153"/>
      <c r="BI1566" s="153"/>
      <c r="BJ1566" s="153"/>
      <c r="BK1566" s="153"/>
      <c r="BL1566" s="153"/>
      <c r="BM1566" s="153"/>
      <c r="BN1566" s="153"/>
      <c r="BO1566" s="153"/>
      <c r="BP1566" s="153"/>
      <c r="BQ1566" s="153"/>
      <c r="BR1566" s="153"/>
      <c r="BS1566" s="153"/>
      <c r="BT1566" s="153"/>
      <c r="BU1566" s="153"/>
      <c r="BV1566" s="153"/>
      <c r="BW1566" s="153"/>
      <c r="BX1566" s="153"/>
      <c r="BY1566" s="153"/>
      <c r="BZ1566" s="153"/>
      <c r="CA1566" s="153"/>
      <c r="CB1566" s="153"/>
      <c r="CC1566" s="153"/>
      <c r="CD1566" s="155">
        <v>236</v>
      </c>
      <c r="CE1566" s="156">
        <f>236*37000</f>
        <v>8732000</v>
      </c>
      <c r="CF1566" s="155"/>
      <c r="CG1566" s="156"/>
      <c r="CH1566" s="155"/>
      <c r="CI1566" s="156"/>
      <c r="CJ1566" s="157">
        <f t="shared" si="203"/>
        <v>21948000</v>
      </c>
      <c r="CK1566" s="158"/>
      <c r="CL1566" s="159"/>
      <c r="CM1566" s="160">
        <v>236</v>
      </c>
      <c r="CN1566" s="161">
        <f>236*85000</f>
        <v>20060000</v>
      </c>
      <c r="CO1566" s="162"/>
      <c r="CP1566" s="161"/>
      <c r="CQ1566" s="158"/>
      <c r="CR1566" s="159"/>
      <c r="CS1566" s="68">
        <v>2</v>
      </c>
      <c r="CT1566" s="163"/>
      <c r="EC1566" s="344" t="str">
        <f t="shared" si="206"/>
        <v>VALLE DEL CAUCA_TORO</v>
      </c>
      <c r="ED1566" s="341"/>
      <c r="EE1566" s="341"/>
      <c r="EF1566" s="348"/>
      <c r="EG1566" s="341"/>
      <c r="EH1566" s="341"/>
      <c r="EI1566" s="341"/>
    </row>
    <row r="1567" spans="1:139" s="164" customFormat="1" ht="38.25">
      <c r="A1567" s="228">
        <v>40489</v>
      </c>
      <c r="B1567" s="205" t="s">
        <v>1088</v>
      </c>
      <c r="C1567" s="205" t="s">
        <v>689</v>
      </c>
      <c r="D1567" s="207" t="s">
        <v>1201</v>
      </c>
      <c r="E1567" s="323" t="s">
        <v>4261</v>
      </c>
      <c r="F1567" s="323"/>
      <c r="G1567" s="204"/>
      <c r="H1567" s="151"/>
      <c r="I1567" s="151"/>
      <c r="J1567" s="151">
        <f>70*5</f>
        <v>350</v>
      </c>
      <c r="K1567" s="151">
        <v>70</v>
      </c>
      <c r="L1567" s="1"/>
      <c r="M1567" s="73">
        <f t="shared" si="201"/>
        <v>4650000</v>
      </c>
      <c r="N1567" s="73">
        <f t="shared" si="205"/>
        <v>4250000</v>
      </c>
      <c r="O1567" s="73">
        <f t="shared" si="200"/>
        <v>0</v>
      </c>
      <c r="P1567" s="73">
        <f t="shared" si="202"/>
        <v>0</v>
      </c>
      <c r="Q1567" s="73"/>
      <c r="R1567" s="73">
        <v>0</v>
      </c>
      <c r="S1567" s="75">
        <f t="shared" si="204"/>
        <v>8900000</v>
      </c>
      <c r="T1567" s="77">
        <v>0</v>
      </c>
      <c r="U1567" s="66">
        <v>40491</v>
      </c>
      <c r="V1567" s="79"/>
      <c r="W1567" s="66" t="s">
        <v>1606</v>
      </c>
      <c r="X1567" s="24" t="s">
        <v>1607</v>
      </c>
      <c r="Y1567" s="62"/>
      <c r="Z1567" s="169" t="s">
        <v>894</v>
      </c>
      <c r="AA1567" s="166" t="s">
        <v>902</v>
      </c>
      <c r="AB1567" s="152"/>
      <c r="AC1567" s="153"/>
      <c r="AD1567" s="154"/>
      <c r="AE1567" s="153"/>
      <c r="AF1567" s="153"/>
      <c r="AG1567" s="153"/>
      <c r="AH1567" s="153"/>
      <c r="AI1567" s="153"/>
      <c r="AJ1567" s="153"/>
      <c r="AK1567" s="153"/>
      <c r="AL1567" s="153"/>
      <c r="AM1567" s="153"/>
      <c r="AN1567" s="153">
        <v>50</v>
      </c>
      <c r="AO1567" s="153">
        <f>50*56000</f>
        <v>2800000</v>
      </c>
      <c r="AP1567" s="153"/>
      <c r="AQ1567" s="153"/>
      <c r="AR1567" s="153"/>
      <c r="AS1567" s="153"/>
      <c r="AT1567" s="153"/>
      <c r="AU1567" s="153"/>
      <c r="AV1567" s="153"/>
      <c r="AW1567" s="153"/>
      <c r="AX1567" s="153"/>
      <c r="AY1567" s="153"/>
      <c r="AZ1567" s="153"/>
      <c r="BA1567" s="153"/>
      <c r="BB1567" s="153"/>
      <c r="BC1567" s="153"/>
      <c r="BD1567" s="153"/>
      <c r="BE1567" s="153"/>
      <c r="BF1567" s="153"/>
      <c r="BG1567" s="153"/>
      <c r="BH1567" s="153"/>
      <c r="BI1567" s="153"/>
      <c r="BJ1567" s="153"/>
      <c r="BK1567" s="153"/>
      <c r="BL1567" s="153"/>
      <c r="BM1567" s="153"/>
      <c r="BN1567" s="153"/>
      <c r="BO1567" s="153"/>
      <c r="BP1567" s="153"/>
      <c r="BQ1567" s="153"/>
      <c r="BR1567" s="153"/>
      <c r="BS1567" s="153"/>
      <c r="BT1567" s="153"/>
      <c r="BU1567" s="153"/>
      <c r="BV1567" s="153"/>
      <c r="BW1567" s="153"/>
      <c r="BX1567" s="153"/>
      <c r="BY1567" s="153"/>
      <c r="BZ1567" s="153"/>
      <c r="CA1567" s="153"/>
      <c r="CB1567" s="153"/>
      <c r="CC1567" s="153"/>
      <c r="CD1567" s="155">
        <v>50</v>
      </c>
      <c r="CE1567" s="156">
        <f>50*37000</f>
        <v>1850000</v>
      </c>
      <c r="CF1567" s="155"/>
      <c r="CG1567" s="156"/>
      <c r="CH1567" s="155"/>
      <c r="CI1567" s="156"/>
      <c r="CJ1567" s="157">
        <f t="shared" si="203"/>
        <v>4650000</v>
      </c>
      <c r="CK1567" s="158"/>
      <c r="CL1567" s="159"/>
      <c r="CM1567" s="160">
        <v>50</v>
      </c>
      <c r="CN1567" s="161">
        <f>50*85000</f>
        <v>4250000</v>
      </c>
      <c r="CO1567" s="162"/>
      <c r="CP1567" s="161"/>
      <c r="CQ1567" s="158"/>
      <c r="CR1567" s="159"/>
      <c r="CS1567" s="68"/>
      <c r="CT1567" s="163"/>
      <c r="EC1567" s="344" t="str">
        <f t="shared" si="206"/>
        <v>VALLE DEL CAUCA_VERSALLES</v>
      </c>
      <c r="ED1567" s="341"/>
      <c r="EE1567" s="341"/>
      <c r="EF1567" s="348"/>
      <c r="EG1567" s="341"/>
      <c r="EH1567" s="341"/>
      <c r="EI1567" s="341"/>
    </row>
    <row r="1568" spans="1:139" s="164" customFormat="1" ht="36">
      <c r="A1568" s="235">
        <v>40490</v>
      </c>
      <c r="B1568" s="269" t="s">
        <v>1972</v>
      </c>
      <c r="C1568" s="269" t="s">
        <v>2358</v>
      </c>
      <c r="D1568" s="270" t="s">
        <v>1201</v>
      </c>
      <c r="E1568" s="327" t="s">
        <v>3227</v>
      </c>
      <c r="F1568" s="327"/>
      <c r="G1568" s="204"/>
      <c r="H1568" s="151"/>
      <c r="I1568" s="151"/>
      <c r="J1568" s="151">
        <v>35</v>
      </c>
      <c r="K1568" s="151">
        <v>7</v>
      </c>
      <c r="L1568" s="1"/>
      <c r="M1568" s="73">
        <f t="shared" si="201"/>
        <v>0</v>
      </c>
      <c r="N1568" s="73">
        <f t="shared" si="205"/>
        <v>0</v>
      </c>
      <c r="O1568" s="73">
        <f t="shared" si="200"/>
        <v>0</v>
      </c>
      <c r="P1568" s="73">
        <f t="shared" si="202"/>
        <v>0</v>
      </c>
      <c r="Q1568" s="73"/>
      <c r="R1568" s="73">
        <v>0</v>
      </c>
      <c r="S1568" s="75">
        <f t="shared" si="204"/>
        <v>0</v>
      </c>
      <c r="T1568" s="77">
        <v>0</v>
      </c>
      <c r="U1568" s="66">
        <v>40491</v>
      </c>
      <c r="V1568" s="79"/>
      <c r="W1568" s="66" t="s">
        <v>1585</v>
      </c>
      <c r="X1568" s="24" t="s">
        <v>1586</v>
      </c>
      <c r="Y1568" s="62"/>
      <c r="Z1568" s="169" t="s">
        <v>894</v>
      </c>
      <c r="AA1568" s="166" t="s">
        <v>2837</v>
      </c>
      <c r="AB1568" s="152"/>
      <c r="AC1568" s="153"/>
      <c r="AD1568" s="154"/>
      <c r="AE1568" s="153"/>
      <c r="AF1568" s="153"/>
      <c r="AG1568" s="153"/>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c r="BF1568" s="153"/>
      <c r="BG1568" s="153"/>
      <c r="BH1568" s="153"/>
      <c r="BI1568" s="153"/>
      <c r="BJ1568" s="153"/>
      <c r="BK1568" s="153"/>
      <c r="BL1568" s="153"/>
      <c r="BM1568" s="153"/>
      <c r="BN1568" s="153"/>
      <c r="BO1568" s="153"/>
      <c r="BP1568" s="153"/>
      <c r="BQ1568" s="153"/>
      <c r="BR1568" s="153"/>
      <c r="BS1568" s="153"/>
      <c r="BT1568" s="153"/>
      <c r="BU1568" s="153"/>
      <c r="BV1568" s="153"/>
      <c r="BW1568" s="153"/>
      <c r="BX1568" s="153"/>
      <c r="BY1568" s="153"/>
      <c r="BZ1568" s="153"/>
      <c r="CA1568" s="153"/>
      <c r="CB1568" s="153"/>
      <c r="CC1568" s="153"/>
      <c r="CD1568" s="155"/>
      <c r="CE1568" s="156"/>
      <c r="CF1568" s="155"/>
      <c r="CG1568" s="156"/>
      <c r="CH1568" s="155"/>
      <c r="CI1568" s="156"/>
      <c r="CJ1568" s="157">
        <f t="shared" si="203"/>
        <v>0</v>
      </c>
      <c r="CK1568" s="158"/>
      <c r="CL1568" s="159"/>
      <c r="CM1568" s="160"/>
      <c r="CN1568" s="161"/>
      <c r="CO1568" s="162"/>
      <c r="CP1568" s="161"/>
      <c r="CQ1568" s="158"/>
      <c r="CR1568" s="159"/>
      <c r="CS1568" s="68"/>
      <c r="CT1568" s="163"/>
      <c r="EC1568" s="344" t="str">
        <f t="shared" si="206"/>
        <v>ANTIOQUIA_MEDELLIN</v>
      </c>
      <c r="ED1568" s="341"/>
      <c r="EE1568" s="341"/>
      <c r="EF1568" s="348"/>
      <c r="EG1568" s="341"/>
      <c r="EH1568" s="341"/>
      <c r="EI1568" s="341"/>
    </row>
    <row r="1569" spans="1:139" s="164" customFormat="1" ht="38.25">
      <c r="A1569" s="235">
        <v>40490</v>
      </c>
      <c r="B1569" s="269" t="s">
        <v>1972</v>
      </c>
      <c r="C1569" s="269" t="s">
        <v>680</v>
      </c>
      <c r="D1569" s="270" t="s">
        <v>1201</v>
      </c>
      <c r="E1569" s="327" t="s">
        <v>3308</v>
      </c>
      <c r="F1569" s="327"/>
      <c r="G1569" s="204"/>
      <c r="H1569" s="151"/>
      <c r="I1569" s="151"/>
      <c r="J1569" s="151">
        <f>687-300</f>
        <v>387</v>
      </c>
      <c r="K1569" s="151">
        <f>252-60</f>
        <v>192</v>
      </c>
      <c r="L1569" s="1"/>
      <c r="M1569" s="73">
        <f t="shared" si="201"/>
        <v>0</v>
      </c>
      <c r="N1569" s="73">
        <f t="shared" si="205"/>
        <v>0</v>
      </c>
      <c r="O1569" s="73">
        <f t="shared" si="200"/>
        <v>0</v>
      </c>
      <c r="P1569" s="73">
        <f t="shared" si="202"/>
        <v>0</v>
      </c>
      <c r="Q1569" s="73"/>
      <c r="R1569" s="73">
        <v>0</v>
      </c>
      <c r="S1569" s="75">
        <f t="shared" si="204"/>
        <v>0</v>
      </c>
      <c r="T1569" s="77">
        <v>0</v>
      </c>
      <c r="U1569" s="66">
        <v>40490</v>
      </c>
      <c r="V1569" s="79"/>
      <c r="W1569" s="66" t="s">
        <v>1606</v>
      </c>
      <c r="X1569" s="24" t="s">
        <v>1607</v>
      </c>
      <c r="Y1569" s="62"/>
      <c r="Z1569" s="176" t="s">
        <v>2836</v>
      </c>
      <c r="AA1569" s="166" t="s">
        <v>2649</v>
      </c>
      <c r="AB1569" s="152"/>
      <c r="AC1569" s="153"/>
      <c r="AD1569" s="154"/>
      <c r="AE1569" s="153"/>
      <c r="AF1569" s="153"/>
      <c r="AG1569" s="153"/>
      <c r="AH1569" s="153"/>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c r="BF1569" s="153"/>
      <c r="BG1569" s="153"/>
      <c r="BH1569" s="153"/>
      <c r="BI1569" s="153"/>
      <c r="BJ1569" s="153"/>
      <c r="BK1569" s="153"/>
      <c r="BL1569" s="153"/>
      <c r="BM1569" s="153"/>
      <c r="BN1569" s="153"/>
      <c r="BO1569" s="153"/>
      <c r="BP1569" s="153"/>
      <c r="BQ1569" s="153"/>
      <c r="BR1569" s="153"/>
      <c r="BS1569" s="153"/>
      <c r="BT1569" s="153"/>
      <c r="BU1569" s="153"/>
      <c r="BV1569" s="153"/>
      <c r="BW1569" s="153"/>
      <c r="BX1569" s="153"/>
      <c r="BY1569" s="153"/>
      <c r="BZ1569" s="153"/>
      <c r="CA1569" s="153"/>
      <c r="CB1569" s="153"/>
      <c r="CC1569" s="153"/>
      <c r="CD1569" s="155"/>
      <c r="CE1569" s="156"/>
      <c r="CF1569" s="155"/>
      <c r="CG1569" s="156"/>
      <c r="CH1569" s="155"/>
      <c r="CI1569" s="156"/>
      <c r="CJ1569" s="157">
        <f t="shared" si="203"/>
        <v>0</v>
      </c>
      <c r="CK1569" s="158"/>
      <c r="CL1569" s="159"/>
      <c r="CM1569" s="160"/>
      <c r="CN1569" s="161"/>
      <c r="CO1569" s="162"/>
      <c r="CP1569" s="161"/>
      <c r="CQ1569" s="158"/>
      <c r="CR1569" s="159"/>
      <c r="CS1569" s="68"/>
      <c r="CT1569" s="163"/>
      <c r="EC1569" s="344" t="str">
        <f t="shared" si="206"/>
        <v>ANTIOQUIA_PUERTO TRIUNFO</v>
      </c>
      <c r="ED1569" s="341"/>
      <c r="EE1569" s="341"/>
      <c r="EF1569" s="348"/>
      <c r="EG1569" s="341"/>
      <c r="EH1569" s="341"/>
      <c r="EI1569" s="341"/>
    </row>
    <row r="1570" spans="1:139" s="164" customFormat="1" ht="51">
      <c r="A1570" s="228">
        <v>40490</v>
      </c>
      <c r="B1570" s="205" t="s">
        <v>1615</v>
      </c>
      <c r="C1570" s="205" t="s">
        <v>1560</v>
      </c>
      <c r="D1570" s="207" t="s">
        <v>1201</v>
      </c>
      <c r="E1570" s="323" t="s">
        <v>3403</v>
      </c>
      <c r="F1570" s="323"/>
      <c r="G1570" s="204"/>
      <c r="H1570" s="151"/>
      <c r="I1570" s="151"/>
      <c r="J1570" s="151">
        <v>15</v>
      </c>
      <c r="K1570" s="151">
        <v>4</v>
      </c>
      <c r="L1570" s="1"/>
      <c r="M1570" s="73">
        <f t="shared" si="201"/>
        <v>0</v>
      </c>
      <c r="N1570" s="73">
        <f t="shared" si="205"/>
        <v>0</v>
      </c>
      <c r="O1570" s="73">
        <f t="shared" si="200"/>
        <v>0</v>
      </c>
      <c r="P1570" s="73">
        <f t="shared" si="202"/>
        <v>0</v>
      </c>
      <c r="Q1570" s="73"/>
      <c r="R1570" s="73">
        <v>0</v>
      </c>
      <c r="S1570" s="75">
        <f t="shared" si="204"/>
        <v>0</v>
      </c>
      <c r="T1570" s="77">
        <v>0</v>
      </c>
      <c r="U1570" s="66">
        <v>40492</v>
      </c>
      <c r="V1570" s="79"/>
      <c r="W1570" s="66" t="s">
        <v>1585</v>
      </c>
      <c r="X1570" s="24" t="s">
        <v>1586</v>
      </c>
      <c r="Y1570" s="62"/>
      <c r="Z1570" s="169" t="s">
        <v>894</v>
      </c>
      <c r="AA1570" s="166" t="s">
        <v>843</v>
      </c>
      <c r="AB1570" s="152"/>
      <c r="AC1570" s="153"/>
      <c r="AD1570" s="154"/>
      <c r="AE1570" s="153"/>
      <c r="AF1570" s="153"/>
      <c r="AG1570" s="153"/>
      <c r="AH1570" s="153"/>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c r="BF1570" s="153"/>
      <c r="BG1570" s="153"/>
      <c r="BH1570" s="153"/>
      <c r="BI1570" s="153"/>
      <c r="BJ1570" s="153"/>
      <c r="BK1570" s="153"/>
      <c r="BL1570" s="153"/>
      <c r="BM1570" s="153"/>
      <c r="BN1570" s="153"/>
      <c r="BO1570" s="153"/>
      <c r="BP1570" s="153"/>
      <c r="BQ1570" s="153"/>
      <c r="BR1570" s="153"/>
      <c r="BS1570" s="153"/>
      <c r="BT1570" s="153"/>
      <c r="BU1570" s="153"/>
      <c r="BV1570" s="153"/>
      <c r="BW1570" s="153"/>
      <c r="BX1570" s="153"/>
      <c r="BY1570" s="153"/>
      <c r="BZ1570" s="153"/>
      <c r="CA1570" s="153"/>
      <c r="CB1570" s="153"/>
      <c r="CC1570" s="153"/>
      <c r="CD1570" s="155"/>
      <c r="CE1570" s="156"/>
      <c r="CF1570" s="155"/>
      <c r="CG1570" s="156"/>
      <c r="CH1570" s="155"/>
      <c r="CI1570" s="156"/>
      <c r="CJ1570" s="157">
        <f t="shared" si="203"/>
        <v>0</v>
      </c>
      <c r="CK1570" s="158"/>
      <c r="CL1570" s="159"/>
      <c r="CM1570" s="160"/>
      <c r="CN1570" s="161"/>
      <c r="CO1570" s="162"/>
      <c r="CP1570" s="161"/>
      <c r="CQ1570" s="158"/>
      <c r="CR1570" s="159"/>
      <c r="CS1570" s="68"/>
      <c r="CT1570" s="163"/>
      <c r="EC1570" s="344" t="str">
        <f t="shared" si="206"/>
        <v>BOLIVAR_SAN ESTANISLAO</v>
      </c>
      <c r="ED1570" s="341"/>
      <c r="EE1570" s="341"/>
      <c r="EF1570" s="348"/>
      <c r="EG1570" s="341"/>
      <c r="EH1570" s="341"/>
      <c r="EI1570" s="341"/>
    </row>
    <row r="1571" spans="1:139" s="164" customFormat="1" ht="25.5">
      <c r="A1571" s="228">
        <v>40490</v>
      </c>
      <c r="B1571" s="205" t="s">
        <v>1192</v>
      </c>
      <c r="C1571" s="205" t="s">
        <v>2174</v>
      </c>
      <c r="D1571" s="206" t="s">
        <v>1878</v>
      </c>
      <c r="E1571" s="320" t="s">
        <v>3463</v>
      </c>
      <c r="F1571" s="320"/>
      <c r="G1571" s="204"/>
      <c r="H1571" s="151"/>
      <c r="I1571" s="151"/>
      <c r="J1571" s="151">
        <f>44*5</f>
        <v>220</v>
      </c>
      <c r="K1571" s="151">
        <v>44</v>
      </c>
      <c r="L1571" s="1">
        <v>40530</v>
      </c>
      <c r="M1571" s="73">
        <f t="shared" si="201"/>
        <v>4610965.2</v>
      </c>
      <c r="N1571" s="73">
        <f t="shared" si="205"/>
        <v>2550000</v>
      </c>
      <c r="O1571" s="73">
        <f t="shared" si="200"/>
        <v>0</v>
      </c>
      <c r="P1571" s="73">
        <f t="shared" si="202"/>
        <v>0</v>
      </c>
      <c r="Q1571" s="73"/>
      <c r="R1571" s="73">
        <v>0</v>
      </c>
      <c r="S1571" s="75">
        <f t="shared" si="204"/>
        <v>7160965.2000000002</v>
      </c>
      <c r="T1571" s="77">
        <v>0</v>
      </c>
      <c r="U1571" s="66">
        <v>40492</v>
      </c>
      <c r="V1571" s="79"/>
      <c r="W1571" s="66" t="s">
        <v>1606</v>
      </c>
      <c r="X1571" s="24" t="s">
        <v>1607</v>
      </c>
      <c r="Y1571" s="83" t="s">
        <v>237</v>
      </c>
      <c r="Z1571" s="169" t="s">
        <v>894</v>
      </c>
      <c r="AA1571" s="166" t="s">
        <v>2679</v>
      </c>
      <c r="AB1571" s="152"/>
      <c r="AC1571" s="153"/>
      <c r="AD1571" s="154"/>
      <c r="AE1571" s="153"/>
      <c r="AF1571" s="153"/>
      <c r="AG1571" s="153"/>
      <c r="AH1571" s="153"/>
      <c r="AI1571" s="153"/>
      <c r="AJ1571" s="153"/>
      <c r="AK1571" s="153"/>
      <c r="AL1571" s="153"/>
      <c r="AM1571" s="153"/>
      <c r="AN1571" s="153">
        <v>30</v>
      </c>
      <c r="AO1571" s="153">
        <f>30*56000</f>
        <v>1680000</v>
      </c>
      <c r="AP1571" s="153"/>
      <c r="AQ1571" s="153"/>
      <c r="AR1571" s="153"/>
      <c r="AS1571" s="153"/>
      <c r="AT1571" s="153"/>
      <c r="AU1571" s="153"/>
      <c r="AV1571" s="153"/>
      <c r="AW1571" s="153"/>
      <c r="AX1571" s="153"/>
      <c r="AY1571" s="153"/>
      <c r="AZ1571" s="153"/>
      <c r="BA1571" s="153"/>
      <c r="BB1571" s="153"/>
      <c r="BC1571" s="153"/>
      <c r="BD1571" s="153"/>
      <c r="BE1571" s="153"/>
      <c r="BF1571" s="153"/>
      <c r="BG1571" s="153"/>
      <c r="BH1571" s="153"/>
      <c r="BI1571" s="153"/>
      <c r="BJ1571" s="153"/>
      <c r="BK1571" s="153"/>
      <c r="BL1571" s="153"/>
      <c r="BM1571" s="153"/>
      <c r="BN1571" s="153"/>
      <c r="BO1571" s="153"/>
      <c r="BP1571" s="153"/>
      <c r="BQ1571" s="153"/>
      <c r="BR1571" s="153"/>
      <c r="BS1571" s="153"/>
      <c r="BT1571" s="153"/>
      <c r="BU1571" s="153"/>
      <c r="BV1571" s="153"/>
      <c r="BW1571" s="153"/>
      <c r="BX1571" s="153">
        <v>30</v>
      </c>
      <c r="BY1571" s="153">
        <f>30*20999.48</f>
        <v>629984.4</v>
      </c>
      <c r="BZ1571" s="153"/>
      <c r="CA1571" s="153"/>
      <c r="CB1571" s="153"/>
      <c r="CC1571" s="153"/>
      <c r="CD1571" s="155">
        <v>30</v>
      </c>
      <c r="CE1571" s="156">
        <f>30*36999.36</f>
        <v>1109980.8</v>
      </c>
      <c r="CF1571" s="155">
        <v>30</v>
      </c>
      <c r="CG1571" s="156">
        <f>30*39700</f>
        <v>1191000</v>
      </c>
      <c r="CH1571" s="155"/>
      <c r="CI1571" s="156"/>
      <c r="CJ1571" s="157">
        <f t="shared" si="203"/>
        <v>4610965.2</v>
      </c>
      <c r="CK1571" s="158"/>
      <c r="CL1571" s="159"/>
      <c r="CM1571" s="160">
        <v>30</v>
      </c>
      <c r="CN1571" s="161">
        <f>30*85000</f>
        <v>2550000</v>
      </c>
      <c r="CO1571" s="162"/>
      <c r="CP1571" s="161"/>
      <c r="CQ1571" s="158"/>
      <c r="CR1571" s="159"/>
      <c r="CS1571" s="68"/>
      <c r="CT1571" s="163"/>
      <c r="EC1571" s="344" t="str">
        <f t="shared" si="206"/>
        <v>BOYACA_GUICAN</v>
      </c>
      <c r="ED1571" s="341"/>
      <c r="EE1571" s="341"/>
      <c r="EF1571" s="348"/>
      <c r="EG1571" s="341"/>
      <c r="EH1571" s="341"/>
      <c r="EI1571" s="341"/>
    </row>
    <row r="1572" spans="1:139" s="164" customFormat="1" ht="25.5">
      <c r="A1572" s="228">
        <v>40490</v>
      </c>
      <c r="B1572" s="205" t="s">
        <v>1192</v>
      </c>
      <c r="C1572" s="205" t="s">
        <v>1354</v>
      </c>
      <c r="D1572" s="207" t="s">
        <v>1201</v>
      </c>
      <c r="E1572" s="323" t="s">
        <v>3475</v>
      </c>
      <c r="F1572" s="323"/>
      <c r="G1572" s="204"/>
      <c r="H1572" s="151"/>
      <c r="I1572" s="151"/>
      <c r="J1572" s="151">
        <f>21*5</f>
        <v>105</v>
      </c>
      <c r="K1572" s="151">
        <v>21</v>
      </c>
      <c r="L1572" s="1"/>
      <c r="M1572" s="73">
        <f t="shared" si="201"/>
        <v>0</v>
      </c>
      <c r="N1572" s="73">
        <f t="shared" si="205"/>
        <v>0</v>
      </c>
      <c r="O1572" s="73">
        <f t="shared" si="200"/>
        <v>0</v>
      </c>
      <c r="P1572" s="73">
        <f t="shared" si="202"/>
        <v>0</v>
      </c>
      <c r="Q1572" s="73"/>
      <c r="R1572" s="73">
        <v>0</v>
      </c>
      <c r="S1572" s="75">
        <f t="shared" si="204"/>
        <v>0</v>
      </c>
      <c r="T1572" s="77">
        <v>0</v>
      </c>
      <c r="U1572" s="66">
        <v>40505</v>
      </c>
      <c r="V1572" s="79"/>
      <c r="W1572" s="66" t="s">
        <v>1585</v>
      </c>
      <c r="X1572" s="24" t="s">
        <v>1586</v>
      </c>
      <c r="Y1572" s="62"/>
      <c r="Z1572" s="169" t="s">
        <v>894</v>
      </c>
      <c r="AA1572" s="166" t="s">
        <v>2159</v>
      </c>
      <c r="AB1572" s="152"/>
      <c r="AC1572" s="153"/>
      <c r="AD1572" s="154"/>
      <c r="AE1572" s="153"/>
      <c r="AF1572" s="153"/>
      <c r="AG1572" s="153"/>
      <c r="AH1572" s="153"/>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c r="BF1572" s="153"/>
      <c r="BG1572" s="153"/>
      <c r="BH1572" s="153"/>
      <c r="BI1572" s="153"/>
      <c r="BJ1572" s="153"/>
      <c r="BK1572" s="153"/>
      <c r="BL1572" s="153"/>
      <c r="BM1572" s="153"/>
      <c r="BN1572" s="153"/>
      <c r="BO1572" s="153"/>
      <c r="BP1572" s="153"/>
      <c r="BQ1572" s="153"/>
      <c r="BR1572" s="153"/>
      <c r="BS1572" s="153"/>
      <c r="BT1572" s="153"/>
      <c r="BU1572" s="153"/>
      <c r="BV1572" s="153"/>
      <c r="BW1572" s="153"/>
      <c r="BX1572" s="153"/>
      <c r="BY1572" s="153"/>
      <c r="BZ1572" s="153"/>
      <c r="CA1572" s="153"/>
      <c r="CB1572" s="153"/>
      <c r="CC1572" s="153"/>
      <c r="CD1572" s="155"/>
      <c r="CE1572" s="156"/>
      <c r="CF1572" s="155"/>
      <c r="CG1572" s="156"/>
      <c r="CH1572" s="155"/>
      <c r="CI1572" s="156"/>
      <c r="CJ1572" s="157">
        <f t="shared" si="203"/>
        <v>0</v>
      </c>
      <c r="CK1572" s="158"/>
      <c r="CL1572" s="159"/>
      <c r="CM1572" s="160"/>
      <c r="CN1572" s="161"/>
      <c r="CO1572" s="162"/>
      <c r="CP1572" s="161"/>
      <c r="CQ1572" s="158"/>
      <c r="CR1572" s="159"/>
      <c r="CS1572" s="68"/>
      <c r="CT1572" s="163"/>
      <c r="EC1572" s="344" t="str">
        <f t="shared" si="206"/>
        <v>BOYACA_MONGUA</v>
      </c>
      <c r="ED1572" s="341"/>
      <c r="EE1572" s="341"/>
      <c r="EF1572" s="348"/>
      <c r="EG1572" s="341"/>
      <c r="EH1572" s="341"/>
      <c r="EI1572" s="341"/>
    </row>
    <row r="1573" spans="1:139" s="164" customFormat="1" ht="25.5">
      <c r="A1573" s="228">
        <v>40490</v>
      </c>
      <c r="B1573" s="205" t="s">
        <v>1192</v>
      </c>
      <c r="C1573" s="205" t="s">
        <v>2768</v>
      </c>
      <c r="D1573" s="206" t="s">
        <v>1878</v>
      </c>
      <c r="E1573" s="320" t="s">
        <v>3513</v>
      </c>
      <c r="F1573" s="320"/>
      <c r="G1573" s="204"/>
      <c r="H1573" s="151"/>
      <c r="I1573" s="151"/>
      <c r="J1573" s="175">
        <f>92*5</f>
        <v>460</v>
      </c>
      <c r="K1573" s="151">
        <v>92</v>
      </c>
      <c r="L1573" s="1">
        <v>40530</v>
      </c>
      <c r="M1573" s="73">
        <f t="shared" si="201"/>
        <v>7684942</v>
      </c>
      <c r="N1573" s="73">
        <f t="shared" si="205"/>
        <v>4250000</v>
      </c>
      <c r="O1573" s="73">
        <f t="shared" si="200"/>
        <v>0</v>
      </c>
      <c r="P1573" s="73">
        <f t="shared" si="202"/>
        <v>0</v>
      </c>
      <c r="Q1573" s="73"/>
      <c r="R1573" s="73">
        <v>0</v>
      </c>
      <c r="S1573" s="75">
        <f t="shared" si="204"/>
        <v>11934942</v>
      </c>
      <c r="T1573" s="77">
        <v>0</v>
      </c>
      <c r="U1573" s="66">
        <v>40494</v>
      </c>
      <c r="V1573" s="79"/>
      <c r="W1573" s="66" t="s">
        <v>1606</v>
      </c>
      <c r="X1573" s="24" t="s">
        <v>1607</v>
      </c>
      <c r="Y1573" s="83" t="s">
        <v>237</v>
      </c>
      <c r="Z1573" s="169" t="s">
        <v>894</v>
      </c>
      <c r="AA1573" s="166" t="s">
        <v>2005</v>
      </c>
      <c r="AB1573" s="152"/>
      <c r="AC1573" s="153"/>
      <c r="AD1573" s="154"/>
      <c r="AE1573" s="153"/>
      <c r="AF1573" s="153"/>
      <c r="AG1573" s="153"/>
      <c r="AH1573" s="153"/>
      <c r="AI1573" s="153"/>
      <c r="AJ1573" s="153"/>
      <c r="AK1573" s="153"/>
      <c r="AL1573" s="153"/>
      <c r="AM1573" s="153"/>
      <c r="AN1573" s="153">
        <v>50</v>
      </c>
      <c r="AO1573" s="153">
        <f>50*56000</f>
        <v>2800000</v>
      </c>
      <c r="AP1573" s="153"/>
      <c r="AQ1573" s="153"/>
      <c r="AR1573" s="153"/>
      <c r="AS1573" s="153"/>
      <c r="AT1573" s="153"/>
      <c r="AU1573" s="153"/>
      <c r="AV1573" s="153"/>
      <c r="AW1573" s="153"/>
      <c r="AX1573" s="153"/>
      <c r="AY1573" s="153"/>
      <c r="AZ1573" s="153"/>
      <c r="BA1573" s="153"/>
      <c r="BB1573" s="153"/>
      <c r="BC1573" s="153"/>
      <c r="BD1573" s="153"/>
      <c r="BE1573" s="153"/>
      <c r="BF1573" s="153"/>
      <c r="BG1573" s="153"/>
      <c r="BH1573" s="153"/>
      <c r="BI1573" s="153"/>
      <c r="BJ1573" s="153"/>
      <c r="BK1573" s="153"/>
      <c r="BL1573" s="153"/>
      <c r="BM1573" s="153"/>
      <c r="BN1573" s="153"/>
      <c r="BO1573" s="153"/>
      <c r="BP1573" s="153"/>
      <c r="BQ1573" s="153"/>
      <c r="BR1573" s="153"/>
      <c r="BS1573" s="153"/>
      <c r="BT1573" s="153"/>
      <c r="BU1573" s="153"/>
      <c r="BV1573" s="153"/>
      <c r="BW1573" s="153"/>
      <c r="BX1573" s="153">
        <v>50</v>
      </c>
      <c r="BY1573" s="153">
        <f>50*20999.48</f>
        <v>1049974</v>
      </c>
      <c r="BZ1573" s="153"/>
      <c r="CA1573" s="153"/>
      <c r="CB1573" s="153"/>
      <c r="CC1573" s="153"/>
      <c r="CD1573" s="155">
        <v>50</v>
      </c>
      <c r="CE1573" s="156">
        <f>50*36999.36</f>
        <v>1849968</v>
      </c>
      <c r="CF1573" s="155">
        <v>50</v>
      </c>
      <c r="CG1573" s="156">
        <f>50*39700</f>
        <v>1985000</v>
      </c>
      <c r="CH1573" s="155"/>
      <c r="CI1573" s="156"/>
      <c r="CJ1573" s="157">
        <f t="shared" si="203"/>
        <v>7684942</v>
      </c>
      <c r="CK1573" s="158"/>
      <c r="CL1573" s="159"/>
      <c r="CM1573" s="160">
        <v>50</v>
      </c>
      <c r="CN1573" s="161">
        <f>50*85000</f>
        <v>4250000</v>
      </c>
      <c r="CO1573" s="162"/>
      <c r="CP1573" s="161"/>
      <c r="CQ1573" s="158"/>
      <c r="CR1573" s="159"/>
      <c r="CS1573" s="68"/>
      <c r="CT1573" s="163"/>
      <c r="EC1573" s="344" t="str">
        <f t="shared" si="206"/>
        <v>BOYACA_SATIVASUR</v>
      </c>
      <c r="ED1573" s="341"/>
      <c r="EE1573" s="341"/>
      <c r="EF1573" s="348"/>
      <c r="EG1573" s="341"/>
      <c r="EH1573" s="341"/>
      <c r="EI1573" s="341"/>
    </row>
    <row r="1574" spans="1:139" s="164" customFormat="1" ht="36">
      <c r="A1574" s="228">
        <v>40490</v>
      </c>
      <c r="B1574" s="205" t="s">
        <v>1192</v>
      </c>
      <c r="C1574" s="205" t="s">
        <v>2260</v>
      </c>
      <c r="D1574" s="206" t="s">
        <v>1878</v>
      </c>
      <c r="E1574" s="320" t="s">
        <v>3517</v>
      </c>
      <c r="F1574" s="320"/>
      <c r="G1574" s="204"/>
      <c r="H1574" s="151"/>
      <c r="I1574" s="151"/>
      <c r="J1574" s="151">
        <f>20*5</f>
        <v>100</v>
      </c>
      <c r="K1574" s="151">
        <v>20</v>
      </c>
      <c r="L1574" s="1">
        <v>40530</v>
      </c>
      <c r="M1574" s="73">
        <f t="shared" si="201"/>
        <v>3073976.8</v>
      </c>
      <c r="N1574" s="73">
        <f t="shared" si="205"/>
        <v>1700000</v>
      </c>
      <c r="O1574" s="73">
        <f t="shared" si="200"/>
        <v>0</v>
      </c>
      <c r="P1574" s="73">
        <f t="shared" si="202"/>
        <v>0</v>
      </c>
      <c r="Q1574" s="73"/>
      <c r="R1574" s="73">
        <v>0</v>
      </c>
      <c r="S1574" s="75">
        <f t="shared" si="204"/>
        <v>4773976.8</v>
      </c>
      <c r="T1574" s="77">
        <v>0</v>
      </c>
      <c r="U1574" s="66">
        <v>40492</v>
      </c>
      <c r="V1574" s="79"/>
      <c r="W1574" s="66" t="s">
        <v>1606</v>
      </c>
      <c r="X1574" s="24" t="s">
        <v>1607</v>
      </c>
      <c r="Y1574" s="83" t="s">
        <v>237</v>
      </c>
      <c r="Z1574" s="169" t="s">
        <v>894</v>
      </c>
      <c r="AA1574" s="166" t="s">
        <v>2680</v>
      </c>
      <c r="AB1574" s="152"/>
      <c r="AC1574" s="153"/>
      <c r="AD1574" s="154"/>
      <c r="AE1574" s="153"/>
      <c r="AF1574" s="153"/>
      <c r="AG1574" s="153"/>
      <c r="AH1574" s="153"/>
      <c r="AI1574" s="153"/>
      <c r="AJ1574" s="153"/>
      <c r="AK1574" s="153"/>
      <c r="AL1574" s="153"/>
      <c r="AM1574" s="153"/>
      <c r="AN1574" s="153">
        <v>20</v>
      </c>
      <c r="AO1574" s="153">
        <f>20*56000</f>
        <v>1120000</v>
      </c>
      <c r="AP1574" s="153"/>
      <c r="AQ1574" s="153"/>
      <c r="AR1574" s="153"/>
      <c r="AS1574" s="153"/>
      <c r="AT1574" s="153"/>
      <c r="AU1574" s="153"/>
      <c r="AV1574" s="153"/>
      <c r="AW1574" s="153"/>
      <c r="AX1574" s="153"/>
      <c r="AY1574" s="153"/>
      <c r="AZ1574" s="153"/>
      <c r="BA1574" s="153"/>
      <c r="BB1574" s="153"/>
      <c r="BC1574" s="153"/>
      <c r="BD1574" s="153"/>
      <c r="BE1574" s="153"/>
      <c r="BF1574" s="153"/>
      <c r="BG1574" s="153"/>
      <c r="BH1574" s="153"/>
      <c r="BI1574" s="153"/>
      <c r="BJ1574" s="153"/>
      <c r="BK1574" s="153"/>
      <c r="BL1574" s="153"/>
      <c r="BM1574" s="153"/>
      <c r="BN1574" s="153"/>
      <c r="BO1574" s="153"/>
      <c r="BP1574" s="153"/>
      <c r="BQ1574" s="153"/>
      <c r="BR1574" s="153"/>
      <c r="BS1574" s="153"/>
      <c r="BT1574" s="153"/>
      <c r="BU1574" s="153"/>
      <c r="BV1574" s="153"/>
      <c r="BW1574" s="153"/>
      <c r="BX1574" s="153">
        <v>20</v>
      </c>
      <c r="BY1574" s="153">
        <f>20*20999.48</f>
        <v>419989.6</v>
      </c>
      <c r="BZ1574" s="153"/>
      <c r="CA1574" s="153"/>
      <c r="CB1574" s="153"/>
      <c r="CC1574" s="153"/>
      <c r="CD1574" s="155">
        <v>20</v>
      </c>
      <c r="CE1574" s="156">
        <f>20*36999.36</f>
        <v>739987.2</v>
      </c>
      <c r="CF1574" s="155">
        <v>20</v>
      </c>
      <c r="CG1574" s="156">
        <f>20*39700</f>
        <v>794000</v>
      </c>
      <c r="CH1574" s="155"/>
      <c r="CI1574" s="156"/>
      <c r="CJ1574" s="157">
        <f t="shared" si="203"/>
        <v>3073976.8</v>
      </c>
      <c r="CK1574" s="158"/>
      <c r="CL1574" s="159"/>
      <c r="CM1574" s="160">
        <v>20</v>
      </c>
      <c r="CN1574" s="161">
        <f>20*85000</f>
        <v>1700000</v>
      </c>
      <c r="CO1574" s="162"/>
      <c r="CP1574" s="161"/>
      <c r="CQ1574" s="158"/>
      <c r="CR1574" s="159"/>
      <c r="CS1574" s="68"/>
      <c r="CT1574" s="163"/>
      <c r="EC1574" s="344" t="str">
        <f t="shared" si="206"/>
        <v>BOYACA_SOCHA</v>
      </c>
      <c r="ED1574" s="341"/>
      <c r="EE1574" s="341"/>
      <c r="EF1574" s="348"/>
      <c r="EG1574" s="341"/>
      <c r="EH1574" s="341"/>
      <c r="EI1574" s="341"/>
    </row>
    <row r="1575" spans="1:139" s="164" customFormat="1" ht="51">
      <c r="A1575" s="228">
        <v>40490</v>
      </c>
      <c r="B1575" s="205" t="s">
        <v>1996</v>
      </c>
      <c r="C1575" s="205" t="s">
        <v>3154</v>
      </c>
      <c r="D1575" s="207" t="s">
        <v>1201</v>
      </c>
      <c r="E1575" s="323" t="s">
        <v>3806</v>
      </c>
      <c r="F1575" s="323"/>
      <c r="G1575" s="204">
        <v>1</v>
      </c>
      <c r="H1575" s="151"/>
      <c r="I1575" s="151"/>
      <c r="J1575" s="151"/>
      <c r="K1575" s="151"/>
      <c r="L1575" s="1"/>
      <c r="M1575" s="73">
        <f t="shared" si="201"/>
        <v>52800000</v>
      </c>
      <c r="N1575" s="73">
        <f t="shared" si="205"/>
        <v>0</v>
      </c>
      <c r="O1575" s="73">
        <f t="shared" si="200"/>
        <v>0</v>
      </c>
      <c r="P1575" s="73">
        <f t="shared" si="202"/>
        <v>0</v>
      </c>
      <c r="Q1575" s="73"/>
      <c r="R1575" s="73">
        <v>0</v>
      </c>
      <c r="S1575" s="75">
        <f t="shared" si="204"/>
        <v>52800000</v>
      </c>
      <c r="T1575" s="77">
        <v>0</v>
      </c>
      <c r="U1575" s="66">
        <v>40492</v>
      </c>
      <c r="V1575" s="79"/>
      <c r="W1575" s="66" t="s">
        <v>1606</v>
      </c>
      <c r="X1575" s="24" t="s">
        <v>1607</v>
      </c>
      <c r="Y1575" s="62"/>
      <c r="Z1575" s="169" t="s">
        <v>894</v>
      </c>
      <c r="AA1575" s="166" t="s">
        <v>2674</v>
      </c>
      <c r="AB1575" s="152"/>
      <c r="AC1575" s="153"/>
      <c r="AD1575" s="154"/>
      <c r="AE1575" s="153"/>
      <c r="AF1575" s="153"/>
      <c r="AG1575" s="153"/>
      <c r="AH1575" s="153"/>
      <c r="AI1575" s="153"/>
      <c r="AJ1575" s="153"/>
      <c r="AK1575" s="153"/>
      <c r="AL1575" s="153"/>
      <c r="AM1575" s="153"/>
      <c r="AN1575" s="153"/>
      <c r="AO1575" s="153"/>
      <c r="AP1575" s="153">
        <v>300</v>
      </c>
      <c r="AQ1575" s="153">
        <f>300*56000</f>
        <v>16800000</v>
      </c>
      <c r="AR1575" s="153"/>
      <c r="AS1575" s="153"/>
      <c r="AT1575" s="153"/>
      <c r="AU1575" s="153"/>
      <c r="AV1575" s="153"/>
      <c r="AW1575" s="153"/>
      <c r="AX1575" s="153"/>
      <c r="AY1575" s="153"/>
      <c r="AZ1575" s="153"/>
      <c r="BA1575" s="153"/>
      <c r="BB1575" s="153"/>
      <c r="BC1575" s="153"/>
      <c r="BD1575" s="153"/>
      <c r="BE1575" s="153"/>
      <c r="BF1575" s="153"/>
      <c r="BG1575" s="153"/>
      <c r="BH1575" s="153"/>
      <c r="BI1575" s="153"/>
      <c r="BJ1575" s="153"/>
      <c r="BK1575" s="153"/>
      <c r="BL1575" s="153"/>
      <c r="BM1575" s="153"/>
      <c r="BN1575" s="153"/>
      <c r="BO1575" s="153"/>
      <c r="BP1575" s="153"/>
      <c r="BQ1575" s="153"/>
      <c r="BR1575" s="153"/>
      <c r="BS1575" s="153"/>
      <c r="BT1575" s="153"/>
      <c r="BU1575" s="153"/>
      <c r="BV1575" s="153"/>
      <c r="BW1575" s="153"/>
      <c r="BX1575" s="153"/>
      <c r="BY1575" s="153"/>
      <c r="BZ1575" s="153"/>
      <c r="CA1575" s="153"/>
      <c r="CB1575" s="153">
        <v>2000</v>
      </c>
      <c r="CC1575" s="153">
        <f>2000*18000</f>
        <v>36000000</v>
      </c>
      <c r="CD1575" s="155"/>
      <c r="CE1575" s="156"/>
      <c r="CF1575" s="155"/>
      <c r="CG1575" s="156"/>
      <c r="CH1575" s="155"/>
      <c r="CI1575" s="156"/>
      <c r="CJ1575" s="157">
        <f t="shared" si="203"/>
        <v>52800000</v>
      </c>
      <c r="CK1575" s="158"/>
      <c r="CL1575" s="159"/>
      <c r="CM1575" s="160"/>
      <c r="CN1575" s="161"/>
      <c r="CO1575" s="162"/>
      <c r="CP1575" s="161"/>
      <c r="CQ1575" s="158"/>
      <c r="CR1575" s="159"/>
      <c r="CS1575" s="68"/>
      <c r="CT1575" s="163"/>
      <c r="EC1575" s="344" t="str">
        <f t="shared" si="206"/>
        <v>CHOCO_EL LITORAL DEL SAN JUAN</v>
      </c>
      <c r="ED1575" s="341"/>
      <c r="EE1575" s="341"/>
      <c r="EF1575" s="348"/>
      <c r="EG1575" s="341"/>
      <c r="EH1575" s="341"/>
      <c r="EI1575" s="341"/>
    </row>
    <row r="1576" spans="1:139" s="164" customFormat="1" ht="48">
      <c r="A1576" s="228">
        <v>40490</v>
      </c>
      <c r="B1576" s="205" t="s">
        <v>1604</v>
      </c>
      <c r="C1576" s="205" t="s">
        <v>2664</v>
      </c>
      <c r="D1576" s="207" t="s">
        <v>1201</v>
      </c>
      <c r="E1576" s="323" t="s">
        <v>3704</v>
      </c>
      <c r="F1576" s="323"/>
      <c r="G1576" s="204"/>
      <c r="H1576" s="151"/>
      <c r="I1576" s="151"/>
      <c r="J1576" s="151"/>
      <c r="K1576" s="151"/>
      <c r="L1576" s="1"/>
      <c r="M1576" s="73">
        <f t="shared" si="201"/>
        <v>0</v>
      </c>
      <c r="N1576" s="73">
        <f t="shared" si="205"/>
        <v>0</v>
      </c>
      <c r="O1576" s="73">
        <f t="shared" si="200"/>
        <v>0</v>
      </c>
      <c r="P1576" s="73">
        <f t="shared" si="202"/>
        <v>0</v>
      </c>
      <c r="Q1576" s="73"/>
      <c r="R1576" s="73">
        <v>0</v>
      </c>
      <c r="S1576" s="75">
        <f t="shared" si="204"/>
        <v>0</v>
      </c>
      <c r="T1576" s="77">
        <v>0</v>
      </c>
      <c r="U1576" s="66">
        <v>40491</v>
      </c>
      <c r="V1576" s="79"/>
      <c r="W1576" s="66" t="s">
        <v>1585</v>
      </c>
      <c r="X1576" s="24" t="s">
        <v>1586</v>
      </c>
      <c r="Y1576" s="62"/>
      <c r="Z1576" s="169" t="s">
        <v>894</v>
      </c>
      <c r="AA1576" s="166" t="s">
        <v>2665</v>
      </c>
      <c r="AB1576" s="152"/>
      <c r="AC1576" s="153"/>
      <c r="AD1576" s="154"/>
      <c r="AE1576" s="153"/>
      <c r="AF1576" s="153"/>
      <c r="AG1576" s="153"/>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c r="BF1576" s="153"/>
      <c r="BG1576" s="153"/>
      <c r="BH1576" s="153"/>
      <c r="BI1576" s="153"/>
      <c r="BJ1576" s="153"/>
      <c r="BK1576" s="153"/>
      <c r="BL1576" s="153"/>
      <c r="BM1576" s="153"/>
      <c r="BN1576" s="153"/>
      <c r="BO1576" s="153"/>
      <c r="BP1576" s="153"/>
      <c r="BQ1576" s="153"/>
      <c r="BR1576" s="153"/>
      <c r="BS1576" s="153"/>
      <c r="BT1576" s="153"/>
      <c r="BU1576" s="153"/>
      <c r="BV1576" s="153"/>
      <c r="BW1576" s="153"/>
      <c r="BX1576" s="153"/>
      <c r="BY1576" s="153"/>
      <c r="BZ1576" s="153"/>
      <c r="CA1576" s="153"/>
      <c r="CB1576" s="153"/>
      <c r="CC1576" s="153"/>
      <c r="CD1576" s="155"/>
      <c r="CE1576" s="156"/>
      <c r="CF1576" s="155"/>
      <c r="CG1576" s="156"/>
      <c r="CH1576" s="155"/>
      <c r="CI1576" s="156"/>
      <c r="CJ1576" s="157">
        <f t="shared" si="203"/>
        <v>0</v>
      </c>
      <c r="CK1576" s="158"/>
      <c r="CL1576" s="159"/>
      <c r="CM1576" s="160"/>
      <c r="CN1576" s="161"/>
      <c r="CO1576" s="162"/>
      <c r="CP1576" s="161"/>
      <c r="CQ1576" s="158"/>
      <c r="CR1576" s="159"/>
      <c r="CS1576" s="68"/>
      <c r="CT1576" s="163"/>
      <c r="EC1576" s="344" t="str">
        <f t="shared" si="206"/>
        <v>CUNDINAMARCA_FACATATIVA</v>
      </c>
      <c r="ED1576" s="341"/>
      <c r="EE1576" s="341"/>
      <c r="EF1576" s="348"/>
      <c r="EG1576" s="341"/>
      <c r="EH1576" s="341"/>
      <c r="EI1576" s="341"/>
    </row>
    <row r="1577" spans="1:139" s="164" customFormat="1" ht="38.25">
      <c r="A1577" s="228">
        <v>40490</v>
      </c>
      <c r="B1577" s="205" t="s">
        <v>965</v>
      </c>
      <c r="C1577" s="205" t="s">
        <v>1327</v>
      </c>
      <c r="D1577" s="206" t="s">
        <v>1878</v>
      </c>
      <c r="E1577" s="320" t="s">
        <v>3998</v>
      </c>
      <c r="F1577" s="320"/>
      <c r="G1577" s="204">
        <v>2</v>
      </c>
      <c r="H1577" s="151">
        <v>8</v>
      </c>
      <c r="I1577" s="151"/>
      <c r="J1577" s="151">
        <f>8450-2457</f>
        <v>5993</v>
      </c>
      <c r="K1577" s="151">
        <f>3100-626</f>
        <v>2474</v>
      </c>
      <c r="L1577" s="1"/>
      <c r="M1577" s="73">
        <f t="shared" si="201"/>
        <v>0</v>
      </c>
      <c r="N1577" s="73">
        <f t="shared" si="205"/>
        <v>0</v>
      </c>
      <c r="O1577" s="73">
        <f t="shared" si="200"/>
        <v>0</v>
      </c>
      <c r="P1577" s="73">
        <f t="shared" si="202"/>
        <v>0</v>
      </c>
      <c r="Q1577" s="73"/>
      <c r="R1577" s="73">
        <v>0</v>
      </c>
      <c r="S1577" s="75">
        <f t="shared" si="204"/>
        <v>0</v>
      </c>
      <c r="T1577" s="77">
        <v>0</v>
      </c>
      <c r="U1577" s="66">
        <v>40491</v>
      </c>
      <c r="V1577" s="79"/>
      <c r="W1577" s="66" t="s">
        <v>1585</v>
      </c>
      <c r="X1577" s="24" t="s">
        <v>1586</v>
      </c>
      <c r="Y1577" s="62"/>
      <c r="Z1577" s="169" t="s">
        <v>894</v>
      </c>
      <c r="AA1577" s="166" t="s">
        <v>902</v>
      </c>
      <c r="AB1577" s="152"/>
      <c r="AC1577" s="153"/>
      <c r="AD1577" s="154"/>
      <c r="AE1577" s="153"/>
      <c r="AF1577" s="153"/>
      <c r="AG1577" s="153"/>
      <c r="AH1577" s="153"/>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c r="BF1577" s="153"/>
      <c r="BG1577" s="153"/>
      <c r="BH1577" s="153"/>
      <c r="BI1577" s="153"/>
      <c r="BJ1577" s="153"/>
      <c r="BK1577" s="153"/>
      <c r="BL1577" s="153"/>
      <c r="BM1577" s="153"/>
      <c r="BN1577" s="153"/>
      <c r="BO1577" s="153"/>
      <c r="BP1577" s="153"/>
      <c r="BQ1577" s="153"/>
      <c r="BR1577" s="153"/>
      <c r="BS1577" s="153"/>
      <c r="BT1577" s="153"/>
      <c r="BU1577" s="153"/>
      <c r="BV1577" s="153"/>
      <c r="BW1577" s="153"/>
      <c r="BX1577" s="153"/>
      <c r="BY1577" s="153"/>
      <c r="BZ1577" s="153"/>
      <c r="CA1577" s="153"/>
      <c r="CB1577" s="153"/>
      <c r="CC1577" s="153"/>
      <c r="CD1577" s="155"/>
      <c r="CE1577" s="156"/>
      <c r="CF1577" s="155"/>
      <c r="CG1577" s="156"/>
      <c r="CH1577" s="155"/>
      <c r="CI1577" s="156"/>
      <c r="CJ1577" s="157">
        <f t="shared" si="203"/>
        <v>0</v>
      </c>
      <c r="CK1577" s="158"/>
      <c r="CL1577" s="159"/>
      <c r="CM1577" s="160"/>
      <c r="CN1577" s="161"/>
      <c r="CO1577" s="162"/>
      <c r="CP1577" s="161"/>
      <c r="CQ1577" s="158"/>
      <c r="CR1577" s="159"/>
      <c r="CS1577" s="68"/>
      <c r="CT1577" s="163"/>
      <c r="EC1577" s="344" t="str">
        <f t="shared" si="206"/>
        <v>NORTE DE SANTANDER_CUCUTA</v>
      </c>
      <c r="ED1577" s="341"/>
      <c r="EE1577" s="341"/>
      <c r="EF1577" s="348"/>
      <c r="EG1577" s="341"/>
      <c r="EH1577" s="341"/>
      <c r="EI1577" s="341"/>
    </row>
    <row r="1578" spans="1:139" s="164" customFormat="1" ht="96">
      <c r="A1578" s="228">
        <v>40490</v>
      </c>
      <c r="B1578" s="205" t="s">
        <v>965</v>
      </c>
      <c r="C1578" s="205" t="s">
        <v>1040</v>
      </c>
      <c r="D1578" s="206" t="s">
        <v>1878</v>
      </c>
      <c r="E1578" s="320" t="s">
        <v>4010</v>
      </c>
      <c r="F1578" s="320"/>
      <c r="G1578" s="204"/>
      <c r="H1578" s="151"/>
      <c r="I1578" s="151"/>
      <c r="J1578" s="151">
        <v>550</v>
      </c>
      <c r="K1578" s="151">
        <f>15+95</f>
        <v>110</v>
      </c>
      <c r="L1578" s="1">
        <v>40462</v>
      </c>
      <c r="M1578" s="73">
        <f t="shared" si="201"/>
        <v>0</v>
      </c>
      <c r="N1578" s="73">
        <f t="shared" si="205"/>
        <v>0</v>
      </c>
      <c r="O1578" s="73">
        <f t="shared" si="200"/>
        <v>0</v>
      </c>
      <c r="P1578" s="73">
        <f t="shared" si="202"/>
        <v>0</v>
      </c>
      <c r="Q1578" s="73"/>
      <c r="R1578" s="73">
        <v>342213000</v>
      </c>
      <c r="S1578" s="75">
        <f t="shared" si="204"/>
        <v>342213000</v>
      </c>
      <c r="T1578" s="77">
        <v>0</v>
      </c>
      <c r="U1578" s="66">
        <v>40490</v>
      </c>
      <c r="V1578" s="79">
        <v>63242</v>
      </c>
      <c r="W1578" s="66" t="s">
        <v>1606</v>
      </c>
      <c r="X1578" s="24" t="s">
        <v>1607</v>
      </c>
      <c r="Y1578" s="62">
        <v>42259</v>
      </c>
      <c r="Z1578" s="169" t="s">
        <v>2761</v>
      </c>
      <c r="AA1578" s="166" t="s">
        <v>32</v>
      </c>
      <c r="AB1578" s="152"/>
      <c r="AC1578" s="153"/>
      <c r="AD1578" s="154"/>
      <c r="AE1578" s="153"/>
      <c r="AF1578" s="153"/>
      <c r="AG1578" s="153"/>
      <c r="AH1578" s="153"/>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c r="BF1578" s="153"/>
      <c r="BG1578" s="153"/>
      <c r="BH1578" s="153"/>
      <c r="BI1578" s="153"/>
      <c r="BJ1578" s="153"/>
      <c r="BK1578" s="153"/>
      <c r="BL1578" s="153"/>
      <c r="BM1578" s="153"/>
      <c r="BN1578" s="153"/>
      <c r="BO1578" s="153"/>
      <c r="BP1578" s="153"/>
      <c r="BQ1578" s="153"/>
      <c r="BR1578" s="153"/>
      <c r="BS1578" s="153"/>
      <c r="BT1578" s="153"/>
      <c r="BU1578" s="153"/>
      <c r="BV1578" s="153"/>
      <c r="BW1578" s="153"/>
      <c r="BX1578" s="153"/>
      <c r="BY1578" s="153"/>
      <c r="BZ1578" s="153"/>
      <c r="CA1578" s="153"/>
      <c r="CB1578" s="153"/>
      <c r="CC1578" s="153"/>
      <c r="CD1578" s="155"/>
      <c r="CE1578" s="156"/>
      <c r="CF1578" s="155"/>
      <c r="CG1578" s="156"/>
      <c r="CH1578" s="155"/>
      <c r="CI1578" s="156"/>
      <c r="CJ1578" s="157">
        <f t="shared" si="203"/>
        <v>0</v>
      </c>
      <c r="CK1578" s="158"/>
      <c r="CL1578" s="159"/>
      <c r="CM1578" s="160"/>
      <c r="CN1578" s="161"/>
      <c r="CO1578" s="162"/>
      <c r="CP1578" s="161"/>
      <c r="CQ1578" s="158"/>
      <c r="CR1578" s="159"/>
      <c r="CS1578" s="68"/>
      <c r="CT1578" s="163"/>
      <c r="EC1578" s="344" t="str">
        <f t="shared" si="206"/>
        <v>NORTE DE SANTANDER_EL CARMEN</v>
      </c>
      <c r="ED1578" s="341"/>
      <c r="EE1578" s="341"/>
      <c r="EF1578" s="348"/>
      <c r="EG1578" s="341"/>
      <c r="EH1578" s="341"/>
      <c r="EI1578" s="341"/>
    </row>
    <row r="1579" spans="1:139" s="164" customFormat="1" ht="38.25">
      <c r="A1579" s="228">
        <v>40490</v>
      </c>
      <c r="B1579" s="205" t="s">
        <v>965</v>
      </c>
      <c r="C1579" s="205" t="s">
        <v>1743</v>
      </c>
      <c r="D1579" s="206" t="s">
        <v>1878</v>
      </c>
      <c r="E1579" s="320" t="s">
        <v>4022</v>
      </c>
      <c r="F1579" s="320"/>
      <c r="G1579" s="204"/>
      <c r="H1579" s="151"/>
      <c r="I1579" s="151"/>
      <c r="J1579" s="151">
        <v>5</v>
      </c>
      <c r="K1579" s="151">
        <v>1</v>
      </c>
      <c r="L1579" s="1"/>
      <c r="M1579" s="73">
        <f t="shared" si="201"/>
        <v>0</v>
      </c>
      <c r="N1579" s="73">
        <f t="shared" si="205"/>
        <v>0</v>
      </c>
      <c r="O1579" s="73">
        <f t="shared" si="200"/>
        <v>0</v>
      </c>
      <c r="P1579" s="73">
        <f t="shared" si="202"/>
        <v>0</v>
      </c>
      <c r="Q1579" s="73"/>
      <c r="R1579" s="73">
        <v>0</v>
      </c>
      <c r="S1579" s="75">
        <f t="shared" si="204"/>
        <v>0</v>
      </c>
      <c r="T1579" s="77">
        <v>0</v>
      </c>
      <c r="U1579" s="66">
        <v>40492</v>
      </c>
      <c r="V1579" s="79"/>
      <c r="W1579" s="66" t="s">
        <v>1585</v>
      </c>
      <c r="X1579" s="24" t="s">
        <v>1586</v>
      </c>
      <c r="Y1579" s="62"/>
      <c r="Z1579" s="169" t="s">
        <v>894</v>
      </c>
      <c r="AA1579" s="166" t="s">
        <v>2673</v>
      </c>
      <c r="AB1579" s="152"/>
      <c r="AC1579" s="153"/>
      <c r="AD1579" s="154"/>
      <c r="AE1579" s="153"/>
      <c r="AF1579" s="153"/>
      <c r="AG1579" s="153"/>
      <c r="AH1579" s="153"/>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c r="BF1579" s="153"/>
      <c r="BG1579" s="153"/>
      <c r="BH1579" s="153"/>
      <c r="BI1579" s="153"/>
      <c r="BJ1579" s="153"/>
      <c r="BK1579" s="153"/>
      <c r="BL1579" s="153"/>
      <c r="BM1579" s="153"/>
      <c r="BN1579" s="153"/>
      <c r="BO1579" s="153"/>
      <c r="BP1579" s="153"/>
      <c r="BQ1579" s="153"/>
      <c r="BR1579" s="153"/>
      <c r="BS1579" s="153"/>
      <c r="BT1579" s="153"/>
      <c r="BU1579" s="153"/>
      <c r="BV1579" s="153"/>
      <c r="BW1579" s="153"/>
      <c r="BX1579" s="153"/>
      <c r="BY1579" s="153"/>
      <c r="BZ1579" s="153"/>
      <c r="CA1579" s="153"/>
      <c r="CB1579" s="153"/>
      <c r="CC1579" s="153"/>
      <c r="CD1579" s="155"/>
      <c r="CE1579" s="156"/>
      <c r="CF1579" s="155"/>
      <c r="CG1579" s="156"/>
      <c r="CH1579" s="155"/>
      <c r="CI1579" s="156"/>
      <c r="CJ1579" s="157">
        <f t="shared" si="203"/>
        <v>0</v>
      </c>
      <c r="CK1579" s="158"/>
      <c r="CL1579" s="159"/>
      <c r="CM1579" s="160"/>
      <c r="CN1579" s="161"/>
      <c r="CO1579" s="162"/>
      <c r="CP1579" s="161"/>
      <c r="CQ1579" s="158"/>
      <c r="CR1579" s="159"/>
      <c r="CS1579" s="68"/>
      <c r="CT1579" s="163"/>
      <c r="EC1579" s="344" t="str">
        <f t="shared" si="206"/>
        <v>NORTE DE SANTANDER_OCAÑA</v>
      </c>
      <c r="ED1579" s="341"/>
      <c r="EE1579" s="341"/>
      <c r="EF1579" s="348"/>
      <c r="EG1579" s="341"/>
      <c r="EH1579" s="341"/>
      <c r="EI1579" s="341"/>
    </row>
    <row r="1580" spans="1:139" s="164" customFormat="1" ht="60">
      <c r="A1580" s="228">
        <v>40490</v>
      </c>
      <c r="B1580" s="205" t="s">
        <v>1088</v>
      </c>
      <c r="C1580" s="102" t="s">
        <v>3205</v>
      </c>
      <c r="D1580" s="207" t="s">
        <v>1201</v>
      </c>
      <c r="E1580" s="323" t="s">
        <v>4234</v>
      </c>
      <c r="F1580" s="323"/>
      <c r="G1580" s="204"/>
      <c r="H1580" s="151"/>
      <c r="I1580" s="151"/>
      <c r="J1580" s="151">
        <f>120*5</f>
        <v>600</v>
      </c>
      <c r="K1580" s="151">
        <v>120</v>
      </c>
      <c r="L1580" s="1">
        <v>40520</v>
      </c>
      <c r="M1580" s="73">
        <f t="shared" si="201"/>
        <v>8091000</v>
      </c>
      <c r="N1580" s="73">
        <f t="shared" si="205"/>
        <v>7395000</v>
      </c>
      <c r="O1580" s="73">
        <f t="shared" si="200"/>
        <v>0</v>
      </c>
      <c r="P1580" s="73">
        <f t="shared" si="202"/>
        <v>0</v>
      </c>
      <c r="Q1580" s="73"/>
      <c r="R1580" s="73">
        <v>0</v>
      </c>
      <c r="S1580" s="75">
        <f t="shared" si="204"/>
        <v>15486000</v>
      </c>
      <c r="T1580" s="77">
        <v>0</v>
      </c>
      <c r="U1580" s="66">
        <v>40492</v>
      </c>
      <c r="V1580" s="79"/>
      <c r="W1580" s="66" t="s">
        <v>1606</v>
      </c>
      <c r="X1580" s="24" t="s">
        <v>1607</v>
      </c>
      <c r="Y1580" s="62">
        <v>26384</v>
      </c>
      <c r="Z1580" s="169" t="s">
        <v>324</v>
      </c>
      <c r="AA1580" s="166" t="s">
        <v>2915</v>
      </c>
      <c r="AB1580" s="152"/>
      <c r="AC1580" s="153"/>
      <c r="AD1580" s="154"/>
      <c r="AE1580" s="153"/>
      <c r="AF1580" s="153"/>
      <c r="AG1580" s="153"/>
      <c r="AH1580" s="153"/>
      <c r="AI1580" s="153"/>
      <c r="AJ1580" s="153"/>
      <c r="AK1580" s="153"/>
      <c r="AL1580" s="153"/>
      <c r="AM1580" s="153"/>
      <c r="AN1580" s="153">
        <v>87</v>
      </c>
      <c r="AO1580" s="153">
        <f>87*56000</f>
        <v>4872000</v>
      </c>
      <c r="AP1580" s="153"/>
      <c r="AQ1580" s="153"/>
      <c r="AR1580" s="153"/>
      <c r="AS1580" s="153"/>
      <c r="AT1580" s="153"/>
      <c r="AU1580" s="153"/>
      <c r="AV1580" s="153"/>
      <c r="AW1580" s="153"/>
      <c r="AX1580" s="153"/>
      <c r="AY1580" s="153"/>
      <c r="AZ1580" s="153"/>
      <c r="BA1580" s="153"/>
      <c r="BB1580" s="153"/>
      <c r="BC1580" s="153"/>
      <c r="BD1580" s="153"/>
      <c r="BE1580" s="153"/>
      <c r="BF1580" s="153"/>
      <c r="BG1580" s="153"/>
      <c r="BH1580" s="153"/>
      <c r="BI1580" s="153"/>
      <c r="BJ1580" s="153"/>
      <c r="BK1580" s="153"/>
      <c r="BL1580" s="153"/>
      <c r="BM1580" s="153"/>
      <c r="BN1580" s="153"/>
      <c r="BO1580" s="153"/>
      <c r="BP1580" s="153"/>
      <c r="BQ1580" s="153"/>
      <c r="BR1580" s="153"/>
      <c r="BS1580" s="153"/>
      <c r="BT1580" s="153"/>
      <c r="BU1580" s="153"/>
      <c r="BV1580" s="153"/>
      <c r="BW1580" s="153"/>
      <c r="BX1580" s="153"/>
      <c r="BY1580" s="153"/>
      <c r="BZ1580" s="153"/>
      <c r="CA1580" s="153"/>
      <c r="CB1580" s="153"/>
      <c r="CC1580" s="153"/>
      <c r="CD1580" s="155">
        <v>87</v>
      </c>
      <c r="CE1580" s="156">
        <f>87*37000</f>
        <v>3219000</v>
      </c>
      <c r="CF1580" s="155"/>
      <c r="CG1580" s="156"/>
      <c r="CH1580" s="155"/>
      <c r="CI1580" s="156"/>
      <c r="CJ1580" s="157">
        <f t="shared" si="203"/>
        <v>8091000</v>
      </c>
      <c r="CK1580" s="158"/>
      <c r="CL1580" s="159"/>
      <c r="CM1580" s="160">
        <v>87</v>
      </c>
      <c r="CN1580" s="161">
        <f>87*85000</f>
        <v>7395000</v>
      </c>
      <c r="CO1580" s="162"/>
      <c r="CP1580" s="161"/>
      <c r="CQ1580" s="158"/>
      <c r="CR1580" s="159"/>
      <c r="CS1580" s="68"/>
      <c r="CT1580" s="163"/>
      <c r="EC1580" s="344" t="str">
        <f t="shared" si="206"/>
        <v>VALLE DEL CAUCA_CALIMA</v>
      </c>
      <c r="ED1580" s="341"/>
      <c r="EE1580" s="341"/>
      <c r="EF1580" s="348"/>
      <c r="EG1580" s="341"/>
      <c r="EH1580" s="341"/>
      <c r="EI1580" s="341"/>
    </row>
    <row r="1581" spans="1:139" s="164" customFormat="1" ht="38.25">
      <c r="A1581" s="228">
        <v>40490</v>
      </c>
      <c r="B1581" s="205" t="s">
        <v>1088</v>
      </c>
      <c r="C1581" s="205" t="s">
        <v>901</v>
      </c>
      <c r="D1581" s="207" t="s">
        <v>1201</v>
      </c>
      <c r="E1581" s="323" t="s">
        <v>4259</v>
      </c>
      <c r="F1581" s="323"/>
      <c r="G1581" s="204">
        <v>1</v>
      </c>
      <c r="H1581" s="151"/>
      <c r="I1581" s="151"/>
      <c r="J1581" s="151">
        <f>500*5</f>
        <v>2500</v>
      </c>
      <c r="K1581" s="151">
        <v>500</v>
      </c>
      <c r="L1581" s="1"/>
      <c r="M1581" s="73">
        <f t="shared" si="201"/>
        <v>0</v>
      </c>
      <c r="N1581" s="73">
        <f t="shared" si="205"/>
        <v>0</v>
      </c>
      <c r="O1581" s="73">
        <f t="shared" si="200"/>
        <v>0</v>
      </c>
      <c r="P1581" s="73">
        <f t="shared" si="202"/>
        <v>0</v>
      </c>
      <c r="Q1581" s="73"/>
      <c r="R1581" s="73">
        <v>0</v>
      </c>
      <c r="S1581" s="75">
        <f t="shared" si="204"/>
        <v>0</v>
      </c>
      <c r="T1581" s="77">
        <v>0</v>
      </c>
      <c r="U1581" s="228">
        <v>40492</v>
      </c>
      <c r="V1581" s="79"/>
      <c r="W1581" s="66" t="s">
        <v>1585</v>
      </c>
      <c r="X1581" s="24" t="s">
        <v>1586</v>
      </c>
      <c r="Y1581" s="62"/>
      <c r="Z1581" s="169" t="s">
        <v>894</v>
      </c>
      <c r="AA1581" s="166" t="s">
        <v>2670</v>
      </c>
      <c r="AB1581" s="152"/>
      <c r="AC1581" s="153"/>
      <c r="AD1581" s="154"/>
      <c r="AE1581" s="153"/>
      <c r="AF1581" s="153"/>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c r="BI1581" s="153"/>
      <c r="BJ1581" s="153"/>
      <c r="BK1581" s="153"/>
      <c r="BL1581" s="153"/>
      <c r="BM1581" s="153"/>
      <c r="BN1581" s="153"/>
      <c r="BO1581" s="153"/>
      <c r="BP1581" s="153"/>
      <c r="BQ1581" s="153"/>
      <c r="BR1581" s="153"/>
      <c r="BS1581" s="153"/>
      <c r="BT1581" s="153"/>
      <c r="BU1581" s="153"/>
      <c r="BV1581" s="153"/>
      <c r="BW1581" s="153"/>
      <c r="BX1581" s="153"/>
      <c r="BY1581" s="153"/>
      <c r="BZ1581" s="153"/>
      <c r="CA1581" s="153"/>
      <c r="CB1581" s="153"/>
      <c r="CC1581" s="153"/>
      <c r="CD1581" s="155"/>
      <c r="CE1581" s="156"/>
      <c r="CF1581" s="155"/>
      <c r="CG1581" s="156"/>
      <c r="CH1581" s="155"/>
      <c r="CI1581" s="156"/>
      <c r="CJ1581" s="157">
        <f t="shared" si="203"/>
        <v>0</v>
      </c>
      <c r="CK1581" s="158"/>
      <c r="CL1581" s="159"/>
      <c r="CM1581" s="160"/>
      <c r="CN1581" s="161"/>
      <c r="CO1581" s="162"/>
      <c r="CP1581" s="161"/>
      <c r="CQ1581" s="158"/>
      <c r="CR1581" s="159"/>
      <c r="CS1581" s="68"/>
      <c r="CT1581" s="163"/>
      <c r="EC1581" s="344" t="str">
        <f t="shared" si="206"/>
        <v>VALLE DEL CAUCA_TULUA</v>
      </c>
      <c r="ED1581" s="341"/>
      <c r="EE1581" s="341"/>
      <c r="EF1581" s="348"/>
      <c r="EG1581" s="341"/>
      <c r="EH1581" s="341"/>
      <c r="EI1581" s="341"/>
    </row>
    <row r="1582" spans="1:139" s="164" customFormat="1" ht="36">
      <c r="A1582" s="235">
        <v>40491</v>
      </c>
      <c r="B1582" s="269" t="s">
        <v>1972</v>
      </c>
      <c r="C1582" s="269" t="s">
        <v>588</v>
      </c>
      <c r="D1582" s="236" t="s">
        <v>1878</v>
      </c>
      <c r="E1582" s="324" t="s">
        <v>3332</v>
      </c>
      <c r="F1582" s="324"/>
      <c r="G1582" s="204">
        <v>3</v>
      </c>
      <c r="H1582" s="151"/>
      <c r="I1582" s="151"/>
      <c r="J1582" s="151"/>
      <c r="K1582" s="151"/>
      <c r="L1582" s="1"/>
      <c r="M1582" s="73">
        <f t="shared" si="201"/>
        <v>0</v>
      </c>
      <c r="N1582" s="73">
        <f t="shared" si="205"/>
        <v>0</v>
      </c>
      <c r="O1582" s="73">
        <f t="shared" si="200"/>
        <v>0</v>
      </c>
      <c r="P1582" s="73">
        <f t="shared" si="202"/>
        <v>0</v>
      </c>
      <c r="Q1582" s="73"/>
      <c r="R1582" s="73">
        <v>0</v>
      </c>
      <c r="S1582" s="75">
        <f t="shared" si="204"/>
        <v>0</v>
      </c>
      <c r="T1582" s="77">
        <v>0</v>
      </c>
      <c r="U1582" s="66">
        <v>40494</v>
      </c>
      <c r="V1582" s="79"/>
      <c r="W1582" s="66" t="s">
        <v>1585</v>
      </c>
      <c r="X1582" s="24" t="s">
        <v>1586</v>
      </c>
      <c r="Y1582" s="62"/>
      <c r="Z1582" s="169" t="s">
        <v>894</v>
      </c>
      <c r="AA1582" s="166" t="s">
        <v>2026</v>
      </c>
      <c r="AB1582" s="152"/>
      <c r="AC1582" s="153"/>
      <c r="AD1582" s="154"/>
      <c r="AE1582" s="153"/>
      <c r="AF1582" s="153"/>
      <c r="AG1582" s="153"/>
      <c r="AH1582" s="153"/>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c r="BF1582" s="153"/>
      <c r="BG1582" s="153"/>
      <c r="BH1582" s="153"/>
      <c r="BI1582" s="153"/>
      <c r="BJ1582" s="153"/>
      <c r="BK1582" s="153"/>
      <c r="BL1582" s="153"/>
      <c r="BM1582" s="153"/>
      <c r="BN1582" s="153"/>
      <c r="BO1582" s="153"/>
      <c r="BP1582" s="153"/>
      <c r="BQ1582" s="153"/>
      <c r="BR1582" s="153"/>
      <c r="BS1582" s="153"/>
      <c r="BT1582" s="153"/>
      <c r="BU1582" s="153"/>
      <c r="BV1582" s="153"/>
      <c r="BW1582" s="153"/>
      <c r="BX1582" s="153"/>
      <c r="BY1582" s="153"/>
      <c r="BZ1582" s="153"/>
      <c r="CA1582" s="153"/>
      <c r="CB1582" s="153"/>
      <c r="CC1582" s="153"/>
      <c r="CD1582" s="155"/>
      <c r="CE1582" s="156"/>
      <c r="CF1582" s="155"/>
      <c r="CG1582" s="156"/>
      <c r="CH1582" s="155"/>
      <c r="CI1582" s="156"/>
      <c r="CJ1582" s="157">
        <f t="shared" si="203"/>
        <v>0</v>
      </c>
      <c r="CK1582" s="158"/>
      <c r="CL1582" s="159"/>
      <c r="CM1582" s="160"/>
      <c r="CN1582" s="161"/>
      <c r="CO1582" s="162"/>
      <c r="CP1582" s="161"/>
      <c r="CQ1582" s="158"/>
      <c r="CR1582" s="159"/>
      <c r="CS1582" s="68"/>
      <c r="CT1582" s="163"/>
      <c r="EC1582" s="344" t="str">
        <f t="shared" si="206"/>
        <v>ANTIOQUIA_SONSON</v>
      </c>
      <c r="ED1582" s="341"/>
      <c r="EE1582" s="341"/>
      <c r="EF1582" s="348"/>
      <c r="EG1582" s="341"/>
      <c r="EH1582" s="341"/>
      <c r="EI1582" s="341"/>
    </row>
    <row r="1583" spans="1:139" s="164" customFormat="1" ht="108">
      <c r="A1583" s="235">
        <v>40491</v>
      </c>
      <c r="B1583" s="269" t="s">
        <v>1972</v>
      </c>
      <c r="C1583" s="269" t="s">
        <v>1785</v>
      </c>
      <c r="D1583" s="270" t="s">
        <v>1201</v>
      </c>
      <c r="E1583" s="327" t="s">
        <v>3350</v>
      </c>
      <c r="F1583" s="327"/>
      <c r="G1583" s="204"/>
      <c r="H1583" s="151"/>
      <c r="I1583" s="151"/>
      <c r="J1583" s="151">
        <v>1662</v>
      </c>
      <c r="K1583" s="151">
        <v>478</v>
      </c>
      <c r="L1583" s="1"/>
      <c r="M1583" s="73">
        <f t="shared" si="201"/>
        <v>0</v>
      </c>
      <c r="N1583" s="73">
        <f t="shared" si="205"/>
        <v>0</v>
      </c>
      <c r="O1583" s="73">
        <f t="shared" si="200"/>
        <v>0</v>
      </c>
      <c r="P1583" s="73">
        <f t="shared" si="202"/>
        <v>0</v>
      </c>
      <c r="Q1583" s="73"/>
      <c r="R1583" s="73">
        <v>0</v>
      </c>
      <c r="S1583" s="75">
        <f t="shared" si="204"/>
        <v>0</v>
      </c>
      <c r="T1583" s="77">
        <v>0</v>
      </c>
      <c r="U1583" s="66">
        <v>40494</v>
      </c>
      <c r="V1583" s="79"/>
      <c r="W1583" s="66" t="s">
        <v>1606</v>
      </c>
      <c r="X1583" s="24" t="s">
        <v>1607</v>
      </c>
      <c r="Y1583" s="62"/>
      <c r="Z1583" s="176" t="s">
        <v>2836</v>
      </c>
      <c r="AA1583" s="166" t="s">
        <v>173</v>
      </c>
      <c r="AB1583" s="152"/>
      <c r="AC1583" s="153"/>
      <c r="AD1583" s="154"/>
      <c r="AE1583" s="153"/>
      <c r="AF1583" s="153"/>
      <c r="AG1583" s="153"/>
      <c r="AH1583" s="153"/>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c r="BF1583" s="153"/>
      <c r="BG1583" s="153"/>
      <c r="BH1583" s="153"/>
      <c r="BI1583" s="153"/>
      <c r="BJ1583" s="153"/>
      <c r="BK1583" s="153"/>
      <c r="BL1583" s="153"/>
      <c r="BM1583" s="153"/>
      <c r="BN1583" s="153"/>
      <c r="BO1583" s="153"/>
      <c r="BP1583" s="153"/>
      <c r="BQ1583" s="153"/>
      <c r="BR1583" s="153"/>
      <c r="BS1583" s="153"/>
      <c r="BT1583" s="153"/>
      <c r="BU1583" s="153"/>
      <c r="BV1583" s="153"/>
      <c r="BW1583" s="153"/>
      <c r="BX1583" s="153"/>
      <c r="BY1583" s="153"/>
      <c r="BZ1583" s="153"/>
      <c r="CA1583" s="153"/>
      <c r="CB1583" s="153"/>
      <c r="CC1583" s="153"/>
      <c r="CD1583" s="155"/>
      <c r="CE1583" s="156"/>
      <c r="CF1583" s="155"/>
      <c r="CG1583" s="156"/>
      <c r="CH1583" s="155"/>
      <c r="CI1583" s="156"/>
      <c r="CJ1583" s="157">
        <f t="shared" si="203"/>
        <v>0</v>
      </c>
      <c r="CK1583" s="158"/>
      <c r="CL1583" s="159"/>
      <c r="CM1583" s="160"/>
      <c r="CN1583" s="161"/>
      <c r="CO1583" s="162"/>
      <c r="CP1583" s="161"/>
      <c r="CQ1583" s="158"/>
      <c r="CR1583" s="159"/>
      <c r="CS1583" s="68"/>
      <c r="CT1583" s="163"/>
      <c r="EC1583" s="344" t="str">
        <f t="shared" si="206"/>
        <v>ANTIOQUIA_YONDO</v>
      </c>
      <c r="ED1583" s="341"/>
      <c r="EE1583" s="341"/>
      <c r="EF1583" s="348"/>
      <c r="EG1583" s="341"/>
      <c r="EH1583" s="341"/>
      <c r="EI1583" s="341"/>
    </row>
    <row r="1584" spans="1:139" s="164" customFormat="1" ht="48">
      <c r="A1584" s="228">
        <v>40491</v>
      </c>
      <c r="B1584" s="205" t="s">
        <v>1551</v>
      </c>
      <c r="C1584" s="205" t="s">
        <v>2010</v>
      </c>
      <c r="D1584" s="207" t="s">
        <v>1201</v>
      </c>
      <c r="E1584" s="323" t="s">
        <v>3358</v>
      </c>
      <c r="F1584" s="323"/>
      <c r="G1584" s="204"/>
      <c r="H1584" s="151"/>
      <c r="I1584" s="151"/>
      <c r="J1584" s="151">
        <v>9180</v>
      </c>
      <c r="K1584" s="151">
        <v>1836</v>
      </c>
      <c r="L1584" s="1"/>
      <c r="M1584" s="73">
        <f t="shared" si="201"/>
        <v>0</v>
      </c>
      <c r="N1584" s="73">
        <f t="shared" si="205"/>
        <v>63410000</v>
      </c>
      <c r="O1584" s="73">
        <f t="shared" si="200"/>
        <v>0</v>
      </c>
      <c r="P1584" s="73">
        <f t="shared" si="202"/>
        <v>0</v>
      </c>
      <c r="Q1584" s="73"/>
      <c r="R1584" s="73">
        <v>0</v>
      </c>
      <c r="S1584" s="75">
        <f t="shared" si="204"/>
        <v>63410000</v>
      </c>
      <c r="T1584" s="77">
        <v>0</v>
      </c>
      <c r="U1584" s="66">
        <v>40494</v>
      </c>
      <c r="V1584" s="79"/>
      <c r="W1584" s="66" t="s">
        <v>1606</v>
      </c>
      <c r="X1584" s="24" t="s">
        <v>1607</v>
      </c>
      <c r="Y1584" s="62"/>
      <c r="Z1584" s="169" t="s">
        <v>894</v>
      </c>
      <c r="AA1584" s="166" t="s">
        <v>2011</v>
      </c>
      <c r="AB1584" s="152"/>
      <c r="AC1584" s="153"/>
      <c r="AD1584" s="154"/>
      <c r="AE1584" s="153"/>
      <c r="AF1584" s="153"/>
      <c r="AG1584" s="153"/>
      <c r="AH1584" s="153"/>
      <c r="AI1584" s="153"/>
      <c r="AJ1584" s="153"/>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c r="BF1584" s="153"/>
      <c r="BG1584" s="153"/>
      <c r="BH1584" s="153"/>
      <c r="BI1584" s="153"/>
      <c r="BJ1584" s="153"/>
      <c r="BK1584" s="153"/>
      <c r="BL1584" s="153"/>
      <c r="BM1584" s="153"/>
      <c r="BN1584" s="153"/>
      <c r="BO1584" s="153"/>
      <c r="BP1584" s="153"/>
      <c r="BQ1584" s="153"/>
      <c r="BR1584" s="153"/>
      <c r="BS1584" s="153"/>
      <c r="BT1584" s="153"/>
      <c r="BU1584" s="153"/>
      <c r="BV1584" s="153"/>
      <c r="BW1584" s="153"/>
      <c r="BX1584" s="153"/>
      <c r="BY1584" s="153"/>
      <c r="BZ1584" s="153"/>
      <c r="CA1584" s="153"/>
      <c r="CB1584" s="153"/>
      <c r="CC1584" s="153"/>
      <c r="CD1584" s="155"/>
      <c r="CE1584" s="156"/>
      <c r="CF1584" s="155"/>
      <c r="CG1584" s="156"/>
      <c r="CH1584" s="155"/>
      <c r="CI1584" s="156"/>
      <c r="CJ1584" s="157">
        <f t="shared" si="203"/>
        <v>0</v>
      </c>
      <c r="CK1584" s="158"/>
      <c r="CL1584" s="159"/>
      <c r="CM1584" s="160">
        <v>746</v>
      </c>
      <c r="CN1584" s="161">
        <f>746*85000</f>
        <v>63410000</v>
      </c>
      <c r="CO1584" s="162"/>
      <c r="CP1584" s="161"/>
      <c r="CQ1584" s="158"/>
      <c r="CR1584" s="159"/>
      <c r="CS1584" s="68"/>
      <c r="CT1584" s="163"/>
      <c r="EC1584" s="344" t="str">
        <f t="shared" si="206"/>
        <v>ATLANTICO_LURUACO</v>
      </c>
      <c r="ED1584" s="341"/>
      <c r="EE1584" s="341"/>
      <c r="EF1584" s="348"/>
      <c r="EG1584" s="341"/>
      <c r="EH1584" s="341"/>
      <c r="EI1584" s="341"/>
    </row>
    <row r="1585" spans="1:139" s="164" customFormat="1" ht="25.5">
      <c r="A1585" s="228">
        <v>40491</v>
      </c>
      <c r="B1585" s="205" t="s">
        <v>1551</v>
      </c>
      <c r="C1585" s="205" t="s">
        <v>2007</v>
      </c>
      <c r="D1585" s="206" t="s">
        <v>1878</v>
      </c>
      <c r="E1585" s="320" t="s">
        <v>3362</v>
      </c>
      <c r="F1585" s="320"/>
      <c r="G1585" s="204"/>
      <c r="H1585" s="151"/>
      <c r="I1585" s="151"/>
      <c r="J1585" s="151">
        <v>50</v>
      </c>
      <c r="K1585" s="151">
        <v>10</v>
      </c>
      <c r="L1585" s="1"/>
      <c r="M1585" s="73">
        <f t="shared" si="201"/>
        <v>0</v>
      </c>
      <c r="N1585" s="73">
        <f t="shared" si="205"/>
        <v>0</v>
      </c>
      <c r="O1585" s="73">
        <f t="shared" si="200"/>
        <v>0</v>
      </c>
      <c r="P1585" s="73">
        <f t="shared" si="202"/>
        <v>0</v>
      </c>
      <c r="Q1585" s="73"/>
      <c r="R1585" s="73">
        <v>0</v>
      </c>
      <c r="S1585" s="75">
        <f t="shared" si="204"/>
        <v>0</v>
      </c>
      <c r="T1585" s="77">
        <v>0</v>
      </c>
      <c r="U1585" s="66">
        <v>40494</v>
      </c>
      <c r="V1585" s="79"/>
      <c r="W1585" s="66" t="s">
        <v>1585</v>
      </c>
      <c r="X1585" s="24" t="s">
        <v>1586</v>
      </c>
      <c r="Y1585" s="62"/>
      <c r="Z1585" s="169" t="s">
        <v>894</v>
      </c>
      <c r="AA1585" s="166" t="s">
        <v>2008</v>
      </c>
      <c r="AB1585" s="152"/>
      <c r="AC1585" s="153"/>
      <c r="AD1585" s="154"/>
      <c r="AE1585" s="153"/>
      <c r="AF1585" s="153"/>
      <c r="AG1585" s="153"/>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c r="BF1585" s="153"/>
      <c r="BG1585" s="153"/>
      <c r="BH1585" s="153"/>
      <c r="BI1585" s="153"/>
      <c r="BJ1585" s="153"/>
      <c r="BK1585" s="153"/>
      <c r="BL1585" s="153"/>
      <c r="BM1585" s="153"/>
      <c r="BN1585" s="153"/>
      <c r="BO1585" s="153"/>
      <c r="BP1585" s="153"/>
      <c r="BQ1585" s="153"/>
      <c r="BR1585" s="153"/>
      <c r="BS1585" s="153"/>
      <c r="BT1585" s="153"/>
      <c r="BU1585" s="153"/>
      <c r="BV1585" s="153"/>
      <c r="BW1585" s="153"/>
      <c r="BX1585" s="153"/>
      <c r="BY1585" s="153"/>
      <c r="BZ1585" s="153"/>
      <c r="CA1585" s="153"/>
      <c r="CB1585" s="153"/>
      <c r="CC1585" s="153"/>
      <c r="CD1585" s="155"/>
      <c r="CE1585" s="156"/>
      <c r="CF1585" s="155"/>
      <c r="CG1585" s="156"/>
      <c r="CH1585" s="155"/>
      <c r="CI1585" s="156"/>
      <c r="CJ1585" s="157">
        <f t="shared" si="203"/>
        <v>0</v>
      </c>
      <c r="CK1585" s="158"/>
      <c r="CL1585" s="159"/>
      <c r="CM1585" s="160"/>
      <c r="CN1585" s="161"/>
      <c r="CO1585" s="162"/>
      <c r="CP1585" s="161"/>
      <c r="CQ1585" s="158"/>
      <c r="CR1585" s="159"/>
      <c r="CS1585" s="68"/>
      <c r="CT1585" s="163"/>
      <c r="EC1585" s="344" t="str">
        <f t="shared" si="206"/>
        <v>ATLANTICO_PIOJO</v>
      </c>
      <c r="ED1585" s="341"/>
      <c r="EE1585" s="341"/>
      <c r="EF1585" s="348"/>
      <c r="EG1585" s="341"/>
      <c r="EH1585" s="341"/>
      <c r="EI1585" s="341"/>
    </row>
    <row r="1586" spans="1:139" s="164" customFormat="1" ht="36">
      <c r="A1586" s="228">
        <v>40491</v>
      </c>
      <c r="B1586" s="205" t="s">
        <v>1551</v>
      </c>
      <c r="C1586" s="205" t="s">
        <v>2007</v>
      </c>
      <c r="D1586" s="207" t="s">
        <v>1201</v>
      </c>
      <c r="E1586" s="323" t="s">
        <v>3362</v>
      </c>
      <c r="F1586" s="323"/>
      <c r="G1586" s="204"/>
      <c r="H1586" s="151"/>
      <c r="I1586" s="151"/>
      <c r="J1586" s="151">
        <v>250</v>
      </c>
      <c r="K1586" s="151">
        <v>50</v>
      </c>
      <c r="L1586" s="1"/>
      <c r="M1586" s="73">
        <f t="shared" si="201"/>
        <v>0</v>
      </c>
      <c r="N1586" s="73">
        <f t="shared" si="205"/>
        <v>0</v>
      </c>
      <c r="O1586" s="73">
        <f t="shared" si="200"/>
        <v>0</v>
      </c>
      <c r="P1586" s="73">
        <f t="shared" si="202"/>
        <v>0</v>
      </c>
      <c r="Q1586" s="73"/>
      <c r="R1586" s="73">
        <v>0</v>
      </c>
      <c r="S1586" s="75">
        <f t="shared" si="204"/>
        <v>0</v>
      </c>
      <c r="T1586" s="77">
        <v>0</v>
      </c>
      <c r="U1586" s="66">
        <v>40494</v>
      </c>
      <c r="V1586" s="79"/>
      <c r="W1586" s="66" t="s">
        <v>1585</v>
      </c>
      <c r="X1586" s="24" t="s">
        <v>1586</v>
      </c>
      <c r="Y1586" s="62"/>
      <c r="Z1586" s="169" t="s">
        <v>894</v>
      </c>
      <c r="AA1586" s="166" t="s">
        <v>2009</v>
      </c>
      <c r="AB1586" s="152"/>
      <c r="AC1586" s="153"/>
      <c r="AD1586" s="154"/>
      <c r="AE1586" s="153"/>
      <c r="AF1586" s="153"/>
      <c r="AG1586" s="153"/>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c r="BF1586" s="153"/>
      <c r="BG1586" s="153"/>
      <c r="BH1586" s="153"/>
      <c r="BI1586" s="153"/>
      <c r="BJ1586" s="153"/>
      <c r="BK1586" s="153"/>
      <c r="BL1586" s="153"/>
      <c r="BM1586" s="153"/>
      <c r="BN1586" s="153"/>
      <c r="BO1586" s="153"/>
      <c r="BP1586" s="153"/>
      <c r="BQ1586" s="153"/>
      <c r="BR1586" s="153"/>
      <c r="BS1586" s="153"/>
      <c r="BT1586" s="153"/>
      <c r="BU1586" s="153"/>
      <c r="BV1586" s="153"/>
      <c r="BW1586" s="153"/>
      <c r="BX1586" s="153"/>
      <c r="BY1586" s="153"/>
      <c r="BZ1586" s="153"/>
      <c r="CA1586" s="153"/>
      <c r="CB1586" s="153"/>
      <c r="CC1586" s="153"/>
      <c r="CD1586" s="155"/>
      <c r="CE1586" s="156"/>
      <c r="CF1586" s="155"/>
      <c r="CG1586" s="156"/>
      <c r="CH1586" s="155"/>
      <c r="CI1586" s="156"/>
      <c r="CJ1586" s="157">
        <f t="shared" si="203"/>
        <v>0</v>
      </c>
      <c r="CK1586" s="158"/>
      <c r="CL1586" s="159"/>
      <c r="CM1586" s="160"/>
      <c r="CN1586" s="161"/>
      <c r="CO1586" s="162"/>
      <c r="CP1586" s="161"/>
      <c r="CQ1586" s="158"/>
      <c r="CR1586" s="159"/>
      <c r="CS1586" s="68"/>
      <c r="CT1586" s="163"/>
      <c r="EC1586" s="344" t="str">
        <f t="shared" si="206"/>
        <v>ATLANTICO_PIOJO</v>
      </c>
      <c r="ED1586" s="341"/>
      <c r="EE1586" s="341"/>
      <c r="EF1586" s="348"/>
      <c r="EG1586" s="341"/>
      <c r="EH1586" s="341"/>
      <c r="EI1586" s="341"/>
    </row>
    <row r="1587" spans="1:139" s="164" customFormat="1" ht="38.25">
      <c r="A1587" s="228">
        <v>40491</v>
      </c>
      <c r="B1587" s="205" t="s">
        <v>1615</v>
      </c>
      <c r="C1587" s="205" t="s">
        <v>1562</v>
      </c>
      <c r="D1587" s="207" t="s">
        <v>1201</v>
      </c>
      <c r="E1587" s="323" t="s">
        <v>3392</v>
      </c>
      <c r="F1587" s="323"/>
      <c r="G1587" s="204"/>
      <c r="H1587" s="151"/>
      <c r="I1587" s="151"/>
      <c r="J1587" s="151">
        <f>300*5</f>
        <v>1500</v>
      </c>
      <c r="K1587" s="151">
        <v>300</v>
      </c>
      <c r="L1587" s="1">
        <v>40530</v>
      </c>
      <c r="M1587" s="73">
        <f t="shared" si="201"/>
        <v>0</v>
      </c>
      <c r="N1587" s="73">
        <f t="shared" si="205"/>
        <v>25500000</v>
      </c>
      <c r="O1587" s="73">
        <f t="shared" si="200"/>
        <v>0</v>
      </c>
      <c r="P1587" s="73">
        <f t="shared" si="202"/>
        <v>0</v>
      </c>
      <c r="Q1587" s="73"/>
      <c r="R1587" s="73">
        <v>0</v>
      </c>
      <c r="S1587" s="75">
        <f t="shared" si="204"/>
        <v>25500000</v>
      </c>
      <c r="T1587" s="77">
        <v>0</v>
      </c>
      <c r="U1587" s="66">
        <v>40500</v>
      </c>
      <c r="V1587" s="79">
        <v>62913</v>
      </c>
      <c r="W1587" s="66" t="s">
        <v>1606</v>
      </c>
      <c r="X1587" s="24" t="s">
        <v>1607</v>
      </c>
      <c r="Y1587" s="62">
        <v>27328</v>
      </c>
      <c r="Z1587" s="169" t="s">
        <v>1435</v>
      </c>
      <c r="AA1587" s="166" t="s">
        <v>2114</v>
      </c>
      <c r="AB1587" s="152"/>
      <c r="AC1587" s="153"/>
      <c r="AD1587" s="154"/>
      <c r="AE1587" s="153"/>
      <c r="AF1587" s="153"/>
      <c r="AG1587" s="153"/>
      <c r="AH1587" s="153"/>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c r="BF1587" s="153"/>
      <c r="BG1587" s="153"/>
      <c r="BH1587" s="153"/>
      <c r="BI1587" s="153"/>
      <c r="BJ1587" s="153"/>
      <c r="BK1587" s="153"/>
      <c r="BL1587" s="153"/>
      <c r="BM1587" s="153"/>
      <c r="BN1587" s="153"/>
      <c r="BO1587" s="153"/>
      <c r="BP1587" s="153"/>
      <c r="BQ1587" s="153"/>
      <c r="BR1587" s="153"/>
      <c r="BS1587" s="153"/>
      <c r="BT1587" s="153"/>
      <c r="BU1587" s="153"/>
      <c r="BV1587" s="153"/>
      <c r="BW1587" s="153"/>
      <c r="BX1587" s="153"/>
      <c r="BY1587" s="153"/>
      <c r="BZ1587" s="153"/>
      <c r="CA1587" s="153"/>
      <c r="CB1587" s="153"/>
      <c r="CC1587" s="153"/>
      <c r="CD1587" s="155"/>
      <c r="CE1587" s="156"/>
      <c r="CF1587" s="155"/>
      <c r="CG1587" s="156"/>
      <c r="CH1587" s="155"/>
      <c r="CI1587" s="156"/>
      <c r="CJ1587" s="157">
        <f t="shared" si="203"/>
        <v>0</v>
      </c>
      <c r="CK1587" s="158"/>
      <c r="CL1587" s="159"/>
      <c r="CM1587" s="160">
        <v>300</v>
      </c>
      <c r="CN1587" s="161">
        <f>300*85000</f>
        <v>25500000</v>
      </c>
      <c r="CO1587" s="162"/>
      <c r="CP1587" s="161"/>
      <c r="CQ1587" s="158"/>
      <c r="CR1587" s="159"/>
      <c r="CS1587" s="68"/>
      <c r="CT1587" s="163"/>
      <c r="EC1587" s="344" t="str">
        <f t="shared" si="206"/>
        <v>BOLIVAR_MAGANGUE</v>
      </c>
      <c r="ED1587" s="341"/>
      <c r="EE1587" s="341"/>
      <c r="EF1587" s="348"/>
      <c r="EG1587" s="341"/>
      <c r="EH1587" s="341"/>
      <c r="EI1587" s="341"/>
    </row>
    <row r="1588" spans="1:139" s="164" customFormat="1" ht="36">
      <c r="A1588" s="228">
        <v>40491</v>
      </c>
      <c r="B1588" s="205" t="s">
        <v>1192</v>
      </c>
      <c r="C1588" s="205" t="s">
        <v>2140</v>
      </c>
      <c r="D1588" s="207" t="s">
        <v>1201</v>
      </c>
      <c r="E1588" s="323" t="s">
        <v>3425</v>
      </c>
      <c r="F1588" s="323"/>
      <c r="G1588" s="204"/>
      <c r="H1588" s="151"/>
      <c r="I1588" s="151"/>
      <c r="J1588" s="151">
        <v>25</v>
      </c>
      <c r="K1588" s="151">
        <v>5</v>
      </c>
      <c r="L1588" s="1"/>
      <c r="M1588" s="73">
        <f t="shared" si="201"/>
        <v>0</v>
      </c>
      <c r="N1588" s="73">
        <f t="shared" si="205"/>
        <v>0</v>
      </c>
      <c r="O1588" s="73">
        <f t="shared" ref="O1588:O1651" si="207">CP1588+CR1588</f>
        <v>0</v>
      </c>
      <c r="P1588" s="73">
        <f t="shared" si="202"/>
        <v>0</v>
      </c>
      <c r="Q1588" s="73"/>
      <c r="R1588" s="73">
        <v>0</v>
      </c>
      <c r="S1588" s="75">
        <f t="shared" si="204"/>
        <v>0</v>
      </c>
      <c r="T1588" s="77">
        <v>0</v>
      </c>
      <c r="U1588" s="66">
        <v>40505</v>
      </c>
      <c r="V1588" s="79"/>
      <c r="W1588" s="66" t="s">
        <v>1585</v>
      </c>
      <c r="X1588" s="24" t="s">
        <v>1586</v>
      </c>
      <c r="Y1588" s="62"/>
      <c r="Z1588" s="169" t="s">
        <v>894</v>
      </c>
      <c r="AA1588" s="166" t="s">
        <v>2141</v>
      </c>
      <c r="AB1588" s="152"/>
      <c r="AC1588" s="153"/>
      <c r="AD1588" s="154"/>
      <c r="AE1588" s="153"/>
      <c r="AF1588" s="153"/>
      <c r="AG1588" s="153"/>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c r="BF1588" s="153"/>
      <c r="BG1588" s="153"/>
      <c r="BH1588" s="153"/>
      <c r="BI1588" s="153"/>
      <c r="BJ1588" s="153"/>
      <c r="BK1588" s="153"/>
      <c r="BL1588" s="153"/>
      <c r="BM1588" s="153"/>
      <c r="BN1588" s="153"/>
      <c r="BO1588" s="153"/>
      <c r="BP1588" s="153"/>
      <c r="BQ1588" s="153"/>
      <c r="BR1588" s="153"/>
      <c r="BS1588" s="153"/>
      <c r="BT1588" s="153"/>
      <c r="BU1588" s="153"/>
      <c r="BV1588" s="153"/>
      <c r="BW1588" s="153"/>
      <c r="BX1588" s="153"/>
      <c r="BY1588" s="153"/>
      <c r="BZ1588" s="153"/>
      <c r="CA1588" s="153"/>
      <c r="CB1588" s="153"/>
      <c r="CC1588" s="153"/>
      <c r="CD1588" s="155"/>
      <c r="CE1588" s="156"/>
      <c r="CF1588" s="155"/>
      <c r="CG1588" s="156"/>
      <c r="CH1588" s="155"/>
      <c r="CI1588" s="156"/>
      <c r="CJ1588" s="157">
        <f t="shared" si="203"/>
        <v>0</v>
      </c>
      <c r="CK1588" s="158"/>
      <c r="CL1588" s="159"/>
      <c r="CM1588" s="160"/>
      <c r="CN1588" s="161"/>
      <c r="CO1588" s="162"/>
      <c r="CP1588" s="161"/>
      <c r="CQ1588" s="158"/>
      <c r="CR1588" s="159"/>
      <c r="CS1588" s="68"/>
      <c r="CT1588" s="163"/>
      <c r="EC1588" s="363" t="str">
        <f t="shared" si="206"/>
        <v>BOYACA_BELEN</v>
      </c>
      <c r="ED1588" s="364"/>
      <c r="EE1588" s="341"/>
      <c r="EF1588" s="348"/>
      <c r="EG1588" s="341"/>
      <c r="EH1588" s="341"/>
      <c r="EI1588" s="341"/>
    </row>
    <row r="1589" spans="1:139" s="164" customFormat="1" ht="48">
      <c r="A1589" s="228">
        <v>40491</v>
      </c>
      <c r="B1589" s="205" t="s">
        <v>1192</v>
      </c>
      <c r="C1589" s="205" t="s">
        <v>1935</v>
      </c>
      <c r="D1589" s="207" t="s">
        <v>1201</v>
      </c>
      <c r="E1589" s="323" t="s">
        <v>3494</v>
      </c>
      <c r="F1589" s="323"/>
      <c r="G1589" s="204"/>
      <c r="H1589" s="151"/>
      <c r="I1589" s="151"/>
      <c r="J1589" s="151">
        <f>1200*5</f>
        <v>6000</v>
      </c>
      <c r="K1589" s="151">
        <f>1305-15-12-78</f>
        <v>1200</v>
      </c>
      <c r="L1589" s="1">
        <v>40530</v>
      </c>
      <c r="M1589" s="73">
        <f t="shared" si="201"/>
        <v>72119616</v>
      </c>
      <c r="N1589" s="73">
        <f t="shared" si="205"/>
        <v>51000000</v>
      </c>
      <c r="O1589" s="73">
        <f t="shared" si="207"/>
        <v>0</v>
      </c>
      <c r="P1589" s="73">
        <f t="shared" si="202"/>
        <v>0</v>
      </c>
      <c r="Q1589" s="73"/>
      <c r="R1589" s="73">
        <v>0</v>
      </c>
      <c r="S1589" s="75">
        <f t="shared" si="204"/>
        <v>123119616</v>
      </c>
      <c r="T1589" s="77">
        <v>0</v>
      </c>
      <c r="U1589" s="66">
        <v>40504</v>
      </c>
      <c r="V1589" s="79"/>
      <c r="W1589" s="66" t="s">
        <v>1606</v>
      </c>
      <c r="X1589" s="24" t="s">
        <v>1607</v>
      </c>
      <c r="Y1589" s="83" t="s">
        <v>237</v>
      </c>
      <c r="Z1589" s="169" t="s">
        <v>1272</v>
      </c>
      <c r="AA1589" s="166" t="s">
        <v>2119</v>
      </c>
      <c r="AB1589" s="152"/>
      <c r="AC1589" s="153"/>
      <c r="AD1589" s="154"/>
      <c r="AE1589" s="153"/>
      <c r="AF1589" s="153"/>
      <c r="AG1589" s="153"/>
      <c r="AH1589" s="153"/>
      <c r="AI1589" s="153"/>
      <c r="AJ1589" s="153"/>
      <c r="AK1589" s="153"/>
      <c r="AL1589" s="153"/>
      <c r="AM1589" s="153"/>
      <c r="AN1589" s="153"/>
      <c r="AO1589" s="153"/>
      <c r="AP1589" s="153"/>
      <c r="AQ1589" s="153"/>
      <c r="AR1589" s="153"/>
      <c r="AS1589" s="153"/>
      <c r="AT1589" s="153"/>
      <c r="AU1589" s="153"/>
      <c r="AV1589" s="153"/>
      <c r="AW1589" s="153"/>
      <c r="AX1589" s="153"/>
      <c r="AY1589" s="153"/>
      <c r="AZ1589" s="153">
        <v>600</v>
      </c>
      <c r="BA1589" s="153">
        <f>600*25500</f>
        <v>15300000</v>
      </c>
      <c r="BB1589" s="153"/>
      <c r="BC1589" s="153"/>
      <c r="BD1589" s="153"/>
      <c r="BE1589" s="153"/>
      <c r="BF1589" s="153"/>
      <c r="BG1589" s="153"/>
      <c r="BH1589" s="153"/>
      <c r="BI1589" s="153"/>
      <c r="BJ1589" s="153"/>
      <c r="BK1589" s="153"/>
      <c r="BL1589" s="153"/>
      <c r="BM1589" s="153"/>
      <c r="BN1589" s="153"/>
      <c r="BO1589" s="153"/>
      <c r="BP1589" s="153"/>
      <c r="BQ1589" s="153"/>
      <c r="BR1589" s="153"/>
      <c r="BS1589" s="153"/>
      <c r="BT1589" s="153"/>
      <c r="BU1589" s="153"/>
      <c r="BV1589" s="153"/>
      <c r="BW1589" s="153"/>
      <c r="BX1589" s="153"/>
      <c r="BY1589" s="153"/>
      <c r="BZ1589" s="153"/>
      <c r="CA1589" s="153"/>
      <c r="CB1589" s="153">
        <v>600</v>
      </c>
      <c r="CC1589" s="153">
        <f>600*18000</f>
        <v>10800000</v>
      </c>
      <c r="CD1589" s="155">
        <v>600</v>
      </c>
      <c r="CE1589" s="156">
        <f>600*36999.36</f>
        <v>22199616</v>
      </c>
      <c r="CF1589" s="155">
        <v>600</v>
      </c>
      <c r="CG1589" s="156">
        <f>600*39700</f>
        <v>23820000</v>
      </c>
      <c r="CH1589" s="155"/>
      <c r="CI1589" s="156"/>
      <c r="CJ1589" s="157">
        <f t="shared" si="203"/>
        <v>72119616</v>
      </c>
      <c r="CK1589" s="158"/>
      <c r="CL1589" s="159"/>
      <c r="CM1589" s="160">
        <v>600</v>
      </c>
      <c r="CN1589" s="161">
        <f>600*85000</f>
        <v>51000000</v>
      </c>
      <c r="CO1589" s="162"/>
      <c r="CP1589" s="161"/>
      <c r="CQ1589" s="158"/>
      <c r="CR1589" s="159"/>
      <c r="CS1589" s="68"/>
      <c r="CT1589" s="163"/>
      <c r="EC1589" s="363" t="str">
        <f t="shared" si="206"/>
        <v>BOYACA_PUERTO BOYACA</v>
      </c>
      <c r="ED1589" s="364"/>
      <c r="EE1589" s="341"/>
      <c r="EF1589" s="348"/>
      <c r="EG1589" s="341"/>
      <c r="EH1589" s="341"/>
      <c r="EI1589" s="341"/>
    </row>
    <row r="1590" spans="1:139" s="164" customFormat="1" ht="72">
      <c r="A1590" s="228">
        <v>40491</v>
      </c>
      <c r="B1590" s="205" t="s">
        <v>1821</v>
      </c>
      <c r="C1590" s="205" t="s">
        <v>1530</v>
      </c>
      <c r="D1590" s="207" t="s">
        <v>1902</v>
      </c>
      <c r="E1590" s="323" t="s">
        <v>3629</v>
      </c>
      <c r="F1590" s="323"/>
      <c r="G1590" s="214"/>
      <c r="H1590" s="202"/>
      <c r="I1590" s="202"/>
      <c r="J1590" s="237">
        <f>1993*5</f>
        <v>9965</v>
      </c>
      <c r="K1590" s="237">
        <f>2566-554-9-10</f>
        <v>1993</v>
      </c>
      <c r="L1590" s="1">
        <v>40526</v>
      </c>
      <c r="M1590" s="73">
        <f t="shared" si="201"/>
        <v>102559520</v>
      </c>
      <c r="N1590" s="73">
        <f t="shared" si="205"/>
        <v>107100000</v>
      </c>
      <c r="O1590" s="73">
        <f t="shared" si="207"/>
        <v>0</v>
      </c>
      <c r="P1590" s="73">
        <f t="shared" si="202"/>
        <v>0</v>
      </c>
      <c r="Q1590" s="73">
        <f>15*2610000</f>
        <v>39150000</v>
      </c>
      <c r="R1590" s="73">
        <v>0</v>
      </c>
      <c r="S1590" s="75">
        <f t="shared" si="204"/>
        <v>248809520</v>
      </c>
      <c r="T1590" s="77">
        <v>0</v>
      </c>
      <c r="U1590" s="66">
        <v>40492</v>
      </c>
      <c r="V1590" s="203">
        <v>63575</v>
      </c>
      <c r="W1590" s="66" t="s">
        <v>1606</v>
      </c>
      <c r="X1590" s="24" t="s">
        <v>1607</v>
      </c>
      <c r="Y1590" s="104">
        <v>26393</v>
      </c>
      <c r="Z1590" s="169" t="s">
        <v>1435</v>
      </c>
      <c r="AA1590" s="166" t="s">
        <v>13</v>
      </c>
      <c r="AB1590" s="152"/>
      <c r="AC1590" s="153"/>
      <c r="AD1590" s="154"/>
      <c r="AE1590" s="153"/>
      <c r="AF1590" s="153"/>
      <c r="AG1590" s="153"/>
      <c r="AH1590" s="153"/>
      <c r="AI1590" s="153"/>
      <c r="AJ1590" s="153"/>
      <c r="AK1590" s="153"/>
      <c r="AL1590" s="153"/>
      <c r="AM1590" s="153"/>
      <c r="AN1590" s="153">
        <v>1000</v>
      </c>
      <c r="AO1590" s="153">
        <f>1000*56000</f>
        <v>56000000</v>
      </c>
      <c r="AP1590" s="153"/>
      <c r="AQ1590" s="153"/>
      <c r="AR1590" s="153"/>
      <c r="AS1590" s="153"/>
      <c r="AT1590" s="153"/>
      <c r="AU1590" s="153"/>
      <c r="AV1590" s="153"/>
      <c r="AW1590" s="153"/>
      <c r="AX1590" s="153"/>
      <c r="AY1590" s="153"/>
      <c r="AZ1590" s="153"/>
      <c r="BA1590" s="153"/>
      <c r="BB1590" s="153"/>
      <c r="BC1590" s="153"/>
      <c r="BD1590" s="153"/>
      <c r="BE1590" s="153"/>
      <c r="BF1590" s="153"/>
      <c r="BG1590" s="153"/>
      <c r="BH1590" s="153"/>
      <c r="BI1590" s="153"/>
      <c r="BJ1590" s="153"/>
      <c r="BK1590" s="153"/>
      <c r="BL1590" s="153"/>
      <c r="BM1590" s="153"/>
      <c r="BN1590" s="153"/>
      <c r="BO1590" s="153"/>
      <c r="BP1590" s="153"/>
      <c r="BQ1590" s="153"/>
      <c r="BR1590" s="153"/>
      <c r="BS1590" s="153"/>
      <c r="BT1590" s="153"/>
      <c r="BU1590" s="153"/>
      <c r="BV1590" s="153"/>
      <c r="BW1590" s="153"/>
      <c r="BX1590" s="153"/>
      <c r="BY1590" s="153"/>
      <c r="BZ1590" s="153"/>
      <c r="CA1590" s="153"/>
      <c r="CB1590" s="153"/>
      <c r="CC1590" s="153">
        <f>+CB1590*18000</f>
        <v>0</v>
      </c>
      <c r="CD1590" s="155">
        <v>1260</v>
      </c>
      <c r="CE1590" s="156">
        <f>1260*36952</f>
        <v>46559520</v>
      </c>
      <c r="CF1590" s="155"/>
      <c r="CG1590" s="156"/>
      <c r="CH1590" s="155"/>
      <c r="CI1590" s="156"/>
      <c r="CJ1590" s="157">
        <f t="shared" si="203"/>
        <v>102559520</v>
      </c>
      <c r="CK1590" s="158"/>
      <c r="CL1590" s="159"/>
      <c r="CM1590" s="160">
        <v>1260</v>
      </c>
      <c r="CN1590" s="161">
        <f>1260*85000</f>
        <v>107100000</v>
      </c>
      <c r="CO1590" s="162"/>
      <c r="CP1590" s="161"/>
      <c r="CQ1590" s="158"/>
      <c r="CR1590" s="159"/>
      <c r="CS1590" s="203"/>
      <c r="CT1590" s="163"/>
      <c r="EC1590" s="344" t="str">
        <f t="shared" si="206"/>
        <v>CESAR_AGUACHICA</v>
      </c>
      <c r="ED1590" s="341"/>
      <c r="EE1590" s="341"/>
      <c r="EF1590" s="348"/>
      <c r="EG1590" s="341"/>
      <c r="EH1590" s="341"/>
      <c r="EI1590" s="341"/>
    </row>
    <row r="1591" spans="1:139" s="164" customFormat="1" ht="36">
      <c r="A1591" s="228">
        <v>40491</v>
      </c>
      <c r="B1591" s="205" t="s">
        <v>1821</v>
      </c>
      <c r="C1591" s="205" t="s">
        <v>601</v>
      </c>
      <c r="D1591" s="207" t="s">
        <v>1201</v>
      </c>
      <c r="E1591" s="323" t="s">
        <v>3632</v>
      </c>
      <c r="F1591" s="323"/>
      <c r="G1591" s="204"/>
      <c r="H1591" s="151"/>
      <c r="I1591" s="151"/>
      <c r="J1591" s="151">
        <v>125</v>
      </c>
      <c r="K1591" s="151">
        <v>25</v>
      </c>
      <c r="L1591" s="1"/>
      <c r="M1591" s="73">
        <f t="shared" si="201"/>
        <v>0</v>
      </c>
      <c r="N1591" s="73">
        <f t="shared" si="205"/>
        <v>0</v>
      </c>
      <c r="O1591" s="73">
        <f t="shared" si="207"/>
        <v>0</v>
      </c>
      <c r="P1591" s="73">
        <f t="shared" si="202"/>
        <v>0</v>
      </c>
      <c r="Q1591" s="73"/>
      <c r="R1591" s="73">
        <v>0</v>
      </c>
      <c r="S1591" s="75">
        <f t="shared" si="204"/>
        <v>0</v>
      </c>
      <c r="T1591" s="77">
        <v>0</v>
      </c>
      <c r="U1591" s="66">
        <v>40492</v>
      </c>
      <c r="V1591" s="79"/>
      <c r="W1591" s="66" t="s">
        <v>1585</v>
      </c>
      <c r="X1591" s="24" t="s">
        <v>1586</v>
      </c>
      <c r="Y1591" s="62"/>
      <c r="Z1591" s="169" t="s">
        <v>894</v>
      </c>
      <c r="AA1591" s="166" t="s">
        <v>2882</v>
      </c>
      <c r="AB1591" s="152"/>
      <c r="AC1591" s="153"/>
      <c r="AD1591" s="154"/>
      <c r="AE1591" s="153"/>
      <c r="AF1591" s="153"/>
      <c r="AG1591" s="153"/>
      <c r="AH1591" s="153"/>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c r="BF1591" s="153"/>
      <c r="BG1591" s="153"/>
      <c r="BH1591" s="153"/>
      <c r="BI1591" s="153"/>
      <c r="BJ1591" s="153"/>
      <c r="BK1591" s="153"/>
      <c r="BL1591" s="153"/>
      <c r="BM1591" s="153"/>
      <c r="BN1591" s="153"/>
      <c r="BO1591" s="153"/>
      <c r="BP1591" s="153"/>
      <c r="BQ1591" s="153"/>
      <c r="BR1591" s="153"/>
      <c r="BS1591" s="153"/>
      <c r="BT1591" s="153"/>
      <c r="BU1591" s="153"/>
      <c r="BV1591" s="153"/>
      <c r="BW1591" s="153"/>
      <c r="BX1591" s="153"/>
      <c r="BY1591" s="153"/>
      <c r="BZ1591" s="153"/>
      <c r="CA1591" s="153"/>
      <c r="CB1591" s="153"/>
      <c r="CC1591" s="153"/>
      <c r="CD1591" s="155"/>
      <c r="CE1591" s="156"/>
      <c r="CF1591" s="155"/>
      <c r="CG1591" s="156"/>
      <c r="CH1591" s="155"/>
      <c r="CI1591" s="156"/>
      <c r="CJ1591" s="157">
        <f t="shared" si="203"/>
        <v>0</v>
      </c>
      <c r="CK1591" s="158"/>
      <c r="CL1591" s="159"/>
      <c r="CM1591" s="160"/>
      <c r="CN1591" s="161"/>
      <c r="CO1591" s="162"/>
      <c r="CP1591" s="161"/>
      <c r="CQ1591" s="158"/>
      <c r="CR1591" s="159"/>
      <c r="CS1591" s="68"/>
      <c r="CT1591" s="163"/>
      <c r="EC1591" s="344" t="str">
        <f t="shared" si="206"/>
        <v>CESAR_BECERRIL</v>
      </c>
      <c r="ED1591" s="341"/>
      <c r="EE1591" s="341"/>
      <c r="EF1591" s="348"/>
      <c r="EG1591" s="341"/>
      <c r="EH1591" s="341"/>
      <c r="EI1591" s="341"/>
    </row>
    <row r="1592" spans="1:139" s="164" customFormat="1" ht="25.5">
      <c r="A1592" s="228">
        <v>40491</v>
      </c>
      <c r="B1592" s="205" t="s">
        <v>1821</v>
      </c>
      <c r="C1592" s="205" t="s">
        <v>2246</v>
      </c>
      <c r="D1592" s="207" t="s">
        <v>1201</v>
      </c>
      <c r="E1592" s="323" t="s">
        <v>3636</v>
      </c>
      <c r="F1592" s="323"/>
      <c r="G1592" s="204"/>
      <c r="H1592" s="151"/>
      <c r="I1592" s="151"/>
      <c r="J1592" s="151">
        <f>181*5</f>
        <v>905</v>
      </c>
      <c r="K1592" s="151">
        <f>360-27-46-84-22</f>
        <v>181</v>
      </c>
      <c r="L1592" s="1"/>
      <c r="M1592" s="73">
        <f t="shared" si="201"/>
        <v>0</v>
      </c>
      <c r="N1592" s="73">
        <f t="shared" si="205"/>
        <v>0</v>
      </c>
      <c r="O1592" s="73">
        <f t="shared" si="207"/>
        <v>0</v>
      </c>
      <c r="P1592" s="73">
        <f t="shared" si="202"/>
        <v>0</v>
      </c>
      <c r="Q1592" s="73"/>
      <c r="R1592" s="73">
        <v>0</v>
      </c>
      <c r="S1592" s="75">
        <f t="shared" si="204"/>
        <v>0</v>
      </c>
      <c r="T1592" s="77">
        <v>0</v>
      </c>
      <c r="U1592" s="66">
        <v>40492</v>
      </c>
      <c r="V1592" s="79"/>
      <c r="W1592" s="66" t="s">
        <v>1585</v>
      </c>
      <c r="X1592" s="24" t="s">
        <v>1586</v>
      </c>
      <c r="Y1592" s="62"/>
      <c r="Z1592" s="169" t="s">
        <v>894</v>
      </c>
      <c r="AA1592" s="166" t="s">
        <v>2903</v>
      </c>
      <c r="AB1592" s="152"/>
      <c r="AC1592" s="153"/>
      <c r="AD1592" s="154"/>
      <c r="AE1592" s="153"/>
      <c r="AF1592" s="153"/>
      <c r="AG1592" s="153"/>
      <c r="AH1592" s="153"/>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c r="BF1592" s="153"/>
      <c r="BG1592" s="153"/>
      <c r="BH1592" s="153"/>
      <c r="BI1592" s="153"/>
      <c r="BJ1592" s="153"/>
      <c r="BK1592" s="153"/>
      <c r="BL1592" s="153"/>
      <c r="BM1592" s="153"/>
      <c r="BN1592" s="153"/>
      <c r="BO1592" s="153"/>
      <c r="BP1592" s="153"/>
      <c r="BQ1592" s="153"/>
      <c r="BR1592" s="153"/>
      <c r="BS1592" s="153"/>
      <c r="BT1592" s="153"/>
      <c r="BU1592" s="153"/>
      <c r="BV1592" s="153"/>
      <c r="BW1592" s="153"/>
      <c r="BX1592" s="153"/>
      <c r="BY1592" s="153"/>
      <c r="BZ1592" s="153"/>
      <c r="CA1592" s="153"/>
      <c r="CB1592" s="153"/>
      <c r="CC1592" s="153"/>
      <c r="CD1592" s="155"/>
      <c r="CE1592" s="156"/>
      <c r="CF1592" s="155"/>
      <c r="CG1592" s="156"/>
      <c r="CH1592" s="155"/>
      <c r="CI1592" s="156"/>
      <c r="CJ1592" s="157">
        <f t="shared" si="203"/>
        <v>0</v>
      </c>
      <c r="CK1592" s="158"/>
      <c r="CL1592" s="159"/>
      <c r="CM1592" s="160"/>
      <c r="CN1592" s="161"/>
      <c r="CO1592" s="162"/>
      <c r="CP1592" s="161"/>
      <c r="CQ1592" s="158"/>
      <c r="CR1592" s="159"/>
      <c r="CS1592" s="68"/>
      <c r="CT1592" s="163"/>
      <c r="EC1592" s="344" t="str">
        <f t="shared" si="206"/>
        <v>CESAR_CURUMANI</v>
      </c>
      <c r="ED1592" s="341"/>
      <c r="EE1592" s="364"/>
      <c r="EF1592" s="365"/>
      <c r="EG1592" s="364"/>
      <c r="EH1592" s="364"/>
      <c r="EI1592" s="364"/>
    </row>
    <row r="1593" spans="1:139" s="164" customFormat="1" ht="25.5">
      <c r="A1593" s="228">
        <v>40491</v>
      </c>
      <c r="B1593" s="205" t="s">
        <v>1821</v>
      </c>
      <c r="C1593" s="205" t="s">
        <v>2671</v>
      </c>
      <c r="D1593" s="207" t="s">
        <v>1201</v>
      </c>
      <c r="E1593" s="323" t="s">
        <v>3637</v>
      </c>
      <c r="F1593" s="323"/>
      <c r="G1593" s="204"/>
      <c r="H1593" s="151"/>
      <c r="I1593" s="151"/>
      <c r="J1593" s="151"/>
      <c r="K1593" s="151"/>
      <c r="L1593" s="1"/>
      <c r="M1593" s="73">
        <f t="shared" si="201"/>
        <v>0</v>
      </c>
      <c r="N1593" s="73">
        <f t="shared" si="205"/>
        <v>0</v>
      </c>
      <c r="O1593" s="73">
        <f t="shared" si="207"/>
        <v>0</v>
      </c>
      <c r="P1593" s="73">
        <f t="shared" si="202"/>
        <v>0</v>
      </c>
      <c r="Q1593" s="73"/>
      <c r="R1593" s="73">
        <v>0</v>
      </c>
      <c r="S1593" s="75">
        <f t="shared" si="204"/>
        <v>0</v>
      </c>
      <c r="T1593" s="77">
        <v>0</v>
      </c>
      <c r="U1593" s="66">
        <v>40492</v>
      </c>
      <c r="V1593" s="79"/>
      <c r="W1593" s="66" t="s">
        <v>1585</v>
      </c>
      <c r="X1593" s="24" t="s">
        <v>1586</v>
      </c>
      <c r="Y1593" s="62"/>
      <c r="Z1593" s="169" t="s">
        <v>894</v>
      </c>
      <c r="AA1593" s="166" t="s">
        <v>2672</v>
      </c>
      <c r="AB1593" s="152"/>
      <c r="AC1593" s="153"/>
      <c r="AD1593" s="154"/>
      <c r="AE1593" s="153"/>
      <c r="AF1593" s="153"/>
      <c r="AG1593" s="153"/>
      <c r="AH1593" s="153"/>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c r="BF1593" s="153"/>
      <c r="BG1593" s="153"/>
      <c r="BH1593" s="153"/>
      <c r="BI1593" s="153"/>
      <c r="BJ1593" s="153"/>
      <c r="BK1593" s="153"/>
      <c r="BL1593" s="153"/>
      <c r="BM1593" s="153"/>
      <c r="BN1593" s="153"/>
      <c r="BO1593" s="153"/>
      <c r="BP1593" s="153"/>
      <c r="BQ1593" s="153"/>
      <c r="BR1593" s="153"/>
      <c r="BS1593" s="153"/>
      <c r="BT1593" s="153"/>
      <c r="BU1593" s="153"/>
      <c r="BV1593" s="153"/>
      <c r="BW1593" s="153"/>
      <c r="BX1593" s="153"/>
      <c r="BY1593" s="153"/>
      <c r="BZ1593" s="153"/>
      <c r="CA1593" s="153"/>
      <c r="CB1593" s="153"/>
      <c r="CC1593" s="153"/>
      <c r="CD1593" s="155"/>
      <c r="CE1593" s="156"/>
      <c r="CF1593" s="155"/>
      <c r="CG1593" s="156"/>
      <c r="CH1593" s="155"/>
      <c r="CI1593" s="156"/>
      <c r="CJ1593" s="157">
        <f t="shared" si="203"/>
        <v>0</v>
      </c>
      <c r="CK1593" s="158"/>
      <c r="CL1593" s="159"/>
      <c r="CM1593" s="160"/>
      <c r="CN1593" s="161"/>
      <c r="CO1593" s="162"/>
      <c r="CP1593" s="161"/>
      <c r="CQ1593" s="158"/>
      <c r="CR1593" s="159"/>
      <c r="CS1593" s="68"/>
      <c r="CT1593" s="163"/>
      <c r="EC1593" s="344" t="str">
        <f t="shared" si="206"/>
        <v>CESAR_EL COPEY</v>
      </c>
      <c r="ED1593" s="341"/>
      <c r="EE1593" s="364"/>
      <c r="EF1593" s="365"/>
      <c r="EG1593" s="364"/>
      <c r="EH1593" s="364"/>
      <c r="EI1593" s="364"/>
    </row>
    <row r="1594" spans="1:139" s="164" customFormat="1" ht="25.5">
      <c r="A1594" s="228">
        <v>40491</v>
      </c>
      <c r="B1594" s="205" t="s">
        <v>1996</v>
      </c>
      <c r="C1594" s="205" t="s">
        <v>2409</v>
      </c>
      <c r="D1594" s="207" t="s">
        <v>1201</v>
      </c>
      <c r="E1594" s="323" t="s">
        <v>3797</v>
      </c>
      <c r="F1594" s="323"/>
      <c r="G1594" s="204"/>
      <c r="H1594" s="151"/>
      <c r="I1594" s="151"/>
      <c r="J1594" s="151">
        <v>3922</v>
      </c>
      <c r="K1594" s="151">
        <v>1024</v>
      </c>
      <c r="L1594" s="1"/>
      <c r="M1594" s="73">
        <f t="shared" si="201"/>
        <v>29632000</v>
      </c>
      <c r="N1594" s="73">
        <f t="shared" si="205"/>
        <v>138040000</v>
      </c>
      <c r="O1594" s="73">
        <f t="shared" si="207"/>
        <v>0</v>
      </c>
      <c r="P1594" s="73">
        <f t="shared" si="202"/>
        <v>0</v>
      </c>
      <c r="Q1594" s="73"/>
      <c r="R1594" s="73">
        <v>0</v>
      </c>
      <c r="S1594" s="75">
        <f t="shared" si="204"/>
        <v>167672000</v>
      </c>
      <c r="T1594" s="77">
        <v>0</v>
      </c>
      <c r="U1594" s="66">
        <v>40500</v>
      </c>
      <c r="V1594" s="79"/>
      <c r="W1594" s="66" t="s">
        <v>1606</v>
      </c>
      <c r="X1594" s="24" t="s">
        <v>1607</v>
      </c>
      <c r="Y1594" s="62"/>
      <c r="Z1594" s="169" t="s">
        <v>1435</v>
      </c>
      <c r="AA1594" s="166" t="s">
        <v>647</v>
      </c>
      <c r="AB1594" s="152"/>
      <c r="AC1594" s="153"/>
      <c r="AD1594" s="154"/>
      <c r="AE1594" s="153"/>
      <c r="AF1594" s="153"/>
      <c r="AG1594" s="153"/>
      <c r="AH1594" s="153"/>
      <c r="AI1594" s="153"/>
      <c r="AJ1594" s="153"/>
      <c r="AK1594" s="153"/>
      <c r="AL1594" s="153"/>
      <c r="AM1594" s="153"/>
      <c r="AN1594" s="153"/>
      <c r="AO1594" s="153"/>
      <c r="AP1594" s="153">
        <v>200</v>
      </c>
      <c r="AQ1594" s="153">
        <f>200*56000</f>
        <v>11200000</v>
      </c>
      <c r="AR1594" s="153"/>
      <c r="AS1594" s="153"/>
      <c r="AT1594" s="153"/>
      <c r="AU1594" s="153"/>
      <c r="AV1594" s="153"/>
      <c r="AW1594" s="153"/>
      <c r="AX1594" s="153"/>
      <c r="AY1594" s="153"/>
      <c r="AZ1594" s="153"/>
      <c r="BA1594" s="153"/>
      <c r="BB1594" s="153"/>
      <c r="BC1594" s="153"/>
      <c r="BD1594" s="153"/>
      <c r="BE1594" s="153"/>
      <c r="BF1594" s="153"/>
      <c r="BG1594" s="153"/>
      <c r="BH1594" s="153"/>
      <c r="BI1594" s="153"/>
      <c r="BJ1594" s="153"/>
      <c r="BK1594" s="153"/>
      <c r="BL1594" s="153"/>
      <c r="BM1594" s="153"/>
      <c r="BN1594" s="153"/>
      <c r="BO1594" s="153"/>
      <c r="BP1594" s="153"/>
      <c r="BQ1594" s="153"/>
      <c r="BR1594" s="153"/>
      <c r="BS1594" s="153"/>
      <c r="BT1594" s="153"/>
      <c r="BU1594" s="153"/>
      <c r="BV1594" s="153"/>
      <c r="BW1594" s="153"/>
      <c r="BX1594" s="153"/>
      <c r="BY1594" s="153"/>
      <c r="BZ1594" s="153"/>
      <c r="CA1594" s="153"/>
      <c r="CB1594" s="153">
        <v>1024</v>
      </c>
      <c r="CC1594" s="153">
        <f>1024*18000</f>
        <v>18432000</v>
      </c>
      <c r="CD1594" s="155"/>
      <c r="CE1594" s="156"/>
      <c r="CF1594" s="155"/>
      <c r="CG1594" s="156"/>
      <c r="CH1594" s="155"/>
      <c r="CI1594" s="156"/>
      <c r="CJ1594" s="157">
        <f t="shared" si="203"/>
        <v>29632000</v>
      </c>
      <c r="CK1594" s="158"/>
      <c r="CL1594" s="159"/>
      <c r="CM1594" s="160">
        <f>600+1024</f>
        <v>1624</v>
      </c>
      <c r="CN1594" s="161">
        <f>600*85000+1024*85000</f>
        <v>138040000</v>
      </c>
      <c r="CO1594" s="162"/>
      <c r="CP1594" s="161"/>
      <c r="CQ1594" s="158"/>
      <c r="CR1594" s="159"/>
      <c r="CS1594" s="68"/>
      <c r="CT1594" s="163"/>
      <c r="EC1594" s="344" t="str">
        <f t="shared" si="206"/>
        <v>CHOCO_BAGADO</v>
      </c>
      <c r="ED1594" s="341"/>
      <c r="EE1594" s="341"/>
      <c r="EF1594" s="348"/>
      <c r="EG1594" s="341"/>
      <c r="EH1594" s="341"/>
      <c r="EI1594" s="341"/>
    </row>
    <row r="1595" spans="1:139" s="164" customFormat="1" ht="38.25">
      <c r="A1595" s="228">
        <v>40491</v>
      </c>
      <c r="B1595" s="205" t="s">
        <v>1996</v>
      </c>
      <c r="C1595" s="102" t="s">
        <v>3153</v>
      </c>
      <c r="D1595" s="207" t="s">
        <v>1201</v>
      </c>
      <c r="E1595" s="323" t="s">
        <v>3805</v>
      </c>
      <c r="F1595" s="323"/>
      <c r="G1595" s="204"/>
      <c r="H1595" s="151"/>
      <c r="I1595" s="151"/>
      <c r="J1595" s="151">
        <v>500</v>
      </c>
      <c r="K1595" s="151">
        <v>130</v>
      </c>
      <c r="L1595" s="1"/>
      <c r="M1595" s="73">
        <f t="shared" si="201"/>
        <v>0</v>
      </c>
      <c r="N1595" s="73">
        <f t="shared" si="205"/>
        <v>25500000</v>
      </c>
      <c r="O1595" s="73">
        <f t="shared" si="207"/>
        <v>0</v>
      </c>
      <c r="P1595" s="73">
        <f t="shared" si="202"/>
        <v>0</v>
      </c>
      <c r="Q1595" s="73"/>
      <c r="R1595" s="73">
        <v>0</v>
      </c>
      <c r="S1595" s="75">
        <f t="shared" si="204"/>
        <v>25500000</v>
      </c>
      <c r="T1595" s="77">
        <v>0</v>
      </c>
      <c r="U1595" s="66">
        <v>40500</v>
      </c>
      <c r="V1595" s="79"/>
      <c r="W1595" s="66" t="s">
        <v>1606</v>
      </c>
      <c r="X1595" s="24" t="s">
        <v>1607</v>
      </c>
      <c r="Y1595" s="62"/>
      <c r="Z1595" s="169" t="s">
        <v>1435</v>
      </c>
      <c r="AA1595" s="166" t="s">
        <v>647</v>
      </c>
      <c r="AB1595" s="152"/>
      <c r="AC1595" s="153"/>
      <c r="AD1595" s="154"/>
      <c r="AE1595" s="153"/>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c r="BF1595" s="153"/>
      <c r="BG1595" s="153"/>
      <c r="BH1595" s="153"/>
      <c r="BI1595" s="153"/>
      <c r="BJ1595" s="153"/>
      <c r="BK1595" s="153"/>
      <c r="BL1595" s="153"/>
      <c r="BM1595" s="153"/>
      <c r="BN1595" s="153"/>
      <c r="BO1595" s="153"/>
      <c r="BP1595" s="153"/>
      <c r="BQ1595" s="153"/>
      <c r="BR1595" s="153"/>
      <c r="BS1595" s="153"/>
      <c r="BT1595" s="153"/>
      <c r="BU1595" s="153"/>
      <c r="BV1595" s="153"/>
      <c r="BW1595" s="153"/>
      <c r="BX1595" s="153"/>
      <c r="BY1595" s="153"/>
      <c r="BZ1595" s="153"/>
      <c r="CA1595" s="153"/>
      <c r="CB1595" s="153"/>
      <c r="CC1595" s="153"/>
      <c r="CD1595" s="155"/>
      <c r="CE1595" s="156"/>
      <c r="CF1595" s="155"/>
      <c r="CG1595" s="156"/>
      <c r="CH1595" s="155"/>
      <c r="CI1595" s="156"/>
      <c r="CJ1595" s="157">
        <f t="shared" si="203"/>
        <v>0</v>
      </c>
      <c r="CK1595" s="158"/>
      <c r="CL1595" s="159"/>
      <c r="CM1595" s="160">
        <v>300</v>
      </c>
      <c r="CN1595" s="161">
        <f>300*85000</f>
        <v>25500000</v>
      </c>
      <c r="CO1595" s="162"/>
      <c r="CP1595" s="161"/>
      <c r="CQ1595" s="158"/>
      <c r="CR1595" s="159"/>
      <c r="CS1595" s="68"/>
      <c r="CT1595" s="163"/>
      <c r="EC1595" s="344" t="str">
        <f t="shared" si="206"/>
        <v>CHOCO_EL CARMEN DE ATRATO</v>
      </c>
      <c r="ED1595" s="341"/>
      <c r="EE1595" s="341"/>
      <c r="EF1595" s="348"/>
      <c r="EG1595" s="341"/>
      <c r="EH1595" s="341"/>
      <c r="EI1595" s="341"/>
    </row>
    <row r="1596" spans="1:139" s="164" customFormat="1" ht="25.5">
      <c r="A1596" s="228">
        <v>40491</v>
      </c>
      <c r="B1596" s="205" t="s">
        <v>1996</v>
      </c>
      <c r="C1596" s="205" t="s">
        <v>3155</v>
      </c>
      <c r="D1596" s="207" t="s">
        <v>1201</v>
      </c>
      <c r="E1596" s="323" t="s">
        <v>3807</v>
      </c>
      <c r="F1596" s="323"/>
      <c r="G1596" s="204"/>
      <c r="H1596" s="151"/>
      <c r="I1596" s="151"/>
      <c r="J1596" s="151">
        <v>2331</v>
      </c>
      <c r="K1596" s="151">
        <v>777</v>
      </c>
      <c r="L1596" s="1">
        <v>40529</v>
      </c>
      <c r="M1596" s="73">
        <f t="shared" si="201"/>
        <v>18000000</v>
      </c>
      <c r="N1596" s="73">
        <f t="shared" si="205"/>
        <v>136000000</v>
      </c>
      <c r="O1596" s="73">
        <f t="shared" si="207"/>
        <v>0</v>
      </c>
      <c r="P1596" s="73">
        <f t="shared" si="202"/>
        <v>0</v>
      </c>
      <c r="Q1596" s="73"/>
      <c r="R1596" s="73">
        <v>0</v>
      </c>
      <c r="S1596" s="75">
        <f t="shared" si="204"/>
        <v>154000000</v>
      </c>
      <c r="T1596" s="77">
        <v>0</v>
      </c>
      <c r="U1596" s="66">
        <v>40500</v>
      </c>
      <c r="V1596" s="79">
        <v>62735</v>
      </c>
      <c r="W1596" s="66" t="s">
        <v>1606</v>
      </c>
      <c r="X1596" s="24" t="s">
        <v>1607</v>
      </c>
      <c r="Y1596" s="62">
        <v>26371</v>
      </c>
      <c r="Z1596" s="169" t="s">
        <v>1435</v>
      </c>
      <c r="AA1596" s="166" t="s">
        <v>647</v>
      </c>
      <c r="AB1596" s="152"/>
      <c r="AC1596" s="153"/>
      <c r="AD1596" s="154"/>
      <c r="AE1596" s="153"/>
      <c r="AF1596" s="153"/>
      <c r="AG1596" s="153"/>
      <c r="AH1596" s="153"/>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c r="BF1596" s="153"/>
      <c r="BG1596" s="153"/>
      <c r="BH1596" s="153"/>
      <c r="BI1596" s="153"/>
      <c r="BJ1596" s="153"/>
      <c r="BK1596" s="153"/>
      <c r="BL1596" s="153"/>
      <c r="BM1596" s="153"/>
      <c r="BN1596" s="153"/>
      <c r="BO1596" s="153"/>
      <c r="BP1596" s="153"/>
      <c r="BQ1596" s="153"/>
      <c r="BR1596" s="153"/>
      <c r="BS1596" s="153"/>
      <c r="BT1596" s="153"/>
      <c r="BU1596" s="153"/>
      <c r="BV1596" s="153"/>
      <c r="BW1596" s="153"/>
      <c r="BX1596" s="153"/>
      <c r="BY1596" s="153"/>
      <c r="BZ1596" s="153"/>
      <c r="CA1596" s="153"/>
      <c r="CB1596" s="153">
        <v>1000</v>
      </c>
      <c r="CC1596" s="153">
        <f>1000*18000</f>
        <v>18000000</v>
      </c>
      <c r="CD1596" s="155"/>
      <c r="CE1596" s="156"/>
      <c r="CF1596" s="155"/>
      <c r="CG1596" s="156"/>
      <c r="CH1596" s="155"/>
      <c r="CI1596" s="156"/>
      <c r="CJ1596" s="157">
        <f t="shared" si="203"/>
        <v>18000000</v>
      </c>
      <c r="CK1596" s="158"/>
      <c r="CL1596" s="159"/>
      <c r="CM1596" s="160">
        <f>600+1000</f>
        <v>1600</v>
      </c>
      <c r="CN1596" s="161">
        <f>600*85000+1000*85000</f>
        <v>136000000</v>
      </c>
      <c r="CO1596" s="162"/>
      <c r="CP1596" s="161"/>
      <c r="CQ1596" s="158"/>
      <c r="CR1596" s="159"/>
      <c r="CS1596" s="68"/>
      <c r="CT1596" s="163"/>
      <c r="EC1596" s="344" t="str">
        <f t="shared" si="206"/>
        <v>CHOCO_ISTMINA</v>
      </c>
      <c r="ED1596" s="341"/>
      <c r="EE1596" s="341"/>
      <c r="EF1596" s="348"/>
      <c r="EG1596" s="341"/>
      <c r="EH1596" s="341"/>
      <c r="EI1596" s="341"/>
    </row>
    <row r="1597" spans="1:139" s="164" customFormat="1" ht="63.75">
      <c r="A1597" s="228">
        <v>40491</v>
      </c>
      <c r="B1597" s="102" t="s">
        <v>1295</v>
      </c>
      <c r="C1597" s="205" t="s">
        <v>3138</v>
      </c>
      <c r="D1597" s="207" t="s">
        <v>1201</v>
      </c>
      <c r="E1597" s="323" t="s">
        <v>3674</v>
      </c>
      <c r="F1597" s="323"/>
      <c r="G1597" s="204"/>
      <c r="H1597" s="151"/>
      <c r="I1597" s="151"/>
      <c r="J1597" s="151">
        <v>387</v>
      </c>
      <c r="K1597" s="151">
        <v>108</v>
      </c>
      <c r="L1597" s="1">
        <v>40500</v>
      </c>
      <c r="M1597" s="73">
        <f t="shared" si="201"/>
        <v>0</v>
      </c>
      <c r="N1597" s="73">
        <f t="shared" si="205"/>
        <v>0</v>
      </c>
      <c r="O1597" s="73">
        <f t="shared" si="207"/>
        <v>0</v>
      </c>
      <c r="P1597" s="73">
        <f t="shared" si="202"/>
        <v>0</v>
      </c>
      <c r="Q1597" s="73"/>
      <c r="R1597" s="73">
        <v>90000000</v>
      </c>
      <c r="S1597" s="75">
        <f t="shared" si="204"/>
        <v>90000000</v>
      </c>
      <c r="T1597" s="77">
        <v>0</v>
      </c>
      <c r="U1597" s="66">
        <v>40491</v>
      </c>
      <c r="V1597" s="79"/>
      <c r="W1597" s="66" t="s">
        <v>1606</v>
      </c>
      <c r="X1597" s="24" t="s">
        <v>1607</v>
      </c>
      <c r="Y1597" s="62">
        <v>41994</v>
      </c>
      <c r="Z1597" s="169" t="s">
        <v>1224</v>
      </c>
      <c r="AA1597" s="170" t="s">
        <v>2889</v>
      </c>
      <c r="AB1597" s="152"/>
      <c r="AC1597" s="153"/>
      <c r="AD1597" s="154"/>
      <c r="AE1597" s="153"/>
      <c r="AF1597" s="153"/>
      <c r="AG1597" s="153"/>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c r="BF1597" s="153"/>
      <c r="BG1597" s="153"/>
      <c r="BH1597" s="153"/>
      <c r="BI1597" s="153"/>
      <c r="BJ1597" s="153"/>
      <c r="BK1597" s="153"/>
      <c r="BL1597" s="153"/>
      <c r="BM1597" s="153"/>
      <c r="BN1597" s="153"/>
      <c r="BO1597" s="153"/>
      <c r="BP1597" s="153"/>
      <c r="BQ1597" s="153"/>
      <c r="BR1597" s="153"/>
      <c r="BS1597" s="153"/>
      <c r="BT1597" s="153"/>
      <c r="BU1597" s="153"/>
      <c r="BV1597" s="153"/>
      <c r="BW1597" s="153"/>
      <c r="BX1597" s="153"/>
      <c r="BY1597" s="153"/>
      <c r="BZ1597" s="153"/>
      <c r="CA1597" s="153"/>
      <c r="CB1597" s="153"/>
      <c r="CC1597" s="153"/>
      <c r="CD1597" s="155"/>
      <c r="CE1597" s="156"/>
      <c r="CF1597" s="155"/>
      <c r="CG1597" s="156"/>
      <c r="CH1597" s="155"/>
      <c r="CI1597" s="156"/>
      <c r="CJ1597" s="157">
        <f t="shared" si="203"/>
        <v>0</v>
      </c>
      <c r="CK1597" s="158"/>
      <c r="CL1597" s="159"/>
      <c r="CM1597" s="160"/>
      <c r="CN1597" s="161"/>
      <c r="CO1597" s="162"/>
      <c r="CP1597" s="161"/>
      <c r="CQ1597" s="158"/>
      <c r="CR1597" s="159"/>
      <c r="CS1597" s="68" t="s">
        <v>2458</v>
      </c>
      <c r="CT1597" s="163"/>
      <c r="EC1597" s="344" t="str">
        <f t="shared" si="206"/>
        <v>CORDOBA_SAN ANDRES SOTAVENTO</v>
      </c>
      <c r="ED1597" s="341"/>
      <c r="EE1597" s="341"/>
      <c r="EF1597" s="348"/>
      <c r="EG1597" s="341"/>
      <c r="EH1597" s="341"/>
      <c r="EI1597" s="341"/>
    </row>
    <row r="1598" spans="1:139" s="164" customFormat="1" ht="36">
      <c r="A1598" s="228">
        <v>40491</v>
      </c>
      <c r="B1598" s="205" t="s">
        <v>962</v>
      </c>
      <c r="C1598" s="205" t="s">
        <v>537</v>
      </c>
      <c r="D1598" s="207" t="s">
        <v>1201</v>
      </c>
      <c r="E1598" s="323" t="s">
        <v>3829</v>
      </c>
      <c r="F1598" s="323"/>
      <c r="G1598" s="204"/>
      <c r="H1598" s="151"/>
      <c r="I1598" s="151"/>
      <c r="J1598" s="151">
        <v>683</v>
      </c>
      <c r="K1598" s="151">
        <v>81</v>
      </c>
      <c r="L1598" s="1"/>
      <c r="M1598" s="73">
        <f t="shared" si="201"/>
        <v>0</v>
      </c>
      <c r="N1598" s="73">
        <f t="shared" si="205"/>
        <v>0</v>
      </c>
      <c r="O1598" s="73">
        <f t="shared" si="207"/>
        <v>0</v>
      </c>
      <c r="P1598" s="73">
        <f t="shared" si="202"/>
        <v>0</v>
      </c>
      <c r="Q1598" s="73"/>
      <c r="R1598" s="73">
        <v>0</v>
      </c>
      <c r="S1598" s="75">
        <f t="shared" si="204"/>
        <v>0</v>
      </c>
      <c r="T1598" s="77">
        <v>0</v>
      </c>
      <c r="U1598" s="66">
        <v>40492</v>
      </c>
      <c r="V1598" s="79"/>
      <c r="W1598" s="66" t="s">
        <v>1585</v>
      </c>
      <c r="X1598" s="24" t="s">
        <v>1586</v>
      </c>
      <c r="Y1598" s="62"/>
      <c r="Z1598" s="169" t="s">
        <v>894</v>
      </c>
      <c r="AA1598" s="166" t="s">
        <v>2954</v>
      </c>
      <c r="AB1598" s="152"/>
      <c r="AC1598" s="153"/>
      <c r="AD1598" s="154"/>
      <c r="AE1598" s="153"/>
      <c r="AF1598" s="153"/>
      <c r="AG1598" s="153"/>
      <c r="AH1598" s="153"/>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c r="BI1598" s="153"/>
      <c r="BJ1598" s="153"/>
      <c r="BK1598" s="153"/>
      <c r="BL1598" s="153"/>
      <c r="BM1598" s="153"/>
      <c r="BN1598" s="153"/>
      <c r="BO1598" s="153"/>
      <c r="BP1598" s="153"/>
      <c r="BQ1598" s="153"/>
      <c r="BR1598" s="153"/>
      <c r="BS1598" s="153"/>
      <c r="BT1598" s="153"/>
      <c r="BU1598" s="153"/>
      <c r="BV1598" s="153"/>
      <c r="BW1598" s="153"/>
      <c r="BX1598" s="153"/>
      <c r="BY1598" s="153"/>
      <c r="BZ1598" s="153"/>
      <c r="CA1598" s="153"/>
      <c r="CB1598" s="153"/>
      <c r="CC1598" s="153"/>
      <c r="CD1598" s="155"/>
      <c r="CE1598" s="156"/>
      <c r="CF1598" s="155"/>
      <c r="CG1598" s="156"/>
      <c r="CH1598" s="155"/>
      <c r="CI1598" s="156"/>
      <c r="CJ1598" s="157">
        <f t="shared" si="203"/>
        <v>0</v>
      </c>
      <c r="CK1598" s="158"/>
      <c r="CL1598" s="159"/>
      <c r="CM1598" s="160"/>
      <c r="CN1598" s="161"/>
      <c r="CO1598" s="162"/>
      <c r="CP1598" s="161"/>
      <c r="CQ1598" s="158"/>
      <c r="CR1598" s="159"/>
      <c r="CS1598" s="68"/>
      <c r="CT1598" s="163"/>
      <c r="EC1598" s="344" t="str">
        <f t="shared" si="206"/>
        <v>HUILA_BARAYA</v>
      </c>
      <c r="ED1598" s="341"/>
      <c r="EE1598" s="341"/>
      <c r="EF1598" s="348"/>
      <c r="EG1598" s="341"/>
      <c r="EH1598" s="341"/>
      <c r="EI1598" s="341"/>
    </row>
    <row r="1599" spans="1:139" s="164" customFormat="1" ht="36">
      <c r="A1599" s="228">
        <v>40491</v>
      </c>
      <c r="B1599" s="205" t="s">
        <v>962</v>
      </c>
      <c r="C1599" s="205" t="s">
        <v>599</v>
      </c>
      <c r="D1599" s="207" t="s">
        <v>1201</v>
      </c>
      <c r="E1599" s="323" t="s">
        <v>3823</v>
      </c>
      <c r="F1599" s="323"/>
      <c r="G1599" s="204"/>
      <c r="H1599" s="151"/>
      <c r="I1599" s="151"/>
      <c r="J1599" s="151">
        <f>803-5-5-70-13-5-35-200-5</f>
        <v>465</v>
      </c>
      <c r="K1599" s="151">
        <f>241-1-1-14-3-1-7-40-1</f>
        <v>173</v>
      </c>
      <c r="L1599" s="1"/>
      <c r="M1599" s="73">
        <f t="shared" si="201"/>
        <v>0</v>
      </c>
      <c r="N1599" s="73">
        <f t="shared" si="205"/>
        <v>0</v>
      </c>
      <c r="O1599" s="73">
        <f t="shared" si="207"/>
        <v>0</v>
      </c>
      <c r="P1599" s="73">
        <f t="shared" si="202"/>
        <v>0</v>
      </c>
      <c r="Q1599" s="73"/>
      <c r="R1599" s="73">
        <v>0</v>
      </c>
      <c r="S1599" s="75">
        <f t="shared" si="204"/>
        <v>0</v>
      </c>
      <c r="T1599" s="77">
        <v>0</v>
      </c>
      <c r="U1599" s="66">
        <v>40492</v>
      </c>
      <c r="V1599" s="79"/>
      <c r="W1599" s="66" t="s">
        <v>1585</v>
      </c>
      <c r="X1599" s="24" t="s">
        <v>1586</v>
      </c>
      <c r="Y1599" s="62"/>
      <c r="Z1599" s="169" t="s">
        <v>894</v>
      </c>
      <c r="AA1599" s="166" t="s">
        <v>2012</v>
      </c>
      <c r="AB1599" s="152"/>
      <c r="AC1599" s="153"/>
      <c r="AD1599" s="154"/>
      <c r="AE1599" s="153"/>
      <c r="AF1599" s="153"/>
      <c r="AG1599" s="153"/>
      <c r="AH1599" s="153"/>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c r="BI1599" s="153"/>
      <c r="BJ1599" s="153"/>
      <c r="BK1599" s="153"/>
      <c r="BL1599" s="153"/>
      <c r="BM1599" s="153"/>
      <c r="BN1599" s="153"/>
      <c r="BO1599" s="153"/>
      <c r="BP1599" s="153"/>
      <c r="BQ1599" s="153"/>
      <c r="BR1599" s="153"/>
      <c r="BS1599" s="153"/>
      <c r="BT1599" s="153"/>
      <c r="BU1599" s="153"/>
      <c r="BV1599" s="153"/>
      <c r="BW1599" s="153"/>
      <c r="BX1599" s="153"/>
      <c r="BY1599" s="153"/>
      <c r="BZ1599" s="153"/>
      <c r="CA1599" s="153"/>
      <c r="CB1599" s="153"/>
      <c r="CC1599" s="153"/>
      <c r="CD1599" s="155"/>
      <c r="CE1599" s="156"/>
      <c r="CF1599" s="155"/>
      <c r="CG1599" s="156"/>
      <c r="CH1599" s="155"/>
      <c r="CI1599" s="156"/>
      <c r="CJ1599" s="157">
        <f t="shared" si="203"/>
        <v>0</v>
      </c>
      <c r="CK1599" s="158"/>
      <c r="CL1599" s="159"/>
      <c r="CM1599" s="160"/>
      <c r="CN1599" s="161"/>
      <c r="CO1599" s="162"/>
      <c r="CP1599" s="161"/>
      <c r="CQ1599" s="158"/>
      <c r="CR1599" s="159"/>
      <c r="CS1599" s="68"/>
      <c r="CT1599" s="163"/>
      <c r="EC1599" s="344" t="str">
        <f t="shared" si="206"/>
        <v>HUILA_NEIVA</v>
      </c>
      <c r="ED1599" s="341"/>
      <c r="EE1599" s="341"/>
      <c r="EF1599" s="348"/>
      <c r="EG1599" s="341"/>
      <c r="EH1599" s="341"/>
      <c r="EI1599" s="341"/>
    </row>
    <row r="1600" spans="1:139" s="164" customFormat="1" ht="25.5">
      <c r="A1600" s="228">
        <v>40491</v>
      </c>
      <c r="B1600" s="205" t="s">
        <v>962</v>
      </c>
      <c r="C1600" s="205" t="s">
        <v>964</v>
      </c>
      <c r="D1600" s="207" t="s">
        <v>1316</v>
      </c>
      <c r="E1600" s="323" t="s">
        <v>3850</v>
      </c>
      <c r="F1600" s="323"/>
      <c r="G1600" s="204"/>
      <c r="H1600" s="151"/>
      <c r="I1600" s="151"/>
      <c r="J1600" s="151"/>
      <c r="K1600" s="151"/>
      <c r="L1600" s="1"/>
      <c r="M1600" s="73">
        <f t="shared" si="201"/>
        <v>0</v>
      </c>
      <c r="N1600" s="73">
        <f t="shared" si="205"/>
        <v>0</v>
      </c>
      <c r="O1600" s="73">
        <f t="shared" si="207"/>
        <v>0</v>
      </c>
      <c r="P1600" s="73">
        <f t="shared" si="202"/>
        <v>0</v>
      </c>
      <c r="Q1600" s="73"/>
      <c r="R1600" s="73">
        <v>0</v>
      </c>
      <c r="S1600" s="75">
        <f t="shared" si="204"/>
        <v>0</v>
      </c>
      <c r="T1600" s="77">
        <v>0</v>
      </c>
      <c r="U1600" s="66">
        <v>40492</v>
      </c>
      <c r="V1600" s="79"/>
      <c r="W1600" s="66" t="s">
        <v>1585</v>
      </c>
      <c r="X1600" s="24" t="s">
        <v>1586</v>
      </c>
      <c r="Y1600" s="62"/>
      <c r="Z1600" s="169" t="s">
        <v>894</v>
      </c>
      <c r="AA1600" s="166" t="s">
        <v>416</v>
      </c>
      <c r="AB1600" s="152"/>
      <c r="AC1600" s="153"/>
      <c r="AD1600" s="154"/>
      <c r="AE1600" s="153"/>
      <c r="AF1600" s="153"/>
      <c r="AG1600" s="153"/>
      <c r="AH1600" s="153"/>
      <c r="AI1600" s="153"/>
      <c r="AJ1600" s="153"/>
      <c r="AK1600" s="153"/>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c r="BF1600" s="153"/>
      <c r="BG1600" s="153"/>
      <c r="BH1600" s="153"/>
      <c r="BI1600" s="153"/>
      <c r="BJ1600" s="153"/>
      <c r="BK1600" s="153"/>
      <c r="BL1600" s="153"/>
      <c r="BM1600" s="153"/>
      <c r="BN1600" s="153"/>
      <c r="BO1600" s="153"/>
      <c r="BP1600" s="153"/>
      <c r="BQ1600" s="153"/>
      <c r="BR1600" s="153"/>
      <c r="BS1600" s="153"/>
      <c r="BT1600" s="153"/>
      <c r="BU1600" s="153"/>
      <c r="BV1600" s="153"/>
      <c r="BW1600" s="153"/>
      <c r="BX1600" s="153"/>
      <c r="BY1600" s="153"/>
      <c r="BZ1600" s="153"/>
      <c r="CA1600" s="153"/>
      <c r="CB1600" s="153"/>
      <c r="CC1600" s="153"/>
      <c r="CD1600" s="155"/>
      <c r="CE1600" s="156"/>
      <c r="CF1600" s="155"/>
      <c r="CG1600" s="156"/>
      <c r="CH1600" s="155"/>
      <c r="CI1600" s="156"/>
      <c r="CJ1600" s="157">
        <f t="shared" si="203"/>
        <v>0</v>
      </c>
      <c r="CK1600" s="158"/>
      <c r="CL1600" s="159"/>
      <c r="CM1600" s="160"/>
      <c r="CN1600" s="161"/>
      <c r="CO1600" s="162"/>
      <c r="CP1600" s="161"/>
      <c r="CQ1600" s="158"/>
      <c r="CR1600" s="159"/>
      <c r="CS1600" s="68"/>
      <c r="CT1600" s="163"/>
      <c r="EC1600" s="344" t="str">
        <f t="shared" si="206"/>
        <v>HUILA_SAN AGUSTIN</v>
      </c>
      <c r="ED1600" s="341"/>
      <c r="EE1600" s="341"/>
      <c r="EF1600" s="348"/>
      <c r="EG1600" s="341"/>
      <c r="EH1600" s="341"/>
      <c r="EI1600" s="341"/>
    </row>
    <row r="1601" spans="1:139" s="164" customFormat="1" ht="25.5">
      <c r="A1601" s="228">
        <v>40491</v>
      </c>
      <c r="B1601" s="205" t="s">
        <v>962</v>
      </c>
      <c r="C1601" s="205" t="s">
        <v>2683</v>
      </c>
      <c r="D1601" s="206" t="s">
        <v>1878</v>
      </c>
      <c r="E1601" s="320" t="s">
        <v>3851</v>
      </c>
      <c r="F1601" s="320"/>
      <c r="G1601" s="204"/>
      <c r="H1601" s="151"/>
      <c r="I1601" s="151"/>
      <c r="J1601" s="151"/>
      <c r="K1601" s="151"/>
      <c r="L1601" s="1"/>
      <c r="M1601" s="73">
        <f t="shared" si="201"/>
        <v>0</v>
      </c>
      <c r="N1601" s="73">
        <f t="shared" si="205"/>
        <v>0</v>
      </c>
      <c r="O1601" s="73">
        <f t="shared" si="207"/>
        <v>0</v>
      </c>
      <c r="P1601" s="73">
        <f t="shared" si="202"/>
        <v>0</v>
      </c>
      <c r="Q1601" s="73"/>
      <c r="R1601" s="73">
        <v>0</v>
      </c>
      <c r="S1601" s="75">
        <f t="shared" si="204"/>
        <v>0</v>
      </c>
      <c r="T1601" s="77">
        <v>0</v>
      </c>
      <c r="U1601" s="66">
        <v>40492</v>
      </c>
      <c r="V1601" s="79"/>
      <c r="W1601" s="66" t="s">
        <v>1585</v>
      </c>
      <c r="X1601" s="67" t="s">
        <v>1586</v>
      </c>
      <c r="Y1601" s="62"/>
      <c r="Z1601" s="169" t="s">
        <v>894</v>
      </c>
      <c r="AA1601" s="166" t="s">
        <v>2684</v>
      </c>
      <c r="AB1601" s="152"/>
      <c r="AC1601" s="153"/>
      <c r="AD1601" s="154"/>
      <c r="AE1601" s="153"/>
      <c r="AF1601" s="153"/>
      <c r="AG1601" s="153"/>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c r="BI1601" s="153"/>
      <c r="BJ1601" s="153"/>
      <c r="BK1601" s="153"/>
      <c r="BL1601" s="153"/>
      <c r="BM1601" s="153"/>
      <c r="BN1601" s="153"/>
      <c r="BO1601" s="153"/>
      <c r="BP1601" s="153"/>
      <c r="BQ1601" s="153"/>
      <c r="BR1601" s="153"/>
      <c r="BS1601" s="153"/>
      <c r="BT1601" s="153"/>
      <c r="BU1601" s="153"/>
      <c r="BV1601" s="153"/>
      <c r="BW1601" s="153"/>
      <c r="BX1601" s="153"/>
      <c r="BY1601" s="153"/>
      <c r="BZ1601" s="153"/>
      <c r="CA1601" s="153"/>
      <c r="CB1601" s="153"/>
      <c r="CC1601" s="153"/>
      <c r="CD1601" s="155"/>
      <c r="CE1601" s="156"/>
      <c r="CF1601" s="155"/>
      <c r="CG1601" s="156"/>
      <c r="CH1601" s="155"/>
      <c r="CI1601" s="156"/>
      <c r="CJ1601" s="157">
        <f t="shared" si="203"/>
        <v>0</v>
      </c>
      <c r="CK1601" s="158"/>
      <c r="CL1601" s="159"/>
      <c r="CM1601" s="160"/>
      <c r="CN1601" s="161"/>
      <c r="CO1601" s="162"/>
      <c r="CP1601" s="161"/>
      <c r="CQ1601" s="158"/>
      <c r="CR1601" s="159"/>
      <c r="CS1601" s="68"/>
      <c r="CT1601" s="163"/>
      <c r="EC1601" s="344" t="str">
        <f t="shared" si="206"/>
        <v>HUILA_SANTA MARIA</v>
      </c>
      <c r="ED1601" s="341"/>
      <c r="EE1601" s="341"/>
      <c r="EF1601" s="348"/>
      <c r="EG1601" s="341"/>
      <c r="EH1601" s="341"/>
      <c r="EI1601" s="341"/>
    </row>
    <row r="1602" spans="1:139" s="164" customFormat="1" ht="51">
      <c r="A1602" s="228">
        <v>40491</v>
      </c>
      <c r="B1602" s="102" t="s">
        <v>4321</v>
      </c>
      <c r="C1602" s="205" t="s">
        <v>1605</v>
      </c>
      <c r="D1602" s="207" t="s">
        <v>1201</v>
      </c>
      <c r="E1602" s="323" t="s">
        <v>3159</v>
      </c>
      <c r="F1602" s="323"/>
      <c r="G1602" s="204"/>
      <c r="H1602" s="151"/>
      <c r="I1602" s="151"/>
      <c r="J1602" s="151"/>
      <c r="K1602" s="151"/>
      <c r="L1602" s="1"/>
      <c r="M1602" s="73">
        <f t="shared" si="201"/>
        <v>0</v>
      </c>
      <c r="N1602" s="73">
        <f t="shared" si="205"/>
        <v>11900000</v>
      </c>
      <c r="O1602" s="73">
        <f t="shared" si="207"/>
        <v>0</v>
      </c>
      <c r="P1602" s="73">
        <f t="shared" si="202"/>
        <v>45240000</v>
      </c>
      <c r="Q1602" s="73"/>
      <c r="R1602" s="73">
        <v>0</v>
      </c>
      <c r="S1602" s="75">
        <f t="shared" si="204"/>
        <v>57140000</v>
      </c>
      <c r="T1602" s="77">
        <v>0</v>
      </c>
      <c r="U1602" s="66">
        <v>40491</v>
      </c>
      <c r="V1602" s="79">
        <v>62930</v>
      </c>
      <c r="W1602" s="66" t="s">
        <v>1606</v>
      </c>
      <c r="X1602" s="24" t="s">
        <v>1607</v>
      </c>
      <c r="Y1602" s="62">
        <v>27409</v>
      </c>
      <c r="Z1602" s="169"/>
      <c r="AA1602" s="166" t="s">
        <v>3028</v>
      </c>
      <c r="AB1602" s="152"/>
      <c r="AC1602" s="153"/>
      <c r="AD1602" s="154"/>
      <c r="AE1602" s="153"/>
      <c r="AF1602" s="153"/>
      <c r="AG1602" s="153"/>
      <c r="AH1602" s="153"/>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c r="BI1602" s="153"/>
      <c r="BJ1602" s="153"/>
      <c r="BK1602" s="153"/>
      <c r="BL1602" s="153"/>
      <c r="BM1602" s="153"/>
      <c r="BN1602" s="153"/>
      <c r="BO1602" s="153"/>
      <c r="BP1602" s="153"/>
      <c r="BQ1602" s="153"/>
      <c r="BR1602" s="153"/>
      <c r="BS1602" s="153"/>
      <c r="BT1602" s="153"/>
      <c r="BU1602" s="153"/>
      <c r="BV1602" s="153"/>
      <c r="BW1602" s="153"/>
      <c r="BX1602" s="153"/>
      <c r="BY1602" s="153"/>
      <c r="BZ1602" s="153"/>
      <c r="CA1602" s="153"/>
      <c r="CB1602" s="153"/>
      <c r="CC1602" s="153"/>
      <c r="CD1602" s="155"/>
      <c r="CE1602" s="156"/>
      <c r="CF1602" s="155"/>
      <c r="CG1602" s="156"/>
      <c r="CH1602" s="155"/>
      <c r="CI1602" s="156"/>
      <c r="CJ1602" s="157">
        <f t="shared" si="203"/>
        <v>0</v>
      </c>
      <c r="CK1602" s="158">
        <v>50000</v>
      </c>
      <c r="CL1602" s="159">
        <f>50000*904.8</f>
        <v>45240000</v>
      </c>
      <c r="CM1602" s="160">
        <v>140</v>
      </c>
      <c r="CN1602" s="161">
        <f>140*85000</f>
        <v>11900000</v>
      </c>
      <c r="CO1602" s="162"/>
      <c r="CP1602" s="161"/>
      <c r="CQ1602" s="158"/>
      <c r="CR1602" s="159"/>
      <c r="CS1602" s="68"/>
      <c r="CT1602" s="163"/>
      <c r="EC1602" s="344" t="str">
        <f t="shared" si="206"/>
        <v>LA GUAJIRA_DEPARTAMENTO</v>
      </c>
      <c r="ED1602" s="341"/>
      <c r="EE1602" s="341"/>
      <c r="EF1602" s="348"/>
      <c r="EG1602" s="341"/>
      <c r="EH1602" s="341"/>
      <c r="EI1602" s="341"/>
    </row>
    <row r="1603" spans="1:139" s="164" customFormat="1" ht="48">
      <c r="A1603" s="228">
        <v>40491</v>
      </c>
      <c r="B1603" s="205" t="s">
        <v>965</v>
      </c>
      <c r="C1603" s="205" t="s">
        <v>1327</v>
      </c>
      <c r="D1603" s="207" t="s">
        <v>2606</v>
      </c>
      <c r="E1603" s="323" t="s">
        <v>3998</v>
      </c>
      <c r="F1603" s="323"/>
      <c r="G1603" s="204"/>
      <c r="H1603" s="151">
        <v>5</v>
      </c>
      <c r="I1603" s="151"/>
      <c r="J1603" s="151"/>
      <c r="K1603" s="151"/>
      <c r="L1603" s="1"/>
      <c r="M1603" s="73">
        <f t="shared" ref="M1603:M1666" si="208">CJ1603</f>
        <v>0</v>
      </c>
      <c r="N1603" s="73">
        <f t="shared" si="205"/>
        <v>0</v>
      </c>
      <c r="O1603" s="73">
        <f t="shared" si="207"/>
        <v>0</v>
      </c>
      <c r="P1603" s="73">
        <f t="shared" ref="P1603:P1666" si="209">CL1603</f>
        <v>0</v>
      </c>
      <c r="Q1603" s="73"/>
      <c r="R1603" s="73">
        <v>0</v>
      </c>
      <c r="S1603" s="75">
        <f t="shared" si="204"/>
        <v>0</v>
      </c>
      <c r="T1603" s="77">
        <v>0</v>
      </c>
      <c r="U1603" s="66">
        <v>40492</v>
      </c>
      <c r="V1603" s="79"/>
      <c r="W1603" s="66" t="s">
        <v>1585</v>
      </c>
      <c r="X1603" s="24" t="s">
        <v>1586</v>
      </c>
      <c r="Y1603" s="62"/>
      <c r="Z1603" s="169" t="s">
        <v>894</v>
      </c>
      <c r="AA1603" s="166" t="s">
        <v>2682</v>
      </c>
      <c r="AB1603" s="152"/>
      <c r="AC1603" s="153"/>
      <c r="AD1603" s="154"/>
      <c r="AE1603" s="153"/>
      <c r="AF1603" s="153"/>
      <c r="AG1603" s="153"/>
      <c r="AH1603" s="153"/>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c r="BI1603" s="153"/>
      <c r="BJ1603" s="153"/>
      <c r="BK1603" s="153"/>
      <c r="BL1603" s="153"/>
      <c r="BM1603" s="153"/>
      <c r="BN1603" s="153"/>
      <c r="BO1603" s="153"/>
      <c r="BP1603" s="153"/>
      <c r="BQ1603" s="153"/>
      <c r="BR1603" s="153"/>
      <c r="BS1603" s="153"/>
      <c r="BT1603" s="153"/>
      <c r="BU1603" s="153"/>
      <c r="BV1603" s="153"/>
      <c r="BW1603" s="153"/>
      <c r="BX1603" s="153"/>
      <c r="BY1603" s="153"/>
      <c r="BZ1603" s="153"/>
      <c r="CA1603" s="153"/>
      <c r="CB1603" s="153"/>
      <c r="CC1603" s="153"/>
      <c r="CD1603" s="155"/>
      <c r="CE1603" s="156"/>
      <c r="CF1603" s="155"/>
      <c r="CG1603" s="156"/>
      <c r="CH1603" s="155"/>
      <c r="CI1603" s="156"/>
      <c r="CJ1603" s="157">
        <f t="shared" ref="CJ1603:CJ1666" si="210">AC1603+AE1603+AG1603+AI1603+AK1603+AM1603+AO1603+AQ1603+AS1603+AU1603+AW1603+AY1603+BA1603+BC1603+BE1603+BG1603+BI1603+BK1603+BM1603+BO1603+BQ1603+BS1603+BU1603+BW1603+BY1603+CA1603+CC1603+CE1603+CG1603+CI1603</f>
        <v>0</v>
      </c>
      <c r="CK1603" s="158"/>
      <c r="CL1603" s="159"/>
      <c r="CM1603" s="160"/>
      <c r="CN1603" s="161"/>
      <c r="CO1603" s="162"/>
      <c r="CP1603" s="161"/>
      <c r="CQ1603" s="158"/>
      <c r="CR1603" s="159"/>
      <c r="CS1603" s="68"/>
      <c r="CT1603" s="163"/>
      <c r="EC1603" s="344" t="str">
        <f t="shared" si="206"/>
        <v>NORTE DE SANTANDER_CUCUTA</v>
      </c>
      <c r="ED1603" s="341"/>
      <c r="EE1603" s="341"/>
      <c r="EF1603" s="348"/>
      <c r="EG1603" s="341"/>
      <c r="EH1603" s="341"/>
      <c r="EI1603" s="341"/>
    </row>
    <row r="1604" spans="1:139" s="164" customFormat="1" ht="25.5">
      <c r="A1604" s="228">
        <v>40491</v>
      </c>
      <c r="B1604" s="205" t="s">
        <v>1612</v>
      </c>
      <c r="C1604" s="205" t="s">
        <v>673</v>
      </c>
      <c r="D1604" s="207" t="s">
        <v>1316</v>
      </c>
      <c r="E1604" s="323" t="s">
        <v>4040</v>
      </c>
      <c r="F1604" s="323"/>
      <c r="G1604" s="204"/>
      <c r="H1604" s="151"/>
      <c r="I1604" s="151"/>
      <c r="J1604" s="151"/>
      <c r="K1604" s="151"/>
      <c r="L1604" s="1"/>
      <c r="M1604" s="73">
        <f t="shared" si="208"/>
        <v>0</v>
      </c>
      <c r="N1604" s="73">
        <f t="shared" si="205"/>
        <v>0</v>
      </c>
      <c r="O1604" s="73">
        <f t="shared" si="207"/>
        <v>0</v>
      </c>
      <c r="P1604" s="73">
        <f t="shared" si="209"/>
        <v>0</v>
      </c>
      <c r="Q1604" s="73"/>
      <c r="R1604" s="73">
        <v>0</v>
      </c>
      <c r="S1604" s="75">
        <f t="shared" si="204"/>
        <v>0</v>
      </c>
      <c r="T1604" s="77">
        <v>0</v>
      </c>
      <c r="U1604" s="66">
        <v>40494</v>
      </c>
      <c r="V1604" s="79"/>
      <c r="W1604" s="66" t="s">
        <v>1585</v>
      </c>
      <c r="X1604" s="24" t="s">
        <v>1586</v>
      </c>
      <c r="Y1604" s="62"/>
      <c r="Z1604" s="169" t="s">
        <v>894</v>
      </c>
      <c r="AA1604" s="166" t="s">
        <v>2025</v>
      </c>
      <c r="AB1604" s="152"/>
      <c r="AC1604" s="153"/>
      <c r="AD1604" s="154"/>
      <c r="AE1604" s="153"/>
      <c r="AF1604" s="153"/>
      <c r="AG1604" s="153"/>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c r="BI1604" s="153"/>
      <c r="BJ1604" s="153"/>
      <c r="BK1604" s="153"/>
      <c r="BL1604" s="153"/>
      <c r="BM1604" s="153"/>
      <c r="BN1604" s="153"/>
      <c r="BO1604" s="153"/>
      <c r="BP1604" s="153"/>
      <c r="BQ1604" s="153"/>
      <c r="BR1604" s="153"/>
      <c r="BS1604" s="153"/>
      <c r="BT1604" s="153"/>
      <c r="BU1604" s="153"/>
      <c r="BV1604" s="153"/>
      <c r="BW1604" s="153"/>
      <c r="BX1604" s="153"/>
      <c r="BY1604" s="153"/>
      <c r="BZ1604" s="153"/>
      <c r="CA1604" s="153"/>
      <c r="CB1604" s="153"/>
      <c r="CC1604" s="153"/>
      <c r="CD1604" s="155"/>
      <c r="CE1604" s="156"/>
      <c r="CF1604" s="155"/>
      <c r="CG1604" s="156"/>
      <c r="CH1604" s="155"/>
      <c r="CI1604" s="156"/>
      <c r="CJ1604" s="157">
        <f t="shared" si="210"/>
        <v>0</v>
      </c>
      <c r="CK1604" s="158"/>
      <c r="CL1604" s="159"/>
      <c r="CM1604" s="160"/>
      <c r="CN1604" s="161"/>
      <c r="CO1604" s="162"/>
      <c r="CP1604" s="161"/>
      <c r="CQ1604" s="158"/>
      <c r="CR1604" s="159"/>
      <c r="CS1604" s="68"/>
      <c r="CT1604" s="163"/>
      <c r="EC1604" s="344" t="str">
        <f t="shared" si="206"/>
        <v>QUINDIO_CALARCA</v>
      </c>
      <c r="ED1604" s="341"/>
      <c r="EE1604" s="341"/>
      <c r="EF1604" s="348"/>
      <c r="EG1604" s="341"/>
      <c r="EH1604" s="341"/>
      <c r="EI1604" s="341"/>
    </row>
    <row r="1605" spans="1:139" s="164" customFormat="1" ht="25.5">
      <c r="A1605" s="228">
        <v>40491</v>
      </c>
      <c r="B1605" s="205" t="s">
        <v>1612</v>
      </c>
      <c r="C1605" s="205" t="s">
        <v>1578</v>
      </c>
      <c r="D1605" s="207" t="s">
        <v>1316</v>
      </c>
      <c r="E1605" s="323" t="s">
        <v>4048</v>
      </c>
      <c r="F1605" s="323"/>
      <c r="G1605" s="204"/>
      <c r="H1605" s="151"/>
      <c r="I1605" s="151"/>
      <c r="J1605" s="151"/>
      <c r="K1605" s="151"/>
      <c r="L1605" s="1"/>
      <c r="M1605" s="73">
        <f t="shared" si="208"/>
        <v>0</v>
      </c>
      <c r="N1605" s="73">
        <f t="shared" si="205"/>
        <v>0</v>
      </c>
      <c r="O1605" s="73">
        <f t="shared" si="207"/>
        <v>0</v>
      </c>
      <c r="P1605" s="73">
        <f t="shared" si="209"/>
        <v>0</v>
      </c>
      <c r="Q1605" s="73"/>
      <c r="R1605" s="73">
        <v>0</v>
      </c>
      <c r="S1605" s="75">
        <f t="shared" si="204"/>
        <v>0</v>
      </c>
      <c r="T1605" s="77">
        <v>0</v>
      </c>
      <c r="U1605" s="66">
        <v>40494</v>
      </c>
      <c r="V1605" s="79"/>
      <c r="W1605" s="66" t="s">
        <v>1585</v>
      </c>
      <c r="X1605" s="24" t="s">
        <v>1586</v>
      </c>
      <c r="Y1605" s="62"/>
      <c r="Z1605" s="169" t="s">
        <v>894</v>
      </c>
      <c r="AA1605" s="166" t="s">
        <v>2024</v>
      </c>
      <c r="AB1605" s="152"/>
      <c r="AC1605" s="153"/>
      <c r="AD1605" s="154"/>
      <c r="AE1605" s="153"/>
      <c r="AF1605" s="153"/>
      <c r="AG1605" s="153"/>
      <c r="AH1605" s="153"/>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c r="BI1605" s="153"/>
      <c r="BJ1605" s="153"/>
      <c r="BK1605" s="153"/>
      <c r="BL1605" s="153"/>
      <c r="BM1605" s="153"/>
      <c r="BN1605" s="153"/>
      <c r="BO1605" s="153"/>
      <c r="BP1605" s="153"/>
      <c r="BQ1605" s="153"/>
      <c r="BR1605" s="153"/>
      <c r="BS1605" s="153"/>
      <c r="BT1605" s="153"/>
      <c r="BU1605" s="153"/>
      <c r="BV1605" s="153"/>
      <c r="BW1605" s="153"/>
      <c r="BX1605" s="153"/>
      <c r="BY1605" s="153"/>
      <c r="BZ1605" s="153"/>
      <c r="CA1605" s="153"/>
      <c r="CB1605" s="153"/>
      <c r="CC1605" s="153"/>
      <c r="CD1605" s="155"/>
      <c r="CE1605" s="156"/>
      <c r="CF1605" s="155"/>
      <c r="CG1605" s="156"/>
      <c r="CH1605" s="155"/>
      <c r="CI1605" s="156"/>
      <c r="CJ1605" s="157">
        <f t="shared" si="210"/>
        <v>0</v>
      </c>
      <c r="CK1605" s="158"/>
      <c r="CL1605" s="159"/>
      <c r="CM1605" s="160"/>
      <c r="CN1605" s="161"/>
      <c r="CO1605" s="162"/>
      <c r="CP1605" s="161"/>
      <c r="CQ1605" s="158"/>
      <c r="CR1605" s="159"/>
      <c r="CS1605" s="68"/>
      <c r="CT1605" s="163"/>
      <c r="EC1605" s="344" t="str">
        <f t="shared" si="206"/>
        <v>QUINDIO_QUIMBAYA</v>
      </c>
      <c r="ED1605" s="341"/>
      <c r="EE1605" s="341"/>
      <c r="EF1605" s="348"/>
      <c r="EG1605" s="341"/>
      <c r="EH1605" s="341"/>
      <c r="EI1605" s="341"/>
    </row>
    <row r="1606" spans="1:139" s="164" customFormat="1" ht="108">
      <c r="A1606" s="228">
        <v>40491</v>
      </c>
      <c r="B1606" s="205" t="s">
        <v>1998</v>
      </c>
      <c r="C1606" s="205" t="s">
        <v>1083</v>
      </c>
      <c r="D1606" s="207" t="s">
        <v>1201</v>
      </c>
      <c r="E1606" s="323" t="s">
        <v>4070</v>
      </c>
      <c r="F1606" s="323"/>
      <c r="G1606" s="263"/>
      <c r="H1606" s="151"/>
      <c r="I1606" s="151"/>
      <c r="J1606" s="151">
        <f>1514*5</f>
        <v>7570</v>
      </c>
      <c r="K1606" s="151">
        <f>1675-161</f>
        <v>1514</v>
      </c>
      <c r="L1606" s="1"/>
      <c r="M1606" s="73">
        <f t="shared" si="208"/>
        <v>0</v>
      </c>
      <c r="N1606" s="73">
        <f t="shared" si="205"/>
        <v>0</v>
      </c>
      <c r="O1606" s="73">
        <f t="shared" si="207"/>
        <v>0</v>
      </c>
      <c r="P1606" s="73">
        <f t="shared" si="209"/>
        <v>0</v>
      </c>
      <c r="Q1606" s="73"/>
      <c r="R1606" s="73">
        <v>0</v>
      </c>
      <c r="S1606" s="75">
        <f t="shared" si="204"/>
        <v>0</v>
      </c>
      <c r="T1606" s="77">
        <v>0</v>
      </c>
      <c r="U1606" s="66">
        <v>40494</v>
      </c>
      <c r="V1606" s="79"/>
      <c r="W1606" s="66" t="s">
        <v>1585</v>
      </c>
      <c r="X1606" s="24" t="s">
        <v>1586</v>
      </c>
      <c r="Y1606" s="62"/>
      <c r="Z1606" s="169" t="s">
        <v>894</v>
      </c>
      <c r="AA1606" s="166" t="s">
        <v>2766</v>
      </c>
      <c r="AB1606" s="152"/>
      <c r="AC1606" s="153"/>
      <c r="AD1606" s="154"/>
      <c r="AE1606" s="153"/>
      <c r="AF1606" s="153"/>
      <c r="AG1606" s="153"/>
      <c r="AH1606" s="153"/>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c r="BI1606" s="153"/>
      <c r="BJ1606" s="153"/>
      <c r="BK1606" s="153"/>
      <c r="BL1606" s="153"/>
      <c r="BM1606" s="153"/>
      <c r="BN1606" s="153"/>
      <c r="BO1606" s="153"/>
      <c r="BP1606" s="153"/>
      <c r="BQ1606" s="153"/>
      <c r="BR1606" s="153"/>
      <c r="BS1606" s="153"/>
      <c r="BT1606" s="153"/>
      <c r="BU1606" s="153"/>
      <c r="BV1606" s="153"/>
      <c r="BW1606" s="153"/>
      <c r="BX1606" s="153"/>
      <c r="BY1606" s="153"/>
      <c r="BZ1606" s="153"/>
      <c r="CA1606" s="153"/>
      <c r="CB1606" s="153"/>
      <c r="CC1606" s="153"/>
      <c r="CD1606" s="155"/>
      <c r="CE1606" s="156"/>
      <c r="CF1606" s="155"/>
      <c r="CG1606" s="156"/>
      <c r="CH1606" s="155"/>
      <c r="CI1606" s="156"/>
      <c r="CJ1606" s="157">
        <f t="shared" si="210"/>
        <v>0</v>
      </c>
      <c r="CK1606" s="158"/>
      <c r="CL1606" s="159"/>
      <c r="CM1606" s="160"/>
      <c r="CN1606" s="161"/>
      <c r="CO1606" s="162"/>
      <c r="CP1606" s="161"/>
      <c r="CQ1606" s="158"/>
      <c r="CR1606" s="159"/>
      <c r="CS1606" s="68"/>
      <c r="CT1606" s="163"/>
      <c r="EC1606" s="344" t="str">
        <f t="shared" si="206"/>
        <v>SANTANDER_BARRANCABERMEJA</v>
      </c>
      <c r="ED1606" s="341"/>
      <c r="EE1606" s="341"/>
      <c r="EF1606" s="348"/>
      <c r="EG1606" s="341"/>
      <c r="EH1606" s="341"/>
      <c r="EI1606" s="341"/>
    </row>
    <row r="1607" spans="1:139" s="164" customFormat="1" ht="38.25">
      <c r="A1607" s="228">
        <v>40491.919444444444</v>
      </c>
      <c r="B1607" s="205" t="s">
        <v>2298</v>
      </c>
      <c r="C1607" s="205" t="s">
        <v>1610</v>
      </c>
      <c r="D1607" s="207" t="s">
        <v>1878</v>
      </c>
      <c r="E1607" s="323"/>
      <c r="F1607" s="323"/>
      <c r="G1607" s="204"/>
      <c r="H1607" s="151"/>
      <c r="I1607" s="151"/>
      <c r="J1607" s="151"/>
      <c r="K1607" s="409"/>
      <c r="L1607" s="1"/>
      <c r="M1607" s="73">
        <f t="shared" si="208"/>
        <v>0</v>
      </c>
      <c r="N1607" s="73">
        <f t="shared" si="205"/>
        <v>0</v>
      </c>
      <c r="O1607" s="73">
        <f t="shared" si="207"/>
        <v>0</v>
      </c>
      <c r="P1607" s="73">
        <f t="shared" si="209"/>
        <v>0</v>
      </c>
      <c r="Q1607" s="73"/>
      <c r="R1607" s="73">
        <v>0</v>
      </c>
      <c r="S1607" s="75">
        <f t="shared" si="204"/>
        <v>0</v>
      </c>
      <c r="T1607" s="77">
        <v>0</v>
      </c>
      <c r="U1607" s="296">
        <v>40624</v>
      </c>
      <c r="V1607" s="297"/>
      <c r="W1607" s="296" t="s">
        <v>1585</v>
      </c>
      <c r="X1607" s="298" t="s">
        <v>1586</v>
      </c>
      <c r="Y1607" s="299"/>
      <c r="Z1607" s="300" t="s">
        <v>894</v>
      </c>
      <c r="AA1607" s="414" t="s">
        <v>5402</v>
      </c>
      <c r="AB1607" s="152"/>
      <c r="AC1607" s="153"/>
      <c r="AD1607" s="154"/>
      <c r="AE1607" s="153"/>
      <c r="AF1607" s="153"/>
      <c r="AG1607" s="153"/>
      <c r="AH1607" s="153"/>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c r="BI1607" s="153"/>
      <c r="BJ1607" s="153"/>
      <c r="BK1607" s="153"/>
      <c r="BL1607" s="153"/>
      <c r="BM1607" s="153"/>
      <c r="BN1607" s="153"/>
      <c r="BO1607" s="153"/>
      <c r="BP1607" s="153"/>
      <c r="BQ1607" s="153"/>
      <c r="BR1607" s="153"/>
      <c r="BS1607" s="153"/>
      <c r="BT1607" s="153"/>
      <c r="BU1607" s="153"/>
      <c r="BV1607" s="153"/>
      <c r="BW1607" s="153"/>
      <c r="BX1607" s="153"/>
      <c r="BY1607" s="153"/>
      <c r="BZ1607" s="153"/>
      <c r="CA1607" s="153"/>
      <c r="CB1607" s="153"/>
      <c r="CC1607" s="153"/>
      <c r="CD1607" s="155"/>
      <c r="CE1607" s="156"/>
      <c r="CF1607" s="155"/>
      <c r="CG1607" s="156"/>
      <c r="CH1607" s="155"/>
      <c r="CI1607" s="156"/>
      <c r="CJ1607" s="157">
        <f t="shared" si="210"/>
        <v>0</v>
      </c>
      <c r="CK1607" s="158"/>
      <c r="CL1607" s="159"/>
      <c r="CM1607" s="160"/>
      <c r="CN1607" s="161"/>
      <c r="CO1607" s="162"/>
      <c r="CP1607" s="161"/>
      <c r="CQ1607" s="158"/>
      <c r="CR1607" s="159"/>
      <c r="CS1607" s="68"/>
      <c r="CT1607" s="163"/>
      <c r="EC1607" s="344" t="str">
        <f t="shared" si="206"/>
        <v>BOGOTA D.C._BOGOTA</v>
      </c>
      <c r="ED1607" s="341"/>
      <c r="EE1607" s="341"/>
      <c r="EF1607" s="348"/>
      <c r="EG1607" s="341"/>
      <c r="EH1607" s="341"/>
      <c r="EI1607" s="341"/>
    </row>
    <row r="1608" spans="1:139" s="164" customFormat="1" ht="84">
      <c r="A1608" s="228">
        <v>40492</v>
      </c>
      <c r="B1608" s="205" t="s">
        <v>1615</v>
      </c>
      <c r="C1608" s="205" t="s">
        <v>1385</v>
      </c>
      <c r="D1608" s="207" t="s">
        <v>1201</v>
      </c>
      <c r="E1608" s="323" t="s">
        <v>3398</v>
      </c>
      <c r="F1608" s="323"/>
      <c r="G1608" s="204"/>
      <c r="H1608" s="151"/>
      <c r="I1608" s="151"/>
      <c r="J1608" s="151">
        <f>801*5</f>
        <v>4005</v>
      </c>
      <c r="K1608" s="151">
        <f>2266-1465</f>
        <v>801</v>
      </c>
      <c r="L1608" s="1">
        <v>40528</v>
      </c>
      <c r="M1608" s="73">
        <f t="shared" si="208"/>
        <v>425699000</v>
      </c>
      <c r="N1608" s="73">
        <f t="shared" si="205"/>
        <v>257635000</v>
      </c>
      <c r="O1608" s="73">
        <f t="shared" si="207"/>
        <v>0</v>
      </c>
      <c r="P1608" s="73">
        <f t="shared" si="209"/>
        <v>14250000</v>
      </c>
      <c r="Q1608" s="73">
        <f>500*18000</f>
        <v>9000000</v>
      </c>
      <c r="R1608" s="73">
        <v>0</v>
      </c>
      <c r="S1608" s="75">
        <f t="shared" si="204"/>
        <v>706584000</v>
      </c>
      <c r="T1608" s="77">
        <v>0</v>
      </c>
      <c r="U1608" s="66">
        <v>40494</v>
      </c>
      <c r="V1608" s="79">
        <v>47162</v>
      </c>
      <c r="W1608" s="66" t="s">
        <v>1606</v>
      </c>
      <c r="X1608" s="24" t="s">
        <v>1607</v>
      </c>
      <c r="Y1608" s="62">
        <v>26388</v>
      </c>
      <c r="Z1608" s="169" t="s">
        <v>1435</v>
      </c>
      <c r="AA1608" s="165" t="s">
        <v>3084</v>
      </c>
      <c r="AB1608" s="152"/>
      <c r="AC1608" s="153"/>
      <c r="AD1608" s="154"/>
      <c r="AE1608" s="153"/>
      <c r="AF1608" s="153"/>
      <c r="AG1608" s="153"/>
      <c r="AH1608" s="153"/>
      <c r="AI1608" s="153"/>
      <c r="AJ1608" s="153"/>
      <c r="AK1608" s="153"/>
      <c r="AL1608" s="153"/>
      <c r="AM1608" s="153"/>
      <c r="AN1608" s="153">
        <v>2266</v>
      </c>
      <c r="AO1608" s="153">
        <f>2266*56000</f>
        <v>126896000</v>
      </c>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c r="BI1608" s="153"/>
      <c r="BJ1608" s="153"/>
      <c r="BK1608" s="153"/>
      <c r="BL1608" s="153"/>
      <c r="BM1608" s="153"/>
      <c r="BN1608" s="153">
        <v>20</v>
      </c>
      <c r="BO1608" s="153">
        <f>20*470000</f>
        <v>9400000</v>
      </c>
      <c r="BP1608" s="153"/>
      <c r="BQ1608" s="153"/>
      <c r="BR1608" s="153"/>
      <c r="BS1608" s="153"/>
      <c r="BT1608" s="153"/>
      <c r="BU1608" s="153"/>
      <c r="BV1608" s="153"/>
      <c r="BW1608" s="153"/>
      <c r="BX1608" s="153">
        <v>2266</v>
      </c>
      <c r="BY1608" s="153">
        <f>2266*21000</f>
        <v>47586000</v>
      </c>
      <c r="BZ1608" s="153"/>
      <c r="CA1608" s="153"/>
      <c r="CB1608" s="153">
        <f>765+5000</f>
        <v>5765</v>
      </c>
      <c r="CC1608" s="153">
        <f>765*18000+5000*18000</f>
        <v>103770000</v>
      </c>
      <c r="CD1608" s="155">
        <f>1465+2266</f>
        <v>3731</v>
      </c>
      <c r="CE1608" s="156">
        <f>1465*37000+2266*37000</f>
        <v>138047000</v>
      </c>
      <c r="CF1608" s="155"/>
      <c r="CG1608" s="156"/>
      <c r="CH1608" s="155"/>
      <c r="CI1608" s="156"/>
      <c r="CJ1608" s="157">
        <f t="shared" si="210"/>
        <v>425699000</v>
      </c>
      <c r="CK1608" s="158">
        <v>15000</v>
      </c>
      <c r="CL1608" s="159">
        <f>15000*950</f>
        <v>14250000</v>
      </c>
      <c r="CM1608" s="160">
        <f>765+2266</f>
        <v>3031</v>
      </c>
      <c r="CN1608" s="161">
        <f>765*85000+2266*85000</f>
        <v>257635000</v>
      </c>
      <c r="CO1608" s="162"/>
      <c r="CP1608" s="161"/>
      <c r="CQ1608" s="158"/>
      <c r="CR1608" s="159"/>
      <c r="CS1608" s="68"/>
      <c r="CT1608" s="163"/>
      <c r="EC1608" s="344" t="str">
        <f t="shared" si="206"/>
        <v>BOLIVAR_MORALES</v>
      </c>
      <c r="ED1608" s="341"/>
      <c r="EE1608" s="341"/>
      <c r="EF1608" s="348"/>
      <c r="EG1608" s="341"/>
      <c r="EH1608" s="341"/>
      <c r="EI1608" s="341"/>
    </row>
    <row r="1609" spans="1:139" s="164" customFormat="1" ht="36">
      <c r="A1609" s="228">
        <v>40492</v>
      </c>
      <c r="B1609" s="205" t="s">
        <v>1615</v>
      </c>
      <c r="C1609" s="205" t="s">
        <v>1695</v>
      </c>
      <c r="D1609" s="207" t="s">
        <v>1201</v>
      </c>
      <c r="E1609" s="323" t="s">
        <v>3409</v>
      </c>
      <c r="F1609" s="323"/>
      <c r="G1609" s="204"/>
      <c r="H1609" s="151"/>
      <c r="I1609" s="151"/>
      <c r="J1609" s="151">
        <f>252*5</f>
        <v>1260</v>
      </c>
      <c r="K1609" s="151">
        <f>885-576-57</f>
        <v>252</v>
      </c>
      <c r="L1609" s="1"/>
      <c r="M1609" s="73">
        <f t="shared" si="208"/>
        <v>259000000</v>
      </c>
      <c r="N1609" s="73">
        <f t="shared" si="205"/>
        <v>238000000</v>
      </c>
      <c r="O1609" s="73">
        <f t="shared" si="207"/>
        <v>0</v>
      </c>
      <c r="P1609" s="73">
        <f t="shared" si="209"/>
        <v>0</v>
      </c>
      <c r="Q1609" s="73">
        <f>500*18000</f>
        <v>9000000</v>
      </c>
      <c r="R1609" s="73">
        <v>0</v>
      </c>
      <c r="S1609" s="75">
        <f t="shared" ref="S1609:S1672" si="211">M1609+N1609+O1609+P1609+Q1609+R1609</f>
        <v>506000000</v>
      </c>
      <c r="T1609" s="77">
        <v>0</v>
      </c>
      <c r="U1609" s="66">
        <v>40494</v>
      </c>
      <c r="V1609" s="79"/>
      <c r="W1609" s="66" t="s">
        <v>1606</v>
      </c>
      <c r="X1609" s="24" t="s">
        <v>1607</v>
      </c>
      <c r="Y1609" s="62"/>
      <c r="Z1609" s="169" t="s">
        <v>894</v>
      </c>
      <c r="AA1609" s="166" t="s">
        <v>3083</v>
      </c>
      <c r="AB1609" s="152"/>
      <c r="AC1609" s="153"/>
      <c r="AD1609" s="154"/>
      <c r="AE1609" s="153"/>
      <c r="AF1609" s="153"/>
      <c r="AG1609" s="153"/>
      <c r="AH1609" s="153"/>
      <c r="AI1609" s="153"/>
      <c r="AJ1609" s="153"/>
      <c r="AK1609" s="153"/>
      <c r="AL1609" s="153"/>
      <c r="AM1609" s="153"/>
      <c r="AN1609" s="153">
        <v>2800</v>
      </c>
      <c r="AO1609" s="153">
        <f>2800*56000</f>
        <v>156800000</v>
      </c>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c r="BI1609" s="153"/>
      <c r="BJ1609" s="153"/>
      <c r="BK1609" s="153"/>
      <c r="BL1609" s="153"/>
      <c r="BM1609" s="153"/>
      <c r="BN1609" s="153"/>
      <c r="BO1609" s="153"/>
      <c r="BP1609" s="153"/>
      <c r="BQ1609" s="153"/>
      <c r="BR1609" s="153"/>
      <c r="BS1609" s="153"/>
      <c r="BT1609" s="153"/>
      <c r="BU1609" s="153"/>
      <c r="BV1609" s="153"/>
      <c r="BW1609" s="153"/>
      <c r="BX1609" s="153"/>
      <c r="BY1609" s="153"/>
      <c r="BZ1609" s="153"/>
      <c r="CA1609" s="153"/>
      <c r="CB1609" s="153">
        <v>2800</v>
      </c>
      <c r="CC1609" s="153">
        <f>2800*18000</f>
        <v>50400000</v>
      </c>
      <c r="CD1609" s="155">
        <v>1400</v>
      </c>
      <c r="CE1609" s="156">
        <f>1400*37000</f>
        <v>51800000</v>
      </c>
      <c r="CF1609" s="155"/>
      <c r="CG1609" s="156"/>
      <c r="CH1609" s="155"/>
      <c r="CI1609" s="156"/>
      <c r="CJ1609" s="157">
        <f t="shared" si="210"/>
        <v>259000000</v>
      </c>
      <c r="CK1609" s="158"/>
      <c r="CL1609" s="159"/>
      <c r="CM1609" s="160">
        <v>2800</v>
      </c>
      <c r="CN1609" s="161">
        <f>2800*85000</f>
        <v>238000000</v>
      </c>
      <c r="CO1609" s="162"/>
      <c r="CP1609" s="161"/>
      <c r="CQ1609" s="158"/>
      <c r="CR1609" s="159"/>
      <c r="CS1609" s="68"/>
      <c r="CT1609" s="163"/>
      <c r="EC1609" s="344" t="str">
        <f t="shared" si="206"/>
        <v>BOLIVAR_SAN PABLO</v>
      </c>
      <c r="ED1609" s="341"/>
      <c r="EE1609" s="341"/>
      <c r="EF1609" s="348"/>
      <c r="EG1609" s="341"/>
      <c r="EH1609" s="341"/>
      <c r="EI1609" s="341"/>
    </row>
    <row r="1610" spans="1:139" s="164" customFormat="1" ht="48">
      <c r="A1610" s="228">
        <v>40492</v>
      </c>
      <c r="B1610" s="205" t="s">
        <v>1192</v>
      </c>
      <c r="C1610" s="205" t="s">
        <v>2123</v>
      </c>
      <c r="D1610" s="207" t="s">
        <v>1201</v>
      </c>
      <c r="E1610" s="323" t="s">
        <v>3439</v>
      </c>
      <c r="F1610" s="323"/>
      <c r="G1610" s="204"/>
      <c r="H1610" s="151"/>
      <c r="I1610" s="151"/>
      <c r="J1610" s="151">
        <f>446*5</f>
        <v>2230</v>
      </c>
      <c r="K1610" s="151">
        <v>446</v>
      </c>
      <c r="L1610" s="1">
        <v>40530</v>
      </c>
      <c r="M1610" s="73">
        <f t="shared" si="208"/>
        <v>23054826</v>
      </c>
      <c r="N1610" s="73">
        <f t="shared" si="205"/>
        <v>12750000</v>
      </c>
      <c r="O1610" s="73">
        <f t="shared" si="207"/>
        <v>0</v>
      </c>
      <c r="P1610" s="73">
        <f t="shared" si="209"/>
        <v>0</v>
      </c>
      <c r="Q1610" s="73"/>
      <c r="R1610" s="73">
        <v>0</v>
      </c>
      <c r="S1610" s="75">
        <f t="shared" si="211"/>
        <v>35804826</v>
      </c>
      <c r="T1610" s="77">
        <v>0</v>
      </c>
      <c r="U1610" s="66">
        <v>40504</v>
      </c>
      <c r="V1610" s="79"/>
      <c r="W1610" s="66" t="s">
        <v>1606</v>
      </c>
      <c r="X1610" s="24" t="s">
        <v>1607</v>
      </c>
      <c r="Y1610" s="83" t="s">
        <v>237</v>
      </c>
      <c r="Z1610" s="169" t="s">
        <v>1272</v>
      </c>
      <c r="AA1610" s="166" t="s">
        <v>2941</v>
      </c>
      <c r="AB1610" s="152"/>
      <c r="AC1610" s="153"/>
      <c r="AD1610" s="154"/>
      <c r="AE1610" s="153"/>
      <c r="AF1610" s="153"/>
      <c r="AG1610" s="153"/>
      <c r="AH1610" s="153"/>
      <c r="AI1610" s="153"/>
      <c r="AJ1610" s="153"/>
      <c r="AK1610" s="153"/>
      <c r="AL1610" s="153"/>
      <c r="AM1610" s="153"/>
      <c r="AN1610" s="153">
        <v>150</v>
      </c>
      <c r="AO1610" s="153">
        <f>150*56000</f>
        <v>8400000</v>
      </c>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c r="BI1610" s="153"/>
      <c r="BJ1610" s="153"/>
      <c r="BK1610" s="153"/>
      <c r="BL1610" s="153"/>
      <c r="BM1610" s="153"/>
      <c r="BN1610" s="153"/>
      <c r="BO1610" s="153"/>
      <c r="BP1610" s="153"/>
      <c r="BQ1610" s="153"/>
      <c r="BR1610" s="153"/>
      <c r="BS1610" s="153"/>
      <c r="BT1610" s="153"/>
      <c r="BU1610" s="153"/>
      <c r="BV1610" s="153"/>
      <c r="BW1610" s="153"/>
      <c r="BX1610" s="153">
        <v>150</v>
      </c>
      <c r="BY1610" s="153">
        <f>150*20999.48</f>
        <v>3149922</v>
      </c>
      <c r="BZ1610" s="153"/>
      <c r="CA1610" s="153"/>
      <c r="CB1610" s="153"/>
      <c r="CC1610" s="153"/>
      <c r="CD1610" s="155">
        <v>150</v>
      </c>
      <c r="CE1610" s="156">
        <f>150*36999.36</f>
        <v>5549904</v>
      </c>
      <c r="CF1610" s="155">
        <v>150</v>
      </c>
      <c r="CG1610" s="156">
        <f>150*39700</f>
        <v>5955000</v>
      </c>
      <c r="CH1610" s="155"/>
      <c r="CI1610" s="156"/>
      <c r="CJ1610" s="157">
        <f t="shared" si="210"/>
        <v>23054826</v>
      </c>
      <c r="CK1610" s="158"/>
      <c r="CL1610" s="159"/>
      <c r="CM1610" s="160">
        <v>150</v>
      </c>
      <c r="CN1610" s="161">
        <f>150*85000</f>
        <v>12750000</v>
      </c>
      <c r="CO1610" s="162"/>
      <c r="CP1610" s="161"/>
      <c r="CQ1610" s="158"/>
      <c r="CR1610" s="159"/>
      <c r="CS1610" s="68"/>
      <c r="CT1610" s="163"/>
      <c r="EC1610" s="344" t="str">
        <f t="shared" si="206"/>
        <v>BOYACA_CHITA</v>
      </c>
      <c r="ED1610" s="341"/>
      <c r="EE1610" s="341"/>
      <c r="EF1610" s="348"/>
      <c r="EG1610" s="341"/>
      <c r="EH1610" s="341"/>
      <c r="EI1610" s="341"/>
    </row>
    <row r="1611" spans="1:139" s="164" customFormat="1" ht="25.5">
      <c r="A1611" s="228">
        <v>40492</v>
      </c>
      <c r="B1611" s="205" t="s">
        <v>1192</v>
      </c>
      <c r="C1611" s="205" t="s">
        <v>99</v>
      </c>
      <c r="D1611" s="207" t="s">
        <v>1878</v>
      </c>
      <c r="E1611" s="323" t="s">
        <v>3441</v>
      </c>
      <c r="F1611" s="323"/>
      <c r="G1611" s="204"/>
      <c r="H1611" s="151"/>
      <c r="I1611" s="151"/>
      <c r="J1611" s="151">
        <v>100</v>
      </c>
      <c r="K1611" s="151">
        <v>20</v>
      </c>
      <c r="L1611" s="1"/>
      <c r="M1611" s="73">
        <f t="shared" si="208"/>
        <v>0</v>
      </c>
      <c r="N1611" s="73">
        <f t="shared" si="205"/>
        <v>0</v>
      </c>
      <c r="O1611" s="73">
        <f t="shared" si="207"/>
        <v>0</v>
      </c>
      <c r="P1611" s="73">
        <f t="shared" si="209"/>
        <v>0</v>
      </c>
      <c r="Q1611" s="73"/>
      <c r="R1611" s="73">
        <v>0</v>
      </c>
      <c r="S1611" s="75">
        <f t="shared" si="211"/>
        <v>0</v>
      </c>
      <c r="T1611" s="77">
        <v>0</v>
      </c>
      <c r="U1611" s="66">
        <v>40589</v>
      </c>
      <c r="V1611" s="79"/>
      <c r="W1611" s="66" t="s">
        <v>1585</v>
      </c>
      <c r="X1611" s="24" t="s">
        <v>1586</v>
      </c>
      <c r="Y1611" s="62"/>
      <c r="Z1611" s="169" t="s">
        <v>894</v>
      </c>
      <c r="AA1611" s="166" t="s">
        <v>95</v>
      </c>
      <c r="AB1611" s="152"/>
      <c r="AC1611" s="153"/>
      <c r="AD1611" s="154"/>
      <c r="AE1611" s="153"/>
      <c r="AF1611" s="153"/>
      <c r="AG1611" s="153"/>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53"/>
      <c r="BB1611" s="153"/>
      <c r="BC1611" s="153"/>
      <c r="BD1611" s="153"/>
      <c r="BE1611" s="153"/>
      <c r="BF1611" s="153"/>
      <c r="BG1611" s="153"/>
      <c r="BH1611" s="153"/>
      <c r="BI1611" s="153"/>
      <c r="BJ1611" s="153"/>
      <c r="BK1611" s="153"/>
      <c r="BL1611" s="153"/>
      <c r="BM1611" s="153"/>
      <c r="BN1611" s="153"/>
      <c r="BO1611" s="153"/>
      <c r="BP1611" s="153"/>
      <c r="BQ1611" s="153"/>
      <c r="BR1611" s="153"/>
      <c r="BS1611" s="153"/>
      <c r="BT1611" s="153"/>
      <c r="BU1611" s="153"/>
      <c r="BV1611" s="153"/>
      <c r="BW1611" s="153"/>
      <c r="BX1611" s="153"/>
      <c r="BY1611" s="153"/>
      <c r="BZ1611" s="153"/>
      <c r="CA1611" s="153"/>
      <c r="CB1611" s="153"/>
      <c r="CC1611" s="153"/>
      <c r="CD1611" s="155"/>
      <c r="CE1611" s="156"/>
      <c r="CF1611" s="155"/>
      <c r="CG1611" s="156"/>
      <c r="CH1611" s="155"/>
      <c r="CI1611" s="156"/>
      <c r="CJ1611" s="157">
        <f t="shared" si="210"/>
        <v>0</v>
      </c>
      <c r="CK1611" s="158"/>
      <c r="CL1611" s="159"/>
      <c r="CM1611" s="160"/>
      <c r="CN1611" s="161"/>
      <c r="CO1611" s="162"/>
      <c r="CP1611" s="161"/>
      <c r="CQ1611" s="158"/>
      <c r="CR1611" s="159"/>
      <c r="CS1611" s="68"/>
      <c r="CT1611" s="163"/>
      <c r="EC1611" s="344" t="str">
        <f t="shared" si="206"/>
        <v>BOYACA_CHIVATA</v>
      </c>
      <c r="ED1611" s="341"/>
      <c r="EE1611" s="341"/>
      <c r="EF1611" s="348"/>
      <c r="EG1611" s="341"/>
      <c r="EH1611" s="341"/>
      <c r="EI1611" s="341"/>
    </row>
    <row r="1612" spans="1:139" s="164" customFormat="1" ht="33.75">
      <c r="A1612" s="228">
        <v>40492</v>
      </c>
      <c r="B1612" s="205" t="s">
        <v>1192</v>
      </c>
      <c r="C1612" s="205" t="s">
        <v>3121</v>
      </c>
      <c r="D1612" s="207" t="s">
        <v>1201</v>
      </c>
      <c r="E1612" s="323" t="s">
        <v>3442</v>
      </c>
      <c r="F1612" s="323"/>
      <c r="G1612" s="204"/>
      <c r="H1612" s="151"/>
      <c r="I1612" s="151"/>
      <c r="J1612" s="151">
        <f>19*5</f>
        <v>95</v>
      </c>
      <c r="K1612" s="151">
        <v>19</v>
      </c>
      <c r="L1612" s="1">
        <v>40530</v>
      </c>
      <c r="M1612" s="73">
        <f t="shared" si="208"/>
        <v>9221930.4000000004</v>
      </c>
      <c r="N1612" s="73">
        <f t="shared" si="205"/>
        <v>5100000</v>
      </c>
      <c r="O1612" s="73">
        <f t="shared" si="207"/>
        <v>0</v>
      </c>
      <c r="P1612" s="73">
        <f t="shared" si="209"/>
        <v>0</v>
      </c>
      <c r="Q1612" s="73"/>
      <c r="R1612" s="73">
        <v>0</v>
      </c>
      <c r="S1612" s="75">
        <f t="shared" si="211"/>
        <v>14321930.4</v>
      </c>
      <c r="T1612" s="77">
        <v>0</v>
      </c>
      <c r="U1612" s="66">
        <v>40504</v>
      </c>
      <c r="V1612" s="79"/>
      <c r="W1612" s="66" t="s">
        <v>1606</v>
      </c>
      <c r="X1612" s="24" t="s">
        <v>1607</v>
      </c>
      <c r="Y1612" s="83" t="s">
        <v>237</v>
      </c>
      <c r="Z1612" s="169" t="s">
        <v>1272</v>
      </c>
      <c r="AA1612" s="166" t="s">
        <v>2139</v>
      </c>
      <c r="AB1612" s="152"/>
      <c r="AC1612" s="153"/>
      <c r="AD1612" s="154"/>
      <c r="AE1612" s="153"/>
      <c r="AF1612" s="153"/>
      <c r="AG1612" s="153"/>
      <c r="AH1612" s="153"/>
      <c r="AI1612" s="153"/>
      <c r="AJ1612" s="153"/>
      <c r="AK1612" s="153"/>
      <c r="AL1612" s="153"/>
      <c r="AM1612" s="153"/>
      <c r="AN1612" s="153">
        <v>60</v>
      </c>
      <c r="AO1612" s="153">
        <f>60*56000</f>
        <v>3360000</v>
      </c>
      <c r="AP1612" s="153"/>
      <c r="AQ1612" s="153"/>
      <c r="AR1612" s="153"/>
      <c r="AS1612" s="153"/>
      <c r="AT1612" s="153"/>
      <c r="AU1612" s="153"/>
      <c r="AV1612" s="153"/>
      <c r="AW1612" s="153"/>
      <c r="AX1612" s="153"/>
      <c r="AY1612" s="153"/>
      <c r="AZ1612" s="153"/>
      <c r="BA1612" s="153"/>
      <c r="BB1612" s="153"/>
      <c r="BC1612" s="153"/>
      <c r="BD1612" s="153"/>
      <c r="BE1612" s="153"/>
      <c r="BF1612" s="153"/>
      <c r="BG1612" s="153"/>
      <c r="BH1612" s="153"/>
      <c r="BI1612" s="153"/>
      <c r="BJ1612" s="153"/>
      <c r="BK1612" s="153"/>
      <c r="BL1612" s="153"/>
      <c r="BM1612" s="153"/>
      <c r="BN1612" s="153"/>
      <c r="BO1612" s="153"/>
      <c r="BP1612" s="153"/>
      <c r="BQ1612" s="153"/>
      <c r="BR1612" s="153"/>
      <c r="BS1612" s="153"/>
      <c r="BT1612" s="153"/>
      <c r="BU1612" s="153"/>
      <c r="BV1612" s="153"/>
      <c r="BW1612" s="153"/>
      <c r="BX1612" s="153">
        <v>60</v>
      </c>
      <c r="BY1612" s="153">
        <f>60*20999.48</f>
        <v>1259968.8</v>
      </c>
      <c r="BZ1612" s="153"/>
      <c r="CA1612" s="153"/>
      <c r="CB1612" s="153"/>
      <c r="CC1612" s="153"/>
      <c r="CD1612" s="155">
        <v>60</v>
      </c>
      <c r="CE1612" s="156">
        <f>60*36999.36</f>
        <v>2219961.6</v>
      </c>
      <c r="CF1612" s="155">
        <v>60</v>
      </c>
      <c r="CG1612" s="156">
        <f>60*39700</f>
        <v>2382000</v>
      </c>
      <c r="CH1612" s="155"/>
      <c r="CI1612" s="156"/>
      <c r="CJ1612" s="157">
        <f t="shared" si="210"/>
        <v>9221930.4000000004</v>
      </c>
      <c r="CK1612" s="158"/>
      <c r="CL1612" s="159"/>
      <c r="CM1612" s="160">
        <v>60</v>
      </c>
      <c r="CN1612" s="161">
        <f>60*85000</f>
        <v>5100000</v>
      </c>
      <c r="CO1612" s="162"/>
      <c r="CP1612" s="161"/>
      <c r="CQ1612" s="158"/>
      <c r="CR1612" s="159"/>
      <c r="CS1612" s="68"/>
      <c r="CT1612" s="163"/>
      <c r="EC1612" s="344" t="str">
        <f t="shared" si="206"/>
        <v>BOYACA_CIENEGA</v>
      </c>
      <c r="ED1612" s="341"/>
      <c r="EE1612" s="341"/>
      <c r="EF1612" s="348"/>
      <c r="EG1612" s="341"/>
      <c r="EH1612" s="341"/>
      <c r="EI1612" s="341"/>
    </row>
    <row r="1613" spans="1:139" s="164" customFormat="1" ht="25.5">
      <c r="A1613" s="228">
        <v>40492</v>
      </c>
      <c r="B1613" s="205" t="s">
        <v>1192</v>
      </c>
      <c r="C1613" s="205" t="s">
        <v>100</v>
      </c>
      <c r="D1613" s="207" t="s">
        <v>1878</v>
      </c>
      <c r="E1613" s="323" t="s">
        <v>3444</v>
      </c>
      <c r="F1613" s="323"/>
      <c r="G1613" s="204"/>
      <c r="H1613" s="151"/>
      <c r="I1613" s="151"/>
      <c r="J1613" s="151">
        <f>23*5</f>
        <v>115</v>
      </c>
      <c r="K1613" s="151">
        <v>23</v>
      </c>
      <c r="L1613" s="1"/>
      <c r="M1613" s="73">
        <f t="shared" si="208"/>
        <v>0</v>
      </c>
      <c r="N1613" s="73">
        <f t="shared" si="205"/>
        <v>0</v>
      </c>
      <c r="O1613" s="73">
        <f t="shared" si="207"/>
        <v>0</v>
      </c>
      <c r="P1613" s="73">
        <f t="shared" si="209"/>
        <v>0</v>
      </c>
      <c r="Q1613" s="73"/>
      <c r="R1613" s="73">
        <v>0</v>
      </c>
      <c r="S1613" s="75">
        <f t="shared" si="211"/>
        <v>0</v>
      </c>
      <c r="T1613" s="77">
        <v>0</v>
      </c>
      <c r="U1613" s="66">
        <v>40589</v>
      </c>
      <c r="V1613" s="79"/>
      <c r="W1613" s="66" t="s">
        <v>1585</v>
      </c>
      <c r="X1613" s="24" t="s">
        <v>1586</v>
      </c>
      <c r="Y1613" s="62"/>
      <c r="Z1613" s="169" t="s">
        <v>894</v>
      </c>
      <c r="AA1613" s="166" t="s">
        <v>95</v>
      </c>
      <c r="AB1613" s="152"/>
      <c r="AC1613" s="153"/>
      <c r="AD1613" s="154"/>
      <c r="AE1613" s="153"/>
      <c r="AF1613" s="153"/>
      <c r="AG1613" s="153"/>
      <c r="AH1613" s="153"/>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c r="BF1613" s="153"/>
      <c r="BG1613" s="153"/>
      <c r="BH1613" s="153"/>
      <c r="BI1613" s="153"/>
      <c r="BJ1613" s="153"/>
      <c r="BK1613" s="153"/>
      <c r="BL1613" s="153"/>
      <c r="BM1613" s="153"/>
      <c r="BN1613" s="153"/>
      <c r="BO1613" s="153"/>
      <c r="BP1613" s="153"/>
      <c r="BQ1613" s="153"/>
      <c r="BR1613" s="153"/>
      <c r="BS1613" s="153"/>
      <c r="BT1613" s="153"/>
      <c r="BU1613" s="153"/>
      <c r="BV1613" s="153"/>
      <c r="BW1613" s="153"/>
      <c r="BX1613" s="153"/>
      <c r="BY1613" s="153"/>
      <c r="BZ1613" s="153"/>
      <c r="CA1613" s="153"/>
      <c r="CB1613" s="153"/>
      <c r="CC1613" s="153"/>
      <c r="CD1613" s="155"/>
      <c r="CE1613" s="156"/>
      <c r="CF1613" s="155"/>
      <c r="CG1613" s="156"/>
      <c r="CH1613" s="155"/>
      <c r="CI1613" s="156"/>
      <c r="CJ1613" s="157">
        <f t="shared" si="210"/>
        <v>0</v>
      </c>
      <c r="CK1613" s="158"/>
      <c r="CL1613" s="159"/>
      <c r="CM1613" s="160"/>
      <c r="CN1613" s="161"/>
      <c r="CO1613" s="162"/>
      <c r="CP1613" s="161"/>
      <c r="CQ1613" s="158"/>
      <c r="CR1613" s="159"/>
      <c r="CS1613" s="68"/>
      <c r="CT1613" s="163"/>
      <c r="EC1613" s="366" t="str">
        <f t="shared" si="206"/>
        <v>BOYACA_COPER</v>
      </c>
      <c r="ED1613" s="367"/>
      <c r="EE1613" s="341"/>
      <c r="EF1613" s="348"/>
      <c r="EG1613" s="341"/>
      <c r="EH1613" s="341"/>
      <c r="EI1613" s="341"/>
    </row>
    <row r="1614" spans="1:139" s="164" customFormat="1" ht="25.5">
      <c r="A1614" s="228">
        <v>40492</v>
      </c>
      <c r="B1614" s="205" t="s">
        <v>1192</v>
      </c>
      <c r="C1614" s="205" t="s">
        <v>1916</v>
      </c>
      <c r="D1614" s="207" t="s">
        <v>1878</v>
      </c>
      <c r="E1614" s="323" t="s">
        <v>3445</v>
      </c>
      <c r="F1614" s="323"/>
      <c r="G1614" s="204"/>
      <c r="H1614" s="151"/>
      <c r="I1614" s="151"/>
      <c r="J1614" s="151">
        <f>54*5</f>
        <v>270</v>
      </c>
      <c r="K1614" s="151">
        <v>54</v>
      </c>
      <c r="L1614" s="1"/>
      <c r="M1614" s="73">
        <f t="shared" si="208"/>
        <v>0</v>
      </c>
      <c r="N1614" s="73">
        <f t="shared" ref="N1614:N1677" si="212">CN1614</f>
        <v>0</v>
      </c>
      <c r="O1614" s="73">
        <f t="shared" si="207"/>
        <v>0</v>
      </c>
      <c r="P1614" s="73">
        <f t="shared" si="209"/>
        <v>0</v>
      </c>
      <c r="Q1614" s="73"/>
      <c r="R1614" s="73">
        <v>0</v>
      </c>
      <c r="S1614" s="75">
        <f t="shared" si="211"/>
        <v>0</v>
      </c>
      <c r="T1614" s="77">
        <v>0</v>
      </c>
      <c r="U1614" s="66">
        <v>40589</v>
      </c>
      <c r="V1614" s="79"/>
      <c r="W1614" s="66" t="s">
        <v>1585</v>
      </c>
      <c r="X1614" s="24" t="s">
        <v>1586</v>
      </c>
      <c r="Y1614" s="62"/>
      <c r="Z1614" s="169" t="s">
        <v>894</v>
      </c>
      <c r="AA1614" s="166" t="s">
        <v>95</v>
      </c>
      <c r="AB1614" s="152"/>
      <c r="AC1614" s="153"/>
      <c r="AD1614" s="154"/>
      <c r="AE1614" s="153"/>
      <c r="AF1614" s="153"/>
      <c r="AG1614" s="153"/>
      <c r="AH1614" s="153"/>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c r="BI1614" s="153"/>
      <c r="BJ1614" s="153"/>
      <c r="BK1614" s="153"/>
      <c r="BL1614" s="153"/>
      <c r="BM1614" s="153"/>
      <c r="BN1614" s="153"/>
      <c r="BO1614" s="153"/>
      <c r="BP1614" s="153"/>
      <c r="BQ1614" s="153"/>
      <c r="BR1614" s="153"/>
      <c r="BS1614" s="153"/>
      <c r="BT1614" s="153"/>
      <c r="BU1614" s="153"/>
      <c r="BV1614" s="153"/>
      <c r="BW1614" s="153"/>
      <c r="BX1614" s="153"/>
      <c r="BY1614" s="153"/>
      <c r="BZ1614" s="153"/>
      <c r="CA1614" s="153"/>
      <c r="CB1614" s="153"/>
      <c r="CC1614" s="153"/>
      <c r="CD1614" s="155"/>
      <c r="CE1614" s="156"/>
      <c r="CF1614" s="155"/>
      <c r="CG1614" s="156"/>
      <c r="CH1614" s="155"/>
      <c r="CI1614" s="156"/>
      <c r="CJ1614" s="157">
        <f t="shared" si="210"/>
        <v>0</v>
      </c>
      <c r="CK1614" s="158"/>
      <c r="CL1614" s="159"/>
      <c r="CM1614" s="160"/>
      <c r="CN1614" s="161"/>
      <c r="CO1614" s="162"/>
      <c r="CP1614" s="161"/>
      <c r="CQ1614" s="158"/>
      <c r="CR1614" s="159"/>
      <c r="CS1614" s="68"/>
      <c r="CT1614" s="163"/>
      <c r="EC1614" s="366" t="str">
        <f t="shared" si="206"/>
        <v>BOYACA_CORRALES</v>
      </c>
      <c r="ED1614" s="367"/>
      <c r="EE1614" s="341"/>
      <c r="EF1614" s="348"/>
      <c r="EG1614" s="341"/>
      <c r="EH1614" s="341"/>
      <c r="EI1614" s="341"/>
    </row>
    <row r="1615" spans="1:139" s="164" customFormat="1" ht="33.75">
      <c r="A1615" s="228">
        <v>40492</v>
      </c>
      <c r="B1615" s="205" t="s">
        <v>1192</v>
      </c>
      <c r="C1615" s="205" t="s">
        <v>1921</v>
      </c>
      <c r="D1615" s="207" t="s">
        <v>1201</v>
      </c>
      <c r="E1615" s="323" t="s">
        <v>3459</v>
      </c>
      <c r="F1615" s="323"/>
      <c r="G1615" s="204"/>
      <c r="H1615" s="151"/>
      <c r="I1615" s="151"/>
      <c r="J1615" s="151">
        <f>60*5</f>
        <v>300</v>
      </c>
      <c r="K1615" s="151">
        <v>60</v>
      </c>
      <c r="L1615" s="1">
        <v>40530</v>
      </c>
      <c r="M1615" s="73">
        <f t="shared" si="208"/>
        <v>7684942</v>
      </c>
      <c r="N1615" s="73">
        <f t="shared" si="212"/>
        <v>4250000</v>
      </c>
      <c r="O1615" s="73">
        <f t="shared" si="207"/>
        <v>0</v>
      </c>
      <c r="P1615" s="73">
        <f t="shared" si="209"/>
        <v>0</v>
      </c>
      <c r="Q1615" s="73"/>
      <c r="R1615" s="73">
        <v>0</v>
      </c>
      <c r="S1615" s="75">
        <f t="shared" si="211"/>
        <v>11934942</v>
      </c>
      <c r="T1615" s="77">
        <v>0</v>
      </c>
      <c r="U1615" s="66">
        <v>40504</v>
      </c>
      <c r="V1615" s="79"/>
      <c r="W1615" s="66" t="s">
        <v>1606</v>
      </c>
      <c r="X1615" s="24" t="s">
        <v>1607</v>
      </c>
      <c r="Y1615" s="83" t="s">
        <v>237</v>
      </c>
      <c r="Z1615" s="169" t="s">
        <v>1272</v>
      </c>
      <c r="AA1615" s="166" t="s">
        <v>2867</v>
      </c>
      <c r="AB1615" s="152"/>
      <c r="AC1615" s="153"/>
      <c r="AD1615" s="154"/>
      <c r="AE1615" s="153"/>
      <c r="AF1615" s="153"/>
      <c r="AG1615" s="153"/>
      <c r="AH1615" s="153"/>
      <c r="AI1615" s="153"/>
      <c r="AJ1615" s="153"/>
      <c r="AK1615" s="153"/>
      <c r="AL1615" s="153"/>
      <c r="AM1615" s="153"/>
      <c r="AN1615" s="153">
        <v>50</v>
      </c>
      <c r="AO1615" s="153">
        <f>50*56000</f>
        <v>2800000</v>
      </c>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c r="BI1615" s="153"/>
      <c r="BJ1615" s="153"/>
      <c r="BK1615" s="153"/>
      <c r="BL1615" s="153"/>
      <c r="BM1615" s="153"/>
      <c r="BN1615" s="153"/>
      <c r="BO1615" s="153"/>
      <c r="BP1615" s="153"/>
      <c r="BQ1615" s="153"/>
      <c r="BR1615" s="153"/>
      <c r="BS1615" s="153"/>
      <c r="BT1615" s="153"/>
      <c r="BU1615" s="153"/>
      <c r="BV1615" s="153"/>
      <c r="BW1615" s="153"/>
      <c r="BX1615" s="153">
        <v>50</v>
      </c>
      <c r="BY1615" s="153">
        <f>50*20999.48</f>
        <v>1049974</v>
      </c>
      <c r="BZ1615" s="153"/>
      <c r="CA1615" s="153"/>
      <c r="CB1615" s="153"/>
      <c r="CC1615" s="153"/>
      <c r="CD1615" s="155">
        <v>50</v>
      </c>
      <c r="CE1615" s="156">
        <f>50*36999.36</f>
        <v>1849968</v>
      </c>
      <c r="CF1615" s="155">
        <v>50</v>
      </c>
      <c r="CG1615" s="156">
        <f>50*39700</f>
        <v>1985000</v>
      </c>
      <c r="CH1615" s="155"/>
      <c r="CI1615" s="156"/>
      <c r="CJ1615" s="157">
        <f t="shared" si="210"/>
        <v>7684942</v>
      </c>
      <c r="CK1615" s="158"/>
      <c r="CL1615" s="159"/>
      <c r="CM1615" s="160">
        <v>50</v>
      </c>
      <c r="CN1615" s="161">
        <f>50*85000</f>
        <v>4250000</v>
      </c>
      <c r="CO1615" s="162"/>
      <c r="CP1615" s="161"/>
      <c r="CQ1615" s="158"/>
      <c r="CR1615" s="159"/>
      <c r="CS1615" s="68"/>
      <c r="CT1615" s="163"/>
      <c r="EC1615" s="366" t="str">
        <f t="shared" si="206"/>
        <v>BOYACA_GARAGOA</v>
      </c>
      <c r="ED1615" s="367"/>
      <c r="EE1615" s="341"/>
      <c r="EF1615" s="348"/>
      <c r="EG1615" s="341"/>
      <c r="EH1615" s="341"/>
      <c r="EI1615" s="341"/>
    </row>
    <row r="1616" spans="1:139" s="164" customFormat="1" ht="38.25">
      <c r="A1616" s="228">
        <v>40492</v>
      </c>
      <c r="B1616" s="205" t="s">
        <v>1192</v>
      </c>
      <c r="C1616" s="205" t="s">
        <v>1922</v>
      </c>
      <c r="D1616" s="207" t="s">
        <v>1878</v>
      </c>
      <c r="E1616" s="323" t="s">
        <v>3460</v>
      </c>
      <c r="F1616" s="323"/>
      <c r="G1616" s="204"/>
      <c r="H1616" s="151"/>
      <c r="I1616" s="151"/>
      <c r="J1616" s="151">
        <f>124*5</f>
        <v>620</v>
      </c>
      <c r="K1616" s="151">
        <v>124</v>
      </c>
      <c r="L1616" s="1"/>
      <c r="M1616" s="73">
        <f t="shared" si="208"/>
        <v>0</v>
      </c>
      <c r="N1616" s="73">
        <f t="shared" si="212"/>
        <v>0</v>
      </c>
      <c r="O1616" s="73">
        <f t="shared" si="207"/>
        <v>0</v>
      </c>
      <c r="P1616" s="73">
        <f t="shared" si="209"/>
        <v>0</v>
      </c>
      <c r="Q1616" s="73"/>
      <c r="R1616" s="73">
        <v>0</v>
      </c>
      <c r="S1616" s="75">
        <f t="shared" si="211"/>
        <v>0</v>
      </c>
      <c r="T1616" s="77">
        <v>0</v>
      </c>
      <c r="U1616" s="66">
        <v>40589</v>
      </c>
      <c r="V1616" s="79"/>
      <c r="W1616" s="66" t="s">
        <v>1585</v>
      </c>
      <c r="X1616" s="24" t="s">
        <v>1586</v>
      </c>
      <c r="Y1616" s="62"/>
      <c r="Z1616" s="169" t="s">
        <v>894</v>
      </c>
      <c r="AA1616" s="166" t="s">
        <v>95</v>
      </c>
      <c r="AB1616" s="152"/>
      <c r="AC1616" s="153"/>
      <c r="AD1616" s="154"/>
      <c r="AE1616" s="153"/>
      <c r="AF1616" s="153"/>
      <c r="AG1616" s="153"/>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c r="BI1616" s="153"/>
      <c r="BJ1616" s="153"/>
      <c r="BK1616" s="153"/>
      <c r="BL1616" s="153"/>
      <c r="BM1616" s="153"/>
      <c r="BN1616" s="153"/>
      <c r="BO1616" s="153"/>
      <c r="BP1616" s="153"/>
      <c r="BQ1616" s="153"/>
      <c r="BR1616" s="153"/>
      <c r="BS1616" s="153"/>
      <c r="BT1616" s="153"/>
      <c r="BU1616" s="153"/>
      <c r="BV1616" s="153"/>
      <c r="BW1616" s="153"/>
      <c r="BX1616" s="153"/>
      <c r="BY1616" s="153"/>
      <c r="BZ1616" s="153"/>
      <c r="CA1616" s="153"/>
      <c r="CB1616" s="153"/>
      <c r="CC1616" s="153"/>
      <c r="CD1616" s="155"/>
      <c r="CE1616" s="156"/>
      <c r="CF1616" s="155"/>
      <c r="CG1616" s="156"/>
      <c r="CH1616" s="155"/>
      <c r="CI1616" s="156"/>
      <c r="CJ1616" s="157">
        <f t="shared" si="210"/>
        <v>0</v>
      </c>
      <c r="CK1616" s="158"/>
      <c r="CL1616" s="159"/>
      <c r="CM1616" s="160"/>
      <c r="CN1616" s="161"/>
      <c r="CO1616" s="162"/>
      <c r="CP1616" s="161"/>
      <c r="CQ1616" s="158"/>
      <c r="CR1616" s="159"/>
      <c r="CS1616" s="68"/>
      <c r="CT1616" s="163"/>
      <c r="EC1616" s="366" t="str">
        <f t="shared" si="206"/>
        <v>BOYACA_GUACAMAYAS</v>
      </c>
      <c r="ED1616" s="367"/>
      <c r="EE1616" s="341"/>
      <c r="EF1616" s="348"/>
      <c r="EG1616" s="341"/>
      <c r="EH1616" s="341"/>
      <c r="EI1616" s="341"/>
    </row>
    <row r="1617" spans="1:139" s="164" customFormat="1" ht="33.75">
      <c r="A1617" s="228">
        <v>40492</v>
      </c>
      <c r="B1617" s="205" t="s">
        <v>1192</v>
      </c>
      <c r="C1617" s="205" t="s">
        <v>2121</v>
      </c>
      <c r="D1617" s="206" t="s">
        <v>1878</v>
      </c>
      <c r="E1617" s="320" t="s">
        <v>3470</v>
      </c>
      <c r="F1617" s="320"/>
      <c r="G1617" s="204"/>
      <c r="H1617" s="151"/>
      <c r="I1617" s="151"/>
      <c r="J1617" s="151">
        <v>500</v>
      </c>
      <c r="K1617" s="151">
        <v>100</v>
      </c>
      <c r="L1617" s="1">
        <v>40530</v>
      </c>
      <c r="M1617" s="73">
        <f t="shared" si="208"/>
        <v>12295907.199999999</v>
      </c>
      <c r="N1617" s="73">
        <f t="shared" si="212"/>
        <v>6800000</v>
      </c>
      <c r="O1617" s="73">
        <f t="shared" si="207"/>
        <v>0</v>
      </c>
      <c r="P1617" s="73">
        <f t="shared" si="209"/>
        <v>0</v>
      </c>
      <c r="Q1617" s="73"/>
      <c r="R1617" s="73">
        <v>0</v>
      </c>
      <c r="S1617" s="75">
        <f t="shared" si="211"/>
        <v>19095907.199999999</v>
      </c>
      <c r="T1617" s="77">
        <v>0</v>
      </c>
      <c r="U1617" s="66">
        <v>40504</v>
      </c>
      <c r="V1617" s="79"/>
      <c r="W1617" s="66" t="s">
        <v>1606</v>
      </c>
      <c r="X1617" s="24" t="s">
        <v>1607</v>
      </c>
      <c r="Y1617" s="83" t="s">
        <v>237</v>
      </c>
      <c r="Z1617" s="169" t="s">
        <v>1272</v>
      </c>
      <c r="AA1617" s="166" t="s">
        <v>2142</v>
      </c>
      <c r="AB1617" s="152"/>
      <c r="AC1617" s="153"/>
      <c r="AD1617" s="154"/>
      <c r="AE1617" s="153"/>
      <c r="AF1617" s="153"/>
      <c r="AG1617" s="153"/>
      <c r="AH1617" s="153"/>
      <c r="AI1617" s="153"/>
      <c r="AJ1617" s="153"/>
      <c r="AK1617" s="153"/>
      <c r="AL1617" s="153"/>
      <c r="AM1617" s="153"/>
      <c r="AN1617" s="153">
        <v>80</v>
      </c>
      <c r="AO1617" s="153">
        <f>80*56000</f>
        <v>4480000</v>
      </c>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c r="BI1617" s="153"/>
      <c r="BJ1617" s="153"/>
      <c r="BK1617" s="153"/>
      <c r="BL1617" s="153"/>
      <c r="BM1617" s="153"/>
      <c r="BN1617" s="153"/>
      <c r="BO1617" s="153"/>
      <c r="BP1617" s="153"/>
      <c r="BQ1617" s="153"/>
      <c r="BR1617" s="153"/>
      <c r="BS1617" s="153"/>
      <c r="BT1617" s="153"/>
      <c r="BU1617" s="153"/>
      <c r="BV1617" s="153"/>
      <c r="BW1617" s="153"/>
      <c r="BX1617" s="153">
        <v>80</v>
      </c>
      <c r="BY1617" s="153">
        <f>80*20999.48</f>
        <v>1679958.4</v>
      </c>
      <c r="BZ1617" s="153"/>
      <c r="CA1617" s="153"/>
      <c r="CB1617" s="153"/>
      <c r="CC1617" s="153"/>
      <c r="CD1617" s="155">
        <v>80</v>
      </c>
      <c r="CE1617" s="156">
        <f>80*36999.36</f>
        <v>2959948.8</v>
      </c>
      <c r="CF1617" s="155">
        <v>80</v>
      </c>
      <c r="CG1617" s="156">
        <f>80*39700</f>
        <v>3176000</v>
      </c>
      <c r="CH1617" s="155"/>
      <c r="CI1617" s="156"/>
      <c r="CJ1617" s="157">
        <f t="shared" si="210"/>
        <v>12295907.199999999</v>
      </c>
      <c r="CK1617" s="158"/>
      <c r="CL1617" s="159"/>
      <c r="CM1617" s="160">
        <v>80</v>
      </c>
      <c r="CN1617" s="161">
        <f>80*85000</f>
        <v>6800000</v>
      </c>
      <c r="CO1617" s="162"/>
      <c r="CP1617" s="161"/>
      <c r="CQ1617" s="158"/>
      <c r="CR1617" s="159"/>
      <c r="CS1617" s="68"/>
      <c r="CT1617" s="163"/>
      <c r="EC1617" s="366" t="str">
        <f t="shared" si="206"/>
        <v>BOYACA_LA UVITA</v>
      </c>
      <c r="ED1617" s="367"/>
      <c r="EE1617" s="367"/>
      <c r="EF1617" s="368"/>
      <c r="EG1617" s="367"/>
      <c r="EH1617" s="367"/>
      <c r="EI1617" s="367"/>
    </row>
    <row r="1618" spans="1:139" s="164" customFormat="1" ht="33.75">
      <c r="A1618" s="228">
        <v>40492</v>
      </c>
      <c r="B1618" s="205" t="s">
        <v>1192</v>
      </c>
      <c r="C1618" s="205" t="s">
        <v>1928</v>
      </c>
      <c r="D1618" s="207" t="s">
        <v>1201</v>
      </c>
      <c r="E1618" s="323" t="s">
        <v>3476</v>
      </c>
      <c r="F1618" s="323"/>
      <c r="G1618" s="204"/>
      <c r="H1618" s="151"/>
      <c r="I1618" s="151"/>
      <c r="J1618" s="151">
        <f>87*5</f>
        <v>435</v>
      </c>
      <c r="K1618" s="151">
        <v>87</v>
      </c>
      <c r="L1618" s="1">
        <v>40530</v>
      </c>
      <c r="M1618" s="73">
        <f t="shared" si="208"/>
        <v>9221930.4000000004</v>
      </c>
      <c r="N1618" s="73">
        <f t="shared" si="212"/>
        <v>5100000</v>
      </c>
      <c r="O1618" s="73">
        <f t="shared" si="207"/>
        <v>0</v>
      </c>
      <c r="P1618" s="73">
        <f t="shared" si="209"/>
        <v>0</v>
      </c>
      <c r="Q1618" s="73"/>
      <c r="R1618" s="73">
        <v>0</v>
      </c>
      <c r="S1618" s="75">
        <f t="shared" si="211"/>
        <v>14321930.4</v>
      </c>
      <c r="T1618" s="77">
        <v>0</v>
      </c>
      <c r="U1618" s="66">
        <v>40504</v>
      </c>
      <c r="V1618" s="79"/>
      <c r="W1618" s="66" t="s">
        <v>1606</v>
      </c>
      <c r="X1618" s="24" t="s">
        <v>1607</v>
      </c>
      <c r="Y1618" s="83" t="s">
        <v>237</v>
      </c>
      <c r="Z1618" s="169" t="s">
        <v>1272</v>
      </c>
      <c r="AA1618" s="166" t="s">
        <v>902</v>
      </c>
      <c r="AB1618" s="152"/>
      <c r="AC1618" s="153"/>
      <c r="AD1618" s="154"/>
      <c r="AE1618" s="153"/>
      <c r="AF1618" s="153"/>
      <c r="AG1618" s="153"/>
      <c r="AH1618" s="153"/>
      <c r="AI1618" s="153"/>
      <c r="AJ1618" s="153"/>
      <c r="AK1618" s="153"/>
      <c r="AL1618" s="153"/>
      <c r="AM1618" s="153"/>
      <c r="AN1618" s="153">
        <v>60</v>
      </c>
      <c r="AO1618" s="153">
        <f>60*56000</f>
        <v>3360000</v>
      </c>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c r="BI1618" s="153"/>
      <c r="BJ1618" s="153"/>
      <c r="BK1618" s="153"/>
      <c r="BL1618" s="153"/>
      <c r="BM1618" s="153"/>
      <c r="BN1618" s="153"/>
      <c r="BO1618" s="153"/>
      <c r="BP1618" s="153"/>
      <c r="BQ1618" s="153"/>
      <c r="BR1618" s="153"/>
      <c r="BS1618" s="153"/>
      <c r="BT1618" s="153"/>
      <c r="BU1618" s="153"/>
      <c r="BV1618" s="153"/>
      <c r="BW1618" s="153"/>
      <c r="BX1618" s="153">
        <v>60</v>
      </c>
      <c r="BY1618" s="153">
        <f>60*20999.48</f>
        <v>1259968.8</v>
      </c>
      <c r="BZ1618" s="153"/>
      <c r="CA1618" s="153"/>
      <c r="CB1618" s="153"/>
      <c r="CC1618" s="153"/>
      <c r="CD1618" s="155">
        <v>60</v>
      </c>
      <c r="CE1618" s="156">
        <f>60*36999.36</f>
        <v>2219961.6</v>
      </c>
      <c r="CF1618" s="155">
        <v>60</v>
      </c>
      <c r="CG1618" s="156">
        <f>60*39700</f>
        <v>2382000</v>
      </c>
      <c r="CH1618" s="155"/>
      <c r="CI1618" s="156"/>
      <c r="CJ1618" s="157">
        <f t="shared" si="210"/>
        <v>9221930.4000000004</v>
      </c>
      <c r="CK1618" s="158"/>
      <c r="CL1618" s="159"/>
      <c r="CM1618" s="160">
        <v>60</v>
      </c>
      <c r="CN1618" s="161">
        <f>60*85000</f>
        <v>5100000</v>
      </c>
      <c r="CO1618" s="162"/>
      <c r="CP1618" s="161"/>
      <c r="CQ1618" s="158"/>
      <c r="CR1618" s="159"/>
      <c r="CS1618" s="68"/>
      <c r="CT1618" s="163"/>
      <c r="EC1618" s="366" t="str">
        <f t="shared" si="206"/>
        <v>BOYACA_MONGUI</v>
      </c>
      <c r="ED1618" s="367"/>
      <c r="EE1618" s="367"/>
      <c r="EF1618" s="368"/>
      <c r="EG1618" s="367"/>
      <c r="EH1618" s="367"/>
      <c r="EI1618" s="367"/>
    </row>
    <row r="1619" spans="1:139" s="164" customFormat="1" ht="33.75">
      <c r="A1619" s="228">
        <v>40492</v>
      </c>
      <c r="B1619" s="205" t="s">
        <v>1192</v>
      </c>
      <c r="C1619" s="205" t="s">
        <v>2265</v>
      </c>
      <c r="D1619" s="206" t="s">
        <v>1878</v>
      </c>
      <c r="E1619" s="320" t="s">
        <v>3526</v>
      </c>
      <c r="F1619" s="320"/>
      <c r="G1619" s="204"/>
      <c r="H1619" s="151"/>
      <c r="I1619" s="151"/>
      <c r="J1619" s="151">
        <f>44*5</f>
        <v>220</v>
      </c>
      <c r="K1619" s="151">
        <v>44</v>
      </c>
      <c r="L1619" s="1">
        <v>40530</v>
      </c>
      <c r="M1619" s="73">
        <f t="shared" si="208"/>
        <v>4610965.2</v>
      </c>
      <c r="N1619" s="73">
        <f t="shared" si="212"/>
        <v>2550000</v>
      </c>
      <c r="O1619" s="73">
        <f t="shared" si="207"/>
        <v>0</v>
      </c>
      <c r="P1619" s="73">
        <f t="shared" si="209"/>
        <v>0</v>
      </c>
      <c r="Q1619" s="73"/>
      <c r="R1619" s="73">
        <v>0</v>
      </c>
      <c r="S1619" s="75">
        <f t="shared" si="211"/>
        <v>7160965.2000000002</v>
      </c>
      <c r="T1619" s="77">
        <v>0</v>
      </c>
      <c r="U1619" s="66">
        <v>40504</v>
      </c>
      <c r="V1619" s="79"/>
      <c r="W1619" s="66" t="s">
        <v>1606</v>
      </c>
      <c r="X1619" s="24" t="s">
        <v>1607</v>
      </c>
      <c r="Y1619" s="83" t="s">
        <v>237</v>
      </c>
      <c r="Z1619" s="169" t="s">
        <v>1272</v>
      </c>
      <c r="AA1619" s="166" t="s">
        <v>902</v>
      </c>
      <c r="AB1619" s="152"/>
      <c r="AC1619" s="153"/>
      <c r="AD1619" s="154"/>
      <c r="AE1619" s="153"/>
      <c r="AF1619" s="153"/>
      <c r="AG1619" s="153"/>
      <c r="AH1619" s="153"/>
      <c r="AI1619" s="153"/>
      <c r="AJ1619" s="153"/>
      <c r="AK1619" s="153"/>
      <c r="AL1619" s="153"/>
      <c r="AM1619" s="153"/>
      <c r="AN1619" s="153">
        <v>30</v>
      </c>
      <c r="AO1619" s="153">
        <f>30*56000</f>
        <v>1680000</v>
      </c>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c r="BI1619" s="153"/>
      <c r="BJ1619" s="153"/>
      <c r="BK1619" s="153"/>
      <c r="BL1619" s="153"/>
      <c r="BM1619" s="153"/>
      <c r="BN1619" s="153"/>
      <c r="BO1619" s="153"/>
      <c r="BP1619" s="153"/>
      <c r="BQ1619" s="153"/>
      <c r="BR1619" s="153"/>
      <c r="BS1619" s="153"/>
      <c r="BT1619" s="153"/>
      <c r="BU1619" s="153"/>
      <c r="BV1619" s="153"/>
      <c r="BW1619" s="153"/>
      <c r="BX1619" s="153">
        <v>30</v>
      </c>
      <c r="BY1619" s="153">
        <f>30*20999.48</f>
        <v>629984.4</v>
      </c>
      <c r="BZ1619" s="153"/>
      <c r="CA1619" s="153"/>
      <c r="CB1619" s="153"/>
      <c r="CC1619" s="153"/>
      <c r="CD1619" s="155">
        <v>30</v>
      </c>
      <c r="CE1619" s="156">
        <f>30*36999.36</f>
        <v>1109980.8</v>
      </c>
      <c r="CF1619" s="155">
        <v>30</v>
      </c>
      <c r="CG1619" s="156">
        <f>30*39700</f>
        <v>1191000</v>
      </c>
      <c r="CH1619" s="155"/>
      <c r="CI1619" s="156"/>
      <c r="CJ1619" s="157">
        <f t="shared" si="210"/>
        <v>4610965.2</v>
      </c>
      <c r="CK1619" s="158"/>
      <c r="CL1619" s="159"/>
      <c r="CM1619" s="160">
        <v>30</v>
      </c>
      <c r="CN1619" s="161">
        <f>30*85000</f>
        <v>2550000</v>
      </c>
      <c r="CO1619" s="162"/>
      <c r="CP1619" s="161"/>
      <c r="CQ1619" s="158"/>
      <c r="CR1619" s="159"/>
      <c r="CS1619" s="68"/>
      <c r="CT1619" s="163"/>
      <c r="EC1619" s="366" t="str">
        <f t="shared" si="206"/>
        <v>BOYACA_TASCO</v>
      </c>
      <c r="ED1619" s="367"/>
      <c r="EE1619" s="367"/>
      <c r="EF1619" s="368"/>
      <c r="EG1619" s="367"/>
      <c r="EH1619" s="367"/>
      <c r="EI1619" s="367"/>
    </row>
    <row r="1620" spans="1:139" s="164" customFormat="1" ht="25.5">
      <c r="A1620" s="228">
        <v>40492</v>
      </c>
      <c r="B1620" s="205" t="s">
        <v>1192</v>
      </c>
      <c r="C1620" s="205" t="s">
        <v>1335</v>
      </c>
      <c r="D1620" s="207" t="s">
        <v>1878</v>
      </c>
      <c r="E1620" s="323" t="s">
        <v>3527</v>
      </c>
      <c r="F1620" s="323"/>
      <c r="G1620" s="204"/>
      <c r="H1620" s="151"/>
      <c r="I1620" s="151"/>
      <c r="J1620" s="151">
        <v>150</v>
      </c>
      <c r="K1620" s="151">
        <v>30</v>
      </c>
      <c r="L1620" s="1"/>
      <c r="M1620" s="73">
        <f t="shared" si="208"/>
        <v>0</v>
      </c>
      <c r="N1620" s="73">
        <f t="shared" si="212"/>
        <v>0</v>
      </c>
      <c r="O1620" s="73">
        <f t="shared" si="207"/>
        <v>0</v>
      </c>
      <c r="P1620" s="73">
        <f t="shared" si="209"/>
        <v>0</v>
      </c>
      <c r="Q1620" s="73"/>
      <c r="R1620" s="73">
        <v>0</v>
      </c>
      <c r="S1620" s="75">
        <f t="shared" si="211"/>
        <v>0</v>
      </c>
      <c r="T1620" s="77">
        <v>0</v>
      </c>
      <c r="U1620" s="66">
        <v>40589</v>
      </c>
      <c r="V1620" s="79"/>
      <c r="W1620" s="66" t="s">
        <v>1585</v>
      </c>
      <c r="X1620" s="24" t="s">
        <v>1586</v>
      </c>
      <c r="Y1620" s="62"/>
      <c r="Z1620" s="169" t="s">
        <v>894</v>
      </c>
      <c r="AA1620" s="166" t="s">
        <v>95</v>
      </c>
      <c r="AB1620" s="152"/>
      <c r="AC1620" s="153"/>
      <c r="AD1620" s="154"/>
      <c r="AE1620" s="153"/>
      <c r="AF1620" s="153"/>
      <c r="AG1620" s="153"/>
      <c r="AH1620" s="153"/>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c r="BI1620" s="153"/>
      <c r="BJ1620" s="153"/>
      <c r="BK1620" s="153"/>
      <c r="BL1620" s="153"/>
      <c r="BM1620" s="153"/>
      <c r="BN1620" s="153"/>
      <c r="BO1620" s="153"/>
      <c r="BP1620" s="153"/>
      <c r="BQ1620" s="153"/>
      <c r="BR1620" s="153"/>
      <c r="BS1620" s="153"/>
      <c r="BT1620" s="153"/>
      <c r="BU1620" s="153"/>
      <c r="BV1620" s="153"/>
      <c r="BW1620" s="153"/>
      <c r="BX1620" s="153"/>
      <c r="BY1620" s="153"/>
      <c r="BZ1620" s="153"/>
      <c r="CA1620" s="153"/>
      <c r="CB1620" s="153"/>
      <c r="CC1620" s="153"/>
      <c r="CD1620" s="155"/>
      <c r="CE1620" s="156"/>
      <c r="CF1620" s="155"/>
      <c r="CG1620" s="156"/>
      <c r="CH1620" s="155"/>
      <c r="CI1620" s="156"/>
      <c r="CJ1620" s="157">
        <f t="shared" si="210"/>
        <v>0</v>
      </c>
      <c r="CK1620" s="158"/>
      <c r="CL1620" s="159"/>
      <c r="CM1620" s="160"/>
      <c r="CN1620" s="161"/>
      <c r="CO1620" s="162"/>
      <c r="CP1620" s="161"/>
      <c r="CQ1620" s="158"/>
      <c r="CR1620" s="159"/>
      <c r="CS1620" s="68"/>
      <c r="CT1620" s="163"/>
      <c r="EC1620" s="366" t="str">
        <f t="shared" ref="EC1620:EC1683" si="213">B1620&amp;"_"&amp;C1620</f>
        <v>BOYACA_TENZA</v>
      </c>
      <c r="ED1620" s="367"/>
      <c r="EE1620" s="367"/>
      <c r="EF1620" s="368"/>
      <c r="EG1620" s="367"/>
      <c r="EH1620" s="367"/>
      <c r="EI1620" s="367"/>
    </row>
    <row r="1621" spans="1:139" s="164" customFormat="1" ht="33.75">
      <c r="A1621" s="228">
        <v>40492</v>
      </c>
      <c r="B1621" s="205" t="s">
        <v>1192</v>
      </c>
      <c r="C1621" s="205" t="s">
        <v>406</v>
      </c>
      <c r="D1621" s="207" t="s">
        <v>1201</v>
      </c>
      <c r="E1621" s="323" t="s">
        <v>3534</v>
      </c>
      <c r="F1621" s="323"/>
      <c r="G1621" s="204"/>
      <c r="H1621" s="151"/>
      <c r="I1621" s="151"/>
      <c r="J1621" s="151">
        <f>54*5</f>
        <v>270</v>
      </c>
      <c r="K1621" s="151">
        <v>54</v>
      </c>
      <c r="L1621" s="1">
        <v>40530</v>
      </c>
      <c r="M1621" s="73">
        <f t="shared" si="208"/>
        <v>3073976.8</v>
      </c>
      <c r="N1621" s="73">
        <f t="shared" si="212"/>
        <v>1700000</v>
      </c>
      <c r="O1621" s="73">
        <f t="shared" si="207"/>
        <v>0</v>
      </c>
      <c r="P1621" s="73">
        <f t="shared" si="209"/>
        <v>0</v>
      </c>
      <c r="Q1621" s="73"/>
      <c r="R1621" s="73">
        <v>0</v>
      </c>
      <c r="S1621" s="75">
        <f t="shared" si="211"/>
        <v>4773976.8</v>
      </c>
      <c r="T1621" s="77">
        <v>0</v>
      </c>
      <c r="U1621" s="66">
        <v>40504</v>
      </c>
      <c r="V1621" s="79"/>
      <c r="W1621" s="66" t="s">
        <v>1606</v>
      </c>
      <c r="X1621" s="24" t="s">
        <v>1607</v>
      </c>
      <c r="Y1621" s="83" t="s">
        <v>237</v>
      </c>
      <c r="Z1621" s="169" t="s">
        <v>1272</v>
      </c>
      <c r="AA1621" s="166" t="s">
        <v>902</v>
      </c>
      <c r="AB1621" s="152"/>
      <c r="AC1621" s="153"/>
      <c r="AD1621" s="154"/>
      <c r="AE1621" s="153"/>
      <c r="AF1621" s="153"/>
      <c r="AG1621" s="153"/>
      <c r="AH1621" s="153"/>
      <c r="AI1621" s="153"/>
      <c r="AJ1621" s="153"/>
      <c r="AK1621" s="153"/>
      <c r="AL1621" s="153"/>
      <c r="AM1621" s="153"/>
      <c r="AN1621" s="153">
        <v>20</v>
      </c>
      <c r="AO1621" s="153">
        <f>20*56000</f>
        <v>1120000</v>
      </c>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c r="BI1621" s="153"/>
      <c r="BJ1621" s="153"/>
      <c r="BK1621" s="153"/>
      <c r="BL1621" s="153"/>
      <c r="BM1621" s="153"/>
      <c r="BN1621" s="153"/>
      <c r="BO1621" s="153"/>
      <c r="BP1621" s="153"/>
      <c r="BQ1621" s="153"/>
      <c r="BR1621" s="153"/>
      <c r="BS1621" s="153"/>
      <c r="BT1621" s="153"/>
      <c r="BU1621" s="153"/>
      <c r="BV1621" s="153"/>
      <c r="BW1621" s="153"/>
      <c r="BX1621" s="153">
        <v>20</v>
      </c>
      <c r="BY1621" s="153">
        <f>20*20999.48</f>
        <v>419989.6</v>
      </c>
      <c r="BZ1621" s="153"/>
      <c r="CA1621" s="153"/>
      <c r="CB1621" s="153"/>
      <c r="CC1621" s="153"/>
      <c r="CD1621" s="155">
        <v>20</v>
      </c>
      <c r="CE1621" s="156">
        <f>20*36999.36</f>
        <v>739987.2</v>
      </c>
      <c r="CF1621" s="155">
        <v>20</v>
      </c>
      <c r="CG1621" s="156">
        <f>20*39700</f>
        <v>794000</v>
      </c>
      <c r="CH1621" s="155"/>
      <c r="CI1621" s="156"/>
      <c r="CJ1621" s="157">
        <f t="shared" si="210"/>
        <v>3073976.8</v>
      </c>
      <c r="CK1621" s="158"/>
      <c r="CL1621" s="159"/>
      <c r="CM1621" s="160">
        <v>20</v>
      </c>
      <c r="CN1621" s="161">
        <f>20*85000</f>
        <v>1700000</v>
      </c>
      <c r="CO1621" s="162"/>
      <c r="CP1621" s="161"/>
      <c r="CQ1621" s="158"/>
      <c r="CR1621" s="159"/>
      <c r="CS1621" s="68"/>
      <c r="CT1621" s="163"/>
      <c r="EC1621" s="366" t="str">
        <f t="shared" si="213"/>
        <v>BOYACA_TOPAGA</v>
      </c>
      <c r="ED1621" s="367"/>
      <c r="EE1621" s="367"/>
      <c r="EF1621" s="368"/>
      <c r="EG1621" s="367"/>
      <c r="EH1621" s="367"/>
      <c r="EI1621" s="367"/>
    </row>
    <row r="1622" spans="1:139" s="164" customFormat="1" ht="25.5">
      <c r="A1622" s="228">
        <v>40492</v>
      </c>
      <c r="B1622" s="205" t="s">
        <v>1192</v>
      </c>
      <c r="C1622" s="205" t="s">
        <v>1004</v>
      </c>
      <c r="D1622" s="207" t="s">
        <v>1201</v>
      </c>
      <c r="E1622" s="323" t="s">
        <v>3421</v>
      </c>
      <c r="F1622" s="323"/>
      <c r="G1622" s="204"/>
      <c r="H1622" s="151"/>
      <c r="I1622" s="151"/>
      <c r="J1622" s="151">
        <v>10</v>
      </c>
      <c r="K1622" s="151">
        <v>2</v>
      </c>
      <c r="L1622" s="1"/>
      <c r="M1622" s="73">
        <f t="shared" si="208"/>
        <v>0</v>
      </c>
      <c r="N1622" s="73">
        <f t="shared" si="212"/>
        <v>0</v>
      </c>
      <c r="O1622" s="73">
        <f t="shared" si="207"/>
        <v>0</v>
      </c>
      <c r="P1622" s="73">
        <f t="shared" si="209"/>
        <v>0</v>
      </c>
      <c r="Q1622" s="73"/>
      <c r="R1622" s="73">
        <v>0</v>
      </c>
      <c r="S1622" s="75">
        <f t="shared" si="211"/>
        <v>0</v>
      </c>
      <c r="T1622" s="77">
        <v>0</v>
      </c>
      <c r="U1622" s="66">
        <v>40494</v>
      </c>
      <c r="V1622" s="79"/>
      <c r="W1622" s="66" t="s">
        <v>1585</v>
      </c>
      <c r="X1622" s="24" t="s">
        <v>1586</v>
      </c>
      <c r="Y1622" s="62"/>
      <c r="Z1622" s="169" t="s">
        <v>894</v>
      </c>
      <c r="AA1622" s="166" t="s">
        <v>2022</v>
      </c>
      <c r="AB1622" s="152"/>
      <c r="AC1622" s="153"/>
      <c r="AD1622" s="154"/>
      <c r="AE1622" s="153"/>
      <c r="AF1622" s="153"/>
      <c r="AG1622" s="153"/>
      <c r="AH1622" s="153"/>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c r="BI1622" s="153"/>
      <c r="BJ1622" s="153"/>
      <c r="BK1622" s="153"/>
      <c r="BL1622" s="153"/>
      <c r="BM1622" s="153"/>
      <c r="BN1622" s="153"/>
      <c r="BO1622" s="153"/>
      <c r="BP1622" s="153"/>
      <c r="BQ1622" s="153"/>
      <c r="BR1622" s="153"/>
      <c r="BS1622" s="153"/>
      <c r="BT1622" s="153"/>
      <c r="BU1622" s="153"/>
      <c r="BV1622" s="153"/>
      <c r="BW1622" s="153"/>
      <c r="BX1622" s="153"/>
      <c r="BY1622" s="153"/>
      <c r="BZ1622" s="153"/>
      <c r="CA1622" s="153"/>
      <c r="CB1622" s="153"/>
      <c r="CC1622" s="153"/>
      <c r="CD1622" s="155"/>
      <c r="CE1622" s="156"/>
      <c r="CF1622" s="155"/>
      <c r="CG1622" s="156"/>
      <c r="CH1622" s="155"/>
      <c r="CI1622" s="156"/>
      <c r="CJ1622" s="157">
        <f t="shared" si="210"/>
        <v>0</v>
      </c>
      <c r="CK1622" s="158"/>
      <c r="CL1622" s="159"/>
      <c r="CM1622" s="160"/>
      <c r="CN1622" s="161"/>
      <c r="CO1622" s="162"/>
      <c r="CP1622" s="161"/>
      <c r="CQ1622" s="158"/>
      <c r="CR1622" s="159"/>
      <c r="CS1622" s="68"/>
      <c r="CT1622" s="163"/>
      <c r="EC1622" s="366" t="str">
        <f t="shared" si="213"/>
        <v>BOYACA_TUNJA</v>
      </c>
      <c r="ED1622" s="367"/>
      <c r="EE1622" s="367"/>
      <c r="EF1622" s="368"/>
      <c r="EG1622" s="367"/>
      <c r="EH1622" s="367"/>
      <c r="EI1622" s="367"/>
    </row>
    <row r="1623" spans="1:139" s="164" customFormat="1" ht="33.75">
      <c r="A1623" s="228">
        <v>40492</v>
      </c>
      <c r="B1623" s="205" t="s">
        <v>1192</v>
      </c>
      <c r="C1623" s="205" t="s">
        <v>3124</v>
      </c>
      <c r="D1623" s="207" t="s">
        <v>1201</v>
      </c>
      <c r="E1623" s="323" t="s">
        <v>3538</v>
      </c>
      <c r="F1623" s="323"/>
      <c r="G1623" s="204"/>
      <c r="H1623" s="151"/>
      <c r="I1623" s="151"/>
      <c r="J1623" s="151">
        <f>121*5</f>
        <v>605</v>
      </c>
      <c r="K1623" s="151">
        <v>121</v>
      </c>
      <c r="L1623" s="1">
        <v>40530</v>
      </c>
      <c r="M1623" s="73">
        <f t="shared" si="208"/>
        <v>12757003.719999999</v>
      </c>
      <c r="N1623" s="73">
        <f t="shared" si="212"/>
        <v>7055000</v>
      </c>
      <c r="O1623" s="73">
        <f t="shared" si="207"/>
        <v>0</v>
      </c>
      <c r="P1623" s="73">
        <f t="shared" si="209"/>
        <v>0</v>
      </c>
      <c r="Q1623" s="73"/>
      <c r="R1623" s="73">
        <v>0</v>
      </c>
      <c r="S1623" s="75">
        <f t="shared" si="211"/>
        <v>19812003.719999999</v>
      </c>
      <c r="T1623" s="77">
        <v>0</v>
      </c>
      <c r="U1623" s="66">
        <v>40504</v>
      </c>
      <c r="V1623" s="79"/>
      <c r="W1623" s="66" t="s">
        <v>1606</v>
      </c>
      <c r="X1623" s="24" t="s">
        <v>1607</v>
      </c>
      <c r="Y1623" s="83" t="s">
        <v>237</v>
      </c>
      <c r="Z1623" s="169" t="s">
        <v>1272</v>
      </c>
      <c r="AA1623" s="166" t="s">
        <v>902</v>
      </c>
      <c r="AB1623" s="152"/>
      <c r="AC1623" s="153"/>
      <c r="AD1623" s="154"/>
      <c r="AE1623" s="153"/>
      <c r="AF1623" s="153"/>
      <c r="AG1623" s="153"/>
      <c r="AH1623" s="153"/>
      <c r="AI1623" s="153"/>
      <c r="AJ1623" s="153"/>
      <c r="AK1623" s="153"/>
      <c r="AL1623" s="153"/>
      <c r="AM1623" s="153"/>
      <c r="AN1623" s="153">
        <v>83</v>
      </c>
      <c r="AO1623" s="153">
        <f>83*56000</f>
        <v>4648000</v>
      </c>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c r="BI1623" s="153"/>
      <c r="BJ1623" s="153"/>
      <c r="BK1623" s="153"/>
      <c r="BL1623" s="153"/>
      <c r="BM1623" s="153"/>
      <c r="BN1623" s="153"/>
      <c r="BO1623" s="153"/>
      <c r="BP1623" s="153"/>
      <c r="BQ1623" s="153"/>
      <c r="BR1623" s="153"/>
      <c r="BS1623" s="153"/>
      <c r="BT1623" s="153"/>
      <c r="BU1623" s="153"/>
      <c r="BV1623" s="153"/>
      <c r="BW1623" s="153"/>
      <c r="BX1623" s="153">
        <v>83</v>
      </c>
      <c r="BY1623" s="153">
        <f>83*20999.48</f>
        <v>1742956.8399999999</v>
      </c>
      <c r="BZ1623" s="153"/>
      <c r="CA1623" s="153"/>
      <c r="CB1623" s="153"/>
      <c r="CC1623" s="153"/>
      <c r="CD1623" s="155">
        <v>83</v>
      </c>
      <c r="CE1623" s="156">
        <f>83*36999.36</f>
        <v>3070946.88</v>
      </c>
      <c r="CF1623" s="155">
        <v>83</v>
      </c>
      <c r="CG1623" s="156">
        <f>83*39700</f>
        <v>3295100</v>
      </c>
      <c r="CH1623" s="155"/>
      <c r="CI1623" s="156"/>
      <c r="CJ1623" s="157">
        <f t="shared" si="210"/>
        <v>12757003.719999999</v>
      </c>
      <c r="CK1623" s="158"/>
      <c r="CL1623" s="159"/>
      <c r="CM1623" s="160">
        <v>83</v>
      </c>
      <c r="CN1623" s="161">
        <f>83*85000</f>
        <v>7055000</v>
      </c>
      <c r="CO1623" s="162"/>
      <c r="CP1623" s="161"/>
      <c r="CQ1623" s="158"/>
      <c r="CR1623" s="159"/>
      <c r="CS1623" s="68"/>
      <c r="CT1623" s="163"/>
      <c r="EC1623" s="366" t="str">
        <f t="shared" si="213"/>
        <v>BOYACA_TUTAZA</v>
      </c>
      <c r="ED1623" s="367"/>
      <c r="EE1623" s="367"/>
      <c r="EF1623" s="368"/>
      <c r="EG1623" s="367"/>
      <c r="EH1623" s="367"/>
      <c r="EI1623" s="367"/>
    </row>
    <row r="1624" spans="1:139" s="164" customFormat="1" ht="48">
      <c r="A1624" s="228">
        <v>40492</v>
      </c>
      <c r="B1624" s="205" t="s">
        <v>1314</v>
      </c>
      <c r="C1624" s="205" t="s">
        <v>1158</v>
      </c>
      <c r="D1624" s="207" t="s">
        <v>1878</v>
      </c>
      <c r="E1624" s="323" t="s">
        <v>3597</v>
      </c>
      <c r="F1624" s="323"/>
      <c r="G1624" s="204"/>
      <c r="H1624" s="151"/>
      <c r="I1624" s="151"/>
      <c r="J1624" s="151">
        <f>545*5</f>
        <v>2725</v>
      </c>
      <c r="K1624" s="151">
        <v>545</v>
      </c>
      <c r="L1624" s="1"/>
      <c r="M1624" s="73">
        <f t="shared" si="208"/>
        <v>0</v>
      </c>
      <c r="N1624" s="73">
        <f t="shared" si="212"/>
        <v>0</v>
      </c>
      <c r="O1624" s="73">
        <f t="shared" si="207"/>
        <v>0</v>
      </c>
      <c r="P1624" s="73">
        <f t="shared" si="209"/>
        <v>0</v>
      </c>
      <c r="Q1624" s="73"/>
      <c r="R1624" s="73">
        <v>0</v>
      </c>
      <c r="S1624" s="75">
        <f t="shared" si="211"/>
        <v>0</v>
      </c>
      <c r="T1624" s="77">
        <v>0</v>
      </c>
      <c r="U1624" s="66"/>
      <c r="V1624" s="79"/>
      <c r="W1624" s="66" t="s">
        <v>1606</v>
      </c>
      <c r="X1624" s="264" t="s">
        <v>1607</v>
      </c>
      <c r="Y1624" s="62"/>
      <c r="Z1624" s="260" t="s">
        <v>18</v>
      </c>
      <c r="AA1624" s="166" t="s">
        <v>2940</v>
      </c>
      <c r="AB1624" s="152"/>
      <c r="AC1624" s="153"/>
      <c r="AD1624" s="154"/>
      <c r="AE1624" s="153"/>
      <c r="AF1624" s="153"/>
      <c r="AG1624" s="153"/>
      <c r="AH1624" s="153"/>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c r="BI1624" s="153"/>
      <c r="BJ1624" s="153"/>
      <c r="BK1624" s="153"/>
      <c r="BL1624" s="153"/>
      <c r="BM1624" s="153"/>
      <c r="BN1624" s="153"/>
      <c r="BO1624" s="153"/>
      <c r="BP1624" s="153"/>
      <c r="BQ1624" s="153"/>
      <c r="BR1624" s="153"/>
      <c r="BS1624" s="153"/>
      <c r="BT1624" s="153"/>
      <c r="BU1624" s="153"/>
      <c r="BV1624" s="153"/>
      <c r="BW1624" s="153"/>
      <c r="BX1624" s="153"/>
      <c r="BY1624" s="153"/>
      <c r="BZ1624" s="153"/>
      <c r="CA1624" s="153"/>
      <c r="CB1624" s="153"/>
      <c r="CC1624" s="153"/>
      <c r="CD1624" s="155"/>
      <c r="CE1624" s="156"/>
      <c r="CF1624" s="155"/>
      <c r="CG1624" s="156"/>
      <c r="CH1624" s="155"/>
      <c r="CI1624" s="156"/>
      <c r="CJ1624" s="157">
        <f t="shared" si="210"/>
        <v>0</v>
      </c>
      <c r="CK1624" s="158"/>
      <c r="CL1624" s="159"/>
      <c r="CM1624" s="160"/>
      <c r="CN1624" s="161"/>
      <c r="CO1624" s="162"/>
      <c r="CP1624" s="161"/>
      <c r="CQ1624" s="158"/>
      <c r="CR1624" s="159"/>
      <c r="CS1624" s="68"/>
      <c r="CT1624" s="163"/>
      <c r="EC1624" s="366" t="str">
        <f t="shared" si="213"/>
        <v>CAUCA_FLORENCIA</v>
      </c>
      <c r="ED1624" s="367"/>
      <c r="EE1624" s="367"/>
      <c r="EF1624" s="368"/>
      <c r="EG1624" s="367"/>
      <c r="EH1624" s="367"/>
      <c r="EI1624" s="367"/>
    </row>
    <row r="1625" spans="1:139" s="164" customFormat="1" ht="36">
      <c r="A1625" s="228">
        <v>40492</v>
      </c>
      <c r="B1625" s="205" t="s">
        <v>1314</v>
      </c>
      <c r="C1625" s="205" t="s">
        <v>2720</v>
      </c>
      <c r="D1625" s="207" t="s">
        <v>1201</v>
      </c>
      <c r="E1625" s="323" t="s">
        <v>3606</v>
      </c>
      <c r="F1625" s="323"/>
      <c r="G1625" s="204"/>
      <c r="H1625" s="151"/>
      <c r="I1625" s="151"/>
      <c r="J1625" s="151">
        <f>162*5</f>
        <v>810</v>
      </c>
      <c r="K1625" s="151">
        <v>162</v>
      </c>
      <c r="L1625" s="1"/>
      <c r="M1625" s="73">
        <f t="shared" si="208"/>
        <v>0</v>
      </c>
      <c r="N1625" s="73">
        <f t="shared" si="212"/>
        <v>0</v>
      </c>
      <c r="O1625" s="73">
        <f t="shared" si="207"/>
        <v>0</v>
      </c>
      <c r="P1625" s="73">
        <f t="shared" si="209"/>
        <v>0</v>
      </c>
      <c r="Q1625" s="73"/>
      <c r="R1625" s="73">
        <v>0</v>
      </c>
      <c r="S1625" s="75">
        <f t="shared" si="211"/>
        <v>0</v>
      </c>
      <c r="T1625" s="77">
        <v>0</v>
      </c>
      <c r="U1625" s="66">
        <v>40494</v>
      </c>
      <c r="V1625" s="79"/>
      <c r="W1625" s="66" t="s">
        <v>1585</v>
      </c>
      <c r="X1625" s="24" t="s">
        <v>1586</v>
      </c>
      <c r="Y1625" s="62"/>
      <c r="Z1625" s="169" t="s">
        <v>894</v>
      </c>
      <c r="AA1625" s="166" t="s">
        <v>2023</v>
      </c>
      <c r="AB1625" s="152"/>
      <c r="AC1625" s="153"/>
      <c r="AD1625" s="154"/>
      <c r="AE1625" s="153"/>
      <c r="AF1625" s="153"/>
      <c r="AG1625" s="153"/>
      <c r="AH1625" s="153"/>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c r="BI1625" s="153"/>
      <c r="BJ1625" s="153"/>
      <c r="BK1625" s="153"/>
      <c r="BL1625" s="153"/>
      <c r="BM1625" s="153"/>
      <c r="BN1625" s="153"/>
      <c r="BO1625" s="153"/>
      <c r="BP1625" s="153"/>
      <c r="BQ1625" s="153"/>
      <c r="BR1625" s="153"/>
      <c r="BS1625" s="153"/>
      <c r="BT1625" s="153"/>
      <c r="BU1625" s="153"/>
      <c r="BV1625" s="153"/>
      <c r="BW1625" s="153"/>
      <c r="BX1625" s="153"/>
      <c r="BY1625" s="153"/>
      <c r="BZ1625" s="153"/>
      <c r="CA1625" s="153"/>
      <c r="CB1625" s="153"/>
      <c r="CC1625" s="153"/>
      <c r="CD1625" s="155"/>
      <c r="CE1625" s="156"/>
      <c r="CF1625" s="155"/>
      <c r="CG1625" s="156"/>
      <c r="CH1625" s="155"/>
      <c r="CI1625" s="156"/>
      <c r="CJ1625" s="157">
        <f t="shared" si="210"/>
        <v>0</v>
      </c>
      <c r="CK1625" s="158"/>
      <c r="CL1625" s="159"/>
      <c r="CM1625" s="160"/>
      <c r="CN1625" s="161"/>
      <c r="CO1625" s="162"/>
      <c r="CP1625" s="161"/>
      <c r="CQ1625" s="158"/>
      <c r="CR1625" s="159"/>
      <c r="CS1625" s="68"/>
      <c r="CT1625" s="163"/>
      <c r="EC1625" s="366" t="str">
        <f t="shared" si="213"/>
        <v>CAUCA_MIRANDA</v>
      </c>
      <c r="ED1625" s="367"/>
      <c r="EE1625" s="367"/>
      <c r="EF1625" s="368"/>
      <c r="EG1625" s="367"/>
      <c r="EH1625" s="367"/>
      <c r="EI1625" s="367"/>
    </row>
    <row r="1626" spans="1:139" s="164" customFormat="1" ht="36">
      <c r="A1626" s="228">
        <v>40492</v>
      </c>
      <c r="B1626" s="205" t="s">
        <v>1824</v>
      </c>
      <c r="C1626" s="205" t="s">
        <v>511</v>
      </c>
      <c r="D1626" s="206" t="s">
        <v>1878</v>
      </c>
      <c r="E1626" s="320" t="s">
        <v>3964</v>
      </c>
      <c r="F1626" s="320"/>
      <c r="G1626" s="204"/>
      <c r="H1626" s="151"/>
      <c r="I1626" s="151"/>
      <c r="J1626" s="151">
        <v>413</v>
      </c>
      <c r="K1626" s="151">
        <v>105</v>
      </c>
      <c r="L1626" s="1"/>
      <c r="M1626" s="73">
        <f t="shared" si="208"/>
        <v>0</v>
      </c>
      <c r="N1626" s="73">
        <f t="shared" si="212"/>
        <v>0</v>
      </c>
      <c r="O1626" s="73">
        <f t="shared" si="207"/>
        <v>0</v>
      </c>
      <c r="P1626" s="73">
        <f t="shared" si="209"/>
        <v>0</v>
      </c>
      <c r="Q1626" s="73"/>
      <c r="R1626" s="73">
        <v>0</v>
      </c>
      <c r="S1626" s="75">
        <f t="shared" si="211"/>
        <v>0</v>
      </c>
      <c r="T1626" s="77">
        <v>0</v>
      </c>
      <c r="U1626" s="66">
        <v>40492</v>
      </c>
      <c r="V1626" s="79"/>
      <c r="W1626" s="66" t="s">
        <v>1585</v>
      </c>
      <c r="X1626" s="24" t="s">
        <v>1586</v>
      </c>
      <c r="Y1626" s="62"/>
      <c r="Z1626" s="169" t="s">
        <v>894</v>
      </c>
      <c r="AA1626" s="166" t="s">
        <v>2981</v>
      </c>
      <c r="AB1626" s="152"/>
      <c r="AC1626" s="153"/>
      <c r="AD1626" s="154"/>
      <c r="AE1626" s="153"/>
      <c r="AF1626" s="153"/>
      <c r="AG1626" s="153"/>
      <c r="AH1626" s="153"/>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c r="BI1626" s="153"/>
      <c r="BJ1626" s="153"/>
      <c r="BK1626" s="153"/>
      <c r="BL1626" s="153"/>
      <c r="BM1626" s="153"/>
      <c r="BN1626" s="153"/>
      <c r="BO1626" s="153"/>
      <c r="BP1626" s="153"/>
      <c r="BQ1626" s="153"/>
      <c r="BR1626" s="153"/>
      <c r="BS1626" s="153"/>
      <c r="BT1626" s="153"/>
      <c r="BU1626" s="153"/>
      <c r="BV1626" s="153"/>
      <c r="BW1626" s="153"/>
      <c r="BX1626" s="153"/>
      <c r="BY1626" s="153"/>
      <c r="BZ1626" s="153"/>
      <c r="CA1626" s="153"/>
      <c r="CB1626" s="153"/>
      <c r="CC1626" s="153"/>
      <c r="CD1626" s="155"/>
      <c r="CE1626" s="156"/>
      <c r="CF1626" s="155"/>
      <c r="CG1626" s="156"/>
      <c r="CH1626" s="155"/>
      <c r="CI1626" s="156"/>
      <c r="CJ1626" s="157">
        <f t="shared" si="210"/>
        <v>0</v>
      </c>
      <c r="CK1626" s="158"/>
      <c r="CL1626" s="159"/>
      <c r="CM1626" s="160"/>
      <c r="CN1626" s="161"/>
      <c r="CO1626" s="162"/>
      <c r="CP1626" s="161"/>
      <c r="CQ1626" s="158"/>
      <c r="CR1626" s="159"/>
      <c r="CS1626" s="68"/>
      <c r="CT1626" s="163"/>
      <c r="EC1626" s="366" t="str">
        <f t="shared" si="213"/>
        <v>NARIÑO_LA LLANADA</v>
      </c>
      <c r="ED1626" s="367"/>
      <c r="EE1626" s="367"/>
      <c r="EF1626" s="368"/>
      <c r="EG1626" s="367"/>
      <c r="EH1626" s="367"/>
      <c r="EI1626" s="367"/>
    </row>
    <row r="1627" spans="1:139" s="164" customFormat="1" ht="51">
      <c r="A1627" s="228">
        <v>40492</v>
      </c>
      <c r="B1627" s="205" t="s">
        <v>965</v>
      </c>
      <c r="C1627" s="205" t="s">
        <v>2017</v>
      </c>
      <c r="D1627" s="206" t="s">
        <v>1878</v>
      </c>
      <c r="E1627" s="320" t="s">
        <v>4013</v>
      </c>
      <c r="F1627" s="320"/>
      <c r="G1627" s="204"/>
      <c r="H1627" s="151"/>
      <c r="I1627" s="151"/>
      <c r="J1627" s="151"/>
      <c r="K1627" s="151"/>
      <c r="L1627" s="1"/>
      <c r="M1627" s="73">
        <f t="shared" si="208"/>
        <v>0</v>
      </c>
      <c r="N1627" s="73">
        <f t="shared" si="212"/>
        <v>0</v>
      </c>
      <c r="O1627" s="73">
        <f t="shared" si="207"/>
        <v>0</v>
      </c>
      <c r="P1627" s="73">
        <f t="shared" si="209"/>
        <v>0</v>
      </c>
      <c r="Q1627" s="73"/>
      <c r="R1627" s="73">
        <v>0</v>
      </c>
      <c r="S1627" s="75">
        <f t="shared" si="211"/>
        <v>0</v>
      </c>
      <c r="T1627" s="77">
        <v>0</v>
      </c>
      <c r="U1627" s="66">
        <v>40494</v>
      </c>
      <c r="V1627" s="79"/>
      <c r="W1627" s="66" t="s">
        <v>1585</v>
      </c>
      <c r="X1627" s="24" t="s">
        <v>1586</v>
      </c>
      <c r="Y1627" s="62"/>
      <c r="Z1627" s="169" t="s">
        <v>894</v>
      </c>
      <c r="AA1627" s="166" t="s">
        <v>2018</v>
      </c>
      <c r="AB1627" s="152"/>
      <c r="AC1627" s="153"/>
      <c r="AD1627" s="154"/>
      <c r="AE1627" s="153"/>
      <c r="AF1627" s="153"/>
      <c r="AG1627" s="153"/>
      <c r="AH1627" s="153"/>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c r="BI1627" s="153"/>
      <c r="BJ1627" s="153"/>
      <c r="BK1627" s="153"/>
      <c r="BL1627" s="153"/>
      <c r="BM1627" s="153"/>
      <c r="BN1627" s="153"/>
      <c r="BO1627" s="153"/>
      <c r="BP1627" s="153"/>
      <c r="BQ1627" s="153"/>
      <c r="BR1627" s="153"/>
      <c r="BS1627" s="153"/>
      <c r="BT1627" s="153"/>
      <c r="BU1627" s="153"/>
      <c r="BV1627" s="153"/>
      <c r="BW1627" s="153"/>
      <c r="BX1627" s="153"/>
      <c r="BY1627" s="153"/>
      <c r="BZ1627" s="153"/>
      <c r="CA1627" s="153"/>
      <c r="CB1627" s="153"/>
      <c r="CC1627" s="153"/>
      <c r="CD1627" s="155"/>
      <c r="CE1627" s="156"/>
      <c r="CF1627" s="155"/>
      <c r="CG1627" s="156"/>
      <c r="CH1627" s="155"/>
      <c r="CI1627" s="156"/>
      <c r="CJ1627" s="157">
        <f t="shared" si="210"/>
        <v>0</v>
      </c>
      <c r="CK1627" s="158"/>
      <c r="CL1627" s="159"/>
      <c r="CM1627" s="160"/>
      <c r="CN1627" s="161"/>
      <c r="CO1627" s="162"/>
      <c r="CP1627" s="161"/>
      <c r="CQ1627" s="158"/>
      <c r="CR1627" s="159"/>
      <c r="CS1627" s="68"/>
      <c r="CT1627" s="163"/>
      <c r="EC1627" s="366" t="str">
        <f t="shared" si="213"/>
        <v>NORTE DE SANTANDER_GRAMALOTE</v>
      </c>
      <c r="ED1627" s="367"/>
      <c r="EE1627" s="367"/>
      <c r="EF1627" s="368"/>
      <c r="EG1627" s="367"/>
      <c r="EH1627" s="367"/>
      <c r="EI1627" s="367"/>
    </row>
    <row r="1628" spans="1:139" s="164" customFormat="1" ht="51">
      <c r="A1628" s="228">
        <v>40492</v>
      </c>
      <c r="B1628" s="205" t="s">
        <v>965</v>
      </c>
      <c r="C1628" s="205" t="s">
        <v>1745</v>
      </c>
      <c r="D1628" s="207" t="s">
        <v>1201</v>
      </c>
      <c r="E1628" s="323" t="s">
        <v>4021</v>
      </c>
      <c r="F1628" s="323"/>
      <c r="G1628" s="204"/>
      <c r="H1628" s="151"/>
      <c r="I1628" s="151"/>
      <c r="J1628" s="151">
        <v>524</v>
      </c>
      <c r="K1628" s="151">
        <v>135</v>
      </c>
      <c r="L1628" s="1"/>
      <c r="M1628" s="73">
        <f t="shared" si="208"/>
        <v>0</v>
      </c>
      <c r="N1628" s="73">
        <f t="shared" si="212"/>
        <v>0</v>
      </c>
      <c r="O1628" s="73">
        <f t="shared" si="207"/>
        <v>0</v>
      </c>
      <c r="P1628" s="73">
        <f t="shared" si="209"/>
        <v>0</v>
      </c>
      <c r="Q1628" s="73"/>
      <c r="R1628" s="73">
        <v>0</v>
      </c>
      <c r="S1628" s="75">
        <f t="shared" si="211"/>
        <v>0</v>
      </c>
      <c r="T1628" s="77">
        <v>0</v>
      </c>
      <c r="U1628" s="66">
        <v>40581</v>
      </c>
      <c r="V1628" s="79"/>
      <c r="W1628" s="66" t="s">
        <v>1585</v>
      </c>
      <c r="X1628" s="24" t="s">
        <v>1586</v>
      </c>
      <c r="Y1628" s="62"/>
      <c r="Z1628" s="169" t="s">
        <v>894</v>
      </c>
      <c r="AA1628" s="166" t="s">
        <v>54</v>
      </c>
      <c r="AB1628" s="152"/>
      <c r="AC1628" s="153"/>
      <c r="AD1628" s="154"/>
      <c r="AE1628" s="153"/>
      <c r="AF1628" s="153"/>
      <c r="AG1628" s="153"/>
      <c r="AH1628" s="153"/>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c r="BI1628" s="153"/>
      <c r="BJ1628" s="153"/>
      <c r="BK1628" s="153"/>
      <c r="BL1628" s="153"/>
      <c r="BM1628" s="153"/>
      <c r="BN1628" s="153"/>
      <c r="BO1628" s="153"/>
      <c r="BP1628" s="153"/>
      <c r="BQ1628" s="153"/>
      <c r="BR1628" s="153"/>
      <c r="BS1628" s="153"/>
      <c r="BT1628" s="153"/>
      <c r="BU1628" s="153"/>
      <c r="BV1628" s="153"/>
      <c r="BW1628" s="153"/>
      <c r="BX1628" s="153"/>
      <c r="BY1628" s="153"/>
      <c r="BZ1628" s="153"/>
      <c r="CA1628" s="153"/>
      <c r="CB1628" s="153"/>
      <c r="CC1628" s="153"/>
      <c r="CD1628" s="155"/>
      <c r="CE1628" s="156"/>
      <c r="CF1628" s="155"/>
      <c r="CG1628" s="156"/>
      <c r="CH1628" s="155"/>
      <c r="CI1628" s="156"/>
      <c r="CJ1628" s="157">
        <f t="shared" si="210"/>
        <v>0</v>
      </c>
      <c r="CK1628" s="158"/>
      <c r="CL1628" s="159"/>
      <c r="CM1628" s="160"/>
      <c r="CN1628" s="161"/>
      <c r="CO1628" s="162"/>
      <c r="CP1628" s="161"/>
      <c r="CQ1628" s="158"/>
      <c r="CR1628" s="159"/>
      <c r="CS1628" s="68"/>
      <c r="CT1628" s="163"/>
      <c r="EC1628" s="366" t="str">
        <f t="shared" si="213"/>
        <v>NORTE DE SANTANDER_MUTISCUA</v>
      </c>
      <c r="ED1628" s="367"/>
      <c r="EE1628" s="367"/>
      <c r="EF1628" s="368"/>
      <c r="EG1628" s="367"/>
      <c r="EH1628" s="367"/>
      <c r="EI1628" s="367"/>
    </row>
    <row r="1629" spans="1:139" s="164" customFormat="1" ht="51">
      <c r="A1629" s="228">
        <v>40492</v>
      </c>
      <c r="B1629" s="205" t="s">
        <v>965</v>
      </c>
      <c r="C1629" s="205" t="s">
        <v>2699</v>
      </c>
      <c r="D1629" s="207" t="s">
        <v>2606</v>
      </c>
      <c r="E1629" s="323" t="s">
        <v>4023</v>
      </c>
      <c r="F1629" s="323"/>
      <c r="G1629" s="204">
        <v>1</v>
      </c>
      <c r="H1629" s="151"/>
      <c r="I1629" s="151"/>
      <c r="J1629" s="151">
        <v>105</v>
      </c>
      <c r="K1629" s="151">
        <v>19</v>
      </c>
      <c r="L1629" s="1"/>
      <c r="M1629" s="73">
        <f t="shared" si="208"/>
        <v>0</v>
      </c>
      <c r="N1629" s="73">
        <f t="shared" si="212"/>
        <v>0</v>
      </c>
      <c r="O1629" s="73">
        <f t="shared" si="207"/>
        <v>0</v>
      </c>
      <c r="P1629" s="73">
        <f t="shared" si="209"/>
        <v>0</v>
      </c>
      <c r="Q1629" s="73"/>
      <c r="R1629" s="73">
        <v>0</v>
      </c>
      <c r="S1629" s="75">
        <f t="shared" si="211"/>
        <v>0</v>
      </c>
      <c r="T1629" s="77">
        <v>0</v>
      </c>
      <c r="U1629" s="66">
        <v>40494</v>
      </c>
      <c r="V1629" s="79"/>
      <c r="W1629" s="66" t="s">
        <v>1585</v>
      </c>
      <c r="X1629" s="24" t="s">
        <v>1586</v>
      </c>
      <c r="Y1629" s="62"/>
      <c r="Z1629" s="169" t="s">
        <v>894</v>
      </c>
      <c r="AA1629" s="166" t="s">
        <v>2019</v>
      </c>
      <c r="AB1629" s="152"/>
      <c r="AC1629" s="153"/>
      <c r="AD1629" s="154"/>
      <c r="AE1629" s="153"/>
      <c r="AF1629" s="153"/>
      <c r="AG1629" s="153"/>
      <c r="AH1629" s="153"/>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c r="BI1629" s="153"/>
      <c r="BJ1629" s="153"/>
      <c r="BK1629" s="153"/>
      <c r="BL1629" s="153"/>
      <c r="BM1629" s="153"/>
      <c r="BN1629" s="153"/>
      <c r="BO1629" s="153"/>
      <c r="BP1629" s="153"/>
      <c r="BQ1629" s="153"/>
      <c r="BR1629" s="153"/>
      <c r="BS1629" s="153"/>
      <c r="BT1629" s="153"/>
      <c r="BU1629" s="153"/>
      <c r="BV1629" s="153"/>
      <c r="BW1629" s="153"/>
      <c r="BX1629" s="153"/>
      <c r="BY1629" s="153"/>
      <c r="BZ1629" s="153"/>
      <c r="CA1629" s="153"/>
      <c r="CB1629" s="153"/>
      <c r="CC1629" s="153"/>
      <c r="CD1629" s="155"/>
      <c r="CE1629" s="156"/>
      <c r="CF1629" s="155"/>
      <c r="CG1629" s="156"/>
      <c r="CH1629" s="155"/>
      <c r="CI1629" s="156"/>
      <c r="CJ1629" s="157">
        <f t="shared" si="210"/>
        <v>0</v>
      </c>
      <c r="CK1629" s="158"/>
      <c r="CL1629" s="159"/>
      <c r="CM1629" s="160"/>
      <c r="CN1629" s="161"/>
      <c r="CO1629" s="162"/>
      <c r="CP1629" s="161"/>
      <c r="CQ1629" s="158"/>
      <c r="CR1629" s="159"/>
      <c r="CS1629" s="68"/>
      <c r="CT1629" s="163"/>
      <c r="EC1629" s="366" t="str">
        <f t="shared" si="213"/>
        <v>NORTE DE SANTANDER_PAMPLONA</v>
      </c>
      <c r="ED1629" s="367"/>
      <c r="EE1629" s="367"/>
      <c r="EF1629" s="368"/>
      <c r="EG1629" s="367"/>
      <c r="EH1629" s="367"/>
      <c r="EI1629" s="367"/>
    </row>
    <row r="1630" spans="1:139" s="164" customFormat="1" ht="63.75">
      <c r="A1630" s="228">
        <v>40492</v>
      </c>
      <c r="B1630" s="205" t="s">
        <v>965</v>
      </c>
      <c r="C1630" s="205" t="s">
        <v>828</v>
      </c>
      <c r="D1630" s="207" t="s">
        <v>1201</v>
      </c>
      <c r="E1630" s="323" t="s">
        <v>4025</v>
      </c>
      <c r="F1630" s="323"/>
      <c r="G1630" s="204"/>
      <c r="H1630" s="151"/>
      <c r="I1630" s="151"/>
      <c r="J1630" s="151"/>
      <c r="K1630" s="151"/>
      <c r="L1630" s="1"/>
      <c r="M1630" s="73">
        <f t="shared" si="208"/>
        <v>0</v>
      </c>
      <c r="N1630" s="73">
        <f t="shared" si="212"/>
        <v>0</v>
      </c>
      <c r="O1630" s="73">
        <f t="shared" si="207"/>
        <v>0</v>
      </c>
      <c r="P1630" s="73">
        <f t="shared" si="209"/>
        <v>0</v>
      </c>
      <c r="Q1630" s="73"/>
      <c r="R1630" s="73">
        <v>0</v>
      </c>
      <c r="S1630" s="75">
        <f t="shared" si="211"/>
        <v>0</v>
      </c>
      <c r="T1630" s="77">
        <v>0</v>
      </c>
      <c r="U1630" s="66">
        <v>40494</v>
      </c>
      <c r="V1630" s="79"/>
      <c r="W1630" s="66" t="s">
        <v>1585</v>
      </c>
      <c r="X1630" s="24" t="s">
        <v>1586</v>
      </c>
      <c r="Y1630" s="62"/>
      <c r="Z1630" s="169" t="s">
        <v>894</v>
      </c>
      <c r="AA1630" s="166" t="s">
        <v>2013</v>
      </c>
      <c r="AB1630" s="152"/>
      <c r="AC1630" s="153"/>
      <c r="AD1630" s="154"/>
      <c r="AE1630" s="153"/>
      <c r="AF1630" s="153"/>
      <c r="AG1630" s="153"/>
      <c r="AH1630" s="153"/>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c r="BI1630" s="153"/>
      <c r="BJ1630" s="153"/>
      <c r="BK1630" s="153"/>
      <c r="BL1630" s="153"/>
      <c r="BM1630" s="153"/>
      <c r="BN1630" s="153"/>
      <c r="BO1630" s="153"/>
      <c r="BP1630" s="153"/>
      <c r="BQ1630" s="153"/>
      <c r="BR1630" s="153"/>
      <c r="BS1630" s="153"/>
      <c r="BT1630" s="153"/>
      <c r="BU1630" s="153"/>
      <c r="BV1630" s="153"/>
      <c r="BW1630" s="153"/>
      <c r="BX1630" s="153"/>
      <c r="BY1630" s="153"/>
      <c r="BZ1630" s="153"/>
      <c r="CA1630" s="153"/>
      <c r="CB1630" s="153"/>
      <c r="CC1630" s="153"/>
      <c r="CD1630" s="155"/>
      <c r="CE1630" s="156"/>
      <c r="CF1630" s="155"/>
      <c r="CG1630" s="156"/>
      <c r="CH1630" s="155"/>
      <c r="CI1630" s="156"/>
      <c r="CJ1630" s="157">
        <f t="shared" si="210"/>
        <v>0</v>
      </c>
      <c r="CK1630" s="158"/>
      <c r="CL1630" s="159"/>
      <c r="CM1630" s="160"/>
      <c r="CN1630" s="161"/>
      <c r="CO1630" s="162"/>
      <c r="CP1630" s="161"/>
      <c r="CQ1630" s="158"/>
      <c r="CR1630" s="159"/>
      <c r="CS1630" s="68"/>
      <c r="CT1630" s="163"/>
      <c r="EC1630" s="366" t="str">
        <f t="shared" si="213"/>
        <v>NORTE DE SANTANDER_PUERTO SANTANDER</v>
      </c>
      <c r="ED1630" s="367"/>
      <c r="EE1630" s="367"/>
      <c r="EF1630" s="368"/>
      <c r="EG1630" s="367"/>
      <c r="EH1630" s="367"/>
      <c r="EI1630" s="367"/>
    </row>
    <row r="1631" spans="1:139" s="164" customFormat="1" ht="51">
      <c r="A1631" s="228">
        <v>40492</v>
      </c>
      <c r="B1631" s="205" t="s">
        <v>965</v>
      </c>
      <c r="C1631" s="205" t="s">
        <v>2014</v>
      </c>
      <c r="D1631" s="206" t="s">
        <v>1878</v>
      </c>
      <c r="E1631" s="320" t="s">
        <v>4027</v>
      </c>
      <c r="F1631" s="320"/>
      <c r="G1631" s="204">
        <v>1</v>
      </c>
      <c r="H1631" s="151"/>
      <c r="I1631" s="151"/>
      <c r="J1631" s="151">
        <f>1611-75</f>
        <v>1536</v>
      </c>
      <c r="K1631" s="151">
        <f>300-15</f>
        <v>285</v>
      </c>
      <c r="L1631" s="1"/>
      <c r="M1631" s="73">
        <f t="shared" si="208"/>
        <v>0</v>
      </c>
      <c r="N1631" s="73">
        <f t="shared" si="212"/>
        <v>0</v>
      </c>
      <c r="O1631" s="73">
        <f t="shared" si="207"/>
        <v>0</v>
      </c>
      <c r="P1631" s="73">
        <f t="shared" si="209"/>
        <v>0</v>
      </c>
      <c r="Q1631" s="73"/>
      <c r="R1631" s="73">
        <v>0</v>
      </c>
      <c r="S1631" s="75">
        <f t="shared" si="211"/>
        <v>0</v>
      </c>
      <c r="T1631" s="77">
        <v>0</v>
      </c>
      <c r="U1631" s="66">
        <v>40494</v>
      </c>
      <c r="V1631" s="79"/>
      <c r="W1631" s="66" t="s">
        <v>1585</v>
      </c>
      <c r="X1631" s="24" t="s">
        <v>1586</v>
      </c>
      <c r="Y1631" s="62"/>
      <c r="Z1631" s="169" t="s">
        <v>894</v>
      </c>
      <c r="AA1631" s="166" t="s">
        <v>2015</v>
      </c>
      <c r="AB1631" s="152"/>
      <c r="AC1631" s="153"/>
      <c r="AD1631" s="154"/>
      <c r="AE1631" s="153"/>
      <c r="AF1631" s="153"/>
      <c r="AG1631" s="153"/>
      <c r="AH1631" s="153"/>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c r="BI1631" s="153"/>
      <c r="BJ1631" s="153"/>
      <c r="BK1631" s="153"/>
      <c r="BL1631" s="153"/>
      <c r="BM1631" s="153"/>
      <c r="BN1631" s="153"/>
      <c r="BO1631" s="153"/>
      <c r="BP1631" s="153"/>
      <c r="BQ1631" s="153"/>
      <c r="BR1631" s="153"/>
      <c r="BS1631" s="153"/>
      <c r="BT1631" s="153"/>
      <c r="BU1631" s="153"/>
      <c r="BV1631" s="153"/>
      <c r="BW1631" s="153"/>
      <c r="BX1631" s="153"/>
      <c r="BY1631" s="153"/>
      <c r="BZ1631" s="153"/>
      <c r="CA1631" s="153"/>
      <c r="CB1631" s="153"/>
      <c r="CC1631" s="153"/>
      <c r="CD1631" s="155"/>
      <c r="CE1631" s="156"/>
      <c r="CF1631" s="155"/>
      <c r="CG1631" s="156"/>
      <c r="CH1631" s="155"/>
      <c r="CI1631" s="156"/>
      <c r="CJ1631" s="157">
        <f t="shared" si="210"/>
        <v>0</v>
      </c>
      <c r="CK1631" s="158"/>
      <c r="CL1631" s="159"/>
      <c r="CM1631" s="160"/>
      <c r="CN1631" s="161"/>
      <c r="CO1631" s="162"/>
      <c r="CP1631" s="161"/>
      <c r="CQ1631" s="158"/>
      <c r="CR1631" s="159"/>
      <c r="CS1631" s="68"/>
      <c r="CT1631" s="163"/>
      <c r="EC1631" s="366" t="str">
        <f t="shared" si="213"/>
        <v>NORTE DE SANTANDER_SALAZAR</v>
      </c>
      <c r="ED1631" s="367"/>
      <c r="EE1631" s="367"/>
      <c r="EF1631" s="368"/>
      <c r="EG1631" s="367"/>
      <c r="EH1631" s="367"/>
      <c r="EI1631" s="367"/>
    </row>
    <row r="1632" spans="1:139" s="164" customFormat="1" ht="38.25">
      <c r="A1632" s="228">
        <v>40492</v>
      </c>
      <c r="B1632" s="205" t="s">
        <v>965</v>
      </c>
      <c r="C1632" s="205" t="s">
        <v>2077</v>
      </c>
      <c r="D1632" s="207" t="s">
        <v>1201</v>
      </c>
      <c r="E1632" s="323" t="s">
        <v>4034</v>
      </c>
      <c r="F1632" s="323"/>
      <c r="G1632" s="204"/>
      <c r="H1632" s="151"/>
      <c r="I1632" s="151"/>
      <c r="J1632" s="151"/>
      <c r="K1632" s="151"/>
      <c r="L1632" s="1"/>
      <c r="M1632" s="73">
        <f t="shared" si="208"/>
        <v>0</v>
      </c>
      <c r="N1632" s="73">
        <f t="shared" si="212"/>
        <v>0</v>
      </c>
      <c r="O1632" s="73">
        <f t="shared" si="207"/>
        <v>0</v>
      </c>
      <c r="P1632" s="73">
        <f t="shared" si="209"/>
        <v>0</v>
      </c>
      <c r="Q1632" s="73"/>
      <c r="R1632" s="73">
        <v>0</v>
      </c>
      <c r="S1632" s="75">
        <f t="shared" si="211"/>
        <v>0</v>
      </c>
      <c r="T1632" s="77">
        <v>0</v>
      </c>
      <c r="U1632" s="66">
        <v>40494</v>
      </c>
      <c r="V1632" s="79"/>
      <c r="W1632" s="66" t="s">
        <v>1585</v>
      </c>
      <c r="X1632" s="24" t="s">
        <v>1586</v>
      </c>
      <c r="Y1632" s="62"/>
      <c r="Z1632" s="169" t="s">
        <v>894</v>
      </c>
      <c r="AA1632" s="166" t="s">
        <v>2016</v>
      </c>
      <c r="AB1632" s="152"/>
      <c r="AC1632" s="153"/>
      <c r="AD1632" s="154"/>
      <c r="AE1632" s="153"/>
      <c r="AF1632" s="153"/>
      <c r="AG1632" s="153"/>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c r="BI1632" s="153"/>
      <c r="BJ1632" s="153"/>
      <c r="BK1632" s="153"/>
      <c r="BL1632" s="153"/>
      <c r="BM1632" s="153"/>
      <c r="BN1632" s="153"/>
      <c r="BO1632" s="153"/>
      <c r="BP1632" s="153"/>
      <c r="BQ1632" s="153"/>
      <c r="BR1632" s="153"/>
      <c r="BS1632" s="153"/>
      <c r="BT1632" s="153"/>
      <c r="BU1632" s="153"/>
      <c r="BV1632" s="153"/>
      <c r="BW1632" s="153"/>
      <c r="BX1632" s="153"/>
      <c r="BY1632" s="153"/>
      <c r="BZ1632" s="153"/>
      <c r="CA1632" s="153"/>
      <c r="CB1632" s="153"/>
      <c r="CC1632" s="153"/>
      <c r="CD1632" s="155"/>
      <c r="CE1632" s="156"/>
      <c r="CF1632" s="155"/>
      <c r="CG1632" s="156"/>
      <c r="CH1632" s="155"/>
      <c r="CI1632" s="156"/>
      <c r="CJ1632" s="157">
        <f t="shared" si="210"/>
        <v>0</v>
      </c>
      <c r="CK1632" s="158"/>
      <c r="CL1632" s="159"/>
      <c r="CM1632" s="160"/>
      <c r="CN1632" s="161"/>
      <c r="CO1632" s="162"/>
      <c r="CP1632" s="161"/>
      <c r="CQ1632" s="158"/>
      <c r="CR1632" s="159"/>
      <c r="CS1632" s="68"/>
      <c r="CT1632" s="163"/>
      <c r="EC1632" s="366" t="str">
        <f t="shared" si="213"/>
        <v>NORTE DE SANTANDER_TIBU</v>
      </c>
      <c r="ED1632" s="367"/>
      <c r="EE1632" s="367"/>
      <c r="EF1632" s="368"/>
      <c r="EG1632" s="367"/>
      <c r="EH1632" s="367"/>
      <c r="EI1632" s="367"/>
    </row>
    <row r="1633" spans="1:139" s="164" customFormat="1" ht="51">
      <c r="A1633" s="228">
        <v>40492</v>
      </c>
      <c r="B1633" s="205" t="s">
        <v>965</v>
      </c>
      <c r="C1633" s="205" t="s">
        <v>3179</v>
      </c>
      <c r="D1633" s="207" t="s">
        <v>1878</v>
      </c>
      <c r="E1633" s="323" t="s">
        <v>4036</v>
      </c>
      <c r="F1633" s="323"/>
      <c r="G1633" s="204"/>
      <c r="H1633" s="151"/>
      <c r="I1633" s="151"/>
      <c r="J1633" s="151">
        <v>468</v>
      </c>
      <c r="K1633" s="151">
        <v>125</v>
      </c>
      <c r="L1633" s="1"/>
      <c r="M1633" s="73">
        <f t="shared" si="208"/>
        <v>0</v>
      </c>
      <c r="N1633" s="73">
        <f t="shared" si="212"/>
        <v>0</v>
      </c>
      <c r="O1633" s="73">
        <f t="shared" si="207"/>
        <v>0</v>
      </c>
      <c r="P1633" s="73">
        <f t="shared" si="209"/>
        <v>0</v>
      </c>
      <c r="Q1633" s="73"/>
      <c r="R1633" s="73">
        <v>0</v>
      </c>
      <c r="S1633" s="75">
        <f t="shared" si="211"/>
        <v>0</v>
      </c>
      <c r="T1633" s="77">
        <v>0</v>
      </c>
      <c r="U1633" s="66">
        <v>40581</v>
      </c>
      <c r="V1633" s="79"/>
      <c r="W1633" s="66" t="s">
        <v>1585</v>
      </c>
      <c r="X1633" s="24" t="s">
        <v>1586</v>
      </c>
      <c r="Y1633" s="62"/>
      <c r="Z1633" s="169" t="s">
        <v>894</v>
      </c>
      <c r="AA1633" s="166" t="s">
        <v>54</v>
      </c>
      <c r="AB1633" s="152"/>
      <c r="AC1633" s="153"/>
      <c r="AD1633" s="154"/>
      <c r="AE1633" s="153"/>
      <c r="AF1633" s="153"/>
      <c r="AG1633" s="153"/>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c r="BI1633" s="153"/>
      <c r="BJ1633" s="153"/>
      <c r="BK1633" s="153"/>
      <c r="BL1633" s="153"/>
      <c r="BM1633" s="153"/>
      <c r="BN1633" s="153"/>
      <c r="BO1633" s="153"/>
      <c r="BP1633" s="153"/>
      <c r="BQ1633" s="153"/>
      <c r="BR1633" s="153"/>
      <c r="BS1633" s="153"/>
      <c r="BT1633" s="153"/>
      <c r="BU1633" s="153"/>
      <c r="BV1633" s="153"/>
      <c r="BW1633" s="153"/>
      <c r="BX1633" s="153"/>
      <c r="BY1633" s="153"/>
      <c r="BZ1633" s="153"/>
      <c r="CA1633" s="153"/>
      <c r="CB1633" s="153"/>
      <c r="CC1633" s="153"/>
      <c r="CD1633" s="155"/>
      <c r="CE1633" s="156"/>
      <c r="CF1633" s="155"/>
      <c r="CG1633" s="156"/>
      <c r="CH1633" s="155"/>
      <c r="CI1633" s="156"/>
      <c r="CJ1633" s="157">
        <f t="shared" si="210"/>
        <v>0</v>
      </c>
      <c r="CK1633" s="158"/>
      <c r="CL1633" s="159"/>
      <c r="CM1633" s="160"/>
      <c r="CN1633" s="161"/>
      <c r="CO1633" s="162"/>
      <c r="CP1633" s="161"/>
      <c r="CQ1633" s="158"/>
      <c r="CR1633" s="159"/>
      <c r="CS1633" s="68"/>
      <c r="CT1633" s="163"/>
      <c r="EC1633" s="366" t="str">
        <f t="shared" si="213"/>
        <v>NORTE DE SANTANDER_VILLA CARO</v>
      </c>
      <c r="ED1633" s="367"/>
      <c r="EE1633" s="367"/>
      <c r="EF1633" s="368"/>
      <c r="EG1633" s="367"/>
      <c r="EH1633" s="367"/>
      <c r="EI1633" s="367"/>
    </row>
    <row r="1634" spans="1:139" s="164" customFormat="1" ht="60">
      <c r="A1634" s="228">
        <v>40492</v>
      </c>
      <c r="B1634" s="102" t="s">
        <v>1609</v>
      </c>
      <c r="C1634" s="205" t="s">
        <v>2758</v>
      </c>
      <c r="D1634" s="207" t="s">
        <v>1201</v>
      </c>
      <c r="E1634" s="323" t="s">
        <v>4057</v>
      </c>
      <c r="F1634" s="323"/>
      <c r="G1634" s="204"/>
      <c r="H1634" s="151"/>
      <c r="I1634" s="151"/>
      <c r="J1634" s="151">
        <f>6013*5</f>
        <v>30065</v>
      </c>
      <c r="K1634" s="151">
        <v>6013</v>
      </c>
      <c r="L1634" s="1"/>
      <c r="M1634" s="73">
        <f t="shared" si="208"/>
        <v>0</v>
      </c>
      <c r="N1634" s="73">
        <f t="shared" si="212"/>
        <v>0</v>
      </c>
      <c r="O1634" s="73">
        <f t="shared" si="207"/>
        <v>0</v>
      </c>
      <c r="P1634" s="73">
        <f t="shared" si="209"/>
        <v>0</v>
      </c>
      <c r="Q1634" s="73"/>
      <c r="R1634" s="73">
        <v>0</v>
      </c>
      <c r="S1634" s="75">
        <f t="shared" si="211"/>
        <v>0</v>
      </c>
      <c r="T1634" s="77">
        <v>0</v>
      </c>
      <c r="U1634" s="66">
        <v>40492</v>
      </c>
      <c r="V1634" s="79"/>
      <c r="W1634" s="66" t="s">
        <v>1606</v>
      </c>
      <c r="X1634" s="24" t="s">
        <v>1607</v>
      </c>
      <c r="Y1634" s="62"/>
      <c r="Z1634" s="176" t="s">
        <v>2877</v>
      </c>
      <c r="AA1634" s="166" t="s">
        <v>2144</v>
      </c>
      <c r="AB1634" s="152"/>
      <c r="AC1634" s="153"/>
      <c r="AD1634" s="154"/>
      <c r="AE1634" s="153"/>
      <c r="AF1634" s="153"/>
      <c r="AG1634" s="153"/>
      <c r="AH1634" s="153"/>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c r="BI1634" s="153"/>
      <c r="BJ1634" s="153"/>
      <c r="BK1634" s="153"/>
      <c r="BL1634" s="153"/>
      <c r="BM1634" s="153"/>
      <c r="BN1634" s="153"/>
      <c r="BO1634" s="153"/>
      <c r="BP1634" s="153"/>
      <c r="BQ1634" s="153"/>
      <c r="BR1634" s="153"/>
      <c r="BS1634" s="153"/>
      <c r="BT1634" s="153"/>
      <c r="BU1634" s="153"/>
      <c r="BV1634" s="153"/>
      <c r="BW1634" s="153"/>
      <c r="BX1634" s="153"/>
      <c r="BY1634" s="153"/>
      <c r="BZ1634" s="153"/>
      <c r="CA1634" s="153"/>
      <c r="CB1634" s="153"/>
      <c r="CC1634" s="153"/>
      <c r="CD1634" s="155"/>
      <c r="CE1634" s="156"/>
      <c r="CF1634" s="155"/>
      <c r="CG1634" s="156"/>
      <c r="CH1634" s="155"/>
      <c r="CI1634" s="156"/>
      <c r="CJ1634" s="157">
        <f t="shared" si="210"/>
        <v>0</v>
      </c>
      <c r="CK1634" s="158"/>
      <c r="CL1634" s="159"/>
      <c r="CM1634" s="160"/>
      <c r="CN1634" s="161"/>
      <c r="CO1634" s="162"/>
      <c r="CP1634" s="161"/>
      <c r="CQ1634" s="158"/>
      <c r="CR1634" s="159"/>
      <c r="CS1634" s="68"/>
      <c r="CT1634" s="163"/>
      <c r="EC1634" s="366" t="str">
        <f t="shared" si="213"/>
        <v>RISARALDA_LA VIRGINIA</v>
      </c>
      <c r="ED1634" s="367"/>
      <c r="EE1634" s="367"/>
      <c r="EF1634" s="368"/>
      <c r="EG1634" s="367"/>
      <c r="EH1634" s="367"/>
      <c r="EI1634" s="367"/>
    </row>
    <row r="1635" spans="1:139" s="164" customFormat="1" ht="25.5">
      <c r="A1635" s="228">
        <v>40492</v>
      </c>
      <c r="B1635" s="205" t="s">
        <v>2400</v>
      </c>
      <c r="C1635" s="205" t="s">
        <v>76</v>
      </c>
      <c r="D1635" s="207" t="s">
        <v>1201</v>
      </c>
      <c r="E1635" s="323" t="s">
        <v>4178</v>
      </c>
      <c r="F1635" s="323"/>
      <c r="G1635" s="204"/>
      <c r="H1635" s="151"/>
      <c r="I1635" s="151"/>
      <c r="J1635" s="151">
        <v>828</v>
      </c>
      <c r="K1635" s="151">
        <v>184</v>
      </c>
      <c r="L1635" s="1"/>
      <c r="M1635" s="73">
        <f t="shared" si="208"/>
        <v>0</v>
      </c>
      <c r="N1635" s="73">
        <f t="shared" si="212"/>
        <v>0</v>
      </c>
      <c r="O1635" s="73">
        <f t="shared" si="207"/>
        <v>0</v>
      </c>
      <c r="P1635" s="73">
        <f t="shared" si="209"/>
        <v>0</v>
      </c>
      <c r="Q1635" s="73"/>
      <c r="R1635" s="73">
        <v>0</v>
      </c>
      <c r="S1635" s="75">
        <f t="shared" si="211"/>
        <v>0</v>
      </c>
      <c r="T1635" s="77">
        <v>0</v>
      </c>
      <c r="U1635" s="66">
        <v>40581</v>
      </c>
      <c r="V1635" s="79"/>
      <c r="W1635" s="66" t="s">
        <v>1585</v>
      </c>
      <c r="X1635" s="24" t="s">
        <v>1586</v>
      </c>
      <c r="Y1635" s="62"/>
      <c r="Z1635" s="169" t="s">
        <v>894</v>
      </c>
      <c r="AA1635" s="166" t="s">
        <v>54</v>
      </c>
      <c r="AB1635" s="152"/>
      <c r="AC1635" s="153"/>
      <c r="AD1635" s="154"/>
      <c r="AE1635" s="153"/>
      <c r="AF1635" s="153"/>
      <c r="AG1635" s="153"/>
      <c r="AH1635" s="153"/>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c r="BI1635" s="153"/>
      <c r="BJ1635" s="153"/>
      <c r="BK1635" s="153"/>
      <c r="BL1635" s="153"/>
      <c r="BM1635" s="153"/>
      <c r="BN1635" s="153"/>
      <c r="BO1635" s="153"/>
      <c r="BP1635" s="153"/>
      <c r="BQ1635" s="153"/>
      <c r="BR1635" s="153"/>
      <c r="BS1635" s="153"/>
      <c r="BT1635" s="153"/>
      <c r="BU1635" s="153"/>
      <c r="BV1635" s="153"/>
      <c r="BW1635" s="153"/>
      <c r="BX1635" s="153"/>
      <c r="BY1635" s="153"/>
      <c r="BZ1635" s="153"/>
      <c r="CA1635" s="153"/>
      <c r="CB1635" s="153"/>
      <c r="CC1635" s="153"/>
      <c r="CD1635" s="155"/>
      <c r="CE1635" s="156"/>
      <c r="CF1635" s="155"/>
      <c r="CG1635" s="156"/>
      <c r="CH1635" s="155"/>
      <c r="CI1635" s="156"/>
      <c r="CJ1635" s="157">
        <f t="shared" si="210"/>
        <v>0</v>
      </c>
      <c r="CK1635" s="158"/>
      <c r="CL1635" s="159"/>
      <c r="CM1635" s="160"/>
      <c r="CN1635" s="161"/>
      <c r="CO1635" s="162"/>
      <c r="CP1635" s="161"/>
      <c r="CQ1635" s="158"/>
      <c r="CR1635" s="159"/>
      <c r="CS1635" s="68"/>
      <c r="CT1635" s="163">
        <v>1574</v>
      </c>
      <c r="EC1635" s="366" t="str">
        <f t="shared" si="213"/>
        <v>TOLIMA_ALPUJARRA</v>
      </c>
      <c r="ED1635" s="367"/>
      <c r="EE1635" s="367"/>
      <c r="EF1635" s="368"/>
      <c r="EG1635" s="367"/>
      <c r="EH1635" s="367"/>
      <c r="EI1635" s="367"/>
    </row>
    <row r="1636" spans="1:139" s="164" customFormat="1" ht="45">
      <c r="A1636" s="228">
        <v>40492</v>
      </c>
      <c r="B1636" s="205" t="s">
        <v>2400</v>
      </c>
      <c r="C1636" s="205" t="s">
        <v>3199</v>
      </c>
      <c r="D1636" s="207" t="s">
        <v>1201</v>
      </c>
      <c r="E1636" s="323" t="s">
        <v>4181</v>
      </c>
      <c r="F1636" s="323"/>
      <c r="G1636" s="204"/>
      <c r="H1636" s="151"/>
      <c r="I1636" s="151"/>
      <c r="J1636" s="151">
        <v>2057</v>
      </c>
      <c r="K1636" s="151">
        <v>457</v>
      </c>
      <c r="L1636" s="1"/>
      <c r="M1636" s="73">
        <f t="shared" si="208"/>
        <v>0</v>
      </c>
      <c r="N1636" s="73">
        <f t="shared" si="212"/>
        <v>0</v>
      </c>
      <c r="O1636" s="73">
        <f t="shared" si="207"/>
        <v>0</v>
      </c>
      <c r="P1636" s="73">
        <f t="shared" si="209"/>
        <v>0</v>
      </c>
      <c r="Q1636" s="73"/>
      <c r="R1636" s="73">
        <v>0</v>
      </c>
      <c r="S1636" s="75">
        <f t="shared" si="211"/>
        <v>0</v>
      </c>
      <c r="T1636" s="77">
        <v>0</v>
      </c>
      <c r="U1636" s="66"/>
      <c r="V1636" s="79"/>
      <c r="W1636" s="66" t="s">
        <v>1606</v>
      </c>
      <c r="X1636" s="264" t="s">
        <v>1607</v>
      </c>
      <c r="Y1636" s="62"/>
      <c r="Z1636" s="260" t="s">
        <v>18</v>
      </c>
      <c r="AA1636" s="166" t="s">
        <v>28</v>
      </c>
      <c r="AB1636" s="152"/>
      <c r="AC1636" s="153"/>
      <c r="AD1636" s="154"/>
      <c r="AE1636" s="153"/>
      <c r="AF1636" s="153"/>
      <c r="AG1636" s="153"/>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c r="BI1636" s="153"/>
      <c r="BJ1636" s="153"/>
      <c r="BK1636" s="153"/>
      <c r="BL1636" s="153"/>
      <c r="BM1636" s="153"/>
      <c r="BN1636" s="153"/>
      <c r="BO1636" s="153"/>
      <c r="BP1636" s="153"/>
      <c r="BQ1636" s="153"/>
      <c r="BR1636" s="153"/>
      <c r="BS1636" s="153"/>
      <c r="BT1636" s="153"/>
      <c r="BU1636" s="153"/>
      <c r="BV1636" s="153"/>
      <c r="BW1636" s="153"/>
      <c r="BX1636" s="153"/>
      <c r="BY1636" s="153"/>
      <c r="BZ1636" s="153"/>
      <c r="CA1636" s="153"/>
      <c r="CB1636" s="153"/>
      <c r="CC1636" s="153"/>
      <c r="CD1636" s="155"/>
      <c r="CE1636" s="156"/>
      <c r="CF1636" s="155"/>
      <c r="CG1636" s="156"/>
      <c r="CH1636" s="155"/>
      <c r="CI1636" s="156"/>
      <c r="CJ1636" s="157">
        <f t="shared" si="210"/>
        <v>0</v>
      </c>
      <c r="CK1636" s="158"/>
      <c r="CL1636" s="159"/>
      <c r="CM1636" s="160"/>
      <c r="CN1636" s="161"/>
      <c r="CO1636" s="162"/>
      <c r="CP1636" s="161"/>
      <c r="CQ1636" s="158"/>
      <c r="CR1636" s="159"/>
      <c r="CS1636" s="68"/>
      <c r="CT1636" s="163"/>
      <c r="EC1636" s="366" t="str">
        <f t="shared" si="213"/>
        <v>TOLIMA_ANZOATEGUI</v>
      </c>
      <c r="ED1636" s="367"/>
      <c r="EE1636" s="367"/>
      <c r="EF1636" s="368"/>
      <c r="EG1636" s="367"/>
      <c r="EH1636" s="367"/>
      <c r="EI1636" s="367"/>
    </row>
    <row r="1637" spans="1:139" s="164" customFormat="1" ht="45">
      <c r="A1637" s="228">
        <v>40492</v>
      </c>
      <c r="B1637" s="205" t="s">
        <v>2400</v>
      </c>
      <c r="C1637" s="205" t="s">
        <v>3200</v>
      </c>
      <c r="D1637" s="207" t="s">
        <v>1201</v>
      </c>
      <c r="E1637" s="323" t="s">
        <v>4182</v>
      </c>
      <c r="F1637" s="323"/>
      <c r="G1637" s="204"/>
      <c r="H1637" s="151"/>
      <c r="I1637" s="151"/>
      <c r="J1637" s="151">
        <v>1350</v>
      </c>
      <c r="K1637" s="151">
        <v>300</v>
      </c>
      <c r="L1637" s="1"/>
      <c r="M1637" s="73">
        <f t="shared" si="208"/>
        <v>0</v>
      </c>
      <c r="N1637" s="73">
        <f t="shared" si="212"/>
        <v>0</v>
      </c>
      <c r="O1637" s="73">
        <f t="shared" si="207"/>
        <v>0</v>
      </c>
      <c r="P1637" s="73">
        <f t="shared" si="209"/>
        <v>0</v>
      </c>
      <c r="Q1637" s="73"/>
      <c r="R1637" s="73">
        <v>0</v>
      </c>
      <c r="S1637" s="75">
        <f t="shared" si="211"/>
        <v>0</v>
      </c>
      <c r="T1637" s="77">
        <v>0</v>
      </c>
      <c r="U1637" s="66"/>
      <c r="V1637" s="79"/>
      <c r="W1637" s="66" t="s">
        <v>1606</v>
      </c>
      <c r="X1637" s="264" t="s">
        <v>1607</v>
      </c>
      <c r="Y1637" s="62"/>
      <c r="Z1637" s="260" t="s">
        <v>18</v>
      </c>
      <c r="AA1637" s="166" t="s">
        <v>28</v>
      </c>
      <c r="AB1637" s="152"/>
      <c r="AC1637" s="153"/>
      <c r="AD1637" s="154"/>
      <c r="AE1637" s="153"/>
      <c r="AF1637" s="153"/>
      <c r="AG1637" s="153"/>
      <c r="AH1637" s="153"/>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c r="BI1637" s="153"/>
      <c r="BJ1637" s="153"/>
      <c r="BK1637" s="153"/>
      <c r="BL1637" s="153"/>
      <c r="BM1637" s="153"/>
      <c r="BN1637" s="153"/>
      <c r="BO1637" s="153"/>
      <c r="BP1637" s="153"/>
      <c r="BQ1637" s="153"/>
      <c r="BR1637" s="153"/>
      <c r="BS1637" s="153"/>
      <c r="BT1637" s="153"/>
      <c r="BU1637" s="153"/>
      <c r="BV1637" s="153"/>
      <c r="BW1637" s="153"/>
      <c r="BX1637" s="153"/>
      <c r="BY1637" s="153"/>
      <c r="BZ1637" s="153"/>
      <c r="CA1637" s="153"/>
      <c r="CB1637" s="153"/>
      <c r="CC1637" s="153"/>
      <c r="CD1637" s="155"/>
      <c r="CE1637" s="156"/>
      <c r="CF1637" s="155"/>
      <c r="CG1637" s="156"/>
      <c r="CH1637" s="155"/>
      <c r="CI1637" s="156"/>
      <c r="CJ1637" s="157">
        <f t="shared" si="210"/>
        <v>0</v>
      </c>
      <c r="CK1637" s="158"/>
      <c r="CL1637" s="159"/>
      <c r="CM1637" s="160"/>
      <c r="CN1637" s="161"/>
      <c r="CO1637" s="162"/>
      <c r="CP1637" s="161"/>
      <c r="CQ1637" s="158"/>
      <c r="CR1637" s="159"/>
      <c r="CS1637" s="68"/>
      <c r="CT1637" s="163"/>
      <c r="EC1637" s="366" t="str">
        <f t="shared" si="213"/>
        <v>TOLIMA_ARMERO</v>
      </c>
      <c r="ED1637" s="367"/>
      <c r="EE1637" s="367"/>
      <c r="EF1637" s="368"/>
      <c r="EG1637" s="367"/>
      <c r="EH1637" s="367"/>
      <c r="EI1637" s="367"/>
    </row>
    <row r="1638" spans="1:139" s="164" customFormat="1" ht="45">
      <c r="A1638" s="228">
        <v>40492</v>
      </c>
      <c r="B1638" s="205" t="s">
        <v>2400</v>
      </c>
      <c r="C1638" s="205" t="s">
        <v>834</v>
      </c>
      <c r="D1638" s="207" t="s">
        <v>1201</v>
      </c>
      <c r="E1638" s="323" t="s">
        <v>4184</v>
      </c>
      <c r="F1638" s="323"/>
      <c r="G1638" s="204"/>
      <c r="H1638" s="151"/>
      <c r="I1638" s="151"/>
      <c r="J1638" s="151">
        <f>350*5</f>
        <v>1750</v>
      </c>
      <c r="K1638" s="151">
        <v>350</v>
      </c>
      <c r="L1638" s="1"/>
      <c r="M1638" s="73">
        <f t="shared" si="208"/>
        <v>0</v>
      </c>
      <c r="N1638" s="73">
        <f t="shared" si="212"/>
        <v>0</v>
      </c>
      <c r="O1638" s="73">
        <f t="shared" si="207"/>
        <v>0</v>
      </c>
      <c r="P1638" s="73">
        <f t="shared" si="209"/>
        <v>0</v>
      </c>
      <c r="Q1638" s="73"/>
      <c r="R1638" s="73">
        <v>0</v>
      </c>
      <c r="S1638" s="75">
        <f t="shared" si="211"/>
        <v>0</v>
      </c>
      <c r="T1638" s="77">
        <v>0</v>
      </c>
      <c r="U1638" s="66"/>
      <c r="V1638" s="79"/>
      <c r="W1638" s="66" t="s">
        <v>1606</v>
      </c>
      <c r="X1638" s="264" t="s">
        <v>1607</v>
      </c>
      <c r="Y1638" s="62"/>
      <c r="Z1638" s="260" t="s">
        <v>18</v>
      </c>
      <c r="AA1638" s="166" t="s">
        <v>28</v>
      </c>
      <c r="AB1638" s="152"/>
      <c r="AC1638" s="153"/>
      <c r="AD1638" s="154"/>
      <c r="AE1638" s="153"/>
      <c r="AF1638" s="153"/>
      <c r="AG1638" s="153"/>
      <c r="AH1638" s="153"/>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c r="BI1638" s="153"/>
      <c r="BJ1638" s="153"/>
      <c r="BK1638" s="153"/>
      <c r="BL1638" s="153"/>
      <c r="BM1638" s="153"/>
      <c r="BN1638" s="153"/>
      <c r="BO1638" s="153"/>
      <c r="BP1638" s="153"/>
      <c r="BQ1638" s="153"/>
      <c r="BR1638" s="153"/>
      <c r="BS1638" s="153"/>
      <c r="BT1638" s="153"/>
      <c r="BU1638" s="153"/>
      <c r="BV1638" s="153"/>
      <c r="BW1638" s="153"/>
      <c r="BX1638" s="153"/>
      <c r="BY1638" s="153"/>
      <c r="BZ1638" s="153"/>
      <c r="CA1638" s="153"/>
      <c r="CB1638" s="153"/>
      <c r="CC1638" s="153"/>
      <c r="CD1638" s="155"/>
      <c r="CE1638" s="156"/>
      <c r="CF1638" s="155"/>
      <c r="CG1638" s="156"/>
      <c r="CH1638" s="155"/>
      <c r="CI1638" s="156"/>
      <c r="CJ1638" s="157">
        <f t="shared" si="210"/>
        <v>0</v>
      </c>
      <c r="CK1638" s="158"/>
      <c r="CL1638" s="159"/>
      <c r="CM1638" s="160"/>
      <c r="CN1638" s="161"/>
      <c r="CO1638" s="162"/>
      <c r="CP1638" s="161"/>
      <c r="CQ1638" s="158"/>
      <c r="CR1638" s="159"/>
      <c r="CS1638" s="68"/>
      <c r="CT1638" s="163"/>
      <c r="EC1638" s="366" t="str">
        <f t="shared" si="213"/>
        <v>TOLIMA_CAJAMARCA</v>
      </c>
      <c r="ED1638" s="367"/>
      <c r="EE1638" s="367"/>
      <c r="EF1638" s="368"/>
      <c r="EG1638" s="367"/>
      <c r="EH1638" s="367"/>
      <c r="EI1638" s="367"/>
    </row>
    <row r="1639" spans="1:139" s="164" customFormat="1" ht="25.5">
      <c r="A1639" s="228">
        <v>40492</v>
      </c>
      <c r="B1639" s="205" t="s">
        <v>2400</v>
      </c>
      <c r="C1639" s="205" t="s">
        <v>1701</v>
      </c>
      <c r="D1639" s="207" t="s">
        <v>1201</v>
      </c>
      <c r="E1639" s="323" t="s">
        <v>4188</v>
      </c>
      <c r="F1639" s="323"/>
      <c r="G1639" s="204"/>
      <c r="H1639" s="151"/>
      <c r="I1639" s="151"/>
      <c r="J1639" s="151">
        <v>653</v>
      </c>
      <c r="K1639" s="151">
        <v>145</v>
      </c>
      <c r="L1639" s="1"/>
      <c r="M1639" s="73">
        <f t="shared" si="208"/>
        <v>0</v>
      </c>
      <c r="N1639" s="73">
        <f t="shared" si="212"/>
        <v>0</v>
      </c>
      <c r="O1639" s="73">
        <f t="shared" si="207"/>
        <v>0</v>
      </c>
      <c r="P1639" s="73">
        <f t="shared" si="209"/>
        <v>0</v>
      </c>
      <c r="Q1639" s="73"/>
      <c r="R1639" s="73">
        <v>0</v>
      </c>
      <c r="S1639" s="75">
        <f t="shared" si="211"/>
        <v>0</v>
      </c>
      <c r="T1639" s="77">
        <v>0</v>
      </c>
      <c r="U1639" s="66">
        <v>40581</v>
      </c>
      <c r="V1639" s="79"/>
      <c r="W1639" s="66" t="s">
        <v>1585</v>
      </c>
      <c r="X1639" s="24" t="s">
        <v>1586</v>
      </c>
      <c r="Y1639" s="62"/>
      <c r="Z1639" s="169" t="s">
        <v>894</v>
      </c>
      <c r="AA1639" s="166" t="s">
        <v>54</v>
      </c>
      <c r="AB1639" s="152"/>
      <c r="AC1639" s="153"/>
      <c r="AD1639" s="154"/>
      <c r="AE1639" s="153"/>
      <c r="AF1639" s="153"/>
      <c r="AG1639" s="153"/>
      <c r="AH1639" s="153"/>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c r="BI1639" s="153"/>
      <c r="BJ1639" s="153"/>
      <c r="BK1639" s="153"/>
      <c r="BL1639" s="153"/>
      <c r="BM1639" s="153"/>
      <c r="BN1639" s="153"/>
      <c r="BO1639" s="153"/>
      <c r="BP1639" s="153"/>
      <c r="BQ1639" s="153"/>
      <c r="BR1639" s="153"/>
      <c r="BS1639" s="153"/>
      <c r="BT1639" s="153"/>
      <c r="BU1639" s="153"/>
      <c r="BV1639" s="153"/>
      <c r="BW1639" s="153"/>
      <c r="BX1639" s="153"/>
      <c r="BY1639" s="153"/>
      <c r="BZ1639" s="153"/>
      <c r="CA1639" s="153"/>
      <c r="CB1639" s="153"/>
      <c r="CC1639" s="153"/>
      <c r="CD1639" s="155"/>
      <c r="CE1639" s="156"/>
      <c r="CF1639" s="155"/>
      <c r="CG1639" s="156"/>
      <c r="CH1639" s="155"/>
      <c r="CI1639" s="156"/>
      <c r="CJ1639" s="157">
        <f t="shared" si="210"/>
        <v>0</v>
      </c>
      <c r="CK1639" s="158"/>
      <c r="CL1639" s="159"/>
      <c r="CM1639" s="160"/>
      <c r="CN1639" s="161"/>
      <c r="CO1639" s="162"/>
      <c r="CP1639" s="161"/>
      <c r="CQ1639" s="158"/>
      <c r="CR1639" s="159"/>
      <c r="CS1639" s="68"/>
      <c r="CT1639" s="163"/>
      <c r="EC1639" s="366" t="str">
        <f t="shared" si="213"/>
        <v>TOLIMA_COELLO</v>
      </c>
      <c r="ED1639" s="367"/>
      <c r="EE1639" s="367"/>
      <c r="EF1639" s="368"/>
      <c r="EG1639" s="367"/>
      <c r="EH1639" s="367"/>
      <c r="EI1639" s="367"/>
    </row>
    <row r="1640" spans="1:139" s="164" customFormat="1" ht="45">
      <c r="A1640" s="228">
        <v>40492</v>
      </c>
      <c r="B1640" s="205" t="s">
        <v>2400</v>
      </c>
      <c r="C1640" s="205" t="s">
        <v>2303</v>
      </c>
      <c r="D1640" s="207" t="s">
        <v>1201</v>
      </c>
      <c r="E1640" s="323" t="s">
        <v>4190</v>
      </c>
      <c r="F1640" s="323"/>
      <c r="G1640" s="204"/>
      <c r="H1640" s="151"/>
      <c r="I1640" s="151"/>
      <c r="J1640" s="151">
        <v>630</v>
      </c>
      <c r="K1640" s="151">
        <v>140</v>
      </c>
      <c r="L1640" s="1"/>
      <c r="M1640" s="73">
        <f t="shared" si="208"/>
        <v>0</v>
      </c>
      <c r="N1640" s="73">
        <f t="shared" si="212"/>
        <v>0</v>
      </c>
      <c r="O1640" s="73">
        <f t="shared" si="207"/>
        <v>0</v>
      </c>
      <c r="P1640" s="73">
        <f t="shared" si="209"/>
        <v>0</v>
      </c>
      <c r="Q1640" s="73"/>
      <c r="R1640" s="73">
        <v>0</v>
      </c>
      <c r="S1640" s="75">
        <f t="shared" si="211"/>
        <v>0</v>
      </c>
      <c r="T1640" s="77">
        <v>0</v>
      </c>
      <c r="U1640" s="66"/>
      <c r="V1640" s="79"/>
      <c r="W1640" s="66" t="s">
        <v>1606</v>
      </c>
      <c r="X1640" s="264" t="s">
        <v>1607</v>
      </c>
      <c r="Y1640" s="62"/>
      <c r="Z1640" s="260" t="s">
        <v>18</v>
      </c>
      <c r="AA1640" s="166" t="s">
        <v>28</v>
      </c>
      <c r="AB1640" s="152"/>
      <c r="AC1640" s="153"/>
      <c r="AD1640" s="154"/>
      <c r="AE1640" s="153"/>
      <c r="AF1640" s="153"/>
      <c r="AG1640" s="153"/>
      <c r="AH1640" s="153"/>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c r="BI1640" s="153"/>
      <c r="BJ1640" s="153"/>
      <c r="BK1640" s="153"/>
      <c r="BL1640" s="153"/>
      <c r="BM1640" s="153"/>
      <c r="BN1640" s="153"/>
      <c r="BO1640" s="153"/>
      <c r="BP1640" s="153"/>
      <c r="BQ1640" s="153"/>
      <c r="BR1640" s="153"/>
      <c r="BS1640" s="153"/>
      <c r="BT1640" s="153"/>
      <c r="BU1640" s="153"/>
      <c r="BV1640" s="153"/>
      <c r="BW1640" s="153"/>
      <c r="BX1640" s="153"/>
      <c r="BY1640" s="153"/>
      <c r="BZ1640" s="153"/>
      <c r="CA1640" s="153"/>
      <c r="CB1640" s="153"/>
      <c r="CC1640" s="153"/>
      <c r="CD1640" s="155"/>
      <c r="CE1640" s="156"/>
      <c r="CF1640" s="155"/>
      <c r="CG1640" s="156"/>
      <c r="CH1640" s="155"/>
      <c r="CI1640" s="156"/>
      <c r="CJ1640" s="157">
        <f t="shared" si="210"/>
        <v>0</v>
      </c>
      <c r="CK1640" s="158"/>
      <c r="CL1640" s="159"/>
      <c r="CM1640" s="160"/>
      <c r="CN1640" s="161"/>
      <c r="CO1640" s="162"/>
      <c r="CP1640" s="161"/>
      <c r="CQ1640" s="158"/>
      <c r="CR1640" s="159"/>
      <c r="CS1640" s="68"/>
      <c r="CT1640" s="163"/>
      <c r="EC1640" s="366" t="str">
        <f t="shared" si="213"/>
        <v>TOLIMA_CUNDAY</v>
      </c>
      <c r="ED1640" s="367"/>
      <c r="EE1640" s="367"/>
      <c r="EF1640" s="368"/>
      <c r="EG1640" s="367"/>
      <c r="EH1640" s="367"/>
      <c r="EI1640" s="367"/>
    </row>
    <row r="1641" spans="1:139" s="164" customFormat="1" ht="48">
      <c r="A1641" s="228">
        <v>40492</v>
      </c>
      <c r="B1641" s="102" t="s">
        <v>2400</v>
      </c>
      <c r="C1641" s="102" t="s">
        <v>2436</v>
      </c>
      <c r="D1641" s="206" t="s">
        <v>1201</v>
      </c>
      <c r="E1641" s="320" t="s">
        <v>4194</v>
      </c>
      <c r="F1641" s="320"/>
      <c r="G1641" s="210"/>
      <c r="H1641" s="71"/>
      <c r="I1641" s="71"/>
      <c r="J1641" s="71">
        <v>1940</v>
      </c>
      <c r="K1641" s="71">
        <v>431</v>
      </c>
      <c r="L1641" s="1"/>
      <c r="M1641" s="73">
        <f t="shared" si="208"/>
        <v>0</v>
      </c>
      <c r="N1641" s="73">
        <f t="shared" si="212"/>
        <v>0</v>
      </c>
      <c r="O1641" s="73">
        <f t="shared" si="207"/>
        <v>0</v>
      </c>
      <c r="P1641" s="73">
        <f t="shared" si="209"/>
        <v>0</v>
      </c>
      <c r="Q1641" s="73"/>
      <c r="R1641" s="73">
        <v>0</v>
      </c>
      <c r="S1641" s="75">
        <f t="shared" si="211"/>
        <v>0</v>
      </c>
      <c r="T1641" s="77">
        <v>0</v>
      </c>
      <c r="U1641" s="66">
        <v>40283</v>
      </c>
      <c r="V1641" s="79"/>
      <c r="W1641" s="66" t="s">
        <v>1585</v>
      </c>
      <c r="X1641" s="24" t="s">
        <v>1586</v>
      </c>
      <c r="Y1641" s="62"/>
      <c r="Z1641" s="177" t="s">
        <v>894</v>
      </c>
      <c r="AA1641" s="80" t="s">
        <v>2437</v>
      </c>
      <c r="AB1641" s="3"/>
      <c r="AC1641" s="4"/>
      <c r="AD1641" s="5"/>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6"/>
      <c r="CE1641" s="7"/>
      <c r="CF1641" s="6"/>
      <c r="CG1641" s="7"/>
      <c r="CH1641" s="6"/>
      <c r="CI1641" s="7"/>
      <c r="CJ1641" s="8">
        <f t="shared" si="210"/>
        <v>0</v>
      </c>
      <c r="CK1641" s="9"/>
      <c r="CL1641" s="10"/>
      <c r="CM1641" s="11"/>
      <c r="CN1641" s="12"/>
      <c r="CO1641" s="28"/>
      <c r="CP1641" s="12"/>
      <c r="CQ1641" s="9"/>
      <c r="CR1641" s="10"/>
      <c r="CS1641" s="68"/>
      <c r="CT1641" s="22"/>
      <c r="EC1641" s="366" t="str">
        <f t="shared" si="213"/>
        <v>TOLIMA_FLANDES</v>
      </c>
      <c r="ED1641" s="367"/>
      <c r="EE1641" s="367"/>
      <c r="EF1641" s="368"/>
      <c r="EG1641" s="367"/>
      <c r="EH1641" s="367"/>
      <c r="EI1641" s="367"/>
    </row>
    <row r="1642" spans="1:139" s="164" customFormat="1" ht="48">
      <c r="A1642" s="228">
        <v>40492</v>
      </c>
      <c r="B1642" s="205" t="s">
        <v>2400</v>
      </c>
      <c r="C1642" s="205" t="s">
        <v>738</v>
      </c>
      <c r="D1642" s="207" t="s">
        <v>1878</v>
      </c>
      <c r="E1642" s="323" t="s">
        <v>4195</v>
      </c>
      <c r="F1642" s="323"/>
      <c r="G1642" s="204"/>
      <c r="H1642" s="151"/>
      <c r="I1642" s="151"/>
      <c r="J1642" s="151">
        <v>3706</v>
      </c>
      <c r="K1642" s="151">
        <v>823</v>
      </c>
      <c r="L1642" s="1"/>
      <c r="M1642" s="73">
        <f t="shared" si="208"/>
        <v>0</v>
      </c>
      <c r="N1642" s="73">
        <f t="shared" si="212"/>
        <v>0</v>
      </c>
      <c r="O1642" s="73">
        <f t="shared" si="207"/>
        <v>0</v>
      </c>
      <c r="P1642" s="73">
        <f t="shared" si="209"/>
        <v>0</v>
      </c>
      <c r="Q1642" s="73"/>
      <c r="R1642" s="73">
        <v>0</v>
      </c>
      <c r="S1642" s="75">
        <f t="shared" si="211"/>
        <v>0</v>
      </c>
      <c r="T1642" s="77">
        <v>0</v>
      </c>
      <c r="U1642" s="66"/>
      <c r="V1642" s="79"/>
      <c r="W1642" s="66" t="s">
        <v>1606</v>
      </c>
      <c r="X1642" s="264" t="s">
        <v>1607</v>
      </c>
      <c r="Y1642" s="62"/>
      <c r="Z1642" s="260" t="s">
        <v>18</v>
      </c>
      <c r="AA1642" s="166" t="s">
        <v>467</v>
      </c>
      <c r="AB1642" s="152"/>
      <c r="AC1642" s="153"/>
      <c r="AD1642" s="154"/>
      <c r="AE1642" s="153"/>
      <c r="AF1642" s="153"/>
      <c r="AG1642" s="153"/>
      <c r="AH1642" s="153"/>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c r="BI1642" s="153"/>
      <c r="BJ1642" s="153"/>
      <c r="BK1642" s="153"/>
      <c r="BL1642" s="153"/>
      <c r="BM1642" s="153"/>
      <c r="BN1642" s="153"/>
      <c r="BO1642" s="153"/>
      <c r="BP1642" s="153"/>
      <c r="BQ1642" s="153"/>
      <c r="BR1642" s="153"/>
      <c r="BS1642" s="153"/>
      <c r="BT1642" s="153"/>
      <c r="BU1642" s="153"/>
      <c r="BV1642" s="153"/>
      <c r="BW1642" s="153"/>
      <c r="BX1642" s="153"/>
      <c r="BY1642" s="153"/>
      <c r="BZ1642" s="153"/>
      <c r="CA1642" s="153"/>
      <c r="CB1642" s="153"/>
      <c r="CC1642" s="153"/>
      <c r="CD1642" s="155"/>
      <c r="CE1642" s="156"/>
      <c r="CF1642" s="155"/>
      <c r="CG1642" s="156"/>
      <c r="CH1642" s="155"/>
      <c r="CI1642" s="156"/>
      <c r="CJ1642" s="157">
        <f t="shared" si="210"/>
        <v>0</v>
      </c>
      <c r="CK1642" s="158"/>
      <c r="CL1642" s="159"/>
      <c r="CM1642" s="160"/>
      <c r="CN1642" s="161"/>
      <c r="CO1642" s="162"/>
      <c r="CP1642" s="161"/>
      <c r="CQ1642" s="158"/>
      <c r="CR1642" s="159"/>
      <c r="CS1642" s="68"/>
      <c r="CT1642" s="163"/>
      <c r="EC1642" s="366" t="str">
        <f t="shared" si="213"/>
        <v>TOLIMA_FRESNO</v>
      </c>
      <c r="ED1642" s="367"/>
      <c r="EE1642" s="367"/>
      <c r="EF1642" s="368"/>
      <c r="EG1642" s="367"/>
      <c r="EH1642" s="367"/>
      <c r="EI1642" s="367"/>
    </row>
    <row r="1643" spans="1:139" s="164" customFormat="1" ht="45">
      <c r="A1643" s="228">
        <v>40492</v>
      </c>
      <c r="B1643" s="205" t="s">
        <v>2400</v>
      </c>
      <c r="C1643" s="205" t="s">
        <v>630</v>
      </c>
      <c r="D1643" s="207" t="s">
        <v>1201</v>
      </c>
      <c r="E1643" s="323" t="s">
        <v>4196</v>
      </c>
      <c r="F1643" s="323"/>
      <c r="G1643" s="204"/>
      <c r="H1643" s="151"/>
      <c r="I1643" s="151"/>
      <c r="J1643" s="151">
        <v>855</v>
      </c>
      <c r="K1643" s="151">
        <v>190</v>
      </c>
      <c r="L1643" s="1"/>
      <c r="M1643" s="73">
        <f t="shared" si="208"/>
        <v>0</v>
      </c>
      <c r="N1643" s="73">
        <f t="shared" si="212"/>
        <v>0</v>
      </c>
      <c r="O1643" s="73">
        <f t="shared" si="207"/>
        <v>0</v>
      </c>
      <c r="P1643" s="73">
        <f t="shared" si="209"/>
        <v>0</v>
      </c>
      <c r="Q1643" s="73"/>
      <c r="R1643" s="73">
        <v>0</v>
      </c>
      <c r="S1643" s="75">
        <f t="shared" si="211"/>
        <v>0</v>
      </c>
      <c r="T1643" s="77">
        <v>0</v>
      </c>
      <c r="U1643" s="66"/>
      <c r="V1643" s="79"/>
      <c r="W1643" s="66" t="s">
        <v>1606</v>
      </c>
      <c r="X1643" s="264" t="s">
        <v>1607</v>
      </c>
      <c r="Y1643" s="62"/>
      <c r="Z1643" s="260" t="s">
        <v>18</v>
      </c>
      <c r="AA1643" s="166" t="s">
        <v>469</v>
      </c>
      <c r="AB1643" s="152"/>
      <c r="AC1643" s="153"/>
      <c r="AD1643" s="154"/>
      <c r="AE1643" s="153"/>
      <c r="AF1643" s="153"/>
      <c r="AG1643" s="153"/>
      <c r="AH1643" s="153"/>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c r="BI1643" s="153"/>
      <c r="BJ1643" s="153"/>
      <c r="BK1643" s="153"/>
      <c r="BL1643" s="153"/>
      <c r="BM1643" s="153"/>
      <c r="BN1643" s="153"/>
      <c r="BO1643" s="153"/>
      <c r="BP1643" s="153"/>
      <c r="BQ1643" s="153"/>
      <c r="BR1643" s="153"/>
      <c r="BS1643" s="153"/>
      <c r="BT1643" s="153"/>
      <c r="BU1643" s="153"/>
      <c r="BV1643" s="153"/>
      <c r="BW1643" s="153"/>
      <c r="BX1643" s="153"/>
      <c r="BY1643" s="153"/>
      <c r="BZ1643" s="153"/>
      <c r="CA1643" s="153"/>
      <c r="CB1643" s="153"/>
      <c r="CC1643" s="153"/>
      <c r="CD1643" s="155"/>
      <c r="CE1643" s="156"/>
      <c r="CF1643" s="155"/>
      <c r="CG1643" s="156"/>
      <c r="CH1643" s="155"/>
      <c r="CI1643" s="156"/>
      <c r="CJ1643" s="157">
        <f t="shared" si="210"/>
        <v>0</v>
      </c>
      <c r="CK1643" s="158"/>
      <c r="CL1643" s="159"/>
      <c r="CM1643" s="160"/>
      <c r="CN1643" s="161"/>
      <c r="CO1643" s="162"/>
      <c r="CP1643" s="161"/>
      <c r="CQ1643" s="158"/>
      <c r="CR1643" s="159"/>
      <c r="CS1643" s="68"/>
      <c r="CT1643" s="163"/>
      <c r="EC1643" s="366" t="str">
        <f t="shared" si="213"/>
        <v>TOLIMA_GUAMO</v>
      </c>
      <c r="ED1643" s="367"/>
      <c r="EE1643" s="367"/>
      <c r="EF1643" s="368"/>
      <c r="EG1643" s="367"/>
      <c r="EH1643" s="367"/>
      <c r="EI1643" s="367"/>
    </row>
    <row r="1644" spans="1:139" s="164" customFormat="1" ht="72">
      <c r="A1644" s="228">
        <v>40492</v>
      </c>
      <c r="B1644" s="205" t="s">
        <v>2400</v>
      </c>
      <c r="C1644" s="205" t="s">
        <v>1545</v>
      </c>
      <c r="D1644" s="207" t="s">
        <v>1201</v>
      </c>
      <c r="E1644" s="323" t="s">
        <v>4177</v>
      </c>
      <c r="F1644" s="323"/>
      <c r="G1644" s="204"/>
      <c r="H1644" s="151"/>
      <c r="I1644" s="151"/>
      <c r="J1644" s="151">
        <f>470+149</f>
        <v>619</v>
      </c>
      <c r="K1644" s="151">
        <f>94+47</f>
        <v>141</v>
      </c>
      <c r="L1644" s="1"/>
      <c r="M1644" s="73">
        <f t="shared" si="208"/>
        <v>0</v>
      </c>
      <c r="N1644" s="73">
        <f t="shared" si="212"/>
        <v>0</v>
      </c>
      <c r="O1644" s="73">
        <f t="shared" si="207"/>
        <v>0</v>
      </c>
      <c r="P1644" s="73">
        <f t="shared" si="209"/>
        <v>0</v>
      </c>
      <c r="Q1644" s="73"/>
      <c r="R1644" s="73">
        <v>0</v>
      </c>
      <c r="S1644" s="75">
        <f t="shared" si="211"/>
        <v>0</v>
      </c>
      <c r="T1644" s="77">
        <v>0</v>
      </c>
      <c r="U1644" s="66">
        <v>40494</v>
      </c>
      <c r="V1644" s="79"/>
      <c r="W1644" s="66" t="s">
        <v>1585</v>
      </c>
      <c r="X1644" s="24" t="s">
        <v>1586</v>
      </c>
      <c r="Y1644" s="62"/>
      <c r="Z1644" s="169" t="s">
        <v>894</v>
      </c>
      <c r="AA1644" s="166" t="s">
        <v>2833</v>
      </c>
      <c r="AB1644" s="152"/>
      <c r="AC1644" s="153"/>
      <c r="AD1644" s="154"/>
      <c r="AE1644" s="153"/>
      <c r="AF1644" s="153"/>
      <c r="AG1644" s="153"/>
      <c r="AH1644" s="153"/>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c r="BI1644" s="153"/>
      <c r="BJ1644" s="153"/>
      <c r="BK1644" s="153"/>
      <c r="BL1644" s="153"/>
      <c r="BM1644" s="153"/>
      <c r="BN1644" s="153"/>
      <c r="BO1644" s="153"/>
      <c r="BP1644" s="153"/>
      <c r="BQ1644" s="153"/>
      <c r="BR1644" s="153"/>
      <c r="BS1644" s="153"/>
      <c r="BT1644" s="153"/>
      <c r="BU1644" s="153"/>
      <c r="BV1644" s="153"/>
      <c r="BW1644" s="153"/>
      <c r="BX1644" s="153"/>
      <c r="BY1644" s="153"/>
      <c r="BZ1644" s="153"/>
      <c r="CA1644" s="153"/>
      <c r="CB1644" s="153"/>
      <c r="CC1644" s="153"/>
      <c r="CD1644" s="155"/>
      <c r="CE1644" s="156"/>
      <c r="CF1644" s="155"/>
      <c r="CG1644" s="156"/>
      <c r="CH1644" s="155"/>
      <c r="CI1644" s="156"/>
      <c r="CJ1644" s="157">
        <f t="shared" si="210"/>
        <v>0</v>
      </c>
      <c r="CK1644" s="158"/>
      <c r="CL1644" s="159"/>
      <c r="CM1644" s="160"/>
      <c r="CN1644" s="161"/>
      <c r="CO1644" s="162"/>
      <c r="CP1644" s="161"/>
      <c r="CQ1644" s="158"/>
      <c r="CR1644" s="159"/>
      <c r="CS1644" s="68"/>
      <c r="CT1644" s="163"/>
      <c r="EC1644" s="366" t="str">
        <f t="shared" si="213"/>
        <v>TOLIMA_IBAGUE</v>
      </c>
      <c r="ED1644" s="367"/>
      <c r="EE1644" s="367"/>
      <c r="EF1644" s="368"/>
      <c r="EG1644" s="367"/>
      <c r="EH1644" s="367"/>
      <c r="EI1644" s="367"/>
    </row>
    <row r="1645" spans="1:139" s="164" customFormat="1" ht="45">
      <c r="A1645" s="228">
        <v>40492</v>
      </c>
      <c r="B1645" s="205" t="s">
        <v>2400</v>
      </c>
      <c r="C1645" s="205" t="s">
        <v>2613</v>
      </c>
      <c r="D1645" s="207" t="s">
        <v>1201</v>
      </c>
      <c r="E1645" s="323" t="s">
        <v>4201</v>
      </c>
      <c r="F1645" s="323"/>
      <c r="G1645" s="204"/>
      <c r="H1645" s="151"/>
      <c r="I1645" s="151"/>
      <c r="J1645" s="151">
        <v>107</v>
      </c>
      <c r="K1645" s="151">
        <v>246</v>
      </c>
      <c r="L1645" s="1"/>
      <c r="M1645" s="73">
        <f t="shared" si="208"/>
        <v>0</v>
      </c>
      <c r="N1645" s="73">
        <f t="shared" si="212"/>
        <v>0</v>
      </c>
      <c r="O1645" s="73">
        <f t="shared" si="207"/>
        <v>0</v>
      </c>
      <c r="P1645" s="73">
        <f t="shared" si="209"/>
        <v>0</v>
      </c>
      <c r="Q1645" s="73"/>
      <c r="R1645" s="73">
        <v>0</v>
      </c>
      <c r="S1645" s="75">
        <f t="shared" si="211"/>
        <v>0</v>
      </c>
      <c r="T1645" s="77">
        <v>0</v>
      </c>
      <c r="U1645" s="66"/>
      <c r="V1645" s="79"/>
      <c r="W1645" s="66" t="s">
        <v>1606</v>
      </c>
      <c r="X1645" s="264" t="s">
        <v>1607</v>
      </c>
      <c r="Y1645" s="62"/>
      <c r="Z1645" s="260" t="s">
        <v>18</v>
      </c>
      <c r="AA1645" s="166" t="s">
        <v>28</v>
      </c>
      <c r="AB1645" s="152"/>
      <c r="AC1645" s="153"/>
      <c r="AD1645" s="154"/>
      <c r="AE1645" s="153"/>
      <c r="AF1645" s="153"/>
      <c r="AG1645" s="153"/>
      <c r="AH1645" s="153"/>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c r="BI1645" s="153"/>
      <c r="BJ1645" s="153"/>
      <c r="BK1645" s="153"/>
      <c r="BL1645" s="153"/>
      <c r="BM1645" s="153"/>
      <c r="BN1645" s="153"/>
      <c r="BO1645" s="153"/>
      <c r="BP1645" s="153"/>
      <c r="BQ1645" s="153"/>
      <c r="BR1645" s="153"/>
      <c r="BS1645" s="153"/>
      <c r="BT1645" s="153"/>
      <c r="BU1645" s="153"/>
      <c r="BV1645" s="153"/>
      <c r="BW1645" s="153"/>
      <c r="BX1645" s="153"/>
      <c r="BY1645" s="153"/>
      <c r="BZ1645" s="153"/>
      <c r="CA1645" s="153"/>
      <c r="CB1645" s="153"/>
      <c r="CC1645" s="153"/>
      <c r="CD1645" s="155"/>
      <c r="CE1645" s="156"/>
      <c r="CF1645" s="155"/>
      <c r="CG1645" s="156"/>
      <c r="CH1645" s="155"/>
      <c r="CI1645" s="156"/>
      <c r="CJ1645" s="157">
        <f t="shared" si="210"/>
        <v>0</v>
      </c>
      <c r="CK1645" s="158"/>
      <c r="CL1645" s="159"/>
      <c r="CM1645" s="160"/>
      <c r="CN1645" s="161"/>
      <c r="CO1645" s="162"/>
      <c r="CP1645" s="161"/>
      <c r="CQ1645" s="158"/>
      <c r="CR1645" s="159"/>
      <c r="CS1645" s="68"/>
      <c r="CT1645" s="163"/>
      <c r="EC1645" s="366" t="str">
        <f t="shared" si="213"/>
        <v>TOLIMA_LIBANO</v>
      </c>
      <c r="ED1645" s="367"/>
      <c r="EE1645" s="367"/>
      <c r="EF1645" s="368"/>
      <c r="EG1645" s="367"/>
      <c r="EH1645" s="367"/>
      <c r="EI1645" s="367"/>
    </row>
    <row r="1646" spans="1:139" s="164" customFormat="1" ht="45">
      <c r="A1646" s="228">
        <v>40492</v>
      </c>
      <c r="B1646" s="205" t="s">
        <v>2400</v>
      </c>
      <c r="C1646" s="205" t="s">
        <v>1000</v>
      </c>
      <c r="D1646" s="207" t="s">
        <v>1201</v>
      </c>
      <c r="E1646" s="323" t="s">
        <v>4204</v>
      </c>
      <c r="F1646" s="323"/>
      <c r="G1646" s="204"/>
      <c r="H1646" s="151"/>
      <c r="I1646" s="151"/>
      <c r="J1646" s="151">
        <f>359*5</f>
        <v>1795</v>
      </c>
      <c r="K1646" s="151">
        <v>359</v>
      </c>
      <c r="L1646" s="1"/>
      <c r="M1646" s="73">
        <f t="shared" si="208"/>
        <v>0</v>
      </c>
      <c r="N1646" s="73">
        <f t="shared" si="212"/>
        <v>0</v>
      </c>
      <c r="O1646" s="73">
        <f t="shared" si="207"/>
        <v>0</v>
      </c>
      <c r="P1646" s="73">
        <f t="shared" si="209"/>
        <v>0</v>
      </c>
      <c r="Q1646" s="73"/>
      <c r="R1646" s="73">
        <v>0</v>
      </c>
      <c r="S1646" s="75">
        <f t="shared" si="211"/>
        <v>0</v>
      </c>
      <c r="T1646" s="77">
        <v>0</v>
      </c>
      <c r="U1646" s="66"/>
      <c r="V1646" s="79"/>
      <c r="W1646" s="66" t="s">
        <v>1606</v>
      </c>
      <c r="X1646" s="264" t="s">
        <v>1607</v>
      </c>
      <c r="Y1646" s="62"/>
      <c r="Z1646" s="260" t="s">
        <v>18</v>
      </c>
      <c r="AA1646" s="166" t="s">
        <v>28</v>
      </c>
      <c r="AB1646" s="152"/>
      <c r="AC1646" s="153"/>
      <c r="AD1646" s="154"/>
      <c r="AE1646" s="153"/>
      <c r="AF1646" s="153"/>
      <c r="AG1646" s="153"/>
      <c r="AH1646" s="153"/>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c r="BI1646" s="153"/>
      <c r="BJ1646" s="153"/>
      <c r="BK1646" s="153"/>
      <c r="BL1646" s="153"/>
      <c r="BM1646" s="153"/>
      <c r="BN1646" s="153"/>
      <c r="BO1646" s="153"/>
      <c r="BP1646" s="153"/>
      <c r="BQ1646" s="153"/>
      <c r="BR1646" s="153"/>
      <c r="BS1646" s="153"/>
      <c r="BT1646" s="153"/>
      <c r="BU1646" s="153"/>
      <c r="BV1646" s="153"/>
      <c r="BW1646" s="153"/>
      <c r="BX1646" s="153"/>
      <c r="BY1646" s="153"/>
      <c r="BZ1646" s="153"/>
      <c r="CA1646" s="153"/>
      <c r="CB1646" s="153"/>
      <c r="CC1646" s="153"/>
      <c r="CD1646" s="155"/>
      <c r="CE1646" s="156"/>
      <c r="CF1646" s="155"/>
      <c r="CG1646" s="156"/>
      <c r="CH1646" s="155"/>
      <c r="CI1646" s="156"/>
      <c r="CJ1646" s="157">
        <f t="shared" si="210"/>
        <v>0</v>
      </c>
      <c r="CK1646" s="158"/>
      <c r="CL1646" s="159"/>
      <c r="CM1646" s="160"/>
      <c r="CN1646" s="161"/>
      <c r="CO1646" s="162"/>
      <c r="CP1646" s="161"/>
      <c r="CQ1646" s="158"/>
      <c r="CR1646" s="159"/>
      <c r="CS1646" s="68"/>
      <c r="CT1646" s="163"/>
      <c r="EC1646" s="366" t="str">
        <f t="shared" si="213"/>
        <v>TOLIMA_MURILLO</v>
      </c>
      <c r="ED1646" s="367"/>
      <c r="EE1646" s="367"/>
      <c r="EF1646" s="368"/>
      <c r="EG1646" s="367"/>
      <c r="EH1646" s="367"/>
      <c r="EI1646" s="367"/>
    </row>
    <row r="1647" spans="1:139" s="164" customFormat="1" ht="45">
      <c r="A1647" s="228">
        <v>40492</v>
      </c>
      <c r="B1647" s="205" t="s">
        <v>2400</v>
      </c>
      <c r="C1647" s="205" t="s">
        <v>24</v>
      </c>
      <c r="D1647" s="207" t="s">
        <v>1201</v>
      </c>
      <c r="E1647" s="323" t="s">
        <v>4208</v>
      </c>
      <c r="F1647" s="323"/>
      <c r="G1647" s="204"/>
      <c r="H1647" s="151"/>
      <c r="I1647" s="151"/>
      <c r="J1647" s="151">
        <f>448*5</f>
        <v>2240</v>
      </c>
      <c r="K1647" s="151">
        <v>448</v>
      </c>
      <c r="L1647" s="1"/>
      <c r="M1647" s="73">
        <f t="shared" si="208"/>
        <v>0</v>
      </c>
      <c r="N1647" s="73">
        <f t="shared" si="212"/>
        <v>0</v>
      </c>
      <c r="O1647" s="73">
        <f t="shared" si="207"/>
        <v>0</v>
      </c>
      <c r="P1647" s="73">
        <f t="shared" si="209"/>
        <v>0</v>
      </c>
      <c r="Q1647" s="73"/>
      <c r="R1647" s="73">
        <v>0</v>
      </c>
      <c r="S1647" s="75">
        <f t="shared" si="211"/>
        <v>0</v>
      </c>
      <c r="T1647" s="77">
        <v>0</v>
      </c>
      <c r="U1647" s="66"/>
      <c r="V1647" s="79"/>
      <c r="W1647" s="66" t="s">
        <v>1606</v>
      </c>
      <c r="X1647" s="264" t="s">
        <v>1607</v>
      </c>
      <c r="Y1647" s="62"/>
      <c r="Z1647" s="260" t="s">
        <v>18</v>
      </c>
      <c r="AA1647" s="166" t="s">
        <v>28</v>
      </c>
      <c r="AB1647" s="152"/>
      <c r="AC1647" s="153"/>
      <c r="AD1647" s="154"/>
      <c r="AE1647" s="153"/>
      <c r="AF1647" s="153"/>
      <c r="AG1647" s="153"/>
      <c r="AH1647" s="153"/>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c r="BI1647" s="153"/>
      <c r="BJ1647" s="153"/>
      <c r="BK1647" s="153"/>
      <c r="BL1647" s="153"/>
      <c r="BM1647" s="153"/>
      <c r="BN1647" s="153"/>
      <c r="BO1647" s="153"/>
      <c r="BP1647" s="153"/>
      <c r="BQ1647" s="153"/>
      <c r="BR1647" s="153"/>
      <c r="BS1647" s="153"/>
      <c r="BT1647" s="153"/>
      <c r="BU1647" s="153"/>
      <c r="BV1647" s="153"/>
      <c r="BW1647" s="153"/>
      <c r="BX1647" s="153"/>
      <c r="BY1647" s="153"/>
      <c r="BZ1647" s="153"/>
      <c r="CA1647" s="153"/>
      <c r="CB1647" s="153"/>
      <c r="CC1647" s="153"/>
      <c r="CD1647" s="155"/>
      <c r="CE1647" s="156"/>
      <c r="CF1647" s="155"/>
      <c r="CG1647" s="156"/>
      <c r="CH1647" s="155"/>
      <c r="CI1647" s="156"/>
      <c r="CJ1647" s="157">
        <f t="shared" si="210"/>
        <v>0</v>
      </c>
      <c r="CK1647" s="158"/>
      <c r="CL1647" s="159"/>
      <c r="CM1647" s="160"/>
      <c r="CN1647" s="161"/>
      <c r="CO1647" s="162"/>
      <c r="CP1647" s="161"/>
      <c r="CQ1647" s="158"/>
      <c r="CR1647" s="159"/>
      <c r="CS1647" s="68"/>
      <c r="CT1647" s="163"/>
      <c r="EC1647" s="366" t="str">
        <f t="shared" si="213"/>
        <v>TOLIMA_PIEDRAS</v>
      </c>
      <c r="ED1647" s="367"/>
      <c r="EE1647" s="367"/>
      <c r="EF1647" s="368"/>
      <c r="EG1647" s="367"/>
      <c r="EH1647" s="367"/>
      <c r="EI1647" s="367"/>
    </row>
    <row r="1648" spans="1:139" s="164" customFormat="1" ht="72">
      <c r="A1648" s="228">
        <v>40492</v>
      </c>
      <c r="B1648" s="205" t="s">
        <v>1088</v>
      </c>
      <c r="C1648" s="205" t="s">
        <v>1575</v>
      </c>
      <c r="D1648" s="207" t="s">
        <v>1201</v>
      </c>
      <c r="E1648" s="323" t="s">
        <v>4243</v>
      </c>
      <c r="F1648" s="323"/>
      <c r="G1648" s="204"/>
      <c r="H1648" s="151"/>
      <c r="I1648" s="151"/>
      <c r="J1648" s="151">
        <f>500*5</f>
        <v>2500</v>
      </c>
      <c r="K1648" s="151">
        <v>500</v>
      </c>
      <c r="L1648" s="1">
        <v>40520</v>
      </c>
      <c r="M1648" s="73">
        <f t="shared" si="208"/>
        <v>46500000</v>
      </c>
      <c r="N1648" s="73">
        <f t="shared" si="212"/>
        <v>42500000</v>
      </c>
      <c r="O1648" s="73">
        <f t="shared" si="207"/>
        <v>0</v>
      </c>
      <c r="P1648" s="73">
        <f t="shared" si="209"/>
        <v>0</v>
      </c>
      <c r="Q1648" s="73"/>
      <c r="R1648" s="73">
        <v>0</v>
      </c>
      <c r="S1648" s="75">
        <f t="shared" si="211"/>
        <v>89000000</v>
      </c>
      <c r="T1648" s="77">
        <v>0</v>
      </c>
      <c r="U1648" s="66">
        <v>40494</v>
      </c>
      <c r="V1648" s="79"/>
      <c r="W1648" s="66" t="s">
        <v>1606</v>
      </c>
      <c r="X1648" s="24" t="s">
        <v>1607</v>
      </c>
      <c r="Y1648" s="62">
        <v>26384</v>
      </c>
      <c r="Z1648" s="177" t="s">
        <v>2580</v>
      </c>
      <c r="AA1648" s="166" t="s">
        <v>2006</v>
      </c>
      <c r="AB1648" s="152"/>
      <c r="AC1648" s="153"/>
      <c r="AD1648" s="154"/>
      <c r="AE1648" s="153"/>
      <c r="AF1648" s="153"/>
      <c r="AG1648" s="153"/>
      <c r="AH1648" s="153"/>
      <c r="AI1648" s="153"/>
      <c r="AJ1648" s="153"/>
      <c r="AK1648" s="153"/>
      <c r="AL1648" s="153"/>
      <c r="AM1648" s="153"/>
      <c r="AN1648" s="153">
        <v>500</v>
      </c>
      <c r="AO1648" s="153">
        <f>500*56000</f>
        <v>28000000</v>
      </c>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c r="BI1648" s="153"/>
      <c r="BJ1648" s="153"/>
      <c r="BK1648" s="153"/>
      <c r="BL1648" s="153"/>
      <c r="BM1648" s="153"/>
      <c r="BN1648" s="153"/>
      <c r="BO1648" s="153"/>
      <c r="BP1648" s="153"/>
      <c r="BQ1648" s="153"/>
      <c r="BR1648" s="153"/>
      <c r="BS1648" s="153"/>
      <c r="BT1648" s="153"/>
      <c r="BU1648" s="153"/>
      <c r="BV1648" s="153"/>
      <c r="BW1648" s="153"/>
      <c r="BX1648" s="153"/>
      <c r="BY1648" s="153"/>
      <c r="BZ1648" s="153"/>
      <c r="CA1648" s="153"/>
      <c r="CB1648" s="153"/>
      <c r="CC1648" s="153"/>
      <c r="CD1648" s="155">
        <v>500</v>
      </c>
      <c r="CE1648" s="156">
        <f>500*37000</f>
        <v>18500000</v>
      </c>
      <c r="CF1648" s="155"/>
      <c r="CG1648" s="156"/>
      <c r="CH1648" s="155"/>
      <c r="CI1648" s="156"/>
      <c r="CJ1648" s="157">
        <f t="shared" si="210"/>
        <v>46500000</v>
      </c>
      <c r="CK1648" s="158"/>
      <c r="CL1648" s="159"/>
      <c r="CM1648" s="160">
        <v>500</v>
      </c>
      <c r="CN1648" s="161">
        <f>500*85000</f>
        <v>42500000</v>
      </c>
      <c r="CO1648" s="162"/>
      <c r="CP1648" s="161"/>
      <c r="CQ1648" s="158"/>
      <c r="CR1648" s="159"/>
      <c r="CS1648" s="68"/>
      <c r="CT1648" s="163"/>
      <c r="EC1648" s="366" t="str">
        <f t="shared" si="213"/>
        <v>VALLE DEL CAUCA_GINEBRA</v>
      </c>
      <c r="ED1648" s="367"/>
      <c r="EE1648" s="367"/>
      <c r="EF1648" s="368"/>
      <c r="EG1648" s="367"/>
      <c r="EH1648" s="367"/>
      <c r="EI1648" s="367"/>
    </row>
    <row r="1649" spans="1:139" s="164" customFormat="1" ht="51">
      <c r="A1649" s="228">
        <v>40492</v>
      </c>
      <c r="B1649" s="205" t="s">
        <v>1088</v>
      </c>
      <c r="C1649" s="205" t="s">
        <v>2311</v>
      </c>
      <c r="D1649" s="207" t="s">
        <v>1201</v>
      </c>
      <c r="E1649" s="323" t="s">
        <v>4231</v>
      </c>
      <c r="F1649" s="323"/>
      <c r="G1649" s="204"/>
      <c r="H1649" s="151"/>
      <c r="I1649" s="151"/>
      <c r="J1649" s="151">
        <f>791*5</f>
        <v>3955</v>
      </c>
      <c r="K1649" s="175">
        <f>1700-537-372</f>
        <v>791</v>
      </c>
      <c r="L1649" s="1">
        <v>40520</v>
      </c>
      <c r="M1649" s="73">
        <f t="shared" si="208"/>
        <v>45756000</v>
      </c>
      <c r="N1649" s="73">
        <f t="shared" si="212"/>
        <v>41820000</v>
      </c>
      <c r="O1649" s="73">
        <f t="shared" si="207"/>
        <v>0</v>
      </c>
      <c r="P1649" s="73">
        <f t="shared" si="209"/>
        <v>0</v>
      </c>
      <c r="Q1649" s="73"/>
      <c r="R1649" s="73">
        <v>0</v>
      </c>
      <c r="S1649" s="75">
        <f t="shared" si="211"/>
        <v>87576000</v>
      </c>
      <c r="T1649" s="77">
        <v>0</v>
      </c>
      <c r="U1649" s="66">
        <v>40494</v>
      </c>
      <c r="V1649" s="79"/>
      <c r="W1649" s="66" t="s">
        <v>1606</v>
      </c>
      <c r="X1649" s="24" t="s">
        <v>1607</v>
      </c>
      <c r="Y1649" s="62">
        <v>26384</v>
      </c>
      <c r="Z1649" s="169" t="s">
        <v>1435</v>
      </c>
      <c r="AA1649" s="166" t="s">
        <v>2027</v>
      </c>
      <c r="AB1649" s="152"/>
      <c r="AC1649" s="153"/>
      <c r="AD1649" s="154"/>
      <c r="AE1649" s="153"/>
      <c r="AF1649" s="153"/>
      <c r="AG1649" s="153"/>
      <c r="AH1649" s="153"/>
      <c r="AI1649" s="153"/>
      <c r="AJ1649" s="153"/>
      <c r="AK1649" s="153"/>
      <c r="AL1649" s="153"/>
      <c r="AM1649" s="153"/>
      <c r="AN1649" s="153">
        <v>492</v>
      </c>
      <c r="AO1649" s="153">
        <f>492*56000</f>
        <v>27552000</v>
      </c>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c r="BI1649" s="153"/>
      <c r="BJ1649" s="153"/>
      <c r="BK1649" s="153"/>
      <c r="BL1649" s="153"/>
      <c r="BM1649" s="153"/>
      <c r="BN1649" s="153"/>
      <c r="BO1649" s="153"/>
      <c r="BP1649" s="153"/>
      <c r="BQ1649" s="153"/>
      <c r="BR1649" s="153"/>
      <c r="BS1649" s="153"/>
      <c r="BT1649" s="153"/>
      <c r="BU1649" s="153"/>
      <c r="BV1649" s="153"/>
      <c r="BW1649" s="153"/>
      <c r="BX1649" s="153"/>
      <c r="BY1649" s="153"/>
      <c r="BZ1649" s="153"/>
      <c r="CA1649" s="153"/>
      <c r="CB1649" s="153"/>
      <c r="CC1649" s="153"/>
      <c r="CD1649" s="155">
        <v>492</v>
      </c>
      <c r="CE1649" s="156">
        <f>492*37000</f>
        <v>18204000</v>
      </c>
      <c r="CF1649" s="155"/>
      <c r="CG1649" s="156"/>
      <c r="CH1649" s="155"/>
      <c r="CI1649" s="156"/>
      <c r="CJ1649" s="157">
        <f t="shared" si="210"/>
        <v>45756000</v>
      </c>
      <c r="CK1649" s="158"/>
      <c r="CL1649" s="159"/>
      <c r="CM1649" s="160">
        <v>492</v>
      </c>
      <c r="CN1649" s="161">
        <f>492*85000</f>
        <v>41820000</v>
      </c>
      <c r="CO1649" s="162"/>
      <c r="CP1649" s="161"/>
      <c r="CQ1649" s="158"/>
      <c r="CR1649" s="159"/>
      <c r="CS1649" s="68"/>
      <c r="CT1649" s="163"/>
      <c r="EC1649" s="366" t="str">
        <f t="shared" si="213"/>
        <v>VALLE DEL CAUCA_GUADALAJARA DE BUGA</v>
      </c>
      <c r="ED1649" s="367"/>
      <c r="EE1649" s="367"/>
      <c r="EF1649" s="368"/>
      <c r="EG1649" s="367"/>
      <c r="EH1649" s="367"/>
      <c r="EI1649" s="367"/>
    </row>
    <row r="1650" spans="1:139" s="164" customFormat="1" ht="25.5">
      <c r="A1650" s="235">
        <v>40493</v>
      </c>
      <c r="B1650" s="269" t="s">
        <v>1972</v>
      </c>
      <c r="C1650" s="269" t="s">
        <v>2358</v>
      </c>
      <c r="D1650" s="236" t="s">
        <v>1878</v>
      </c>
      <c r="E1650" s="324" t="s">
        <v>3227</v>
      </c>
      <c r="F1650" s="324"/>
      <c r="G1650" s="204">
        <v>1</v>
      </c>
      <c r="H1650" s="151">
        <v>1</v>
      </c>
      <c r="I1650" s="151"/>
      <c r="J1650" s="151">
        <v>85</v>
      </c>
      <c r="K1650" s="151">
        <v>17</v>
      </c>
      <c r="L1650" s="1"/>
      <c r="M1650" s="73">
        <f t="shared" si="208"/>
        <v>0</v>
      </c>
      <c r="N1650" s="73">
        <f t="shared" si="212"/>
        <v>0</v>
      </c>
      <c r="O1650" s="73">
        <f t="shared" si="207"/>
        <v>0</v>
      </c>
      <c r="P1650" s="73">
        <f t="shared" si="209"/>
        <v>0</v>
      </c>
      <c r="Q1650" s="73"/>
      <c r="R1650" s="73">
        <v>0</v>
      </c>
      <c r="S1650" s="75">
        <f t="shared" si="211"/>
        <v>0</v>
      </c>
      <c r="T1650" s="77">
        <v>0</v>
      </c>
      <c r="U1650" s="66">
        <v>40497</v>
      </c>
      <c r="V1650" s="79"/>
      <c r="W1650" s="66" t="s">
        <v>1585</v>
      </c>
      <c r="X1650" s="24" t="s">
        <v>1586</v>
      </c>
      <c r="Y1650" s="62"/>
      <c r="Z1650" s="169" t="s">
        <v>894</v>
      </c>
      <c r="AA1650" s="166" t="s">
        <v>2862</v>
      </c>
      <c r="AB1650" s="152"/>
      <c r="AC1650" s="153"/>
      <c r="AD1650" s="154"/>
      <c r="AE1650" s="153"/>
      <c r="AF1650" s="153"/>
      <c r="AG1650" s="153"/>
      <c r="AH1650" s="153"/>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c r="BF1650" s="153"/>
      <c r="BG1650" s="153"/>
      <c r="BH1650" s="153"/>
      <c r="BI1650" s="153"/>
      <c r="BJ1650" s="153"/>
      <c r="BK1650" s="153"/>
      <c r="BL1650" s="153"/>
      <c r="BM1650" s="153"/>
      <c r="BN1650" s="153"/>
      <c r="BO1650" s="153"/>
      <c r="BP1650" s="153"/>
      <c r="BQ1650" s="153"/>
      <c r="BR1650" s="153"/>
      <c r="BS1650" s="153"/>
      <c r="BT1650" s="153"/>
      <c r="BU1650" s="153"/>
      <c r="BV1650" s="153"/>
      <c r="BW1650" s="153"/>
      <c r="BX1650" s="153"/>
      <c r="BY1650" s="153"/>
      <c r="BZ1650" s="153"/>
      <c r="CA1650" s="153"/>
      <c r="CB1650" s="153"/>
      <c r="CC1650" s="153"/>
      <c r="CD1650" s="155"/>
      <c r="CE1650" s="156"/>
      <c r="CF1650" s="155"/>
      <c r="CG1650" s="156"/>
      <c r="CH1650" s="155"/>
      <c r="CI1650" s="156"/>
      <c r="CJ1650" s="157">
        <f t="shared" si="210"/>
        <v>0</v>
      </c>
      <c r="CK1650" s="158"/>
      <c r="CL1650" s="159"/>
      <c r="CM1650" s="160"/>
      <c r="CN1650" s="161"/>
      <c r="CO1650" s="162"/>
      <c r="CP1650" s="161"/>
      <c r="CQ1650" s="158"/>
      <c r="CR1650" s="159"/>
      <c r="CS1650" s="68"/>
      <c r="CT1650" s="163"/>
      <c r="EC1650" s="366" t="str">
        <f t="shared" si="213"/>
        <v>ANTIOQUIA_MEDELLIN</v>
      </c>
      <c r="ED1650" s="367"/>
      <c r="EE1650" s="367"/>
      <c r="EF1650" s="368"/>
      <c r="EG1650" s="367"/>
      <c r="EH1650" s="367"/>
      <c r="EI1650" s="367"/>
    </row>
    <row r="1651" spans="1:139" s="164" customFormat="1" ht="25.5">
      <c r="A1651" s="235">
        <v>40493</v>
      </c>
      <c r="B1651" s="269" t="s">
        <v>1972</v>
      </c>
      <c r="C1651" s="269" t="s">
        <v>1973</v>
      </c>
      <c r="D1651" s="270" t="s">
        <v>1201</v>
      </c>
      <c r="E1651" s="327" t="s">
        <v>3297</v>
      </c>
      <c r="F1651" s="327"/>
      <c r="G1651" s="204"/>
      <c r="H1651" s="151"/>
      <c r="I1651" s="151"/>
      <c r="J1651" s="151">
        <v>506</v>
      </c>
      <c r="K1651" s="151">
        <v>136</v>
      </c>
      <c r="L1651" s="1"/>
      <c r="M1651" s="73">
        <f t="shared" si="208"/>
        <v>0</v>
      </c>
      <c r="N1651" s="73">
        <f t="shared" si="212"/>
        <v>0</v>
      </c>
      <c r="O1651" s="73">
        <f t="shared" si="207"/>
        <v>0</v>
      </c>
      <c r="P1651" s="73">
        <f t="shared" si="209"/>
        <v>0</v>
      </c>
      <c r="Q1651" s="73"/>
      <c r="R1651" s="73">
        <v>0</v>
      </c>
      <c r="S1651" s="75">
        <f t="shared" si="211"/>
        <v>0</v>
      </c>
      <c r="T1651" s="77">
        <v>0</v>
      </c>
      <c r="U1651" s="66">
        <v>40497</v>
      </c>
      <c r="V1651" s="79"/>
      <c r="W1651" s="66" t="s">
        <v>1585</v>
      </c>
      <c r="X1651" s="24" t="s">
        <v>1586</v>
      </c>
      <c r="Y1651" s="62"/>
      <c r="Z1651" s="169" t="s">
        <v>894</v>
      </c>
      <c r="AA1651" s="166" t="s">
        <v>2839</v>
      </c>
      <c r="AB1651" s="152"/>
      <c r="AC1651" s="153"/>
      <c r="AD1651" s="154"/>
      <c r="AE1651" s="153"/>
      <c r="AF1651" s="153"/>
      <c r="AG1651" s="153"/>
      <c r="AH1651" s="153"/>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c r="BF1651" s="153"/>
      <c r="BG1651" s="153"/>
      <c r="BH1651" s="153"/>
      <c r="BI1651" s="153"/>
      <c r="BJ1651" s="153"/>
      <c r="BK1651" s="153"/>
      <c r="BL1651" s="153"/>
      <c r="BM1651" s="153"/>
      <c r="BN1651" s="153"/>
      <c r="BO1651" s="153"/>
      <c r="BP1651" s="153"/>
      <c r="BQ1651" s="153"/>
      <c r="BR1651" s="153"/>
      <c r="BS1651" s="153"/>
      <c r="BT1651" s="153"/>
      <c r="BU1651" s="153"/>
      <c r="BV1651" s="153"/>
      <c r="BW1651" s="153"/>
      <c r="BX1651" s="153"/>
      <c r="BY1651" s="153"/>
      <c r="BZ1651" s="153"/>
      <c r="CA1651" s="153"/>
      <c r="CB1651" s="153"/>
      <c r="CC1651" s="153"/>
      <c r="CD1651" s="155"/>
      <c r="CE1651" s="156"/>
      <c r="CF1651" s="155"/>
      <c r="CG1651" s="156"/>
      <c r="CH1651" s="155"/>
      <c r="CI1651" s="156"/>
      <c r="CJ1651" s="157">
        <f t="shared" si="210"/>
        <v>0</v>
      </c>
      <c r="CK1651" s="158"/>
      <c r="CL1651" s="159"/>
      <c r="CM1651" s="160"/>
      <c r="CN1651" s="161"/>
      <c r="CO1651" s="162"/>
      <c r="CP1651" s="161"/>
      <c r="CQ1651" s="158"/>
      <c r="CR1651" s="159"/>
      <c r="CS1651" s="68"/>
      <c r="CT1651" s="163"/>
      <c r="EC1651" s="366" t="str">
        <f t="shared" si="213"/>
        <v>ANTIOQUIA_MURINDO</v>
      </c>
      <c r="ED1651" s="367"/>
      <c r="EE1651" s="367"/>
      <c r="EF1651" s="368"/>
      <c r="EG1651" s="367"/>
      <c r="EH1651" s="367"/>
      <c r="EI1651" s="367"/>
    </row>
    <row r="1652" spans="1:139" s="164" customFormat="1" ht="72">
      <c r="A1652" s="228">
        <v>40493</v>
      </c>
      <c r="B1652" s="205" t="s">
        <v>1192</v>
      </c>
      <c r="C1652" s="205" t="s">
        <v>1192</v>
      </c>
      <c r="D1652" s="207" t="s">
        <v>1878</v>
      </c>
      <c r="E1652" s="323" t="s">
        <v>3429</v>
      </c>
      <c r="F1652" s="323"/>
      <c r="G1652" s="204"/>
      <c r="H1652" s="151"/>
      <c r="I1652" s="151"/>
      <c r="J1652" s="151">
        <f>138*5</f>
        <v>690</v>
      </c>
      <c r="K1652" s="151">
        <v>139</v>
      </c>
      <c r="L1652" s="1"/>
      <c r="M1652" s="73">
        <f t="shared" si="208"/>
        <v>0</v>
      </c>
      <c r="N1652" s="73">
        <f t="shared" si="212"/>
        <v>0</v>
      </c>
      <c r="O1652" s="73">
        <f t="shared" ref="O1652:O1715" si="214">CP1652+CR1652</f>
        <v>0</v>
      </c>
      <c r="P1652" s="73">
        <f t="shared" si="209"/>
        <v>0</v>
      </c>
      <c r="Q1652" s="73"/>
      <c r="R1652" s="73">
        <v>0</v>
      </c>
      <c r="S1652" s="75">
        <f t="shared" si="211"/>
        <v>0</v>
      </c>
      <c r="T1652" s="77">
        <v>0</v>
      </c>
      <c r="U1652" s="66">
        <v>40584</v>
      </c>
      <c r="V1652" s="79"/>
      <c r="W1652" s="66" t="s">
        <v>1585</v>
      </c>
      <c r="X1652" s="24" t="s">
        <v>1586</v>
      </c>
      <c r="Y1652" s="62"/>
      <c r="Z1652" s="169" t="s">
        <v>894</v>
      </c>
      <c r="AA1652" s="166" t="s">
        <v>91</v>
      </c>
      <c r="AB1652" s="152"/>
      <c r="AC1652" s="153"/>
      <c r="AD1652" s="154"/>
      <c r="AE1652" s="153"/>
      <c r="AF1652" s="153"/>
      <c r="AG1652" s="153"/>
      <c r="AH1652" s="153"/>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c r="BF1652" s="153"/>
      <c r="BG1652" s="153"/>
      <c r="BH1652" s="153"/>
      <c r="BI1652" s="153"/>
      <c r="BJ1652" s="153"/>
      <c r="BK1652" s="153"/>
      <c r="BL1652" s="153"/>
      <c r="BM1652" s="153"/>
      <c r="BN1652" s="153"/>
      <c r="BO1652" s="153"/>
      <c r="BP1652" s="153"/>
      <c r="BQ1652" s="153"/>
      <c r="BR1652" s="153"/>
      <c r="BS1652" s="153"/>
      <c r="BT1652" s="153"/>
      <c r="BU1652" s="153"/>
      <c r="BV1652" s="153"/>
      <c r="BW1652" s="153"/>
      <c r="BX1652" s="153"/>
      <c r="BY1652" s="153"/>
      <c r="BZ1652" s="153"/>
      <c r="CA1652" s="153"/>
      <c r="CB1652" s="153"/>
      <c r="CC1652" s="153"/>
      <c r="CD1652" s="155"/>
      <c r="CE1652" s="156"/>
      <c r="CF1652" s="155"/>
      <c r="CG1652" s="156"/>
      <c r="CH1652" s="155"/>
      <c r="CI1652" s="156"/>
      <c r="CJ1652" s="157">
        <f t="shared" si="210"/>
        <v>0</v>
      </c>
      <c r="CK1652" s="158"/>
      <c r="CL1652" s="159"/>
      <c r="CM1652" s="160"/>
      <c r="CN1652" s="161"/>
      <c r="CO1652" s="162"/>
      <c r="CP1652" s="161"/>
      <c r="CQ1652" s="158"/>
      <c r="CR1652" s="159"/>
      <c r="CS1652" s="68"/>
      <c r="CT1652" s="163">
        <v>1574</v>
      </c>
      <c r="EC1652" s="366" t="str">
        <f t="shared" si="213"/>
        <v>BOYACA_BOYACA</v>
      </c>
      <c r="ED1652" s="367"/>
      <c r="EE1652" s="367"/>
      <c r="EF1652" s="368"/>
      <c r="EG1652" s="367"/>
      <c r="EH1652" s="367"/>
      <c r="EI1652" s="367"/>
    </row>
    <row r="1653" spans="1:139" s="164" customFormat="1" ht="33.75">
      <c r="A1653" s="228">
        <v>40493</v>
      </c>
      <c r="B1653" s="205" t="s">
        <v>1192</v>
      </c>
      <c r="C1653" s="205" t="s">
        <v>1919</v>
      </c>
      <c r="D1653" s="206" t="s">
        <v>1878</v>
      </c>
      <c r="E1653" s="320" t="s">
        <v>3455</v>
      </c>
      <c r="F1653" s="320"/>
      <c r="G1653" s="204">
        <v>3</v>
      </c>
      <c r="H1653" s="151"/>
      <c r="I1653" s="151"/>
      <c r="J1653" s="151">
        <f>60*5</f>
        <v>300</v>
      </c>
      <c r="K1653" s="151">
        <v>60</v>
      </c>
      <c r="L1653" s="1">
        <v>40530</v>
      </c>
      <c r="M1653" s="73">
        <f t="shared" si="208"/>
        <v>9221930.4000000004</v>
      </c>
      <c r="N1653" s="73">
        <f t="shared" si="212"/>
        <v>5100000</v>
      </c>
      <c r="O1653" s="73">
        <f t="shared" si="214"/>
        <v>0</v>
      </c>
      <c r="P1653" s="73">
        <f t="shared" si="209"/>
        <v>0</v>
      </c>
      <c r="Q1653" s="73"/>
      <c r="R1653" s="73">
        <v>0</v>
      </c>
      <c r="S1653" s="75">
        <f t="shared" si="211"/>
        <v>14321930.4</v>
      </c>
      <c r="T1653" s="77">
        <v>0</v>
      </c>
      <c r="U1653" s="66">
        <v>40504</v>
      </c>
      <c r="V1653" s="79"/>
      <c r="W1653" s="66" t="s">
        <v>1606</v>
      </c>
      <c r="X1653" s="24" t="s">
        <v>1607</v>
      </c>
      <c r="Y1653" s="83" t="s">
        <v>237</v>
      </c>
      <c r="Z1653" s="169" t="s">
        <v>1272</v>
      </c>
      <c r="AA1653" s="166" t="s">
        <v>2122</v>
      </c>
      <c r="AB1653" s="152"/>
      <c r="AC1653" s="153"/>
      <c r="AD1653" s="154"/>
      <c r="AE1653" s="153"/>
      <c r="AF1653" s="153"/>
      <c r="AG1653" s="153"/>
      <c r="AH1653" s="153"/>
      <c r="AI1653" s="153"/>
      <c r="AJ1653" s="153"/>
      <c r="AK1653" s="153"/>
      <c r="AL1653" s="153"/>
      <c r="AM1653" s="153"/>
      <c r="AN1653" s="153">
        <v>60</v>
      </c>
      <c r="AO1653" s="153">
        <f>60*56000</f>
        <v>3360000</v>
      </c>
      <c r="AP1653" s="153"/>
      <c r="AQ1653" s="153"/>
      <c r="AR1653" s="153"/>
      <c r="AS1653" s="153"/>
      <c r="AT1653" s="153"/>
      <c r="AU1653" s="153"/>
      <c r="AV1653" s="153"/>
      <c r="AW1653" s="153"/>
      <c r="AX1653" s="153"/>
      <c r="AY1653" s="153"/>
      <c r="AZ1653" s="153"/>
      <c r="BA1653" s="153"/>
      <c r="BB1653" s="153"/>
      <c r="BC1653" s="153"/>
      <c r="BD1653" s="153"/>
      <c r="BE1653" s="153"/>
      <c r="BF1653" s="153"/>
      <c r="BG1653" s="153"/>
      <c r="BH1653" s="153"/>
      <c r="BI1653" s="153"/>
      <c r="BJ1653" s="153"/>
      <c r="BK1653" s="153"/>
      <c r="BL1653" s="153"/>
      <c r="BM1653" s="153"/>
      <c r="BN1653" s="153"/>
      <c r="BO1653" s="153"/>
      <c r="BP1653" s="153"/>
      <c r="BQ1653" s="153"/>
      <c r="BR1653" s="153"/>
      <c r="BS1653" s="153"/>
      <c r="BT1653" s="153"/>
      <c r="BU1653" s="153"/>
      <c r="BV1653" s="153"/>
      <c r="BW1653" s="153"/>
      <c r="BX1653" s="153">
        <v>60</v>
      </c>
      <c r="BY1653" s="153">
        <f>60*20999.48</f>
        <v>1259968.8</v>
      </c>
      <c r="BZ1653" s="153"/>
      <c r="CA1653" s="153"/>
      <c r="CB1653" s="153"/>
      <c r="CC1653" s="153"/>
      <c r="CD1653" s="155">
        <v>60</v>
      </c>
      <c r="CE1653" s="156">
        <f>60*36999.36</f>
        <v>2219961.6</v>
      </c>
      <c r="CF1653" s="155">
        <v>60</v>
      </c>
      <c r="CG1653" s="156">
        <f>60*39700</f>
        <v>2382000</v>
      </c>
      <c r="CH1653" s="155"/>
      <c r="CI1653" s="156"/>
      <c r="CJ1653" s="157">
        <f t="shared" si="210"/>
        <v>9221930.4000000004</v>
      </c>
      <c r="CK1653" s="158"/>
      <c r="CL1653" s="159"/>
      <c r="CM1653" s="160">
        <v>60</v>
      </c>
      <c r="CN1653" s="161">
        <f>60*85000</f>
        <v>5100000</v>
      </c>
      <c r="CO1653" s="162"/>
      <c r="CP1653" s="161"/>
      <c r="CQ1653" s="158"/>
      <c r="CR1653" s="159"/>
      <c r="CS1653" s="68"/>
      <c r="CT1653" s="163"/>
      <c r="EC1653" s="366" t="str">
        <f t="shared" si="213"/>
        <v>BOYACA_FIRAVITOBA</v>
      </c>
      <c r="ED1653" s="367"/>
      <c r="EE1653" s="367"/>
      <c r="EF1653" s="368"/>
      <c r="EG1653" s="367"/>
      <c r="EH1653" s="367"/>
      <c r="EI1653" s="367"/>
    </row>
    <row r="1654" spans="1:139" s="164" customFormat="1" ht="84">
      <c r="A1654" s="228">
        <v>40493</v>
      </c>
      <c r="B1654" s="205" t="s">
        <v>1604</v>
      </c>
      <c r="C1654" s="205" t="s">
        <v>1825</v>
      </c>
      <c r="D1654" s="207" t="s">
        <v>1201</v>
      </c>
      <c r="E1654" s="323" t="s">
        <v>3713</v>
      </c>
      <c r="F1654" s="323"/>
      <c r="G1654" s="204"/>
      <c r="H1654" s="151"/>
      <c r="I1654" s="151"/>
      <c r="J1654" s="151">
        <f>489-148</f>
        <v>341</v>
      </c>
      <c r="K1654" s="151">
        <f>120-35</f>
        <v>85</v>
      </c>
      <c r="L1654" s="1"/>
      <c r="M1654" s="73">
        <f t="shared" si="208"/>
        <v>0</v>
      </c>
      <c r="N1654" s="73">
        <f t="shared" si="212"/>
        <v>0</v>
      </c>
      <c r="O1654" s="73">
        <f t="shared" si="214"/>
        <v>0</v>
      </c>
      <c r="P1654" s="73">
        <f t="shared" si="209"/>
        <v>0</v>
      </c>
      <c r="Q1654" s="73"/>
      <c r="R1654" s="73">
        <v>0</v>
      </c>
      <c r="S1654" s="75">
        <f t="shared" si="211"/>
        <v>0</v>
      </c>
      <c r="T1654" s="77">
        <v>0</v>
      </c>
      <c r="U1654" s="66">
        <v>40497</v>
      </c>
      <c r="V1654" s="79"/>
      <c r="W1654" s="66" t="s">
        <v>1585</v>
      </c>
      <c r="X1654" s="24" t="s">
        <v>1586</v>
      </c>
      <c r="Y1654" s="62"/>
      <c r="Z1654" s="169" t="s">
        <v>894</v>
      </c>
      <c r="AA1654" s="166" t="s">
        <v>2863</v>
      </c>
      <c r="AB1654" s="152"/>
      <c r="AC1654" s="153"/>
      <c r="AD1654" s="154"/>
      <c r="AE1654" s="153"/>
      <c r="AF1654" s="153"/>
      <c r="AG1654" s="153"/>
      <c r="AH1654" s="153"/>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c r="BF1654" s="153"/>
      <c r="BG1654" s="153"/>
      <c r="BH1654" s="153"/>
      <c r="BI1654" s="153"/>
      <c r="BJ1654" s="153"/>
      <c r="BK1654" s="153"/>
      <c r="BL1654" s="153"/>
      <c r="BM1654" s="153"/>
      <c r="BN1654" s="153"/>
      <c r="BO1654" s="153"/>
      <c r="BP1654" s="153"/>
      <c r="BQ1654" s="153"/>
      <c r="BR1654" s="153"/>
      <c r="BS1654" s="153"/>
      <c r="BT1654" s="153"/>
      <c r="BU1654" s="153"/>
      <c r="BV1654" s="153"/>
      <c r="BW1654" s="153"/>
      <c r="BX1654" s="153"/>
      <c r="BY1654" s="153"/>
      <c r="BZ1654" s="153"/>
      <c r="CA1654" s="153"/>
      <c r="CB1654" s="153"/>
      <c r="CC1654" s="153"/>
      <c r="CD1654" s="155"/>
      <c r="CE1654" s="156"/>
      <c r="CF1654" s="155"/>
      <c r="CG1654" s="156"/>
      <c r="CH1654" s="155"/>
      <c r="CI1654" s="156"/>
      <c r="CJ1654" s="157">
        <f t="shared" si="210"/>
        <v>0</v>
      </c>
      <c r="CK1654" s="158"/>
      <c r="CL1654" s="159"/>
      <c r="CM1654" s="160"/>
      <c r="CN1654" s="161"/>
      <c r="CO1654" s="162"/>
      <c r="CP1654" s="161"/>
      <c r="CQ1654" s="158"/>
      <c r="CR1654" s="159"/>
      <c r="CS1654" s="68"/>
      <c r="CT1654" s="163"/>
      <c r="EC1654" s="366" t="str">
        <f t="shared" si="213"/>
        <v>CUNDINAMARCA_GIRARDOT</v>
      </c>
      <c r="ED1654" s="367"/>
      <c r="EE1654" s="367"/>
      <c r="EF1654" s="368"/>
      <c r="EG1654" s="367"/>
      <c r="EH1654" s="367"/>
      <c r="EI1654" s="367"/>
    </row>
    <row r="1655" spans="1:139" s="164" customFormat="1" ht="45">
      <c r="A1655" s="228">
        <v>40493</v>
      </c>
      <c r="B1655" s="205" t="s">
        <v>962</v>
      </c>
      <c r="C1655" s="205" t="s">
        <v>2683</v>
      </c>
      <c r="D1655" s="207" t="s">
        <v>1878</v>
      </c>
      <c r="E1655" s="323" t="s">
        <v>3851</v>
      </c>
      <c r="F1655" s="323"/>
      <c r="G1655" s="204"/>
      <c r="H1655" s="151"/>
      <c r="I1655" s="151"/>
      <c r="J1655" s="151"/>
      <c r="K1655" s="151"/>
      <c r="L1655" s="1"/>
      <c r="M1655" s="73">
        <f t="shared" si="208"/>
        <v>0</v>
      </c>
      <c r="N1655" s="73">
        <f t="shared" si="212"/>
        <v>0</v>
      </c>
      <c r="O1655" s="73">
        <f t="shared" si="214"/>
        <v>0</v>
      </c>
      <c r="P1655" s="73">
        <f t="shared" si="209"/>
        <v>0</v>
      </c>
      <c r="Q1655" s="73"/>
      <c r="R1655" s="73">
        <v>0</v>
      </c>
      <c r="S1655" s="75">
        <f t="shared" si="211"/>
        <v>0</v>
      </c>
      <c r="T1655" s="77">
        <v>0</v>
      </c>
      <c r="U1655" s="66">
        <v>40493</v>
      </c>
      <c r="V1655" s="79"/>
      <c r="W1655" s="66" t="s">
        <v>1606</v>
      </c>
      <c r="X1655" s="264" t="s">
        <v>1607</v>
      </c>
      <c r="Y1655" s="62"/>
      <c r="Z1655" s="260" t="s">
        <v>18</v>
      </c>
      <c r="AA1655" s="166" t="s">
        <v>546</v>
      </c>
      <c r="AB1655" s="152"/>
      <c r="AC1655" s="153"/>
      <c r="AD1655" s="154"/>
      <c r="AE1655" s="153"/>
      <c r="AF1655" s="153"/>
      <c r="AG1655" s="153"/>
      <c r="AH1655" s="153"/>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c r="BF1655" s="153"/>
      <c r="BG1655" s="153"/>
      <c r="BH1655" s="153"/>
      <c r="BI1655" s="153"/>
      <c r="BJ1655" s="153"/>
      <c r="BK1655" s="153"/>
      <c r="BL1655" s="153"/>
      <c r="BM1655" s="153"/>
      <c r="BN1655" s="153"/>
      <c r="BO1655" s="153"/>
      <c r="BP1655" s="153"/>
      <c r="BQ1655" s="153"/>
      <c r="BR1655" s="153"/>
      <c r="BS1655" s="153"/>
      <c r="BT1655" s="153"/>
      <c r="BU1655" s="153"/>
      <c r="BV1655" s="153"/>
      <c r="BW1655" s="153"/>
      <c r="BX1655" s="153"/>
      <c r="BY1655" s="153"/>
      <c r="BZ1655" s="153"/>
      <c r="CA1655" s="153"/>
      <c r="CB1655" s="153"/>
      <c r="CC1655" s="153"/>
      <c r="CD1655" s="155"/>
      <c r="CE1655" s="156"/>
      <c r="CF1655" s="155"/>
      <c r="CG1655" s="156"/>
      <c r="CH1655" s="155"/>
      <c r="CI1655" s="156"/>
      <c r="CJ1655" s="157">
        <f t="shared" si="210"/>
        <v>0</v>
      </c>
      <c r="CK1655" s="158"/>
      <c r="CL1655" s="159"/>
      <c r="CM1655" s="160"/>
      <c r="CN1655" s="161"/>
      <c r="CO1655" s="162"/>
      <c r="CP1655" s="161"/>
      <c r="CQ1655" s="158"/>
      <c r="CR1655" s="159"/>
      <c r="CS1655" s="68"/>
      <c r="CT1655" s="163"/>
      <c r="EC1655" s="366" t="str">
        <f t="shared" si="213"/>
        <v>HUILA_SANTA MARIA</v>
      </c>
      <c r="ED1655" s="367"/>
      <c r="EE1655" s="367"/>
      <c r="EF1655" s="368"/>
      <c r="EG1655" s="367"/>
      <c r="EH1655" s="367"/>
      <c r="EI1655" s="367"/>
    </row>
    <row r="1656" spans="1:139" s="164" customFormat="1" ht="25.5">
      <c r="A1656" s="228">
        <v>40493</v>
      </c>
      <c r="B1656" s="205" t="s">
        <v>396</v>
      </c>
      <c r="C1656" s="205" t="s">
        <v>1332</v>
      </c>
      <c r="D1656" s="207" t="s">
        <v>2606</v>
      </c>
      <c r="E1656" s="323" t="s">
        <v>3922</v>
      </c>
      <c r="F1656" s="323"/>
      <c r="G1656" s="204"/>
      <c r="H1656" s="151"/>
      <c r="I1656" s="151"/>
      <c r="J1656" s="151">
        <v>40</v>
      </c>
      <c r="K1656" s="151">
        <v>8</v>
      </c>
      <c r="L1656" s="1"/>
      <c r="M1656" s="73">
        <f t="shared" si="208"/>
        <v>0</v>
      </c>
      <c r="N1656" s="73">
        <f t="shared" si="212"/>
        <v>0</v>
      </c>
      <c r="O1656" s="73">
        <f t="shared" si="214"/>
        <v>0</v>
      </c>
      <c r="P1656" s="73">
        <f t="shared" si="209"/>
        <v>0</v>
      </c>
      <c r="Q1656" s="73"/>
      <c r="R1656" s="73">
        <v>0</v>
      </c>
      <c r="S1656" s="75">
        <f t="shared" si="211"/>
        <v>0</v>
      </c>
      <c r="T1656" s="77">
        <v>0</v>
      </c>
      <c r="U1656" s="66">
        <v>40494</v>
      </c>
      <c r="V1656" s="79"/>
      <c r="W1656" s="66" t="s">
        <v>1585</v>
      </c>
      <c r="X1656" s="24" t="s">
        <v>1586</v>
      </c>
      <c r="Y1656" s="62"/>
      <c r="Z1656" s="169" t="s">
        <v>894</v>
      </c>
      <c r="AA1656" s="166" t="s">
        <v>902</v>
      </c>
      <c r="AB1656" s="152"/>
      <c r="AC1656" s="153"/>
      <c r="AD1656" s="154"/>
      <c r="AE1656" s="153"/>
      <c r="AF1656" s="153"/>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c r="BI1656" s="153"/>
      <c r="BJ1656" s="153"/>
      <c r="BK1656" s="153"/>
      <c r="BL1656" s="153"/>
      <c r="BM1656" s="153"/>
      <c r="BN1656" s="153"/>
      <c r="BO1656" s="153"/>
      <c r="BP1656" s="153"/>
      <c r="BQ1656" s="153"/>
      <c r="BR1656" s="153"/>
      <c r="BS1656" s="153"/>
      <c r="BT1656" s="153"/>
      <c r="BU1656" s="153"/>
      <c r="BV1656" s="153"/>
      <c r="BW1656" s="153"/>
      <c r="BX1656" s="153"/>
      <c r="BY1656" s="153"/>
      <c r="BZ1656" s="153"/>
      <c r="CA1656" s="153"/>
      <c r="CB1656" s="153"/>
      <c r="CC1656" s="153"/>
      <c r="CD1656" s="155"/>
      <c r="CE1656" s="156"/>
      <c r="CF1656" s="155"/>
      <c r="CG1656" s="156"/>
      <c r="CH1656" s="155"/>
      <c r="CI1656" s="156"/>
      <c r="CJ1656" s="157">
        <f t="shared" si="210"/>
        <v>0</v>
      </c>
      <c r="CK1656" s="158"/>
      <c r="CL1656" s="159"/>
      <c r="CM1656" s="160"/>
      <c r="CN1656" s="161"/>
      <c r="CO1656" s="162"/>
      <c r="CP1656" s="161"/>
      <c r="CQ1656" s="158"/>
      <c r="CR1656" s="159"/>
      <c r="CS1656" s="68"/>
      <c r="CT1656" s="163"/>
      <c r="EC1656" s="366" t="str">
        <f t="shared" si="213"/>
        <v>META_LEJANIAS</v>
      </c>
      <c r="ED1656" s="367"/>
      <c r="EE1656" s="367"/>
      <c r="EF1656" s="368"/>
      <c r="EG1656" s="367"/>
      <c r="EH1656" s="367"/>
      <c r="EI1656" s="367"/>
    </row>
    <row r="1657" spans="1:139" s="164" customFormat="1" ht="36">
      <c r="A1657" s="228">
        <v>40493</v>
      </c>
      <c r="B1657" s="205" t="s">
        <v>396</v>
      </c>
      <c r="C1657" s="205" t="s">
        <v>1899</v>
      </c>
      <c r="D1657" s="207" t="s">
        <v>1201</v>
      </c>
      <c r="E1657" s="323" t="s">
        <v>3905</v>
      </c>
      <c r="F1657" s="323"/>
      <c r="G1657" s="204"/>
      <c r="H1657" s="151"/>
      <c r="I1657" s="151"/>
      <c r="J1657" s="151">
        <v>71</v>
      </c>
      <c r="K1657" s="151">
        <v>17</v>
      </c>
      <c r="L1657" s="1"/>
      <c r="M1657" s="73">
        <f t="shared" si="208"/>
        <v>0</v>
      </c>
      <c r="N1657" s="73">
        <f t="shared" si="212"/>
        <v>0</v>
      </c>
      <c r="O1657" s="73">
        <f t="shared" si="214"/>
        <v>0</v>
      </c>
      <c r="P1657" s="73">
        <f t="shared" si="209"/>
        <v>0</v>
      </c>
      <c r="Q1657" s="73"/>
      <c r="R1657" s="73">
        <v>0</v>
      </c>
      <c r="S1657" s="75">
        <f t="shared" si="211"/>
        <v>0</v>
      </c>
      <c r="T1657" s="77">
        <v>0</v>
      </c>
      <c r="U1657" s="66">
        <v>40494</v>
      </c>
      <c r="V1657" s="79"/>
      <c r="W1657" s="66" t="s">
        <v>1585</v>
      </c>
      <c r="X1657" s="67" t="s">
        <v>1586</v>
      </c>
      <c r="Y1657" s="62"/>
      <c r="Z1657" s="169" t="s">
        <v>894</v>
      </c>
      <c r="AA1657" s="166" t="s">
        <v>2028</v>
      </c>
      <c r="AB1657" s="152"/>
      <c r="AC1657" s="153"/>
      <c r="AD1657" s="154"/>
      <c r="AE1657" s="153"/>
      <c r="AF1657" s="153"/>
      <c r="AG1657" s="153"/>
      <c r="AH1657" s="153"/>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c r="BI1657" s="153"/>
      <c r="BJ1657" s="153"/>
      <c r="BK1657" s="153"/>
      <c r="BL1657" s="153"/>
      <c r="BM1657" s="153"/>
      <c r="BN1657" s="153"/>
      <c r="BO1657" s="153"/>
      <c r="BP1657" s="153"/>
      <c r="BQ1657" s="153"/>
      <c r="BR1657" s="153"/>
      <c r="BS1657" s="153"/>
      <c r="BT1657" s="153"/>
      <c r="BU1657" s="153"/>
      <c r="BV1657" s="153"/>
      <c r="BW1657" s="153"/>
      <c r="BX1657" s="153"/>
      <c r="BY1657" s="153"/>
      <c r="BZ1657" s="153"/>
      <c r="CA1657" s="153"/>
      <c r="CB1657" s="153"/>
      <c r="CC1657" s="153"/>
      <c r="CD1657" s="155"/>
      <c r="CE1657" s="156"/>
      <c r="CF1657" s="155"/>
      <c r="CG1657" s="156"/>
      <c r="CH1657" s="155"/>
      <c r="CI1657" s="156"/>
      <c r="CJ1657" s="157">
        <f t="shared" si="210"/>
        <v>0</v>
      </c>
      <c r="CK1657" s="158"/>
      <c r="CL1657" s="159"/>
      <c r="CM1657" s="160"/>
      <c r="CN1657" s="161"/>
      <c r="CO1657" s="162"/>
      <c r="CP1657" s="161"/>
      <c r="CQ1657" s="158"/>
      <c r="CR1657" s="159"/>
      <c r="CS1657" s="68"/>
      <c r="CT1657" s="163"/>
      <c r="EC1657" s="366" t="str">
        <f t="shared" si="213"/>
        <v>META_VILLAVICENCIO</v>
      </c>
      <c r="ED1657" s="367"/>
      <c r="EE1657" s="367"/>
      <c r="EF1657" s="368"/>
      <c r="EG1657" s="367"/>
      <c r="EH1657" s="367"/>
      <c r="EI1657" s="367"/>
    </row>
    <row r="1658" spans="1:139" s="164" customFormat="1" ht="25.5">
      <c r="A1658" s="228">
        <v>40493</v>
      </c>
      <c r="B1658" s="205" t="s">
        <v>1824</v>
      </c>
      <c r="C1658" s="205" t="s">
        <v>2507</v>
      </c>
      <c r="D1658" s="207" t="s">
        <v>1878</v>
      </c>
      <c r="E1658" s="323" t="s">
        <v>3938</v>
      </c>
      <c r="F1658" s="323"/>
      <c r="G1658" s="204"/>
      <c r="H1658" s="151"/>
      <c r="I1658" s="151"/>
      <c r="J1658" s="151">
        <v>193</v>
      </c>
      <c r="K1658" s="151">
        <v>46</v>
      </c>
      <c r="L1658" s="1"/>
      <c r="M1658" s="73">
        <f t="shared" si="208"/>
        <v>0</v>
      </c>
      <c r="N1658" s="73">
        <f t="shared" si="212"/>
        <v>0</v>
      </c>
      <c r="O1658" s="73">
        <f t="shared" si="214"/>
        <v>0</v>
      </c>
      <c r="P1658" s="73">
        <f t="shared" si="209"/>
        <v>0</v>
      </c>
      <c r="Q1658" s="73"/>
      <c r="R1658" s="73">
        <v>0</v>
      </c>
      <c r="S1658" s="75">
        <f t="shared" si="211"/>
        <v>0</v>
      </c>
      <c r="T1658" s="77">
        <v>0</v>
      </c>
      <c r="U1658" s="66">
        <v>40508</v>
      </c>
      <c r="V1658" s="79"/>
      <c r="W1658" s="66" t="s">
        <v>1585</v>
      </c>
      <c r="X1658" s="24" t="s">
        <v>1586</v>
      </c>
      <c r="Y1658" s="62"/>
      <c r="Z1658" s="169" t="s">
        <v>894</v>
      </c>
      <c r="AA1658" s="166" t="s">
        <v>2508</v>
      </c>
      <c r="AB1658" s="152"/>
      <c r="AC1658" s="153"/>
      <c r="AD1658" s="154"/>
      <c r="AE1658" s="153"/>
      <c r="AF1658" s="153"/>
      <c r="AG1658" s="153"/>
      <c r="AH1658" s="153"/>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c r="BI1658" s="153"/>
      <c r="BJ1658" s="153"/>
      <c r="BK1658" s="153"/>
      <c r="BL1658" s="153"/>
      <c r="BM1658" s="153"/>
      <c r="BN1658" s="153"/>
      <c r="BO1658" s="153"/>
      <c r="BP1658" s="153"/>
      <c r="BQ1658" s="153"/>
      <c r="BR1658" s="153"/>
      <c r="BS1658" s="153"/>
      <c r="BT1658" s="153"/>
      <c r="BU1658" s="153"/>
      <c r="BV1658" s="153"/>
      <c r="BW1658" s="153"/>
      <c r="BX1658" s="153"/>
      <c r="BY1658" s="153"/>
      <c r="BZ1658" s="153"/>
      <c r="CA1658" s="153"/>
      <c r="CB1658" s="153"/>
      <c r="CC1658" s="153"/>
      <c r="CD1658" s="155"/>
      <c r="CE1658" s="156"/>
      <c r="CF1658" s="155"/>
      <c r="CG1658" s="156"/>
      <c r="CH1658" s="155"/>
      <c r="CI1658" s="156"/>
      <c r="CJ1658" s="157">
        <f t="shared" si="210"/>
        <v>0</v>
      </c>
      <c r="CK1658" s="158"/>
      <c r="CL1658" s="159"/>
      <c r="CM1658" s="160"/>
      <c r="CN1658" s="161"/>
      <c r="CO1658" s="162"/>
      <c r="CP1658" s="161"/>
      <c r="CQ1658" s="158"/>
      <c r="CR1658" s="159"/>
      <c r="CS1658" s="68"/>
      <c r="CT1658" s="163"/>
      <c r="EC1658" s="366" t="str">
        <f t="shared" si="213"/>
        <v>NARIÑO_ARBOLEDA</v>
      </c>
      <c r="ED1658" s="367"/>
      <c r="EE1658" s="367"/>
      <c r="EF1658" s="368"/>
      <c r="EG1658" s="367"/>
      <c r="EH1658" s="367"/>
      <c r="EI1658" s="367"/>
    </row>
    <row r="1659" spans="1:139" s="164" customFormat="1" ht="60">
      <c r="A1659" s="228">
        <v>40493</v>
      </c>
      <c r="B1659" s="102" t="s">
        <v>1609</v>
      </c>
      <c r="C1659" s="205" t="s">
        <v>2581</v>
      </c>
      <c r="D1659" s="206" t="s">
        <v>1878</v>
      </c>
      <c r="E1659" s="320" t="s">
        <v>4053</v>
      </c>
      <c r="F1659" s="320"/>
      <c r="G1659" s="204"/>
      <c r="H1659" s="151"/>
      <c r="I1659" s="151"/>
      <c r="J1659" s="151">
        <f>216*5</f>
        <v>1080</v>
      </c>
      <c r="K1659" s="151">
        <f>230-14</f>
        <v>216</v>
      </c>
      <c r="L1659" s="1"/>
      <c r="M1659" s="73">
        <f t="shared" si="208"/>
        <v>0</v>
      </c>
      <c r="N1659" s="73">
        <f t="shared" si="212"/>
        <v>0</v>
      </c>
      <c r="O1659" s="73">
        <f t="shared" si="214"/>
        <v>0</v>
      </c>
      <c r="P1659" s="73">
        <f t="shared" si="209"/>
        <v>0</v>
      </c>
      <c r="Q1659" s="73"/>
      <c r="R1659" s="73">
        <v>0</v>
      </c>
      <c r="S1659" s="75">
        <f t="shared" si="211"/>
        <v>0</v>
      </c>
      <c r="T1659" s="77">
        <v>0</v>
      </c>
      <c r="U1659" s="66">
        <v>40494</v>
      </c>
      <c r="V1659" s="79"/>
      <c r="W1659" s="66" t="s">
        <v>1585</v>
      </c>
      <c r="X1659" s="24" t="s">
        <v>1586</v>
      </c>
      <c r="Y1659" s="62"/>
      <c r="Z1659" s="169" t="s">
        <v>894</v>
      </c>
      <c r="AA1659" s="166" t="s">
        <v>23</v>
      </c>
      <c r="AB1659" s="152"/>
      <c r="AC1659" s="153"/>
      <c r="AD1659" s="154"/>
      <c r="AE1659" s="153"/>
      <c r="AF1659" s="153"/>
      <c r="AG1659" s="153"/>
      <c r="AH1659" s="153"/>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c r="BI1659" s="153"/>
      <c r="BJ1659" s="153"/>
      <c r="BK1659" s="153"/>
      <c r="BL1659" s="153"/>
      <c r="BM1659" s="153"/>
      <c r="BN1659" s="153"/>
      <c r="BO1659" s="153"/>
      <c r="BP1659" s="153"/>
      <c r="BQ1659" s="153"/>
      <c r="BR1659" s="153"/>
      <c r="BS1659" s="153"/>
      <c r="BT1659" s="153"/>
      <c r="BU1659" s="153"/>
      <c r="BV1659" s="153"/>
      <c r="BW1659" s="153"/>
      <c r="BX1659" s="153"/>
      <c r="BY1659" s="153"/>
      <c r="BZ1659" s="153"/>
      <c r="CA1659" s="153"/>
      <c r="CB1659" s="153"/>
      <c r="CC1659" s="153"/>
      <c r="CD1659" s="155"/>
      <c r="CE1659" s="156"/>
      <c r="CF1659" s="155"/>
      <c r="CG1659" s="156"/>
      <c r="CH1659" s="155"/>
      <c r="CI1659" s="156"/>
      <c r="CJ1659" s="157">
        <f t="shared" si="210"/>
        <v>0</v>
      </c>
      <c r="CK1659" s="158"/>
      <c r="CL1659" s="159"/>
      <c r="CM1659" s="160"/>
      <c r="CN1659" s="161"/>
      <c r="CO1659" s="162"/>
      <c r="CP1659" s="161"/>
      <c r="CQ1659" s="158"/>
      <c r="CR1659" s="159"/>
      <c r="CS1659" s="68"/>
      <c r="CT1659" s="163"/>
      <c r="EC1659" s="366" t="str">
        <f t="shared" si="213"/>
        <v>RISARALDA_BELEN DE UMBRIA</v>
      </c>
      <c r="ED1659" s="367"/>
      <c r="EE1659" s="367"/>
      <c r="EF1659" s="368"/>
      <c r="EG1659" s="367"/>
      <c r="EH1659" s="367"/>
      <c r="EI1659" s="367"/>
    </row>
    <row r="1660" spans="1:139" s="164" customFormat="1" ht="108">
      <c r="A1660" s="228">
        <v>40493</v>
      </c>
      <c r="B1660" s="102" t="s">
        <v>1609</v>
      </c>
      <c r="C1660" s="205" t="s">
        <v>2596</v>
      </c>
      <c r="D1660" s="207" t="s">
        <v>1201</v>
      </c>
      <c r="E1660" s="323" t="s">
        <v>4056</v>
      </c>
      <c r="F1660" s="323"/>
      <c r="G1660" s="204"/>
      <c r="H1660" s="151"/>
      <c r="I1660" s="151"/>
      <c r="J1660" s="151">
        <f>32*5</f>
        <v>160</v>
      </c>
      <c r="K1660" s="151">
        <v>32</v>
      </c>
      <c r="L1660" s="1"/>
      <c r="M1660" s="73">
        <f t="shared" si="208"/>
        <v>0</v>
      </c>
      <c r="N1660" s="73">
        <f t="shared" si="212"/>
        <v>0</v>
      </c>
      <c r="O1660" s="73">
        <f t="shared" si="214"/>
        <v>0</v>
      </c>
      <c r="P1660" s="73">
        <f t="shared" si="209"/>
        <v>0</v>
      </c>
      <c r="Q1660" s="73"/>
      <c r="R1660" s="73">
        <v>0</v>
      </c>
      <c r="S1660" s="75">
        <f t="shared" si="211"/>
        <v>0</v>
      </c>
      <c r="T1660" s="77">
        <v>0</v>
      </c>
      <c r="U1660" s="66">
        <v>40494</v>
      </c>
      <c r="V1660" s="79"/>
      <c r="W1660" s="66" t="s">
        <v>1606</v>
      </c>
      <c r="X1660" s="24" t="s">
        <v>1607</v>
      </c>
      <c r="Y1660" s="62"/>
      <c r="Z1660" s="176" t="s">
        <v>2116</v>
      </c>
      <c r="AA1660" s="166" t="s">
        <v>243</v>
      </c>
      <c r="AB1660" s="152"/>
      <c r="AC1660" s="153"/>
      <c r="AD1660" s="154"/>
      <c r="AE1660" s="153"/>
      <c r="AF1660" s="153"/>
      <c r="AG1660" s="153"/>
      <c r="AH1660" s="153"/>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c r="BI1660" s="153"/>
      <c r="BJ1660" s="153"/>
      <c r="BK1660" s="153"/>
      <c r="BL1660" s="153"/>
      <c r="BM1660" s="153"/>
      <c r="BN1660" s="153"/>
      <c r="BO1660" s="153"/>
      <c r="BP1660" s="153"/>
      <c r="BQ1660" s="153"/>
      <c r="BR1660" s="153"/>
      <c r="BS1660" s="153"/>
      <c r="BT1660" s="153"/>
      <c r="BU1660" s="153"/>
      <c r="BV1660" s="153"/>
      <c r="BW1660" s="153"/>
      <c r="BX1660" s="153"/>
      <c r="BY1660" s="153"/>
      <c r="BZ1660" s="153"/>
      <c r="CA1660" s="153"/>
      <c r="CB1660" s="153"/>
      <c r="CC1660" s="153"/>
      <c r="CD1660" s="155"/>
      <c r="CE1660" s="156"/>
      <c r="CF1660" s="155"/>
      <c r="CG1660" s="156"/>
      <c r="CH1660" s="155"/>
      <c r="CI1660" s="156"/>
      <c r="CJ1660" s="157">
        <f t="shared" si="210"/>
        <v>0</v>
      </c>
      <c r="CK1660" s="158"/>
      <c r="CL1660" s="159"/>
      <c r="CM1660" s="160"/>
      <c r="CN1660" s="161"/>
      <c r="CO1660" s="162"/>
      <c r="CP1660" s="161"/>
      <c r="CQ1660" s="158"/>
      <c r="CR1660" s="159"/>
      <c r="CS1660" s="68"/>
      <c r="CT1660" s="163"/>
      <c r="EC1660" s="366" t="str">
        <f t="shared" si="213"/>
        <v>RISARALDA_LA CELIA</v>
      </c>
      <c r="ED1660" s="367"/>
      <c r="EE1660" s="367"/>
      <c r="EF1660" s="368"/>
      <c r="EG1660" s="367"/>
      <c r="EH1660" s="367"/>
      <c r="EI1660" s="367"/>
    </row>
    <row r="1661" spans="1:139" s="164" customFormat="1" ht="38.25">
      <c r="A1661" s="228">
        <v>40493</v>
      </c>
      <c r="B1661" s="102" t="s">
        <v>1609</v>
      </c>
      <c r="C1661" s="205" t="s">
        <v>2377</v>
      </c>
      <c r="D1661" s="207" t="s">
        <v>1201</v>
      </c>
      <c r="E1661" s="323" t="s">
        <v>4058</v>
      </c>
      <c r="F1661" s="323"/>
      <c r="G1661" s="204"/>
      <c r="H1661" s="151"/>
      <c r="I1661" s="151"/>
      <c r="J1661" s="151">
        <f>34*5</f>
        <v>170</v>
      </c>
      <c r="K1661" s="151">
        <v>34</v>
      </c>
      <c r="L1661" s="1"/>
      <c r="M1661" s="73">
        <f t="shared" si="208"/>
        <v>0</v>
      </c>
      <c r="N1661" s="73">
        <f t="shared" si="212"/>
        <v>0</v>
      </c>
      <c r="O1661" s="73">
        <f t="shared" si="214"/>
        <v>0</v>
      </c>
      <c r="P1661" s="73">
        <f t="shared" si="209"/>
        <v>0</v>
      </c>
      <c r="Q1661" s="73"/>
      <c r="R1661" s="73">
        <v>0</v>
      </c>
      <c r="S1661" s="75">
        <f t="shared" si="211"/>
        <v>0</v>
      </c>
      <c r="T1661" s="77">
        <v>0</v>
      </c>
      <c r="U1661" s="66">
        <v>40494</v>
      </c>
      <c r="V1661" s="79"/>
      <c r="W1661" s="66" t="s">
        <v>1606</v>
      </c>
      <c r="X1661" s="24" t="s">
        <v>1607</v>
      </c>
      <c r="Y1661" s="62"/>
      <c r="Z1661" s="176" t="s">
        <v>2116</v>
      </c>
      <c r="AA1661" s="166" t="s">
        <v>2029</v>
      </c>
      <c r="AB1661" s="152"/>
      <c r="AC1661" s="153"/>
      <c r="AD1661" s="154"/>
      <c r="AE1661" s="153"/>
      <c r="AF1661" s="153"/>
      <c r="AG1661" s="153"/>
      <c r="AH1661" s="153"/>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c r="BF1661" s="153"/>
      <c r="BG1661" s="153"/>
      <c r="BH1661" s="153"/>
      <c r="BI1661" s="153"/>
      <c r="BJ1661" s="153"/>
      <c r="BK1661" s="153"/>
      <c r="BL1661" s="153"/>
      <c r="BM1661" s="153"/>
      <c r="BN1661" s="153"/>
      <c r="BO1661" s="153"/>
      <c r="BP1661" s="153"/>
      <c r="BQ1661" s="153"/>
      <c r="BR1661" s="153"/>
      <c r="BS1661" s="153"/>
      <c r="BT1661" s="153"/>
      <c r="BU1661" s="153"/>
      <c r="BV1661" s="153"/>
      <c r="BW1661" s="153"/>
      <c r="BX1661" s="153"/>
      <c r="BY1661" s="153"/>
      <c r="BZ1661" s="153"/>
      <c r="CA1661" s="153"/>
      <c r="CB1661" s="153"/>
      <c r="CC1661" s="153"/>
      <c r="CD1661" s="155"/>
      <c r="CE1661" s="156"/>
      <c r="CF1661" s="155"/>
      <c r="CG1661" s="156"/>
      <c r="CH1661" s="155"/>
      <c r="CI1661" s="156"/>
      <c r="CJ1661" s="157">
        <f t="shared" si="210"/>
        <v>0</v>
      </c>
      <c r="CK1661" s="158"/>
      <c r="CL1661" s="159"/>
      <c r="CM1661" s="160"/>
      <c r="CN1661" s="161"/>
      <c r="CO1661" s="162"/>
      <c r="CP1661" s="161"/>
      <c r="CQ1661" s="158"/>
      <c r="CR1661" s="159"/>
      <c r="CS1661" s="68"/>
      <c r="CT1661" s="163"/>
      <c r="EC1661" s="366" t="str">
        <f t="shared" si="213"/>
        <v>RISARALDA_MARSELLA</v>
      </c>
      <c r="ED1661" s="367"/>
      <c r="EE1661" s="367"/>
      <c r="EF1661" s="368"/>
      <c r="EG1661" s="367"/>
      <c r="EH1661" s="367"/>
      <c r="EI1661" s="367"/>
    </row>
    <row r="1662" spans="1:139" s="164" customFormat="1" ht="38.25">
      <c r="A1662" s="228">
        <v>40493</v>
      </c>
      <c r="B1662" s="102" t="s">
        <v>1609</v>
      </c>
      <c r="C1662" s="205" t="s">
        <v>1538</v>
      </c>
      <c r="D1662" s="207" t="s">
        <v>1201</v>
      </c>
      <c r="E1662" s="323" t="s">
        <v>4063</v>
      </c>
      <c r="F1662" s="323"/>
      <c r="G1662" s="204"/>
      <c r="H1662" s="151"/>
      <c r="I1662" s="151"/>
      <c r="J1662" s="151">
        <v>30</v>
      </c>
      <c r="K1662" s="151">
        <v>6</v>
      </c>
      <c r="L1662" s="1"/>
      <c r="M1662" s="73">
        <f t="shared" si="208"/>
        <v>0</v>
      </c>
      <c r="N1662" s="73">
        <f t="shared" si="212"/>
        <v>0</v>
      </c>
      <c r="O1662" s="73">
        <f t="shared" si="214"/>
        <v>0</v>
      </c>
      <c r="P1662" s="73">
        <f t="shared" si="209"/>
        <v>0</v>
      </c>
      <c r="Q1662" s="73"/>
      <c r="R1662" s="73">
        <v>0</v>
      </c>
      <c r="S1662" s="75">
        <f t="shared" si="211"/>
        <v>0</v>
      </c>
      <c r="T1662" s="77">
        <v>0</v>
      </c>
      <c r="U1662" s="66">
        <v>40494</v>
      </c>
      <c r="V1662" s="79"/>
      <c r="W1662" s="66" t="s">
        <v>1585</v>
      </c>
      <c r="X1662" s="24" t="s">
        <v>1586</v>
      </c>
      <c r="Y1662" s="62"/>
      <c r="Z1662" s="169" t="s">
        <v>894</v>
      </c>
      <c r="AA1662" s="166" t="s">
        <v>2145</v>
      </c>
      <c r="AB1662" s="152"/>
      <c r="AC1662" s="153"/>
      <c r="AD1662" s="154"/>
      <c r="AE1662" s="153"/>
      <c r="AF1662" s="153"/>
      <c r="AG1662" s="153"/>
      <c r="AH1662" s="153"/>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c r="BF1662" s="153"/>
      <c r="BG1662" s="153"/>
      <c r="BH1662" s="153"/>
      <c r="BI1662" s="153"/>
      <c r="BJ1662" s="153"/>
      <c r="BK1662" s="153"/>
      <c r="BL1662" s="153"/>
      <c r="BM1662" s="153"/>
      <c r="BN1662" s="153"/>
      <c r="BO1662" s="153"/>
      <c r="BP1662" s="153"/>
      <c r="BQ1662" s="153"/>
      <c r="BR1662" s="153"/>
      <c r="BS1662" s="153"/>
      <c r="BT1662" s="153"/>
      <c r="BU1662" s="153"/>
      <c r="BV1662" s="153"/>
      <c r="BW1662" s="153"/>
      <c r="BX1662" s="153"/>
      <c r="BY1662" s="153"/>
      <c r="BZ1662" s="153"/>
      <c r="CA1662" s="153"/>
      <c r="CB1662" s="153"/>
      <c r="CC1662" s="153"/>
      <c r="CD1662" s="155"/>
      <c r="CE1662" s="156"/>
      <c r="CF1662" s="155"/>
      <c r="CG1662" s="156"/>
      <c r="CH1662" s="155"/>
      <c r="CI1662" s="156"/>
      <c r="CJ1662" s="157">
        <f t="shared" si="210"/>
        <v>0</v>
      </c>
      <c r="CK1662" s="158"/>
      <c r="CL1662" s="159"/>
      <c r="CM1662" s="160"/>
      <c r="CN1662" s="161"/>
      <c r="CO1662" s="162"/>
      <c r="CP1662" s="161"/>
      <c r="CQ1662" s="158"/>
      <c r="CR1662" s="159"/>
      <c r="CS1662" s="68"/>
      <c r="CT1662" s="163"/>
      <c r="EC1662" s="366" t="str">
        <f t="shared" si="213"/>
        <v>RISARALDA_SANTUARIO</v>
      </c>
      <c r="ED1662" s="367"/>
      <c r="EE1662" s="367"/>
      <c r="EF1662" s="368"/>
      <c r="EG1662" s="367"/>
      <c r="EH1662" s="367"/>
      <c r="EI1662" s="367"/>
    </row>
    <row r="1663" spans="1:139" s="164" customFormat="1" ht="25.5">
      <c r="A1663" s="228">
        <v>40493</v>
      </c>
      <c r="B1663" s="205" t="s">
        <v>2400</v>
      </c>
      <c r="C1663" s="205" t="s">
        <v>1250</v>
      </c>
      <c r="D1663" s="207" t="s">
        <v>1201</v>
      </c>
      <c r="E1663" s="323" t="s">
        <v>4189</v>
      </c>
      <c r="F1663" s="323"/>
      <c r="G1663" s="204"/>
      <c r="H1663" s="151"/>
      <c r="I1663" s="151"/>
      <c r="J1663" s="151">
        <f>384*5</f>
        <v>1920</v>
      </c>
      <c r="K1663" s="151">
        <f>430-2-44</f>
        <v>384</v>
      </c>
      <c r="L1663" s="1"/>
      <c r="M1663" s="73">
        <f t="shared" si="208"/>
        <v>0</v>
      </c>
      <c r="N1663" s="73">
        <f t="shared" si="212"/>
        <v>0</v>
      </c>
      <c r="O1663" s="73">
        <f t="shared" si="214"/>
        <v>0</v>
      </c>
      <c r="P1663" s="73">
        <f t="shared" si="209"/>
        <v>0</v>
      </c>
      <c r="Q1663" s="73"/>
      <c r="R1663" s="73">
        <v>0</v>
      </c>
      <c r="S1663" s="75">
        <f t="shared" si="211"/>
        <v>0</v>
      </c>
      <c r="T1663" s="77">
        <v>0</v>
      </c>
      <c r="U1663" s="66">
        <v>40581</v>
      </c>
      <c r="V1663" s="79"/>
      <c r="W1663" s="66" t="s">
        <v>1585</v>
      </c>
      <c r="X1663" s="24" t="s">
        <v>1586</v>
      </c>
      <c r="Y1663" s="62"/>
      <c r="Z1663" s="169" t="s">
        <v>894</v>
      </c>
      <c r="AA1663" s="166" t="s">
        <v>54</v>
      </c>
      <c r="AB1663" s="152"/>
      <c r="AC1663" s="153"/>
      <c r="AD1663" s="154"/>
      <c r="AE1663" s="153"/>
      <c r="AF1663" s="153"/>
      <c r="AG1663" s="153"/>
      <c r="AH1663" s="153"/>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c r="BF1663" s="153"/>
      <c r="BG1663" s="153"/>
      <c r="BH1663" s="153"/>
      <c r="BI1663" s="153"/>
      <c r="BJ1663" s="153"/>
      <c r="BK1663" s="153"/>
      <c r="BL1663" s="153"/>
      <c r="BM1663" s="153"/>
      <c r="BN1663" s="153"/>
      <c r="BO1663" s="153"/>
      <c r="BP1663" s="153"/>
      <c r="BQ1663" s="153"/>
      <c r="BR1663" s="153"/>
      <c r="BS1663" s="153"/>
      <c r="BT1663" s="153"/>
      <c r="BU1663" s="153"/>
      <c r="BV1663" s="153"/>
      <c r="BW1663" s="153"/>
      <c r="BX1663" s="153"/>
      <c r="BY1663" s="153"/>
      <c r="BZ1663" s="153"/>
      <c r="CA1663" s="153"/>
      <c r="CB1663" s="153"/>
      <c r="CC1663" s="153"/>
      <c r="CD1663" s="155"/>
      <c r="CE1663" s="156"/>
      <c r="CF1663" s="155"/>
      <c r="CG1663" s="156"/>
      <c r="CH1663" s="155"/>
      <c r="CI1663" s="156"/>
      <c r="CJ1663" s="157">
        <f t="shared" si="210"/>
        <v>0</v>
      </c>
      <c r="CK1663" s="158"/>
      <c r="CL1663" s="159"/>
      <c r="CM1663" s="160"/>
      <c r="CN1663" s="161"/>
      <c r="CO1663" s="162"/>
      <c r="CP1663" s="161"/>
      <c r="CQ1663" s="158"/>
      <c r="CR1663" s="159"/>
      <c r="CS1663" s="68"/>
      <c r="CT1663" s="163"/>
      <c r="EC1663" s="366" t="str">
        <f t="shared" si="213"/>
        <v>TOLIMA_COYAIMA</v>
      </c>
      <c r="ED1663" s="367"/>
      <c r="EE1663" s="367"/>
      <c r="EF1663" s="368"/>
      <c r="EG1663" s="367"/>
      <c r="EH1663" s="367"/>
      <c r="EI1663" s="367"/>
    </row>
    <row r="1664" spans="1:139" s="164" customFormat="1" ht="25.5">
      <c r="A1664" s="228">
        <v>40493</v>
      </c>
      <c r="B1664" s="205" t="s">
        <v>2400</v>
      </c>
      <c r="C1664" s="205" t="s">
        <v>1961</v>
      </c>
      <c r="D1664" s="207" t="s">
        <v>1201</v>
      </c>
      <c r="E1664" s="323" t="s">
        <v>4206</v>
      </c>
      <c r="F1664" s="323"/>
      <c r="G1664" s="204"/>
      <c r="H1664" s="151"/>
      <c r="I1664" s="151"/>
      <c r="J1664" s="151">
        <f>1000*5</f>
        <v>5000</v>
      </c>
      <c r="K1664" s="151">
        <v>1000</v>
      </c>
      <c r="L1664" s="1"/>
      <c r="M1664" s="73">
        <f t="shared" si="208"/>
        <v>0</v>
      </c>
      <c r="N1664" s="73">
        <f t="shared" si="212"/>
        <v>0</v>
      </c>
      <c r="O1664" s="73">
        <f t="shared" si="214"/>
        <v>0</v>
      </c>
      <c r="P1664" s="73">
        <f t="shared" si="209"/>
        <v>0</v>
      </c>
      <c r="Q1664" s="73"/>
      <c r="R1664" s="73">
        <v>0</v>
      </c>
      <c r="S1664" s="75">
        <f t="shared" si="211"/>
        <v>0</v>
      </c>
      <c r="T1664" s="77">
        <v>0</v>
      </c>
      <c r="U1664" s="66">
        <v>40494</v>
      </c>
      <c r="V1664" s="79"/>
      <c r="W1664" s="66" t="s">
        <v>1585</v>
      </c>
      <c r="X1664" s="24" t="s">
        <v>1586</v>
      </c>
      <c r="Y1664" s="62"/>
      <c r="Z1664" s="169" t="s">
        <v>894</v>
      </c>
      <c r="AA1664" s="166" t="s">
        <v>2030</v>
      </c>
      <c r="AB1664" s="152"/>
      <c r="AC1664" s="153"/>
      <c r="AD1664" s="154"/>
      <c r="AE1664" s="153"/>
      <c r="AF1664" s="153"/>
      <c r="AG1664" s="153"/>
      <c r="AH1664" s="153"/>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c r="BF1664" s="153"/>
      <c r="BG1664" s="153"/>
      <c r="BH1664" s="153"/>
      <c r="BI1664" s="153"/>
      <c r="BJ1664" s="153"/>
      <c r="BK1664" s="153"/>
      <c r="BL1664" s="153"/>
      <c r="BM1664" s="153"/>
      <c r="BN1664" s="153"/>
      <c r="BO1664" s="153"/>
      <c r="BP1664" s="153"/>
      <c r="BQ1664" s="153"/>
      <c r="BR1664" s="153"/>
      <c r="BS1664" s="153"/>
      <c r="BT1664" s="153"/>
      <c r="BU1664" s="153"/>
      <c r="BV1664" s="153"/>
      <c r="BW1664" s="153"/>
      <c r="BX1664" s="153"/>
      <c r="BY1664" s="153"/>
      <c r="BZ1664" s="153"/>
      <c r="CA1664" s="153"/>
      <c r="CB1664" s="153"/>
      <c r="CC1664" s="153"/>
      <c r="CD1664" s="155"/>
      <c r="CE1664" s="156"/>
      <c r="CF1664" s="155"/>
      <c r="CG1664" s="156"/>
      <c r="CH1664" s="155"/>
      <c r="CI1664" s="156"/>
      <c r="CJ1664" s="157">
        <f t="shared" si="210"/>
        <v>0</v>
      </c>
      <c r="CK1664" s="158"/>
      <c r="CL1664" s="159"/>
      <c r="CM1664" s="160"/>
      <c r="CN1664" s="161"/>
      <c r="CO1664" s="162"/>
      <c r="CP1664" s="161"/>
      <c r="CQ1664" s="158"/>
      <c r="CR1664" s="159"/>
      <c r="CS1664" s="68"/>
      <c r="CT1664" s="163"/>
      <c r="EC1664" s="366" t="str">
        <f t="shared" si="213"/>
        <v>TOLIMA_ORTEGA</v>
      </c>
      <c r="ED1664" s="367"/>
      <c r="EE1664" s="367"/>
      <c r="EF1664" s="368"/>
      <c r="EG1664" s="367"/>
      <c r="EH1664" s="367"/>
      <c r="EI1664" s="367"/>
    </row>
    <row r="1665" spans="1:139" s="164" customFormat="1" ht="60">
      <c r="A1665" s="228">
        <v>40493</v>
      </c>
      <c r="B1665" s="205" t="s">
        <v>1088</v>
      </c>
      <c r="C1665" s="205" t="s">
        <v>1544</v>
      </c>
      <c r="D1665" s="207" t="s">
        <v>1201</v>
      </c>
      <c r="E1665" s="323" t="s">
        <v>4230</v>
      </c>
      <c r="F1665" s="323"/>
      <c r="G1665" s="204"/>
      <c r="H1665" s="151"/>
      <c r="I1665" s="151"/>
      <c r="J1665" s="151">
        <v>1619</v>
      </c>
      <c r="K1665" s="151">
        <v>285</v>
      </c>
      <c r="L1665" s="1"/>
      <c r="M1665" s="73">
        <f t="shared" si="208"/>
        <v>0</v>
      </c>
      <c r="N1665" s="73">
        <f t="shared" si="212"/>
        <v>0</v>
      </c>
      <c r="O1665" s="73">
        <f t="shared" si="214"/>
        <v>0</v>
      </c>
      <c r="P1665" s="73">
        <f t="shared" si="209"/>
        <v>0</v>
      </c>
      <c r="Q1665" s="73"/>
      <c r="R1665" s="73">
        <v>0</v>
      </c>
      <c r="S1665" s="75">
        <f t="shared" si="211"/>
        <v>0</v>
      </c>
      <c r="T1665" s="77">
        <v>0</v>
      </c>
      <c r="U1665" s="66">
        <v>40497</v>
      </c>
      <c r="V1665" s="79"/>
      <c r="W1665" s="66" t="s">
        <v>1585</v>
      </c>
      <c r="X1665" s="24" t="s">
        <v>1586</v>
      </c>
      <c r="Y1665" s="62"/>
      <c r="Z1665" s="169" t="s">
        <v>894</v>
      </c>
      <c r="AA1665" s="166" t="s">
        <v>2842</v>
      </c>
      <c r="AB1665" s="152"/>
      <c r="AC1665" s="153"/>
      <c r="AD1665" s="154"/>
      <c r="AE1665" s="153"/>
      <c r="AF1665" s="153"/>
      <c r="AG1665" s="153"/>
      <c r="AH1665" s="153"/>
      <c r="AI1665" s="153"/>
      <c r="AJ1665" s="153"/>
      <c r="AK1665" s="153"/>
      <c r="AL1665" s="153"/>
      <c r="AM1665" s="153"/>
      <c r="AN1665" s="153"/>
      <c r="AO1665" s="153"/>
      <c r="AP1665" s="153"/>
      <c r="AQ1665" s="153"/>
      <c r="AR1665" s="153"/>
      <c r="AS1665" s="153"/>
      <c r="AT1665" s="153"/>
      <c r="AU1665" s="153"/>
      <c r="AV1665" s="153"/>
      <c r="AW1665" s="153"/>
      <c r="AX1665" s="153"/>
      <c r="AY1665" s="153"/>
      <c r="AZ1665" s="153"/>
      <c r="BA1665" s="153"/>
      <c r="BB1665" s="153"/>
      <c r="BC1665" s="153"/>
      <c r="BD1665" s="153"/>
      <c r="BE1665" s="153"/>
      <c r="BF1665" s="153"/>
      <c r="BG1665" s="153"/>
      <c r="BH1665" s="153"/>
      <c r="BI1665" s="153"/>
      <c r="BJ1665" s="153"/>
      <c r="BK1665" s="153"/>
      <c r="BL1665" s="153"/>
      <c r="BM1665" s="153"/>
      <c r="BN1665" s="153"/>
      <c r="BO1665" s="153"/>
      <c r="BP1665" s="153"/>
      <c r="BQ1665" s="153"/>
      <c r="BR1665" s="153"/>
      <c r="BS1665" s="153"/>
      <c r="BT1665" s="153"/>
      <c r="BU1665" s="153"/>
      <c r="BV1665" s="153"/>
      <c r="BW1665" s="153"/>
      <c r="BX1665" s="153"/>
      <c r="BY1665" s="153"/>
      <c r="BZ1665" s="153"/>
      <c r="CA1665" s="153"/>
      <c r="CB1665" s="153"/>
      <c r="CC1665" s="153"/>
      <c r="CD1665" s="155"/>
      <c r="CE1665" s="156"/>
      <c r="CF1665" s="155"/>
      <c r="CG1665" s="156"/>
      <c r="CH1665" s="155"/>
      <c r="CI1665" s="156"/>
      <c r="CJ1665" s="157">
        <f t="shared" si="210"/>
        <v>0</v>
      </c>
      <c r="CK1665" s="158"/>
      <c r="CL1665" s="159"/>
      <c r="CM1665" s="160"/>
      <c r="CN1665" s="161"/>
      <c r="CO1665" s="162"/>
      <c r="CP1665" s="161"/>
      <c r="CQ1665" s="158"/>
      <c r="CR1665" s="159"/>
      <c r="CS1665" s="68"/>
      <c r="CT1665" s="163"/>
      <c r="EC1665" s="366" t="str">
        <f t="shared" si="213"/>
        <v>VALLE DEL CAUCA_BUENAVENTURA</v>
      </c>
      <c r="ED1665" s="367"/>
      <c r="EE1665" s="367"/>
      <c r="EF1665" s="368"/>
      <c r="EG1665" s="367"/>
      <c r="EH1665" s="367"/>
      <c r="EI1665" s="367"/>
    </row>
    <row r="1666" spans="1:139" s="164" customFormat="1" ht="48">
      <c r="A1666" s="228">
        <v>40493</v>
      </c>
      <c r="B1666" s="205" t="s">
        <v>1088</v>
      </c>
      <c r="C1666" s="205" t="s">
        <v>2440</v>
      </c>
      <c r="D1666" s="207" t="s">
        <v>1201</v>
      </c>
      <c r="E1666" s="323" t="s">
        <v>4242</v>
      </c>
      <c r="F1666" s="323"/>
      <c r="G1666" s="204"/>
      <c r="H1666" s="151"/>
      <c r="I1666" s="151"/>
      <c r="J1666" s="151">
        <f>842*5</f>
        <v>4210</v>
      </c>
      <c r="K1666" s="151">
        <f>880-32-6</f>
        <v>842</v>
      </c>
      <c r="L1666" s="1"/>
      <c r="M1666" s="73">
        <f t="shared" si="208"/>
        <v>0</v>
      </c>
      <c r="N1666" s="73">
        <f t="shared" si="212"/>
        <v>0</v>
      </c>
      <c r="O1666" s="73">
        <f t="shared" si="214"/>
        <v>0</v>
      </c>
      <c r="P1666" s="73">
        <f t="shared" si="209"/>
        <v>0</v>
      </c>
      <c r="Q1666" s="73"/>
      <c r="R1666" s="73">
        <v>0</v>
      </c>
      <c r="S1666" s="75">
        <f t="shared" si="211"/>
        <v>0</v>
      </c>
      <c r="T1666" s="77">
        <v>0</v>
      </c>
      <c r="U1666" s="66">
        <v>40494</v>
      </c>
      <c r="V1666" s="79"/>
      <c r="W1666" s="66" t="s">
        <v>1585</v>
      </c>
      <c r="X1666" s="24" t="s">
        <v>1586</v>
      </c>
      <c r="Y1666" s="62"/>
      <c r="Z1666" s="169" t="s">
        <v>894</v>
      </c>
      <c r="AA1666" s="166" t="s">
        <v>2843</v>
      </c>
      <c r="AB1666" s="152"/>
      <c r="AC1666" s="153"/>
      <c r="AD1666" s="154"/>
      <c r="AE1666" s="153"/>
      <c r="AF1666" s="153"/>
      <c r="AG1666" s="153"/>
      <c r="AH1666" s="153"/>
      <c r="AI1666" s="153"/>
      <c r="AJ1666" s="153"/>
      <c r="AK1666" s="153"/>
      <c r="AL1666" s="153"/>
      <c r="AM1666" s="153"/>
      <c r="AN1666" s="153"/>
      <c r="AO1666" s="153"/>
      <c r="AP1666" s="153"/>
      <c r="AQ1666" s="153"/>
      <c r="AR1666" s="153"/>
      <c r="AS1666" s="153"/>
      <c r="AT1666" s="153"/>
      <c r="AU1666" s="153"/>
      <c r="AV1666" s="153"/>
      <c r="AW1666" s="153"/>
      <c r="AX1666" s="153"/>
      <c r="AY1666" s="153"/>
      <c r="AZ1666" s="153"/>
      <c r="BA1666" s="153"/>
      <c r="BB1666" s="153"/>
      <c r="BC1666" s="153"/>
      <c r="BD1666" s="153"/>
      <c r="BE1666" s="153"/>
      <c r="BF1666" s="153"/>
      <c r="BG1666" s="153"/>
      <c r="BH1666" s="153"/>
      <c r="BI1666" s="153"/>
      <c r="BJ1666" s="153"/>
      <c r="BK1666" s="153"/>
      <c r="BL1666" s="153"/>
      <c r="BM1666" s="153"/>
      <c r="BN1666" s="153"/>
      <c r="BO1666" s="153"/>
      <c r="BP1666" s="153"/>
      <c r="BQ1666" s="153"/>
      <c r="BR1666" s="153"/>
      <c r="BS1666" s="153"/>
      <c r="BT1666" s="153"/>
      <c r="BU1666" s="153"/>
      <c r="BV1666" s="153"/>
      <c r="BW1666" s="153"/>
      <c r="BX1666" s="153"/>
      <c r="BY1666" s="153"/>
      <c r="BZ1666" s="153"/>
      <c r="CA1666" s="153"/>
      <c r="CB1666" s="153"/>
      <c r="CC1666" s="153"/>
      <c r="CD1666" s="155"/>
      <c r="CE1666" s="156"/>
      <c r="CF1666" s="155"/>
      <c r="CG1666" s="156"/>
      <c r="CH1666" s="155"/>
      <c r="CI1666" s="156"/>
      <c r="CJ1666" s="157">
        <f t="shared" si="210"/>
        <v>0</v>
      </c>
      <c r="CK1666" s="158"/>
      <c r="CL1666" s="159"/>
      <c r="CM1666" s="160"/>
      <c r="CN1666" s="161"/>
      <c r="CO1666" s="162"/>
      <c r="CP1666" s="161"/>
      <c r="CQ1666" s="158"/>
      <c r="CR1666" s="159"/>
      <c r="CS1666" s="68"/>
      <c r="CT1666" s="163"/>
      <c r="EC1666" s="366" t="str">
        <f t="shared" si="213"/>
        <v>VALLE DEL CAUCA_FLORIDA</v>
      </c>
      <c r="ED1666" s="367"/>
      <c r="EE1666" s="367"/>
      <c r="EF1666" s="368"/>
      <c r="EG1666" s="367"/>
      <c r="EH1666" s="367"/>
      <c r="EI1666" s="367"/>
    </row>
    <row r="1667" spans="1:139" s="164" customFormat="1" ht="96">
      <c r="A1667" s="228">
        <v>40493</v>
      </c>
      <c r="B1667" s="205" t="s">
        <v>1088</v>
      </c>
      <c r="C1667" s="205" t="s">
        <v>1930</v>
      </c>
      <c r="D1667" s="207" t="s">
        <v>1201</v>
      </c>
      <c r="E1667" s="323" t="s">
        <v>4248</v>
      </c>
      <c r="F1667" s="323"/>
      <c r="G1667" s="204"/>
      <c r="H1667" s="151"/>
      <c r="I1667" s="151"/>
      <c r="J1667" s="151">
        <f>514*5</f>
        <v>2570</v>
      </c>
      <c r="K1667" s="151">
        <v>514</v>
      </c>
      <c r="L1667" s="1">
        <v>40536</v>
      </c>
      <c r="M1667" s="73">
        <f t="shared" ref="M1667:M1730" si="215">CJ1667</f>
        <v>23250000</v>
      </c>
      <c r="N1667" s="73">
        <f t="shared" si="212"/>
        <v>21250000</v>
      </c>
      <c r="O1667" s="73">
        <f t="shared" si="214"/>
        <v>0</v>
      </c>
      <c r="P1667" s="73">
        <f t="shared" ref="P1667:P1730" si="216">CL1667</f>
        <v>0</v>
      </c>
      <c r="Q1667" s="73"/>
      <c r="R1667" s="73">
        <v>150000000</v>
      </c>
      <c r="S1667" s="75">
        <f t="shared" si="211"/>
        <v>194500000</v>
      </c>
      <c r="T1667" s="77">
        <v>0</v>
      </c>
      <c r="U1667" s="66">
        <v>40494</v>
      </c>
      <c r="V1667" s="79"/>
      <c r="W1667" s="66" t="s">
        <v>1606</v>
      </c>
      <c r="X1667" s="24" t="s">
        <v>1607</v>
      </c>
      <c r="Y1667" s="62">
        <v>526</v>
      </c>
      <c r="Z1667" s="169" t="s">
        <v>894</v>
      </c>
      <c r="AA1667" s="166" t="s">
        <v>3081</v>
      </c>
      <c r="AB1667" s="152"/>
      <c r="AC1667" s="153"/>
      <c r="AD1667" s="154"/>
      <c r="AE1667" s="153"/>
      <c r="AF1667" s="153"/>
      <c r="AG1667" s="153"/>
      <c r="AH1667" s="153"/>
      <c r="AI1667" s="153"/>
      <c r="AJ1667" s="153"/>
      <c r="AK1667" s="153"/>
      <c r="AL1667" s="153"/>
      <c r="AM1667" s="153"/>
      <c r="AN1667" s="153">
        <v>250</v>
      </c>
      <c r="AO1667" s="153">
        <f>250*56000</f>
        <v>14000000</v>
      </c>
      <c r="AP1667" s="153"/>
      <c r="AQ1667" s="153"/>
      <c r="AR1667" s="153"/>
      <c r="AS1667" s="153"/>
      <c r="AT1667" s="153"/>
      <c r="AU1667" s="153"/>
      <c r="AV1667" s="153"/>
      <c r="AW1667" s="153"/>
      <c r="AX1667" s="153"/>
      <c r="AY1667" s="153"/>
      <c r="AZ1667" s="153"/>
      <c r="BA1667" s="153"/>
      <c r="BB1667" s="153"/>
      <c r="BC1667" s="153"/>
      <c r="BD1667" s="153"/>
      <c r="BE1667" s="153"/>
      <c r="BF1667" s="153"/>
      <c r="BG1667" s="153"/>
      <c r="BH1667" s="153"/>
      <c r="BI1667" s="153"/>
      <c r="BJ1667" s="153"/>
      <c r="BK1667" s="153"/>
      <c r="BL1667" s="153"/>
      <c r="BM1667" s="153"/>
      <c r="BN1667" s="153"/>
      <c r="BO1667" s="153"/>
      <c r="BP1667" s="153"/>
      <c r="BQ1667" s="153"/>
      <c r="BR1667" s="153"/>
      <c r="BS1667" s="153"/>
      <c r="BT1667" s="153"/>
      <c r="BU1667" s="153"/>
      <c r="BV1667" s="153"/>
      <c r="BW1667" s="153"/>
      <c r="BX1667" s="153"/>
      <c r="BY1667" s="153"/>
      <c r="BZ1667" s="153"/>
      <c r="CA1667" s="153"/>
      <c r="CB1667" s="153"/>
      <c r="CC1667" s="153"/>
      <c r="CD1667" s="155">
        <v>250</v>
      </c>
      <c r="CE1667" s="156">
        <f>250*37000</f>
        <v>9250000</v>
      </c>
      <c r="CF1667" s="155"/>
      <c r="CG1667" s="156"/>
      <c r="CH1667" s="155"/>
      <c r="CI1667" s="156"/>
      <c r="CJ1667" s="157">
        <f t="shared" ref="CJ1667:CJ1730" si="217">AC1667+AE1667+AG1667+AI1667+AK1667+AM1667+AO1667+AQ1667+AS1667+AU1667+AW1667+AY1667+BA1667+BC1667+BE1667+BG1667+BI1667+BK1667+BM1667+BO1667+BQ1667+BS1667+BU1667+BW1667+BY1667+CA1667+CC1667+CE1667+CG1667+CI1667</f>
        <v>23250000</v>
      </c>
      <c r="CK1667" s="158"/>
      <c r="CL1667" s="159"/>
      <c r="CM1667" s="160">
        <v>250</v>
      </c>
      <c r="CN1667" s="161">
        <f>250*85000</f>
        <v>21250000</v>
      </c>
      <c r="CO1667" s="162"/>
      <c r="CP1667" s="161"/>
      <c r="CQ1667" s="158"/>
      <c r="CR1667" s="159"/>
      <c r="CS1667" s="68"/>
      <c r="CT1667" s="163"/>
      <c r="EC1667" s="366" t="str">
        <f t="shared" si="213"/>
        <v>VALLE DEL CAUCA_LA VICTORIA</v>
      </c>
      <c r="ED1667" s="367"/>
      <c r="EE1667" s="367"/>
      <c r="EF1667" s="368"/>
      <c r="EG1667" s="367"/>
      <c r="EH1667" s="367"/>
      <c r="EI1667" s="367"/>
    </row>
    <row r="1668" spans="1:139" s="164" customFormat="1" ht="25.5">
      <c r="A1668" s="235">
        <v>40494</v>
      </c>
      <c r="B1668" s="269" t="s">
        <v>1972</v>
      </c>
      <c r="C1668" s="269" t="s">
        <v>1218</v>
      </c>
      <c r="D1668" s="270" t="s">
        <v>1201</v>
      </c>
      <c r="E1668" s="327" t="s">
        <v>3245</v>
      </c>
      <c r="F1668" s="327"/>
      <c r="G1668" s="204"/>
      <c r="H1668" s="151"/>
      <c r="I1668" s="151"/>
      <c r="J1668" s="151">
        <v>1250</v>
      </c>
      <c r="K1668" s="151">
        <v>250</v>
      </c>
      <c r="L1668" s="1"/>
      <c r="M1668" s="73">
        <f t="shared" si="215"/>
        <v>0</v>
      </c>
      <c r="N1668" s="73">
        <f t="shared" si="212"/>
        <v>0</v>
      </c>
      <c r="O1668" s="73">
        <f t="shared" si="214"/>
        <v>0</v>
      </c>
      <c r="P1668" s="73">
        <f t="shared" si="216"/>
        <v>0</v>
      </c>
      <c r="Q1668" s="73"/>
      <c r="R1668" s="73">
        <v>0</v>
      </c>
      <c r="S1668" s="75">
        <f t="shared" si="211"/>
        <v>0</v>
      </c>
      <c r="T1668" s="77">
        <v>0</v>
      </c>
      <c r="U1668" s="66">
        <v>40497</v>
      </c>
      <c r="V1668" s="79"/>
      <c r="W1668" s="66" t="s">
        <v>1585</v>
      </c>
      <c r="X1668" s="24" t="s">
        <v>1586</v>
      </c>
      <c r="Y1668" s="62"/>
      <c r="Z1668" s="169" t="s">
        <v>894</v>
      </c>
      <c r="AA1668" s="166" t="s">
        <v>2845</v>
      </c>
      <c r="AB1668" s="152"/>
      <c r="AC1668" s="153"/>
      <c r="AD1668" s="154"/>
      <c r="AE1668" s="153"/>
      <c r="AF1668" s="153"/>
      <c r="AG1668" s="153"/>
      <c r="AH1668" s="153"/>
      <c r="AI1668" s="153"/>
      <c r="AJ1668" s="153"/>
      <c r="AK1668" s="153"/>
      <c r="AL1668" s="153"/>
      <c r="AM1668" s="153"/>
      <c r="AN1668" s="153"/>
      <c r="AO1668" s="153"/>
      <c r="AP1668" s="153"/>
      <c r="AQ1668" s="153"/>
      <c r="AR1668" s="153"/>
      <c r="AS1668" s="153"/>
      <c r="AT1668" s="153"/>
      <c r="AU1668" s="153"/>
      <c r="AV1668" s="153"/>
      <c r="AW1668" s="153"/>
      <c r="AX1668" s="153"/>
      <c r="AY1668" s="153"/>
      <c r="AZ1668" s="153"/>
      <c r="BA1668" s="153"/>
      <c r="BB1668" s="153"/>
      <c r="BC1668" s="153"/>
      <c r="BD1668" s="153"/>
      <c r="BE1668" s="153"/>
      <c r="BF1668" s="153"/>
      <c r="BG1668" s="153"/>
      <c r="BH1668" s="153"/>
      <c r="BI1668" s="153"/>
      <c r="BJ1668" s="153"/>
      <c r="BK1668" s="153"/>
      <c r="BL1668" s="153"/>
      <c r="BM1668" s="153"/>
      <c r="BN1668" s="153"/>
      <c r="BO1668" s="153"/>
      <c r="BP1668" s="153"/>
      <c r="BQ1668" s="153"/>
      <c r="BR1668" s="153"/>
      <c r="BS1668" s="153"/>
      <c r="BT1668" s="153"/>
      <c r="BU1668" s="153"/>
      <c r="BV1668" s="153"/>
      <c r="BW1668" s="153"/>
      <c r="BX1668" s="153"/>
      <c r="BY1668" s="153"/>
      <c r="BZ1668" s="153"/>
      <c r="CA1668" s="153"/>
      <c r="CB1668" s="153"/>
      <c r="CC1668" s="153"/>
      <c r="CD1668" s="155"/>
      <c r="CE1668" s="156"/>
      <c r="CF1668" s="155"/>
      <c r="CG1668" s="156"/>
      <c r="CH1668" s="155"/>
      <c r="CI1668" s="156"/>
      <c r="CJ1668" s="157">
        <f t="shared" si="217"/>
        <v>0</v>
      </c>
      <c r="CK1668" s="158"/>
      <c r="CL1668" s="159"/>
      <c r="CM1668" s="160"/>
      <c r="CN1668" s="161"/>
      <c r="CO1668" s="162"/>
      <c r="CP1668" s="161"/>
      <c r="CQ1668" s="158"/>
      <c r="CR1668" s="159"/>
      <c r="CS1668" s="68"/>
      <c r="CT1668" s="163"/>
      <c r="EC1668" s="366" t="str">
        <f t="shared" si="213"/>
        <v>ANTIOQUIA_BELLO</v>
      </c>
      <c r="ED1668" s="367"/>
      <c r="EE1668" s="367"/>
      <c r="EF1668" s="368"/>
      <c r="EG1668" s="367"/>
      <c r="EH1668" s="367"/>
      <c r="EI1668" s="367"/>
    </row>
    <row r="1669" spans="1:139" s="164" customFormat="1" ht="25.5">
      <c r="A1669" s="235">
        <v>40494</v>
      </c>
      <c r="B1669" s="269" t="s">
        <v>1972</v>
      </c>
      <c r="C1669" s="269" t="s">
        <v>1814</v>
      </c>
      <c r="D1669" s="270" t="s">
        <v>1201</v>
      </c>
      <c r="E1669" s="327" t="s">
        <v>3274</v>
      </c>
      <c r="F1669" s="327"/>
      <c r="G1669" s="204"/>
      <c r="H1669" s="151"/>
      <c r="I1669" s="151"/>
      <c r="J1669" s="151">
        <v>21</v>
      </c>
      <c r="K1669" s="151">
        <v>10</v>
      </c>
      <c r="L1669" s="1"/>
      <c r="M1669" s="73">
        <f t="shared" si="215"/>
        <v>0</v>
      </c>
      <c r="N1669" s="73">
        <f t="shared" si="212"/>
        <v>0</v>
      </c>
      <c r="O1669" s="73">
        <f t="shared" si="214"/>
        <v>0</v>
      </c>
      <c r="P1669" s="73">
        <f t="shared" si="216"/>
        <v>0</v>
      </c>
      <c r="Q1669" s="73"/>
      <c r="R1669" s="73">
        <v>0</v>
      </c>
      <c r="S1669" s="75">
        <f t="shared" si="211"/>
        <v>0</v>
      </c>
      <c r="T1669" s="77">
        <v>0</v>
      </c>
      <c r="U1669" s="66">
        <v>40497</v>
      </c>
      <c r="V1669" s="79"/>
      <c r="W1669" s="66" t="s">
        <v>1585</v>
      </c>
      <c r="X1669" s="24" t="s">
        <v>1586</v>
      </c>
      <c r="Y1669" s="62"/>
      <c r="Z1669" s="169" t="s">
        <v>894</v>
      </c>
      <c r="AA1669" s="166" t="s">
        <v>2846</v>
      </c>
      <c r="AB1669" s="152"/>
      <c r="AC1669" s="153"/>
      <c r="AD1669" s="154"/>
      <c r="AE1669" s="153"/>
      <c r="AF1669" s="153"/>
      <c r="AG1669" s="153"/>
      <c r="AH1669" s="153"/>
      <c r="AI1669" s="153"/>
      <c r="AJ1669" s="153"/>
      <c r="AK1669" s="153"/>
      <c r="AL1669" s="153"/>
      <c r="AM1669" s="153"/>
      <c r="AN1669" s="153"/>
      <c r="AO1669" s="153"/>
      <c r="AP1669" s="153"/>
      <c r="AQ1669" s="153"/>
      <c r="AR1669" s="153"/>
      <c r="AS1669" s="153"/>
      <c r="AT1669" s="153"/>
      <c r="AU1669" s="153"/>
      <c r="AV1669" s="153"/>
      <c r="AW1669" s="153"/>
      <c r="AX1669" s="153"/>
      <c r="AY1669" s="153"/>
      <c r="AZ1669" s="153"/>
      <c r="BA1669" s="153"/>
      <c r="BB1669" s="153"/>
      <c r="BC1669" s="153"/>
      <c r="BD1669" s="153"/>
      <c r="BE1669" s="153"/>
      <c r="BF1669" s="153"/>
      <c r="BG1669" s="153"/>
      <c r="BH1669" s="153"/>
      <c r="BI1669" s="153"/>
      <c r="BJ1669" s="153"/>
      <c r="BK1669" s="153"/>
      <c r="BL1669" s="153"/>
      <c r="BM1669" s="153"/>
      <c r="BN1669" s="153"/>
      <c r="BO1669" s="153"/>
      <c r="BP1669" s="153"/>
      <c r="BQ1669" s="153"/>
      <c r="BR1669" s="153"/>
      <c r="BS1669" s="153"/>
      <c r="BT1669" s="153"/>
      <c r="BU1669" s="153"/>
      <c r="BV1669" s="153"/>
      <c r="BW1669" s="153"/>
      <c r="BX1669" s="153"/>
      <c r="BY1669" s="153"/>
      <c r="BZ1669" s="153"/>
      <c r="CA1669" s="153"/>
      <c r="CB1669" s="153"/>
      <c r="CC1669" s="153"/>
      <c r="CD1669" s="155"/>
      <c r="CE1669" s="156"/>
      <c r="CF1669" s="155"/>
      <c r="CG1669" s="156"/>
      <c r="CH1669" s="155"/>
      <c r="CI1669" s="156"/>
      <c r="CJ1669" s="157">
        <f t="shared" si="217"/>
        <v>0</v>
      </c>
      <c r="CK1669" s="158"/>
      <c r="CL1669" s="159"/>
      <c r="CM1669" s="160"/>
      <c r="CN1669" s="161"/>
      <c r="CO1669" s="162"/>
      <c r="CP1669" s="161"/>
      <c r="CQ1669" s="158"/>
      <c r="CR1669" s="159"/>
      <c r="CS1669" s="68"/>
      <c r="CT1669" s="163"/>
      <c r="EC1669" s="366" t="str">
        <f t="shared" si="213"/>
        <v>ANTIOQUIA_FREDONIA</v>
      </c>
      <c r="ED1669" s="367"/>
      <c r="EE1669" s="367"/>
      <c r="EF1669" s="368"/>
      <c r="EG1669" s="367"/>
      <c r="EH1669" s="367"/>
      <c r="EI1669" s="367"/>
    </row>
    <row r="1670" spans="1:139" s="164" customFormat="1" ht="48">
      <c r="A1670" s="228">
        <v>40494</v>
      </c>
      <c r="B1670" s="205" t="s">
        <v>1551</v>
      </c>
      <c r="C1670" s="205" t="s">
        <v>1590</v>
      </c>
      <c r="D1670" s="207" t="s">
        <v>1201</v>
      </c>
      <c r="E1670" s="323" t="s">
        <v>3352</v>
      </c>
      <c r="F1670" s="323"/>
      <c r="G1670" s="204"/>
      <c r="H1670" s="151"/>
      <c r="I1670" s="151"/>
      <c r="J1670" s="151">
        <f>2245*5</f>
        <v>11225</v>
      </c>
      <c r="K1670" s="151">
        <f>10+2235</f>
        <v>2245</v>
      </c>
      <c r="L1670" s="1"/>
      <c r="M1670" s="73">
        <f t="shared" si="215"/>
        <v>0</v>
      </c>
      <c r="N1670" s="73">
        <f t="shared" si="212"/>
        <v>0</v>
      </c>
      <c r="O1670" s="73">
        <f t="shared" si="214"/>
        <v>0</v>
      </c>
      <c r="P1670" s="73">
        <f t="shared" si="216"/>
        <v>0</v>
      </c>
      <c r="Q1670" s="73"/>
      <c r="R1670" s="73">
        <v>0</v>
      </c>
      <c r="S1670" s="75">
        <f t="shared" si="211"/>
        <v>0</v>
      </c>
      <c r="T1670" s="77">
        <v>0</v>
      </c>
      <c r="U1670" s="66">
        <v>40497</v>
      </c>
      <c r="V1670" s="79"/>
      <c r="W1670" s="66" t="s">
        <v>1585</v>
      </c>
      <c r="X1670" s="24" t="s">
        <v>1586</v>
      </c>
      <c r="Y1670" s="62"/>
      <c r="Z1670" s="169" t="s">
        <v>894</v>
      </c>
      <c r="AA1670" s="166" t="s">
        <v>212</v>
      </c>
      <c r="AB1670" s="152"/>
      <c r="AC1670" s="153"/>
      <c r="AD1670" s="154"/>
      <c r="AE1670" s="153"/>
      <c r="AF1670" s="153"/>
      <c r="AG1670" s="153"/>
      <c r="AH1670" s="153"/>
      <c r="AI1670" s="153"/>
      <c r="AJ1670" s="153"/>
      <c r="AK1670" s="153"/>
      <c r="AL1670" s="153"/>
      <c r="AM1670" s="153"/>
      <c r="AN1670" s="153"/>
      <c r="AO1670" s="153"/>
      <c r="AP1670" s="153"/>
      <c r="AQ1670" s="153"/>
      <c r="AR1670" s="153"/>
      <c r="AS1670" s="153"/>
      <c r="AT1670" s="153"/>
      <c r="AU1670" s="153"/>
      <c r="AV1670" s="153"/>
      <c r="AW1670" s="153"/>
      <c r="AX1670" s="153"/>
      <c r="AY1670" s="153"/>
      <c r="AZ1670" s="153"/>
      <c r="BA1670" s="153"/>
      <c r="BB1670" s="153"/>
      <c r="BC1670" s="153"/>
      <c r="BD1670" s="153"/>
      <c r="BE1670" s="153"/>
      <c r="BF1670" s="153"/>
      <c r="BG1670" s="153"/>
      <c r="BH1670" s="153"/>
      <c r="BI1670" s="153"/>
      <c r="BJ1670" s="153"/>
      <c r="BK1670" s="153"/>
      <c r="BL1670" s="153"/>
      <c r="BM1670" s="153"/>
      <c r="BN1670" s="153"/>
      <c r="BO1670" s="153"/>
      <c r="BP1670" s="153"/>
      <c r="BQ1670" s="153"/>
      <c r="BR1670" s="153"/>
      <c r="BS1670" s="153"/>
      <c r="BT1670" s="153"/>
      <c r="BU1670" s="153"/>
      <c r="BV1670" s="153"/>
      <c r="BW1670" s="153"/>
      <c r="BX1670" s="153"/>
      <c r="BY1670" s="153"/>
      <c r="BZ1670" s="153"/>
      <c r="CA1670" s="153"/>
      <c r="CB1670" s="153"/>
      <c r="CC1670" s="153"/>
      <c r="CD1670" s="155"/>
      <c r="CE1670" s="156"/>
      <c r="CF1670" s="155"/>
      <c r="CG1670" s="156"/>
      <c r="CH1670" s="155"/>
      <c r="CI1670" s="156"/>
      <c r="CJ1670" s="157">
        <f t="shared" si="217"/>
        <v>0</v>
      </c>
      <c r="CK1670" s="158"/>
      <c r="CL1670" s="159"/>
      <c r="CM1670" s="160"/>
      <c r="CN1670" s="161"/>
      <c r="CO1670" s="162"/>
      <c r="CP1670" s="161"/>
      <c r="CQ1670" s="158"/>
      <c r="CR1670" s="159"/>
      <c r="CS1670" s="68"/>
      <c r="CT1670" s="163"/>
      <c r="EC1670" s="366" t="str">
        <f t="shared" si="213"/>
        <v>ATLANTICO_BARRANQUILLA</v>
      </c>
      <c r="ED1670" s="367"/>
      <c r="EE1670" s="367"/>
      <c r="EF1670" s="368"/>
      <c r="EG1670" s="367"/>
      <c r="EH1670" s="367"/>
      <c r="EI1670" s="367"/>
    </row>
    <row r="1671" spans="1:139" s="164" customFormat="1" ht="36">
      <c r="A1671" s="228">
        <v>40494</v>
      </c>
      <c r="B1671" s="205" t="s">
        <v>1617</v>
      </c>
      <c r="C1671" s="205" t="s">
        <v>837</v>
      </c>
      <c r="D1671" s="207" t="s">
        <v>1201</v>
      </c>
      <c r="E1671" s="323" t="s">
        <v>4280</v>
      </c>
      <c r="F1671" s="323"/>
      <c r="G1671" s="204"/>
      <c r="H1671" s="151"/>
      <c r="I1671" s="151"/>
      <c r="J1671" s="151">
        <f>129-30</f>
        <v>99</v>
      </c>
      <c r="K1671" s="151">
        <v>24</v>
      </c>
      <c r="L1671" s="1"/>
      <c r="M1671" s="73">
        <f t="shared" si="215"/>
        <v>0</v>
      </c>
      <c r="N1671" s="73">
        <f t="shared" si="212"/>
        <v>0</v>
      </c>
      <c r="O1671" s="73">
        <f t="shared" si="214"/>
        <v>0</v>
      </c>
      <c r="P1671" s="73">
        <f t="shared" si="216"/>
        <v>0</v>
      </c>
      <c r="Q1671" s="73"/>
      <c r="R1671" s="73">
        <v>0</v>
      </c>
      <c r="S1671" s="75">
        <f t="shared" si="211"/>
        <v>0</v>
      </c>
      <c r="T1671" s="77">
        <v>0</v>
      </c>
      <c r="U1671" s="66">
        <v>40492</v>
      </c>
      <c r="V1671" s="79"/>
      <c r="W1671" s="66" t="s">
        <v>1585</v>
      </c>
      <c r="X1671" s="24" t="s">
        <v>1586</v>
      </c>
      <c r="Y1671" s="62"/>
      <c r="Z1671" s="169" t="s">
        <v>894</v>
      </c>
      <c r="AA1671" s="166" t="s">
        <v>2905</v>
      </c>
      <c r="AB1671" s="152"/>
      <c r="AC1671" s="153"/>
      <c r="AD1671" s="154"/>
      <c r="AE1671" s="153"/>
      <c r="AF1671" s="153"/>
      <c r="AG1671" s="153"/>
      <c r="AH1671" s="153"/>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c r="BI1671" s="153"/>
      <c r="BJ1671" s="153"/>
      <c r="BK1671" s="153"/>
      <c r="BL1671" s="153"/>
      <c r="BM1671" s="153"/>
      <c r="BN1671" s="153"/>
      <c r="BO1671" s="153"/>
      <c r="BP1671" s="153"/>
      <c r="BQ1671" s="153"/>
      <c r="BR1671" s="153"/>
      <c r="BS1671" s="153"/>
      <c r="BT1671" s="153"/>
      <c r="BU1671" s="153"/>
      <c r="BV1671" s="153"/>
      <c r="BW1671" s="153"/>
      <c r="BX1671" s="153"/>
      <c r="BY1671" s="153"/>
      <c r="BZ1671" s="153"/>
      <c r="CA1671" s="153"/>
      <c r="CB1671" s="153"/>
      <c r="CC1671" s="153"/>
      <c r="CD1671" s="155"/>
      <c r="CE1671" s="156"/>
      <c r="CF1671" s="155"/>
      <c r="CG1671" s="156"/>
      <c r="CH1671" s="155"/>
      <c r="CI1671" s="156"/>
      <c r="CJ1671" s="157">
        <f t="shared" si="217"/>
        <v>0</v>
      </c>
      <c r="CK1671" s="158"/>
      <c r="CL1671" s="159"/>
      <c r="CM1671" s="160"/>
      <c r="CN1671" s="161"/>
      <c r="CO1671" s="162"/>
      <c r="CP1671" s="161"/>
      <c r="CQ1671" s="158"/>
      <c r="CR1671" s="159"/>
      <c r="CS1671" s="68"/>
      <c r="CT1671" s="163"/>
      <c r="EC1671" s="366" t="str">
        <f t="shared" si="213"/>
        <v>CASANARE_NUNCHIA</v>
      </c>
      <c r="ED1671" s="367"/>
      <c r="EE1671" s="367"/>
      <c r="EF1671" s="368"/>
      <c r="EG1671" s="367"/>
      <c r="EH1671" s="367"/>
      <c r="EI1671" s="367"/>
    </row>
    <row r="1672" spans="1:139" s="164" customFormat="1" ht="60">
      <c r="A1672" s="228">
        <v>40494</v>
      </c>
      <c r="B1672" s="205" t="s">
        <v>1314</v>
      </c>
      <c r="C1672" s="205" t="s">
        <v>2932</v>
      </c>
      <c r="D1672" s="207" t="s">
        <v>1878</v>
      </c>
      <c r="E1672" s="323" t="s">
        <v>3612</v>
      </c>
      <c r="F1672" s="323"/>
      <c r="G1672" s="204"/>
      <c r="H1672" s="151"/>
      <c r="I1672" s="151"/>
      <c r="J1672" s="151">
        <f>644*5</f>
        <v>3220</v>
      </c>
      <c r="K1672" s="151">
        <f>688-44</f>
        <v>644</v>
      </c>
      <c r="L1672" s="1"/>
      <c r="M1672" s="73">
        <f t="shared" si="215"/>
        <v>0</v>
      </c>
      <c r="N1672" s="73">
        <f t="shared" si="212"/>
        <v>0</v>
      </c>
      <c r="O1672" s="73">
        <f t="shared" si="214"/>
        <v>0</v>
      </c>
      <c r="P1672" s="73">
        <f t="shared" si="216"/>
        <v>0</v>
      </c>
      <c r="Q1672" s="73"/>
      <c r="R1672" s="73">
        <v>0</v>
      </c>
      <c r="S1672" s="75">
        <f t="shared" si="211"/>
        <v>0</v>
      </c>
      <c r="T1672" s="77">
        <v>0</v>
      </c>
      <c r="U1672" s="66"/>
      <c r="V1672" s="79"/>
      <c r="W1672" s="66" t="s">
        <v>1606</v>
      </c>
      <c r="X1672" s="264" t="s">
        <v>1607</v>
      </c>
      <c r="Y1672" s="62"/>
      <c r="Z1672" s="260" t="s">
        <v>18</v>
      </c>
      <c r="AA1672" s="166" t="s">
        <v>2933</v>
      </c>
      <c r="AB1672" s="152"/>
      <c r="AC1672" s="153"/>
      <c r="AD1672" s="154"/>
      <c r="AE1672" s="153"/>
      <c r="AF1672" s="153"/>
      <c r="AG1672" s="153"/>
      <c r="AH1672" s="153"/>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c r="BI1672" s="153"/>
      <c r="BJ1672" s="153"/>
      <c r="BK1672" s="153"/>
      <c r="BL1672" s="153"/>
      <c r="BM1672" s="153"/>
      <c r="BN1672" s="153"/>
      <c r="BO1672" s="153"/>
      <c r="BP1672" s="153"/>
      <c r="BQ1672" s="153"/>
      <c r="BR1672" s="153"/>
      <c r="BS1672" s="153"/>
      <c r="BT1672" s="153"/>
      <c r="BU1672" s="153"/>
      <c r="BV1672" s="153"/>
      <c r="BW1672" s="153"/>
      <c r="BX1672" s="153"/>
      <c r="BY1672" s="153"/>
      <c r="BZ1672" s="153"/>
      <c r="CA1672" s="153"/>
      <c r="CB1672" s="153"/>
      <c r="CC1672" s="153"/>
      <c r="CD1672" s="155"/>
      <c r="CE1672" s="156"/>
      <c r="CF1672" s="155"/>
      <c r="CG1672" s="156"/>
      <c r="CH1672" s="155"/>
      <c r="CI1672" s="156"/>
      <c r="CJ1672" s="157">
        <f t="shared" si="217"/>
        <v>0</v>
      </c>
      <c r="CK1672" s="158"/>
      <c r="CL1672" s="159"/>
      <c r="CM1672" s="160"/>
      <c r="CN1672" s="161"/>
      <c r="CO1672" s="162"/>
      <c r="CP1672" s="161"/>
      <c r="CQ1672" s="158"/>
      <c r="CR1672" s="159"/>
      <c r="CS1672" s="68"/>
      <c r="CT1672" s="163"/>
      <c r="EC1672" s="366" t="str">
        <f t="shared" si="213"/>
        <v>CAUCA_PIENDAMO</v>
      </c>
      <c r="ED1672" s="367"/>
      <c r="EE1672" s="367"/>
      <c r="EF1672" s="368"/>
      <c r="EG1672" s="367"/>
      <c r="EH1672" s="367"/>
      <c r="EI1672" s="367"/>
    </row>
    <row r="1673" spans="1:139" s="164" customFormat="1" ht="25.5">
      <c r="A1673" s="228">
        <v>40494</v>
      </c>
      <c r="B1673" s="205" t="s">
        <v>1821</v>
      </c>
      <c r="C1673" s="205" t="s">
        <v>351</v>
      </c>
      <c r="D1673" s="207" t="s">
        <v>1201</v>
      </c>
      <c r="E1673" s="323" t="s">
        <v>3634</v>
      </c>
      <c r="F1673" s="323"/>
      <c r="G1673" s="204"/>
      <c r="H1673" s="151"/>
      <c r="I1673" s="151"/>
      <c r="J1673" s="151">
        <f>733*5</f>
        <v>3665</v>
      </c>
      <c r="K1673" s="151">
        <f>3060-2118-200</f>
        <v>742</v>
      </c>
      <c r="L1673" s="1"/>
      <c r="M1673" s="73">
        <f t="shared" si="215"/>
        <v>0</v>
      </c>
      <c r="N1673" s="73">
        <f t="shared" si="212"/>
        <v>0</v>
      </c>
      <c r="O1673" s="73">
        <f t="shared" si="214"/>
        <v>0</v>
      </c>
      <c r="P1673" s="73">
        <f t="shared" si="216"/>
        <v>0</v>
      </c>
      <c r="Q1673" s="73"/>
      <c r="R1673" s="73">
        <v>0</v>
      </c>
      <c r="S1673" s="75">
        <f t="shared" ref="S1673:S1736" si="218">M1673+N1673+O1673+P1673+Q1673+R1673</f>
        <v>0</v>
      </c>
      <c r="T1673" s="77">
        <v>0</v>
      </c>
      <c r="U1673" s="66">
        <v>40497</v>
      </c>
      <c r="V1673" s="79"/>
      <c r="W1673" s="66" t="s">
        <v>1585</v>
      </c>
      <c r="X1673" s="24" t="s">
        <v>1586</v>
      </c>
      <c r="Y1673" s="62"/>
      <c r="Z1673" s="169" t="s">
        <v>894</v>
      </c>
      <c r="AA1673" s="166" t="s">
        <v>2855</v>
      </c>
      <c r="AB1673" s="152"/>
      <c r="AC1673" s="153"/>
      <c r="AD1673" s="154"/>
      <c r="AE1673" s="153"/>
      <c r="AF1673" s="153"/>
      <c r="AG1673" s="153"/>
      <c r="AH1673" s="153"/>
      <c r="AI1673" s="153"/>
      <c r="AJ1673" s="153"/>
      <c r="AK1673" s="153"/>
      <c r="AL1673" s="153"/>
      <c r="AM1673" s="153"/>
      <c r="AN1673" s="153"/>
      <c r="AO1673" s="153"/>
      <c r="AP1673" s="153"/>
      <c r="AQ1673" s="153"/>
      <c r="AR1673" s="153"/>
      <c r="AS1673" s="153"/>
      <c r="AT1673" s="153"/>
      <c r="AU1673" s="153"/>
      <c r="AV1673" s="153"/>
      <c r="AW1673" s="153"/>
      <c r="AX1673" s="153"/>
      <c r="AY1673" s="153"/>
      <c r="AZ1673" s="153"/>
      <c r="BA1673" s="153"/>
      <c r="BB1673" s="153"/>
      <c r="BC1673" s="153"/>
      <c r="BD1673" s="153"/>
      <c r="BE1673" s="153"/>
      <c r="BF1673" s="153"/>
      <c r="BG1673" s="153"/>
      <c r="BH1673" s="153"/>
      <c r="BI1673" s="153"/>
      <c r="BJ1673" s="153"/>
      <c r="BK1673" s="153"/>
      <c r="BL1673" s="153"/>
      <c r="BM1673" s="153"/>
      <c r="BN1673" s="153"/>
      <c r="BO1673" s="153"/>
      <c r="BP1673" s="153"/>
      <c r="BQ1673" s="153"/>
      <c r="BR1673" s="153"/>
      <c r="BS1673" s="153"/>
      <c r="BT1673" s="153"/>
      <c r="BU1673" s="153"/>
      <c r="BV1673" s="153"/>
      <c r="BW1673" s="153"/>
      <c r="BX1673" s="153"/>
      <c r="BY1673" s="153"/>
      <c r="BZ1673" s="153"/>
      <c r="CA1673" s="153"/>
      <c r="CB1673" s="153"/>
      <c r="CC1673" s="153"/>
      <c r="CD1673" s="155"/>
      <c r="CE1673" s="156"/>
      <c r="CF1673" s="155"/>
      <c r="CG1673" s="156"/>
      <c r="CH1673" s="155"/>
      <c r="CI1673" s="156"/>
      <c r="CJ1673" s="157">
        <f t="shared" si="217"/>
        <v>0</v>
      </c>
      <c r="CK1673" s="158"/>
      <c r="CL1673" s="159"/>
      <c r="CM1673" s="160"/>
      <c r="CN1673" s="161"/>
      <c r="CO1673" s="162"/>
      <c r="CP1673" s="161"/>
      <c r="CQ1673" s="158"/>
      <c r="CR1673" s="159"/>
      <c r="CS1673" s="68"/>
      <c r="CT1673" s="163"/>
      <c r="EC1673" s="366" t="str">
        <f t="shared" si="213"/>
        <v>CESAR_CHIMICHAGUA</v>
      </c>
      <c r="ED1673" s="367"/>
      <c r="EE1673" s="367"/>
      <c r="EF1673" s="368"/>
      <c r="EG1673" s="367"/>
      <c r="EH1673" s="367"/>
      <c r="EI1673" s="367"/>
    </row>
    <row r="1674" spans="1:139" s="164" customFormat="1" ht="51">
      <c r="A1674" s="228">
        <v>40494</v>
      </c>
      <c r="B1674" s="102" t="s">
        <v>1295</v>
      </c>
      <c r="C1674" s="205" t="s">
        <v>2853</v>
      </c>
      <c r="D1674" s="207" t="s">
        <v>1201</v>
      </c>
      <c r="E1674" s="323" t="s">
        <v>3670</v>
      </c>
      <c r="F1674" s="323"/>
      <c r="G1674" s="204"/>
      <c r="H1674" s="151"/>
      <c r="I1674" s="151"/>
      <c r="J1674" s="151">
        <f>1465-138</f>
        <v>1327</v>
      </c>
      <c r="K1674" s="151">
        <f>293-28</f>
        <v>265</v>
      </c>
      <c r="L1674" s="1"/>
      <c r="M1674" s="73">
        <f t="shared" si="215"/>
        <v>0</v>
      </c>
      <c r="N1674" s="73">
        <f t="shared" si="212"/>
        <v>0</v>
      </c>
      <c r="O1674" s="73">
        <f t="shared" si="214"/>
        <v>0</v>
      </c>
      <c r="P1674" s="73">
        <f t="shared" si="216"/>
        <v>0</v>
      </c>
      <c r="Q1674" s="73"/>
      <c r="R1674" s="73">
        <v>0</v>
      </c>
      <c r="S1674" s="75">
        <f t="shared" si="218"/>
        <v>0</v>
      </c>
      <c r="T1674" s="77">
        <v>0</v>
      </c>
      <c r="U1674" s="66">
        <v>40497</v>
      </c>
      <c r="V1674" s="79"/>
      <c r="W1674" s="66" t="s">
        <v>1585</v>
      </c>
      <c r="X1674" s="24" t="s">
        <v>1586</v>
      </c>
      <c r="Y1674" s="62"/>
      <c r="Z1674" s="169" t="s">
        <v>894</v>
      </c>
      <c r="AA1674" s="166" t="s">
        <v>2854</v>
      </c>
      <c r="AB1674" s="152"/>
      <c r="AC1674" s="153"/>
      <c r="AD1674" s="154"/>
      <c r="AE1674" s="153"/>
      <c r="AF1674" s="153"/>
      <c r="AG1674" s="153"/>
      <c r="AH1674" s="153"/>
      <c r="AI1674" s="153"/>
      <c r="AJ1674" s="153"/>
      <c r="AK1674" s="153"/>
      <c r="AL1674" s="153"/>
      <c r="AM1674" s="153"/>
      <c r="AN1674" s="153"/>
      <c r="AO1674" s="153"/>
      <c r="AP1674" s="153"/>
      <c r="AQ1674" s="153"/>
      <c r="AR1674" s="153"/>
      <c r="AS1674" s="153"/>
      <c r="AT1674" s="153"/>
      <c r="AU1674" s="153"/>
      <c r="AV1674" s="153"/>
      <c r="AW1674" s="153"/>
      <c r="AX1674" s="153"/>
      <c r="AY1674" s="153"/>
      <c r="AZ1674" s="153"/>
      <c r="BA1674" s="153"/>
      <c r="BB1674" s="153"/>
      <c r="BC1674" s="153"/>
      <c r="BD1674" s="153"/>
      <c r="BE1674" s="153"/>
      <c r="BF1674" s="153"/>
      <c r="BG1674" s="153"/>
      <c r="BH1674" s="153"/>
      <c r="BI1674" s="153"/>
      <c r="BJ1674" s="153"/>
      <c r="BK1674" s="153"/>
      <c r="BL1674" s="153"/>
      <c r="BM1674" s="153"/>
      <c r="BN1674" s="153"/>
      <c r="BO1674" s="153"/>
      <c r="BP1674" s="153"/>
      <c r="BQ1674" s="153"/>
      <c r="BR1674" s="153"/>
      <c r="BS1674" s="153"/>
      <c r="BT1674" s="153"/>
      <c r="BU1674" s="153"/>
      <c r="BV1674" s="153"/>
      <c r="BW1674" s="153"/>
      <c r="BX1674" s="153"/>
      <c r="BY1674" s="153"/>
      <c r="BZ1674" s="153"/>
      <c r="CA1674" s="153"/>
      <c r="CB1674" s="153"/>
      <c r="CC1674" s="153"/>
      <c r="CD1674" s="155"/>
      <c r="CE1674" s="156"/>
      <c r="CF1674" s="155"/>
      <c r="CG1674" s="156"/>
      <c r="CH1674" s="155"/>
      <c r="CI1674" s="156"/>
      <c r="CJ1674" s="157">
        <f t="shared" si="217"/>
        <v>0</v>
      </c>
      <c r="CK1674" s="158"/>
      <c r="CL1674" s="159"/>
      <c r="CM1674" s="160"/>
      <c r="CN1674" s="161"/>
      <c r="CO1674" s="162"/>
      <c r="CP1674" s="161"/>
      <c r="CQ1674" s="158"/>
      <c r="CR1674" s="159"/>
      <c r="CS1674" s="68"/>
      <c r="CT1674" s="163"/>
      <c r="EC1674" s="366" t="str">
        <f t="shared" si="213"/>
        <v>CORDOBA_PUERTO ESCONDIDO</v>
      </c>
      <c r="ED1674" s="367"/>
      <c r="EE1674" s="367"/>
      <c r="EF1674" s="368"/>
      <c r="EG1674" s="367"/>
      <c r="EH1674" s="367"/>
      <c r="EI1674" s="367"/>
    </row>
    <row r="1675" spans="1:139" s="164" customFormat="1" ht="25.5">
      <c r="A1675" s="228">
        <v>40494</v>
      </c>
      <c r="B1675" s="205" t="s">
        <v>1611</v>
      </c>
      <c r="C1675" s="205" t="s">
        <v>1611</v>
      </c>
      <c r="D1675" s="207" t="s">
        <v>1201</v>
      </c>
      <c r="E1675" s="323" t="e">
        <v>#N/A</v>
      </c>
      <c r="F1675" s="323"/>
      <c r="G1675" s="204"/>
      <c r="H1675" s="151"/>
      <c r="I1675" s="151"/>
      <c r="J1675" s="151"/>
      <c r="K1675" s="151"/>
      <c r="L1675" s="1"/>
      <c r="M1675" s="73">
        <f t="shared" si="215"/>
        <v>0</v>
      </c>
      <c r="N1675" s="73">
        <f t="shared" si="212"/>
        <v>0</v>
      </c>
      <c r="O1675" s="73">
        <f t="shared" si="214"/>
        <v>0</v>
      </c>
      <c r="P1675" s="73">
        <f t="shared" si="216"/>
        <v>72012800</v>
      </c>
      <c r="Q1675" s="73"/>
      <c r="R1675" s="73">
        <v>0</v>
      </c>
      <c r="S1675" s="75">
        <f t="shared" si="218"/>
        <v>72012800</v>
      </c>
      <c r="T1675" s="77">
        <v>0</v>
      </c>
      <c r="U1675" s="66">
        <v>40500</v>
      </c>
      <c r="V1675" s="79"/>
      <c r="W1675" s="66" t="s">
        <v>1606</v>
      </c>
      <c r="X1675" s="24" t="s">
        <v>1607</v>
      </c>
      <c r="Y1675" s="62"/>
      <c r="Z1675" s="169" t="s">
        <v>1435</v>
      </c>
      <c r="AA1675" s="166" t="s">
        <v>2115</v>
      </c>
      <c r="AB1675" s="152"/>
      <c r="AC1675" s="153"/>
      <c r="AD1675" s="154"/>
      <c r="AE1675" s="153"/>
      <c r="AF1675" s="153"/>
      <c r="AG1675" s="153"/>
      <c r="AH1675" s="153"/>
      <c r="AI1675" s="153"/>
      <c r="AJ1675" s="153"/>
      <c r="AK1675" s="153"/>
      <c r="AL1675" s="153"/>
      <c r="AM1675" s="153"/>
      <c r="AN1675" s="153"/>
      <c r="AO1675" s="153"/>
      <c r="AP1675" s="153"/>
      <c r="AQ1675" s="153"/>
      <c r="AR1675" s="153"/>
      <c r="AS1675" s="153"/>
      <c r="AT1675" s="153"/>
      <c r="AU1675" s="153"/>
      <c r="AV1675" s="153"/>
      <c r="AW1675" s="153"/>
      <c r="AX1675" s="153"/>
      <c r="AY1675" s="153"/>
      <c r="AZ1675" s="153"/>
      <c r="BA1675" s="153"/>
      <c r="BB1675" s="153"/>
      <c r="BC1675" s="153"/>
      <c r="BD1675" s="153"/>
      <c r="BE1675" s="153"/>
      <c r="BF1675" s="153"/>
      <c r="BG1675" s="153"/>
      <c r="BH1675" s="153"/>
      <c r="BI1675" s="153"/>
      <c r="BJ1675" s="153"/>
      <c r="BK1675" s="153"/>
      <c r="BL1675" s="153"/>
      <c r="BM1675" s="153"/>
      <c r="BN1675" s="153"/>
      <c r="BO1675" s="153"/>
      <c r="BP1675" s="153"/>
      <c r="BQ1675" s="153"/>
      <c r="BR1675" s="153"/>
      <c r="BS1675" s="153"/>
      <c r="BT1675" s="153"/>
      <c r="BU1675" s="153"/>
      <c r="BV1675" s="153"/>
      <c r="BW1675" s="153"/>
      <c r="BX1675" s="153"/>
      <c r="BY1675" s="153"/>
      <c r="BZ1675" s="153"/>
      <c r="CA1675" s="153"/>
      <c r="CB1675" s="153"/>
      <c r="CC1675" s="153"/>
      <c r="CD1675" s="155"/>
      <c r="CE1675" s="156"/>
      <c r="CF1675" s="155"/>
      <c r="CG1675" s="156"/>
      <c r="CH1675" s="155"/>
      <c r="CI1675" s="156"/>
      <c r="CJ1675" s="157">
        <f t="shared" si="217"/>
        <v>0</v>
      </c>
      <c r="CK1675" s="158">
        <v>80000</v>
      </c>
      <c r="CL1675" s="159">
        <f>80000*900.16</f>
        <v>72012800</v>
      </c>
      <c r="CM1675" s="160"/>
      <c r="CN1675" s="161"/>
      <c r="CO1675" s="162"/>
      <c r="CP1675" s="161"/>
      <c r="CQ1675" s="158"/>
      <c r="CR1675" s="159"/>
      <c r="CS1675" s="68"/>
      <c r="CT1675" s="163"/>
      <c r="EC1675" s="366" t="str">
        <f t="shared" si="213"/>
        <v>NACION_NACION</v>
      </c>
      <c r="ED1675" s="367"/>
      <c r="EE1675" s="367"/>
      <c r="EF1675" s="368"/>
      <c r="EG1675" s="367"/>
      <c r="EH1675" s="367"/>
      <c r="EI1675" s="367"/>
    </row>
    <row r="1676" spans="1:139" s="164" customFormat="1" ht="36">
      <c r="A1676" s="228">
        <v>40494</v>
      </c>
      <c r="B1676" s="205" t="s">
        <v>1824</v>
      </c>
      <c r="C1676" s="205" t="s">
        <v>1255</v>
      </c>
      <c r="D1676" s="207" t="s">
        <v>1201</v>
      </c>
      <c r="E1676" s="323" t="s">
        <v>3939</v>
      </c>
      <c r="F1676" s="323"/>
      <c r="G1676" s="204"/>
      <c r="H1676" s="151"/>
      <c r="I1676" s="151"/>
      <c r="J1676" s="151"/>
      <c r="K1676" s="151"/>
      <c r="L1676" s="1"/>
      <c r="M1676" s="73">
        <f t="shared" si="215"/>
        <v>0</v>
      </c>
      <c r="N1676" s="73">
        <f t="shared" si="212"/>
        <v>0</v>
      </c>
      <c r="O1676" s="73">
        <f t="shared" si="214"/>
        <v>0</v>
      </c>
      <c r="P1676" s="73">
        <f t="shared" si="216"/>
        <v>0</v>
      </c>
      <c r="Q1676" s="73"/>
      <c r="R1676" s="73">
        <v>0</v>
      </c>
      <c r="S1676" s="75">
        <f t="shared" si="218"/>
        <v>0</v>
      </c>
      <c r="T1676" s="77">
        <v>0</v>
      </c>
      <c r="U1676" s="66">
        <v>40497</v>
      </c>
      <c r="V1676" s="79"/>
      <c r="W1676" s="66" t="s">
        <v>1585</v>
      </c>
      <c r="X1676" s="24" t="s">
        <v>1586</v>
      </c>
      <c r="Y1676" s="62"/>
      <c r="Z1676" s="169" t="s">
        <v>894</v>
      </c>
      <c r="AA1676" s="166" t="s">
        <v>2838</v>
      </c>
      <c r="AB1676" s="152"/>
      <c r="AC1676" s="153"/>
      <c r="AD1676" s="154"/>
      <c r="AE1676" s="153"/>
      <c r="AF1676" s="153"/>
      <c r="AG1676" s="153"/>
      <c r="AH1676" s="153"/>
      <c r="AI1676" s="153"/>
      <c r="AJ1676" s="153"/>
      <c r="AK1676" s="153"/>
      <c r="AL1676" s="153"/>
      <c r="AM1676" s="153"/>
      <c r="AN1676" s="153"/>
      <c r="AO1676" s="153"/>
      <c r="AP1676" s="153"/>
      <c r="AQ1676" s="153"/>
      <c r="AR1676" s="153"/>
      <c r="AS1676" s="153"/>
      <c r="AT1676" s="153"/>
      <c r="AU1676" s="153"/>
      <c r="AV1676" s="153"/>
      <c r="AW1676" s="153"/>
      <c r="AX1676" s="153"/>
      <c r="AY1676" s="153"/>
      <c r="AZ1676" s="153"/>
      <c r="BA1676" s="153"/>
      <c r="BB1676" s="153"/>
      <c r="BC1676" s="153"/>
      <c r="BD1676" s="153"/>
      <c r="BE1676" s="153"/>
      <c r="BF1676" s="153"/>
      <c r="BG1676" s="153"/>
      <c r="BH1676" s="153"/>
      <c r="BI1676" s="153"/>
      <c r="BJ1676" s="153"/>
      <c r="BK1676" s="153"/>
      <c r="BL1676" s="153"/>
      <c r="BM1676" s="153"/>
      <c r="BN1676" s="153"/>
      <c r="BO1676" s="153"/>
      <c r="BP1676" s="153"/>
      <c r="BQ1676" s="153"/>
      <c r="BR1676" s="153"/>
      <c r="BS1676" s="153"/>
      <c r="BT1676" s="153"/>
      <c r="BU1676" s="153"/>
      <c r="BV1676" s="153"/>
      <c r="BW1676" s="153"/>
      <c r="BX1676" s="153"/>
      <c r="BY1676" s="153"/>
      <c r="BZ1676" s="153"/>
      <c r="CA1676" s="153"/>
      <c r="CB1676" s="153"/>
      <c r="CC1676" s="153"/>
      <c r="CD1676" s="155"/>
      <c r="CE1676" s="156"/>
      <c r="CF1676" s="155"/>
      <c r="CG1676" s="156"/>
      <c r="CH1676" s="155"/>
      <c r="CI1676" s="156"/>
      <c r="CJ1676" s="157">
        <f t="shared" si="217"/>
        <v>0</v>
      </c>
      <c r="CK1676" s="158"/>
      <c r="CL1676" s="159"/>
      <c r="CM1676" s="160"/>
      <c r="CN1676" s="161"/>
      <c r="CO1676" s="162"/>
      <c r="CP1676" s="161"/>
      <c r="CQ1676" s="158"/>
      <c r="CR1676" s="159"/>
      <c r="CS1676" s="68"/>
      <c r="CT1676" s="163"/>
      <c r="EC1676" s="366" t="str">
        <f t="shared" si="213"/>
        <v>NARIÑO_BARBACOAS</v>
      </c>
      <c r="ED1676" s="367"/>
      <c r="EE1676" s="367"/>
      <c r="EF1676" s="368"/>
      <c r="EG1676" s="367"/>
      <c r="EH1676" s="367"/>
      <c r="EI1676" s="367"/>
    </row>
    <row r="1677" spans="1:139" s="164" customFormat="1" ht="51">
      <c r="A1677" s="228">
        <v>40494</v>
      </c>
      <c r="B1677" s="205" t="s">
        <v>965</v>
      </c>
      <c r="C1677" s="205" t="s">
        <v>2840</v>
      </c>
      <c r="D1677" s="206" t="s">
        <v>1878</v>
      </c>
      <c r="E1677" s="320" t="s">
        <v>4026</v>
      </c>
      <c r="F1677" s="320"/>
      <c r="G1677" s="204"/>
      <c r="H1677" s="151"/>
      <c r="I1677" s="151"/>
      <c r="J1677" s="151">
        <v>519</v>
      </c>
      <c r="K1677" s="151">
        <v>124</v>
      </c>
      <c r="L1677" s="1"/>
      <c r="M1677" s="73">
        <f t="shared" si="215"/>
        <v>5550000</v>
      </c>
      <c r="N1677" s="73">
        <f t="shared" si="212"/>
        <v>0</v>
      </c>
      <c r="O1677" s="73">
        <f t="shared" si="214"/>
        <v>0</v>
      </c>
      <c r="P1677" s="73">
        <f t="shared" si="216"/>
        <v>0</v>
      </c>
      <c r="Q1677" s="73"/>
      <c r="R1677" s="73">
        <v>0</v>
      </c>
      <c r="S1677" s="75">
        <f t="shared" si="218"/>
        <v>5550000</v>
      </c>
      <c r="T1677" s="77">
        <v>0</v>
      </c>
      <c r="U1677" s="66">
        <v>40497</v>
      </c>
      <c r="V1677" s="79"/>
      <c r="W1677" s="66" t="s">
        <v>1606</v>
      </c>
      <c r="X1677" s="24" t="s">
        <v>1607</v>
      </c>
      <c r="Y1677" s="62"/>
      <c r="Z1677" s="169" t="s">
        <v>894</v>
      </c>
      <c r="AA1677" s="166" t="s">
        <v>2841</v>
      </c>
      <c r="AB1677" s="152"/>
      <c r="AC1677" s="153"/>
      <c r="AD1677" s="154"/>
      <c r="AE1677" s="153"/>
      <c r="AF1677" s="153"/>
      <c r="AG1677" s="153"/>
      <c r="AH1677" s="153"/>
      <c r="AI1677" s="153"/>
      <c r="AJ1677" s="153"/>
      <c r="AK1677" s="153"/>
      <c r="AL1677" s="153"/>
      <c r="AM1677" s="153"/>
      <c r="AN1677" s="153"/>
      <c r="AO1677" s="153"/>
      <c r="AP1677" s="153"/>
      <c r="AQ1677" s="153"/>
      <c r="AR1677" s="153"/>
      <c r="AS1677" s="153"/>
      <c r="AT1677" s="153"/>
      <c r="AU1677" s="153"/>
      <c r="AV1677" s="153"/>
      <c r="AW1677" s="153"/>
      <c r="AX1677" s="153"/>
      <c r="AY1677" s="153"/>
      <c r="AZ1677" s="153"/>
      <c r="BA1677" s="153"/>
      <c r="BB1677" s="153"/>
      <c r="BC1677" s="153"/>
      <c r="BD1677" s="153"/>
      <c r="BE1677" s="153"/>
      <c r="BF1677" s="153"/>
      <c r="BG1677" s="153"/>
      <c r="BH1677" s="153"/>
      <c r="BI1677" s="153"/>
      <c r="BJ1677" s="153"/>
      <c r="BK1677" s="153"/>
      <c r="BL1677" s="153"/>
      <c r="BM1677" s="153"/>
      <c r="BN1677" s="153"/>
      <c r="BO1677" s="153"/>
      <c r="BP1677" s="153"/>
      <c r="BQ1677" s="153"/>
      <c r="BR1677" s="153"/>
      <c r="BS1677" s="153"/>
      <c r="BT1677" s="153"/>
      <c r="BU1677" s="153"/>
      <c r="BV1677" s="153"/>
      <c r="BW1677" s="153"/>
      <c r="BX1677" s="153"/>
      <c r="BY1677" s="153"/>
      <c r="BZ1677" s="153"/>
      <c r="CA1677" s="153"/>
      <c r="CB1677" s="153"/>
      <c r="CC1677" s="153"/>
      <c r="CD1677" s="155">
        <v>150</v>
      </c>
      <c r="CE1677" s="156">
        <f>150*37000</f>
        <v>5550000</v>
      </c>
      <c r="CF1677" s="155"/>
      <c r="CG1677" s="156"/>
      <c r="CH1677" s="155"/>
      <c r="CI1677" s="156"/>
      <c r="CJ1677" s="157">
        <f t="shared" si="217"/>
        <v>5550000</v>
      </c>
      <c r="CK1677" s="158"/>
      <c r="CL1677" s="159"/>
      <c r="CM1677" s="160"/>
      <c r="CN1677" s="161"/>
      <c r="CO1677" s="162"/>
      <c r="CP1677" s="161"/>
      <c r="CQ1677" s="158"/>
      <c r="CR1677" s="159"/>
      <c r="CS1677" s="68"/>
      <c r="CT1677" s="163"/>
      <c r="EC1677" s="366" t="str">
        <f t="shared" si="213"/>
        <v>NORTE DE SANTANDER_RAGONVALIA</v>
      </c>
      <c r="ED1677" s="367"/>
      <c r="EE1677" s="367"/>
      <c r="EF1677" s="368"/>
      <c r="EG1677" s="367"/>
      <c r="EH1677" s="367"/>
      <c r="EI1677" s="367"/>
    </row>
    <row r="1678" spans="1:139" s="164" customFormat="1" ht="38.25">
      <c r="A1678" s="228">
        <v>40494</v>
      </c>
      <c r="B1678" s="102" t="s">
        <v>1609</v>
      </c>
      <c r="C1678" s="205" t="s">
        <v>1838</v>
      </c>
      <c r="D1678" s="206" t="s">
        <v>1878</v>
      </c>
      <c r="E1678" s="320" t="s">
        <v>4054</v>
      </c>
      <c r="F1678" s="320"/>
      <c r="G1678" s="204"/>
      <c r="H1678" s="151"/>
      <c r="I1678" s="151"/>
      <c r="J1678" s="151">
        <v>10</v>
      </c>
      <c r="K1678" s="151">
        <v>2</v>
      </c>
      <c r="L1678" s="1"/>
      <c r="M1678" s="73">
        <f t="shared" si="215"/>
        <v>0</v>
      </c>
      <c r="N1678" s="73">
        <f t="shared" ref="N1678:N1741" si="219">CN1678</f>
        <v>0</v>
      </c>
      <c r="O1678" s="73">
        <f t="shared" si="214"/>
        <v>0</v>
      </c>
      <c r="P1678" s="73">
        <f t="shared" si="216"/>
        <v>0</v>
      </c>
      <c r="Q1678" s="73"/>
      <c r="R1678" s="73">
        <v>0</v>
      </c>
      <c r="S1678" s="75">
        <f t="shared" si="218"/>
        <v>0</v>
      </c>
      <c r="T1678" s="77">
        <v>0</v>
      </c>
      <c r="U1678" s="66">
        <v>40497</v>
      </c>
      <c r="V1678" s="79"/>
      <c r="W1678" s="66" t="s">
        <v>1585</v>
      </c>
      <c r="X1678" s="24" t="s">
        <v>1586</v>
      </c>
      <c r="Y1678" s="62"/>
      <c r="Z1678" s="169" t="s">
        <v>894</v>
      </c>
      <c r="AA1678" s="166" t="s">
        <v>2850</v>
      </c>
      <c r="AB1678" s="152"/>
      <c r="AC1678" s="153"/>
      <c r="AD1678" s="154"/>
      <c r="AE1678" s="153"/>
      <c r="AF1678" s="153"/>
      <c r="AG1678" s="153"/>
      <c r="AH1678" s="153"/>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c r="BI1678" s="153"/>
      <c r="BJ1678" s="153"/>
      <c r="BK1678" s="153"/>
      <c r="BL1678" s="153"/>
      <c r="BM1678" s="153"/>
      <c r="BN1678" s="153"/>
      <c r="BO1678" s="153"/>
      <c r="BP1678" s="153"/>
      <c r="BQ1678" s="153"/>
      <c r="BR1678" s="153"/>
      <c r="BS1678" s="153"/>
      <c r="BT1678" s="153"/>
      <c r="BU1678" s="153"/>
      <c r="BV1678" s="153"/>
      <c r="BW1678" s="153"/>
      <c r="BX1678" s="153"/>
      <c r="BY1678" s="153"/>
      <c r="BZ1678" s="153"/>
      <c r="CA1678" s="153"/>
      <c r="CB1678" s="153"/>
      <c r="CC1678" s="153"/>
      <c r="CD1678" s="155"/>
      <c r="CE1678" s="156"/>
      <c r="CF1678" s="155"/>
      <c r="CG1678" s="156"/>
      <c r="CH1678" s="155"/>
      <c r="CI1678" s="156"/>
      <c r="CJ1678" s="157">
        <f t="shared" si="217"/>
        <v>0</v>
      </c>
      <c r="CK1678" s="158"/>
      <c r="CL1678" s="159"/>
      <c r="CM1678" s="160"/>
      <c r="CN1678" s="161"/>
      <c r="CO1678" s="162"/>
      <c r="CP1678" s="161"/>
      <c r="CQ1678" s="158"/>
      <c r="CR1678" s="159"/>
      <c r="CS1678" s="68"/>
      <c r="CT1678" s="163"/>
      <c r="EC1678" s="366" t="str">
        <f t="shared" si="213"/>
        <v>RISARALDA_DOSQUEBRADAS</v>
      </c>
      <c r="ED1678" s="367"/>
      <c r="EE1678" s="367"/>
      <c r="EF1678" s="368"/>
      <c r="EG1678" s="367"/>
      <c r="EH1678" s="367"/>
      <c r="EI1678" s="367"/>
    </row>
    <row r="1679" spans="1:139" s="164" customFormat="1" ht="25.5">
      <c r="A1679" s="228">
        <v>40494</v>
      </c>
      <c r="B1679" s="102" t="s">
        <v>1609</v>
      </c>
      <c r="C1679" s="205" t="s">
        <v>2373</v>
      </c>
      <c r="D1679" s="206" t="s">
        <v>1878</v>
      </c>
      <c r="E1679" s="320" t="s">
        <v>4059</v>
      </c>
      <c r="F1679" s="320"/>
      <c r="G1679" s="204"/>
      <c r="H1679" s="151"/>
      <c r="I1679" s="151"/>
      <c r="J1679" s="151">
        <v>15</v>
      </c>
      <c r="K1679" s="151">
        <v>3</v>
      </c>
      <c r="L1679" s="1"/>
      <c r="M1679" s="73">
        <f t="shared" si="215"/>
        <v>0</v>
      </c>
      <c r="N1679" s="73">
        <f t="shared" si="219"/>
        <v>0</v>
      </c>
      <c r="O1679" s="73">
        <f t="shared" si="214"/>
        <v>0</v>
      </c>
      <c r="P1679" s="73">
        <f t="shared" si="216"/>
        <v>0</v>
      </c>
      <c r="Q1679" s="73"/>
      <c r="R1679" s="73">
        <v>0</v>
      </c>
      <c r="S1679" s="75">
        <f t="shared" si="218"/>
        <v>0</v>
      </c>
      <c r="T1679" s="77">
        <v>0</v>
      </c>
      <c r="U1679" s="66">
        <v>40497</v>
      </c>
      <c r="V1679" s="79"/>
      <c r="W1679" s="66" t="s">
        <v>1585</v>
      </c>
      <c r="X1679" s="24" t="s">
        <v>1586</v>
      </c>
      <c r="Y1679" s="62"/>
      <c r="Z1679" s="169" t="s">
        <v>894</v>
      </c>
      <c r="AA1679" s="166" t="s">
        <v>2851</v>
      </c>
      <c r="AB1679" s="152"/>
      <c r="AC1679" s="153"/>
      <c r="AD1679" s="154"/>
      <c r="AE1679" s="153"/>
      <c r="AF1679" s="153"/>
      <c r="AG1679" s="153"/>
      <c r="AH1679" s="153"/>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c r="BI1679" s="153"/>
      <c r="BJ1679" s="153"/>
      <c r="BK1679" s="153"/>
      <c r="BL1679" s="153"/>
      <c r="BM1679" s="153"/>
      <c r="BN1679" s="153"/>
      <c r="BO1679" s="153"/>
      <c r="BP1679" s="153"/>
      <c r="BQ1679" s="153"/>
      <c r="BR1679" s="153"/>
      <c r="BS1679" s="153"/>
      <c r="BT1679" s="153"/>
      <c r="BU1679" s="153"/>
      <c r="BV1679" s="153"/>
      <c r="BW1679" s="153"/>
      <c r="BX1679" s="153"/>
      <c r="BY1679" s="153"/>
      <c r="BZ1679" s="153"/>
      <c r="CA1679" s="153"/>
      <c r="CB1679" s="153"/>
      <c r="CC1679" s="153"/>
      <c r="CD1679" s="155"/>
      <c r="CE1679" s="156"/>
      <c r="CF1679" s="155"/>
      <c r="CG1679" s="156"/>
      <c r="CH1679" s="155"/>
      <c r="CI1679" s="156"/>
      <c r="CJ1679" s="157">
        <f t="shared" si="217"/>
        <v>0</v>
      </c>
      <c r="CK1679" s="158"/>
      <c r="CL1679" s="159"/>
      <c r="CM1679" s="160"/>
      <c r="CN1679" s="161"/>
      <c r="CO1679" s="162"/>
      <c r="CP1679" s="161"/>
      <c r="CQ1679" s="158"/>
      <c r="CR1679" s="159"/>
      <c r="CS1679" s="68"/>
      <c r="CT1679" s="163"/>
      <c r="EC1679" s="366" t="str">
        <f t="shared" si="213"/>
        <v>RISARALDA_MISTRATO</v>
      </c>
      <c r="ED1679" s="367"/>
      <c r="EE1679" s="367"/>
      <c r="EF1679" s="368"/>
      <c r="EG1679" s="367"/>
      <c r="EH1679" s="367"/>
      <c r="EI1679" s="367"/>
    </row>
    <row r="1680" spans="1:139" s="164" customFormat="1" ht="25.5">
      <c r="A1680" s="228">
        <v>40494</v>
      </c>
      <c r="B1680" s="102" t="s">
        <v>1609</v>
      </c>
      <c r="C1680" s="205" t="s">
        <v>2196</v>
      </c>
      <c r="D1680" s="206" t="s">
        <v>1878</v>
      </c>
      <c r="E1680" s="320" t="s">
        <v>4061</v>
      </c>
      <c r="F1680" s="320"/>
      <c r="G1680" s="204"/>
      <c r="H1680" s="151"/>
      <c r="I1680" s="151"/>
      <c r="J1680" s="151">
        <v>10</v>
      </c>
      <c r="K1680" s="151">
        <v>2</v>
      </c>
      <c r="L1680" s="1"/>
      <c r="M1680" s="73">
        <f t="shared" si="215"/>
        <v>0</v>
      </c>
      <c r="N1680" s="73">
        <f t="shared" si="219"/>
        <v>0</v>
      </c>
      <c r="O1680" s="73">
        <f t="shared" si="214"/>
        <v>0</v>
      </c>
      <c r="P1680" s="73">
        <f t="shared" si="216"/>
        <v>0</v>
      </c>
      <c r="Q1680" s="73"/>
      <c r="R1680" s="73">
        <v>0</v>
      </c>
      <c r="S1680" s="75">
        <f t="shared" si="218"/>
        <v>0</v>
      </c>
      <c r="T1680" s="77">
        <v>0</v>
      </c>
      <c r="U1680" s="66">
        <v>40497</v>
      </c>
      <c r="V1680" s="79"/>
      <c r="W1680" s="66" t="s">
        <v>1585</v>
      </c>
      <c r="X1680" s="24" t="s">
        <v>1586</v>
      </c>
      <c r="Y1680" s="62"/>
      <c r="Z1680" s="169" t="s">
        <v>894</v>
      </c>
      <c r="AA1680" s="166" t="s">
        <v>2849</v>
      </c>
      <c r="AB1680" s="152"/>
      <c r="AC1680" s="153"/>
      <c r="AD1680" s="154"/>
      <c r="AE1680" s="153"/>
      <c r="AF1680" s="153"/>
      <c r="AG1680" s="153"/>
      <c r="AH1680" s="153"/>
      <c r="AI1680" s="153"/>
      <c r="AJ1680" s="153"/>
      <c r="AK1680" s="153"/>
      <c r="AL1680" s="153"/>
      <c r="AM1680" s="153"/>
      <c r="AN1680" s="153"/>
      <c r="AO1680" s="153"/>
      <c r="AP1680" s="153"/>
      <c r="AQ1680" s="153"/>
      <c r="AR1680" s="153"/>
      <c r="AS1680" s="153"/>
      <c r="AT1680" s="153"/>
      <c r="AU1680" s="153"/>
      <c r="AV1680" s="153"/>
      <c r="AW1680" s="153"/>
      <c r="AX1680" s="153"/>
      <c r="AY1680" s="153"/>
      <c r="AZ1680" s="153"/>
      <c r="BA1680" s="153"/>
      <c r="BB1680" s="153"/>
      <c r="BC1680" s="153"/>
      <c r="BD1680" s="153"/>
      <c r="BE1680" s="153"/>
      <c r="BF1680" s="153"/>
      <c r="BG1680" s="153"/>
      <c r="BH1680" s="153"/>
      <c r="BI1680" s="153"/>
      <c r="BJ1680" s="153"/>
      <c r="BK1680" s="153"/>
      <c r="BL1680" s="153"/>
      <c r="BM1680" s="153"/>
      <c r="BN1680" s="153"/>
      <c r="BO1680" s="153"/>
      <c r="BP1680" s="153"/>
      <c r="BQ1680" s="153"/>
      <c r="BR1680" s="153"/>
      <c r="BS1680" s="153"/>
      <c r="BT1680" s="153"/>
      <c r="BU1680" s="153"/>
      <c r="BV1680" s="153"/>
      <c r="BW1680" s="153"/>
      <c r="BX1680" s="153"/>
      <c r="BY1680" s="153"/>
      <c r="BZ1680" s="153"/>
      <c r="CA1680" s="153"/>
      <c r="CB1680" s="153"/>
      <c r="CC1680" s="153"/>
      <c r="CD1680" s="155"/>
      <c r="CE1680" s="156"/>
      <c r="CF1680" s="155"/>
      <c r="CG1680" s="156"/>
      <c r="CH1680" s="155"/>
      <c r="CI1680" s="156"/>
      <c r="CJ1680" s="157">
        <f t="shared" si="217"/>
        <v>0</v>
      </c>
      <c r="CK1680" s="158"/>
      <c r="CL1680" s="159"/>
      <c r="CM1680" s="160"/>
      <c r="CN1680" s="161"/>
      <c r="CO1680" s="162"/>
      <c r="CP1680" s="161"/>
      <c r="CQ1680" s="158"/>
      <c r="CR1680" s="159"/>
      <c r="CS1680" s="68"/>
      <c r="CT1680" s="163"/>
      <c r="EC1680" s="366" t="str">
        <f t="shared" si="213"/>
        <v>RISARALDA_QUINCHIA</v>
      </c>
      <c r="ED1680" s="367"/>
      <c r="EE1680" s="367"/>
      <c r="EF1680" s="368"/>
      <c r="EG1680" s="367"/>
      <c r="EH1680" s="367"/>
      <c r="EI1680" s="367"/>
    </row>
    <row r="1681" spans="1:139" s="164" customFormat="1" ht="38.25">
      <c r="A1681" s="228">
        <v>40494</v>
      </c>
      <c r="B1681" s="102" t="s">
        <v>1609</v>
      </c>
      <c r="C1681" s="205" t="s">
        <v>1538</v>
      </c>
      <c r="D1681" s="206" t="s">
        <v>1878</v>
      </c>
      <c r="E1681" s="320" t="s">
        <v>4063</v>
      </c>
      <c r="F1681" s="320"/>
      <c r="G1681" s="204"/>
      <c r="H1681" s="151"/>
      <c r="I1681" s="151"/>
      <c r="J1681" s="151">
        <f>35*5</f>
        <v>175</v>
      </c>
      <c r="K1681" s="151">
        <f>27+8</f>
        <v>35</v>
      </c>
      <c r="L1681" s="1"/>
      <c r="M1681" s="73">
        <f t="shared" si="215"/>
        <v>0</v>
      </c>
      <c r="N1681" s="73">
        <f t="shared" si="219"/>
        <v>0</v>
      </c>
      <c r="O1681" s="73">
        <f t="shared" si="214"/>
        <v>0</v>
      </c>
      <c r="P1681" s="73">
        <f t="shared" si="216"/>
        <v>0</v>
      </c>
      <c r="Q1681" s="73"/>
      <c r="R1681" s="73">
        <v>0</v>
      </c>
      <c r="S1681" s="75">
        <f t="shared" si="218"/>
        <v>0</v>
      </c>
      <c r="T1681" s="77">
        <v>0</v>
      </c>
      <c r="U1681" s="66">
        <v>40497</v>
      </c>
      <c r="V1681" s="79"/>
      <c r="W1681" s="66" t="s">
        <v>1585</v>
      </c>
      <c r="X1681" s="24" t="s">
        <v>1586</v>
      </c>
      <c r="Y1681" s="62"/>
      <c r="Z1681" s="169" t="s">
        <v>894</v>
      </c>
      <c r="AA1681" s="166" t="s">
        <v>2844</v>
      </c>
      <c r="AB1681" s="152"/>
      <c r="AC1681" s="153"/>
      <c r="AD1681" s="154"/>
      <c r="AE1681" s="153"/>
      <c r="AF1681" s="153"/>
      <c r="AG1681" s="153"/>
      <c r="AH1681" s="153"/>
      <c r="AI1681" s="153"/>
      <c r="AJ1681" s="153"/>
      <c r="AK1681" s="153"/>
      <c r="AL1681" s="153"/>
      <c r="AM1681" s="153"/>
      <c r="AN1681" s="153"/>
      <c r="AO1681" s="153"/>
      <c r="AP1681" s="153"/>
      <c r="AQ1681" s="153"/>
      <c r="AR1681" s="153"/>
      <c r="AS1681" s="153"/>
      <c r="AT1681" s="153"/>
      <c r="AU1681" s="153"/>
      <c r="AV1681" s="153"/>
      <c r="AW1681" s="153"/>
      <c r="AX1681" s="153"/>
      <c r="AY1681" s="153"/>
      <c r="AZ1681" s="153"/>
      <c r="BA1681" s="153"/>
      <c r="BB1681" s="153"/>
      <c r="BC1681" s="153"/>
      <c r="BD1681" s="153"/>
      <c r="BE1681" s="153"/>
      <c r="BF1681" s="153"/>
      <c r="BG1681" s="153"/>
      <c r="BH1681" s="153"/>
      <c r="BI1681" s="153"/>
      <c r="BJ1681" s="153"/>
      <c r="BK1681" s="153"/>
      <c r="BL1681" s="153"/>
      <c r="BM1681" s="153"/>
      <c r="BN1681" s="153"/>
      <c r="BO1681" s="153"/>
      <c r="BP1681" s="153"/>
      <c r="BQ1681" s="153"/>
      <c r="BR1681" s="153"/>
      <c r="BS1681" s="153"/>
      <c r="BT1681" s="153"/>
      <c r="BU1681" s="153"/>
      <c r="BV1681" s="153"/>
      <c r="BW1681" s="153"/>
      <c r="BX1681" s="153"/>
      <c r="BY1681" s="153"/>
      <c r="BZ1681" s="153"/>
      <c r="CA1681" s="153"/>
      <c r="CB1681" s="153"/>
      <c r="CC1681" s="153"/>
      <c r="CD1681" s="155"/>
      <c r="CE1681" s="156"/>
      <c r="CF1681" s="155"/>
      <c r="CG1681" s="156"/>
      <c r="CH1681" s="155"/>
      <c r="CI1681" s="156"/>
      <c r="CJ1681" s="157">
        <f t="shared" si="217"/>
        <v>0</v>
      </c>
      <c r="CK1681" s="158"/>
      <c r="CL1681" s="159"/>
      <c r="CM1681" s="160"/>
      <c r="CN1681" s="161"/>
      <c r="CO1681" s="162"/>
      <c r="CP1681" s="161"/>
      <c r="CQ1681" s="158"/>
      <c r="CR1681" s="159"/>
      <c r="CS1681" s="68"/>
      <c r="CT1681" s="163"/>
      <c r="EC1681" s="366" t="str">
        <f t="shared" si="213"/>
        <v>RISARALDA_SANTUARIO</v>
      </c>
      <c r="ED1681" s="367"/>
      <c r="EE1681" s="367"/>
      <c r="EF1681" s="368"/>
      <c r="EG1681" s="367"/>
      <c r="EH1681" s="367"/>
      <c r="EI1681" s="367"/>
    </row>
    <row r="1682" spans="1:139" s="164" customFormat="1" ht="25.5">
      <c r="A1682" s="228">
        <v>40495</v>
      </c>
      <c r="B1682" s="205" t="s">
        <v>1192</v>
      </c>
      <c r="C1682" s="205" t="s">
        <v>2260</v>
      </c>
      <c r="D1682" s="206" t="s">
        <v>1878</v>
      </c>
      <c r="E1682" s="320" t="s">
        <v>3517</v>
      </c>
      <c r="F1682" s="320"/>
      <c r="G1682" s="204"/>
      <c r="H1682" s="151"/>
      <c r="I1682" s="151"/>
      <c r="J1682" s="151"/>
      <c r="K1682" s="151"/>
      <c r="L1682" s="1"/>
      <c r="M1682" s="73">
        <f t="shared" si="215"/>
        <v>0</v>
      </c>
      <c r="N1682" s="73">
        <f t="shared" si="219"/>
        <v>0</v>
      </c>
      <c r="O1682" s="73">
        <f t="shared" si="214"/>
        <v>0</v>
      </c>
      <c r="P1682" s="73">
        <f t="shared" si="216"/>
        <v>0</v>
      </c>
      <c r="Q1682" s="73"/>
      <c r="R1682" s="73">
        <v>0</v>
      </c>
      <c r="S1682" s="75">
        <f t="shared" si="218"/>
        <v>0</v>
      </c>
      <c r="T1682" s="77">
        <v>0</v>
      </c>
      <c r="U1682" s="66">
        <v>40497</v>
      </c>
      <c r="V1682" s="79"/>
      <c r="W1682" s="66" t="s">
        <v>1585</v>
      </c>
      <c r="X1682" s="24" t="s">
        <v>1586</v>
      </c>
      <c r="Y1682" s="62"/>
      <c r="Z1682" s="169" t="s">
        <v>894</v>
      </c>
      <c r="AA1682" s="166" t="s">
        <v>2848</v>
      </c>
      <c r="AB1682" s="152"/>
      <c r="AC1682" s="153"/>
      <c r="AD1682" s="154"/>
      <c r="AE1682" s="153"/>
      <c r="AF1682" s="153"/>
      <c r="AG1682" s="153"/>
      <c r="AH1682" s="153"/>
      <c r="AI1682" s="153"/>
      <c r="AJ1682" s="153"/>
      <c r="AK1682" s="153"/>
      <c r="AL1682" s="153"/>
      <c r="AM1682" s="153"/>
      <c r="AN1682" s="153"/>
      <c r="AO1682" s="153"/>
      <c r="AP1682" s="153"/>
      <c r="AQ1682" s="153"/>
      <c r="AR1682" s="153"/>
      <c r="AS1682" s="153"/>
      <c r="AT1682" s="153"/>
      <c r="AU1682" s="153"/>
      <c r="AV1682" s="153"/>
      <c r="AW1682" s="153"/>
      <c r="AX1682" s="153"/>
      <c r="AY1682" s="153"/>
      <c r="AZ1682" s="153"/>
      <c r="BA1682" s="153"/>
      <c r="BB1682" s="153"/>
      <c r="BC1682" s="153"/>
      <c r="BD1682" s="153"/>
      <c r="BE1682" s="153"/>
      <c r="BF1682" s="153"/>
      <c r="BG1682" s="153"/>
      <c r="BH1682" s="153"/>
      <c r="BI1682" s="153"/>
      <c r="BJ1682" s="153"/>
      <c r="BK1682" s="153"/>
      <c r="BL1682" s="153"/>
      <c r="BM1682" s="153"/>
      <c r="BN1682" s="153"/>
      <c r="BO1682" s="153"/>
      <c r="BP1682" s="153"/>
      <c r="BQ1682" s="153"/>
      <c r="BR1682" s="153"/>
      <c r="BS1682" s="153"/>
      <c r="BT1682" s="153"/>
      <c r="BU1682" s="153"/>
      <c r="BV1682" s="153"/>
      <c r="BW1682" s="153"/>
      <c r="BX1682" s="153"/>
      <c r="BY1682" s="153"/>
      <c r="BZ1682" s="153"/>
      <c r="CA1682" s="153"/>
      <c r="CB1682" s="153"/>
      <c r="CC1682" s="153"/>
      <c r="CD1682" s="155"/>
      <c r="CE1682" s="156"/>
      <c r="CF1682" s="155"/>
      <c r="CG1682" s="156"/>
      <c r="CH1682" s="155"/>
      <c r="CI1682" s="156"/>
      <c r="CJ1682" s="157">
        <f t="shared" si="217"/>
        <v>0</v>
      </c>
      <c r="CK1682" s="158"/>
      <c r="CL1682" s="159"/>
      <c r="CM1682" s="160"/>
      <c r="CN1682" s="161"/>
      <c r="CO1682" s="162"/>
      <c r="CP1682" s="161"/>
      <c r="CQ1682" s="158"/>
      <c r="CR1682" s="159"/>
      <c r="CS1682" s="68"/>
      <c r="CT1682" s="163"/>
      <c r="EC1682" s="366" t="str">
        <f t="shared" si="213"/>
        <v>BOYACA_SOCHA</v>
      </c>
      <c r="ED1682" s="367"/>
      <c r="EE1682" s="367"/>
      <c r="EF1682" s="368"/>
      <c r="EG1682" s="367"/>
      <c r="EH1682" s="367"/>
      <c r="EI1682" s="367"/>
    </row>
    <row r="1683" spans="1:139" s="164" customFormat="1" ht="25.5">
      <c r="A1683" s="228">
        <v>40495</v>
      </c>
      <c r="B1683" s="205" t="s">
        <v>1192</v>
      </c>
      <c r="C1683" s="205" t="s">
        <v>2231</v>
      </c>
      <c r="D1683" s="206" t="s">
        <v>1878</v>
      </c>
      <c r="E1683" s="320" t="s">
        <v>3518</v>
      </c>
      <c r="F1683" s="320"/>
      <c r="G1683" s="204"/>
      <c r="H1683" s="151"/>
      <c r="I1683" s="151"/>
      <c r="J1683" s="151"/>
      <c r="K1683" s="151"/>
      <c r="L1683" s="1"/>
      <c r="M1683" s="73">
        <f t="shared" si="215"/>
        <v>0</v>
      </c>
      <c r="N1683" s="73">
        <f t="shared" si="219"/>
        <v>0</v>
      </c>
      <c r="O1683" s="73">
        <f t="shared" si="214"/>
        <v>0</v>
      </c>
      <c r="P1683" s="73">
        <f t="shared" si="216"/>
        <v>0</v>
      </c>
      <c r="Q1683" s="73"/>
      <c r="R1683" s="73">
        <v>0</v>
      </c>
      <c r="S1683" s="75">
        <f t="shared" si="218"/>
        <v>0</v>
      </c>
      <c r="T1683" s="77">
        <v>0</v>
      </c>
      <c r="U1683" s="66">
        <v>40497</v>
      </c>
      <c r="V1683" s="79"/>
      <c r="W1683" s="66" t="s">
        <v>1585</v>
      </c>
      <c r="X1683" s="24" t="s">
        <v>1586</v>
      </c>
      <c r="Y1683" s="62"/>
      <c r="Z1683" s="169" t="s">
        <v>894</v>
      </c>
      <c r="AA1683" s="166" t="s">
        <v>2847</v>
      </c>
      <c r="AB1683" s="152"/>
      <c r="AC1683" s="153"/>
      <c r="AD1683" s="154"/>
      <c r="AE1683" s="153"/>
      <c r="AF1683" s="153"/>
      <c r="AG1683" s="153"/>
      <c r="AH1683" s="153"/>
      <c r="AI1683" s="153"/>
      <c r="AJ1683" s="153"/>
      <c r="AK1683" s="153"/>
      <c r="AL1683" s="153"/>
      <c r="AM1683" s="153"/>
      <c r="AN1683" s="153"/>
      <c r="AO1683" s="153"/>
      <c r="AP1683" s="153"/>
      <c r="AQ1683" s="153"/>
      <c r="AR1683" s="153"/>
      <c r="AS1683" s="153"/>
      <c r="AT1683" s="153"/>
      <c r="AU1683" s="153"/>
      <c r="AV1683" s="153"/>
      <c r="AW1683" s="153"/>
      <c r="AX1683" s="153"/>
      <c r="AY1683" s="153"/>
      <c r="AZ1683" s="153"/>
      <c r="BA1683" s="153"/>
      <c r="BB1683" s="153"/>
      <c r="BC1683" s="153"/>
      <c r="BD1683" s="153"/>
      <c r="BE1683" s="153"/>
      <c r="BF1683" s="153"/>
      <c r="BG1683" s="153"/>
      <c r="BH1683" s="153"/>
      <c r="BI1683" s="153"/>
      <c r="BJ1683" s="153"/>
      <c r="BK1683" s="153"/>
      <c r="BL1683" s="153"/>
      <c r="BM1683" s="153"/>
      <c r="BN1683" s="153"/>
      <c r="BO1683" s="153"/>
      <c r="BP1683" s="153"/>
      <c r="BQ1683" s="153"/>
      <c r="BR1683" s="153"/>
      <c r="BS1683" s="153"/>
      <c r="BT1683" s="153"/>
      <c r="BU1683" s="153"/>
      <c r="BV1683" s="153"/>
      <c r="BW1683" s="153"/>
      <c r="BX1683" s="153"/>
      <c r="BY1683" s="153"/>
      <c r="BZ1683" s="153"/>
      <c r="CA1683" s="153"/>
      <c r="CB1683" s="153"/>
      <c r="CC1683" s="153"/>
      <c r="CD1683" s="155"/>
      <c r="CE1683" s="156"/>
      <c r="CF1683" s="155"/>
      <c r="CG1683" s="156"/>
      <c r="CH1683" s="155"/>
      <c r="CI1683" s="156"/>
      <c r="CJ1683" s="157">
        <f t="shared" si="217"/>
        <v>0</v>
      </c>
      <c r="CK1683" s="158"/>
      <c r="CL1683" s="159"/>
      <c r="CM1683" s="160"/>
      <c r="CN1683" s="161"/>
      <c r="CO1683" s="162"/>
      <c r="CP1683" s="161"/>
      <c r="CQ1683" s="158"/>
      <c r="CR1683" s="159"/>
      <c r="CS1683" s="68"/>
      <c r="CT1683" s="163"/>
      <c r="EC1683" s="366" t="str">
        <f t="shared" si="213"/>
        <v>BOYACA_SOGAMOSO</v>
      </c>
      <c r="ED1683" s="367"/>
      <c r="EE1683" s="367"/>
      <c r="EF1683" s="368"/>
      <c r="EG1683" s="367"/>
      <c r="EH1683" s="367"/>
      <c r="EI1683" s="367"/>
    </row>
    <row r="1684" spans="1:139" s="164" customFormat="1" ht="25.5">
      <c r="A1684" s="228">
        <v>40495</v>
      </c>
      <c r="B1684" s="205" t="s">
        <v>653</v>
      </c>
      <c r="C1684" s="205" t="s">
        <v>2821</v>
      </c>
      <c r="D1684" s="207" t="s">
        <v>1878</v>
      </c>
      <c r="E1684" s="323" t="s">
        <v>3559</v>
      </c>
      <c r="F1684" s="323"/>
      <c r="G1684" s="204"/>
      <c r="H1684" s="151"/>
      <c r="I1684" s="151"/>
      <c r="J1684" s="151">
        <f>153*5</f>
        <v>765</v>
      </c>
      <c r="K1684" s="151">
        <v>153</v>
      </c>
      <c r="L1684" s="1"/>
      <c r="M1684" s="73">
        <f t="shared" si="215"/>
        <v>0</v>
      </c>
      <c r="N1684" s="73">
        <f t="shared" si="219"/>
        <v>0</v>
      </c>
      <c r="O1684" s="73">
        <f t="shared" si="214"/>
        <v>0</v>
      </c>
      <c r="P1684" s="73">
        <f t="shared" si="216"/>
        <v>0</v>
      </c>
      <c r="Q1684" s="73"/>
      <c r="R1684" s="73">
        <v>0</v>
      </c>
      <c r="S1684" s="75">
        <f t="shared" si="218"/>
        <v>0</v>
      </c>
      <c r="T1684" s="77">
        <v>0</v>
      </c>
      <c r="U1684" s="66">
        <v>40492</v>
      </c>
      <c r="V1684" s="79"/>
      <c r="W1684" s="66" t="s">
        <v>1606</v>
      </c>
      <c r="X1684" s="24" t="s">
        <v>1607</v>
      </c>
      <c r="Y1684" s="62"/>
      <c r="Z1684" s="176" t="s">
        <v>3056</v>
      </c>
      <c r="AA1684" s="166" t="s">
        <v>843</v>
      </c>
      <c r="AB1684" s="152"/>
      <c r="AC1684" s="153"/>
      <c r="AD1684" s="154"/>
      <c r="AE1684" s="153"/>
      <c r="AF1684" s="153"/>
      <c r="AG1684" s="153"/>
      <c r="AH1684" s="153"/>
      <c r="AI1684" s="153"/>
      <c r="AJ1684" s="153"/>
      <c r="AK1684" s="153"/>
      <c r="AL1684" s="153"/>
      <c r="AM1684" s="153"/>
      <c r="AN1684" s="153"/>
      <c r="AO1684" s="153"/>
      <c r="AP1684" s="153"/>
      <c r="AQ1684" s="153"/>
      <c r="AR1684" s="153"/>
      <c r="AS1684" s="153"/>
      <c r="AT1684" s="153"/>
      <c r="AU1684" s="153"/>
      <c r="AV1684" s="153"/>
      <c r="AW1684" s="153"/>
      <c r="AX1684" s="153"/>
      <c r="AY1684" s="153"/>
      <c r="AZ1684" s="153"/>
      <c r="BA1684" s="153"/>
      <c r="BB1684" s="153"/>
      <c r="BC1684" s="153"/>
      <c r="BD1684" s="153"/>
      <c r="BE1684" s="153"/>
      <c r="BF1684" s="153"/>
      <c r="BG1684" s="153"/>
      <c r="BH1684" s="153"/>
      <c r="BI1684" s="153"/>
      <c r="BJ1684" s="153"/>
      <c r="BK1684" s="153"/>
      <c r="BL1684" s="153"/>
      <c r="BM1684" s="153"/>
      <c r="BN1684" s="153"/>
      <c r="BO1684" s="153"/>
      <c r="BP1684" s="153"/>
      <c r="BQ1684" s="153"/>
      <c r="BR1684" s="153"/>
      <c r="BS1684" s="153"/>
      <c r="BT1684" s="153"/>
      <c r="BU1684" s="153"/>
      <c r="BV1684" s="153"/>
      <c r="BW1684" s="153"/>
      <c r="BX1684" s="153"/>
      <c r="BY1684" s="153"/>
      <c r="BZ1684" s="153"/>
      <c r="CA1684" s="153"/>
      <c r="CB1684" s="153"/>
      <c r="CC1684" s="153"/>
      <c r="CD1684" s="155"/>
      <c r="CE1684" s="156"/>
      <c r="CF1684" s="155"/>
      <c r="CG1684" s="156"/>
      <c r="CH1684" s="155"/>
      <c r="CI1684" s="156"/>
      <c r="CJ1684" s="157">
        <f t="shared" si="217"/>
        <v>0</v>
      </c>
      <c r="CK1684" s="158"/>
      <c r="CL1684" s="159"/>
      <c r="CM1684" s="160"/>
      <c r="CN1684" s="161"/>
      <c r="CO1684" s="162"/>
      <c r="CP1684" s="161"/>
      <c r="CQ1684" s="158"/>
      <c r="CR1684" s="159"/>
      <c r="CS1684" s="68"/>
      <c r="CT1684" s="163"/>
      <c r="EC1684" s="366" t="str">
        <f t="shared" ref="EC1684:EC1743" si="220">B1684&amp;"_"&amp;C1684</f>
        <v>CALDAS_PALESTINA</v>
      </c>
      <c r="ED1684" s="367"/>
      <c r="EE1684" s="367"/>
      <c r="EF1684" s="368"/>
      <c r="EG1684" s="367"/>
      <c r="EH1684" s="367"/>
      <c r="EI1684" s="367"/>
    </row>
    <row r="1685" spans="1:139" s="164" customFormat="1" ht="25.5">
      <c r="A1685" s="228">
        <v>40495</v>
      </c>
      <c r="B1685" s="205" t="s">
        <v>653</v>
      </c>
      <c r="C1685" s="205" t="s">
        <v>2105</v>
      </c>
      <c r="D1685" s="206" t="s">
        <v>1878</v>
      </c>
      <c r="E1685" s="320" t="s">
        <v>3566</v>
      </c>
      <c r="F1685" s="320"/>
      <c r="G1685" s="204"/>
      <c r="H1685" s="151"/>
      <c r="I1685" s="151"/>
      <c r="J1685" s="151">
        <f>84*5</f>
        <v>420</v>
      </c>
      <c r="K1685" s="151">
        <f>64+20</f>
        <v>84</v>
      </c>
      <c r="L1685" s="1"/>
      <c r="M1685" s="73">
        <f t="shared" si="215"/>
        <v>0</v>
      </c>
      <c r="N1685" s="73">
        <f t="shared" si="219"/>
        <v>0</v>
      </c>
      <c r="O1685" s="73">
        <f t="shared" si="214"/>
        <v>0</v>
      </c>
      <c r="P1685" s="73">
        <f t="shared" si="216"/>
        <v>0</v>
      </c>
      <c r="Q1685" s="73"/>
      <c r="R1685" s="73">
        <v>0</v>
      </c>
      <c r="S1685" s="75">
        <f t="shared" si="218"/>
        <v>0</v>
      </c>
      <c r="T1685" s="77">
        <v>0</v>
      </c>
      <c r="U1685" s="66">
        <v>40492</v>
      </c>
      <c r="V1685" s="79"/>
      <c r="W1685" s="66" t="s">
        <v>1606</v>
      </c>
      <c r="X1685" s="24" t="s">
        <v>1607</v>
      </c>
      <c r="Y1685" s="62"/>
      <c r="Z1685" s="176" t="s">
        <v>3056</v>
      </c>
      <c r="AA1685" s="166" t="s">
        <v>2106</v>
      </c>
      <c r="AB1685" s="152"/>
      <c r="AC1685" s="153"/>
      <c r="AD1685" s="154"/>
      <c r="AE1685" s="153"/>
      <c r="AF1685" s="153"/>
      <c r="AG1685" s="153"/>
      <c r="AH1685" s="153"/>
      <c r="AI1685" s="153"/>
      <c r="AJ1685" s="153"/>
      <c r="AK1685" s="153"/>
      <c r="AL1685" s="153"/>
      <c r="AM1685" s="153"/>
      <c r="AN1685" s="153"/>
      <c r="AO1685" s="153"/>
      <c r="AP1685" s="153"/>
      <c r="AQ1685" s="153"/>
      <c r="AR1685" s="153"/>
      <c r="AS1685" s="153"/>
      <c r="AT1685" s="153"/>
      <c r="AU1685" s="153"/>
      <c r="AV1685" s="153"/>
      <c r="AW1685" s="153"/>
      <c r="AX1685" s="153"/>
      <c r="AY1685" s="153"/>
      <c r="AZ1685" s="153"/>
      <c r="BA1685" s="153"/>
      <c r="BB1685" s="153"/>
      <c r="BC1685" s="153"/>
      <c r="BD1685" s="153"/>
      <c r="BE1685" s="153"/>
      <c r="BF1685" s="153"/>
      <c r="BG1685" s="153"/>
      <c r="BH1685" s="153"/>
      <c r="BI1685" s="153"/>
      <c r="BJ1685" s="153"/>
      <c r="BK1685" s="153"/>
      <c r="BL1685" s="153"/>
      <c r="BM1685" s="153"/>
      <c r="BN1685" s="153"/>
      <c r="BO1685" s="153"/>
      <c r="BP1685" s="153"/>
      <c r="BQ1685" s="153"/>
      <c r="BR1685" s="153"/>
      <c r="BS1685" s="153"/>
      <c r="BT1685" s="153"/>
      <c r="BU1685" s="153"/>
      <c r="BV1685" s="153"/>
      <c r="BW1685" s="153"/>
      <c r="BX1685" s="153"/>
      <c r="BY1685" s="153"/>
      <c r="BZ1685" s="153"/>
      <c r="CA1685" s="153"/>
      <c r="CB1685" s="153"/>
      <c r="CC1685" s="153"/>
      <c r="CD1685" s="155"/>
      <c r="CE1685" s="156"/>
      <c r="CF1685" s="155"/>
      <c r="CG1685" s="156"/>
      <c r="CH1685" s="155"/>
      <c r="CI1685" s="156"/>
      <c r="CJ1685" s="157">
        <f t="shared" si="217"/>
        <v>0</v>
      </c>
      <c r="CK1685" s="158"/>
      <c r="CL1685" s="159"/>
      <c r="CM1685" s="160"/>
      <c r="CN1685" s="161"/>
      <c r="CO1685" s="162"/>
      <c r="CP1685" s="161"/>
      <c r="CQ1685" s="158"/>
      <c r="CR1685" s="159"/>
      <c r="CS1685" s="68"/>
      <c r="CT1685" s="163"/>
      <c r="EC1685" s="366" t="str">
        <f t="shared" si="220"/>
        <v>CALDAS_SUPIA</v>
      </c>
      <c r="ED1685" s="367"/>
      <c r="EE1685" s="367"/>
      <c r="EF1685" s="368"/>
      <c r="EG1685" s="367"/>
      <c r="EH1685" s="367"/>
      <c r="EI1685" s="367"/>
    </row>
    <row r="1686" spans="1:139" s="164" customFormat="1" ht="48">
      <c r="A1686" s="228">
        <v>40495</v>
      </c>
      <c r="B1686" s="205" t="s">
        <v>1604</v>
      </c>
      <c r="C1686" s="205" t="s">
        <v>2351</v>
      </c>
      <c r="D1686" s="207" t="s">
        <v>1201</v>
      </c>
      <c r="E1686" s="323" t="s">
        <v>3764</v>
      </c>
      <c r="F1686" s="323"/>
      <c r="G1686" s="204"/>
      <c r="H1686" s="151"/>
      <c r="I1686" s="151"/>
      <c r="J1686" s="151">
        <v>715</v>
      </c>
      <c r="K1686" s="151">
        <v>143</v>
      </c>
      <c r="L1686" s="1"/>
      <c r="M1686" s="73">
        <f t="shared" si="215"/>
        <v>0</v>
      </c>
      <c r="N1686" s="73">
        <f t="shared" si="219"/>
        <v>0</v>
      </c>
      <c r="O1686" s="73">
        <f t="shared" si="214"/>
        <v>0</v>
      </c>
      <c r="P1686" s="73">
        <f t="shared" si="216"/>
        <v>0</v>
      </c>
      <c r="Q1686" s="73"/>
      <c r="R1686" s="73">
        <v>0</v>
      </c>
      <c r="S1686" s="75">
        <f t="shared" si="218"/>
        <v>0</v>
      </c>
      <c r="T1686" s="77">
        <v>0</v>
      </c>
      <c r="U1686" s="66">
        <v>40497</v>
      </c>
      <c r="V1686" s="79"/>
      <c r="W1686" s="66" t="s">
        <v>1585</v>
      </c>
      <c r="X1686" s="24" t="s">
        <v>1586</v>
      </c>
      <c r="Y1686" s="62"/>
      <c r="Z1686" s="169" t="s">
        <v>894</v>
      </c>
      <c r="AA1686" s="166" t="s">
        <v>2968</v>
      </c>
      <c r="AB1686" s="152"/>
      <c r="AC1686" s="153"/>
      <c r="AD1686" s="154"/>
      <c r="AE1686" s="153"/>
      <c r="AF1686" s="153"/>
      <c r="AG1686" s="153"/>
      <c r="AH1686" s="153"/>
      <c r="AI1686" s="153"/>
      <c r="AJ1686" s="153"/>
      <c r="AK1686" s="153"/>
      <c r="AL1686" s="153"/>
      <c r="AM1686" s="153"/>
      <c r="AN1686" s="153"/>
      <c r="AO1686" s="153"/>
      <c r="AP1686" s="153"/>
      <c r="AQ1686" s="153"/>
      <c r="AR1686" s="153"/>
      <c r="AS1686" s="153"/>
      <c r="AT1686" s="153"/>
      <c r="AU1686" s="153"/>
      <c r="AV1686" s="153"/>
      <c r="AW1686" s="153"/>
      <c r="AX1686" s="153"/>
      <c r="AY1686" s="153"/>
      <c r="AZ1686" s="153"/>
      <c r="BA1686" s="153"/>
      <c r="BB1686" s="153"/>
      <c r="BC1686" s="153"/>
      <c r="BD1686" s="153"/>
      <c r="BE1686" s="153"/>
      <c r="BF1686" s="153"/>
      <c r="BG1686" s="153"/>
      <c r="BH1686" s="153"/>
      <c r="BI1686" s="153"/>
      <c r="BJ1686" s="153"/>
      <c r="BK1686" s="153"/>
      <c r="BL1686" s="153"/>
      <c r="BM1686" s="153"/>
      <c r="BN1686" s="153"/>
      <c r="BO1686" s="153"/>
      <c r="BP1686" s="153"/>
      <c r="BQ1686" s="153"/>
      <c r="BR1686" s="153"/>
      <c r="BS1686" s="153"/>
      <c r="BT1686" s="153"/>
      <c r="BU1686" s="153"/>
      <c r="BV1686" s="153"/>
      <c r="BW1686" s="153"/>
      <c r="BX1686" s="153"/>
      <c r="BY1686" s="153"/>
      <c r="BZ1686" s="153"/>
      <c r="CA1686" s="153"/>
      <c r="CB1686" s="153"/>
      <c r="CC1686" s="153"/>
      <c r="CD1686" s="155"/>
      <c r="CE1686" s="156"/>
      <c r="CF1686" s="155"/>
      <c r="CG1686" s="156"/>
      <c r="CH1686" s="155"/>
      <c r="CI1686" s="156"/>
      <c r="CJ1686" s="157">
        <f t="shared" si="217"/>
        <v>0</v>
      </c>
      <c r="CK1686" s="158"/>
      <c r="CL1686" s="159"/>
      <c r="CM1686" s="160"/>
      <c r="CN1686" s="161"/>
      <c r="CO1686" s="162"/>
      <c r="CP1686" s="161"/>
      <c r="CQ1686" s="158"/>
      <c r="CR1686" s="159"/>
      <c r="CS1686" s="68"/>
      <c r="CT1686" s="163"/>
      <c r="EC1686" s="366" t="str">
        <f t="shared" si="220"/>
        <v>CUNDINAMARCA_SOACHA</v>
      </c>
      <c r="ED1686" s="367"/>
      <c r="EE1686" s="367"/>
      <c r="EF1686" s="368"/>
      <c r="EG1686" s="367"/>
      <c r="EH1686" s="367"/>
      <c r="EI1686" s="367"/>
    </row>
    <row r="1687" spans="1:139" s="164" customFormat="1" ht="25.5">
      <c r="A1687" s="228">
        <v>40495</v>
      </c>
      <c r="B1687" s="205" t="s">
        <v>396</v>
      </c>
      <c r="C1687" s="205" t="s">
        <v>1899</v>
      </c>
      <c r="D1687" s="207" t="s">
        <v>1201</v>
      </c>
      <c r="E1687" s="323" t="s">
        <v>3905</v>
      </c>
      <c r="F1687" s="323"/>
      <c r="G1687" s="204"/>
      <c r="H1687" s="151"/>
      <c r="I1687" s="151"/>
      <c r="J1687" s="151">
        <v>10</v>
      </c>
      <c r="K1687" s="151">
        <v>2</v>
      </c>
      <c r="L1687" s="1"/>
      <c r="M1687" s="73">
        <f t="shared" si="215"/>
        <v>0</v>
      </c>
      <c r="N1687" s="73">
        <f t="shared" si="219"/>
        <v>0</v>
      </c>
      <c r="O1687" s="73">
        <f t="shared" si="214"/>
        <v>0</v>
      </c>
      <c r="P1687" s="73">
        <f t="shared" si="216"/>
        <v>0</v>
      </c>
      <c r="Q1687" s="73"/>
      <c r="R1687" s="73">
        <v>0</v>
      </c>
      <c r="S1687" s="75">
        <f t="shared" si="218"/>
        <v>0</v>
      </c>
      <c r="T1687" s="77">
        <v>0</v>
      </c>
      <c r="U1687" s="66">
        <v>40497</v>
      </c>
      <c r="V1687" s="79"/>
      <c r="W1687" s="66" t="s">
        <v>1585</v>
      </c>
      <c r="X1687" s="24" t="s">
        <v>1586</v>
      </c>
      <c r="Y1687" s="62"/>
      <c r="Z1687" s="169" t="s">
        <v>894</v>
      </c>
      <c r="AA1687" s="166" t="s">
        <v>2852</v>
      </c>
      <c r="AB1687" s="152"/>
      <c r="AC1687" s="153"/>
      <c r="AD1687" s="154"/>
      <c r="AE1687" s="153"/>
      <c r="AF1687" s="153"/>
      <c r="AG1687" s="153"/>
      <c r="AH1687" s="153"/>
      <c r="AI1687" s="153"/>
      <c r="AJ1687" s="153"/>
      <c r="AK1687" s="153"/>
      <c r="AL1687" s="153"/>
      <c r="AM1687" s="153"/>
      <c r="AN1687" s="153"/>
      <c r="AO1687" s="153"/>
      <c r="AP1687" s="153"/>
      <c r="AQ1687" s="153"/>
      <c r="AR1687" s="153"/>
      <c r="AS1687" s="153"/>
      <c r="AT1687" s="153"/>
      <c r="AU1687" s="153"/>
      <c r="AV1687" s="153"/>
      <c r="AW1687" s="153"/>
      <c r="AX1687" s="153"/>
      <c r="AY1687" s="153"/>
      <c r="AZ1687" s="153"/>
      <c r="BA1687" s="153"/>
      <c r="BB1687" s="153"/>
      <c r="BC1687" s="153"/>
      <c r="BD1687" s="153"/>
      <c r="BE1687" s="153"/>
      <c r="BF1687" s="153"/>
      <c r="BG1687" s="153"/>
      <c r="BH1687" s="153"/>
      <c r="BI1687" s="153"/>
      <c r="BJ1687" s="153"/>
      <c r="BK1687" s="153"/>
      <c r="BL1687" s="153"/>
      <c r="BM1687" s="153"/>
      <c r="BN1687" s="153"/>
      <c r="BO1687" s="153"/>
      <c r="BP1687" s="153"/>
      <c r="BQ1687" s="153"/>
      <c r="BR1687" s="153"/>
      <c r="BS1687" s="153"/>
      <c r="BT1687" s="153"/>
      <c r="BU1687" s="153"/>
      <c r="BV1687" s="153"/>
      <c r="BW1687" s="153"/>
      <c r="BX1687" s="153"/>
      <c r="BY1687" s="153"/>
      <c r="BZ1687" s="153"/>
      <c r="CA1687" s="153"/>
      <c r="CB1687" s="153"/>
      <c r="CC1687" s="153"/>
      <c r="CD1687" s="155"/>
      <c r="CE1687" s="156"/>
      <c r="CF1687" s="155"/>
      <c r="CG1687" s="156"/>
      <c r="CH1687" s="155"/>
      <c r="CI1687" s="156"/>
      <c r="CJ1687" s="157">
        <f t="shared" si="217"/>
        <v>0</v>
      </c>
      <c r="CK1687" s="158"/>
      <c r="CL1687" s="159"/>
      <c r="CM1687" s="160"/>
      <c r="CN1687" s="161"/>
      <c r="CO1687" s="162"/>
      <c r="CP1687" s="161"/>
      <c r="CQ1687" s="158"/>
      <c r="CR1687" s="159"/>
      <c r="CS1687" s="68"/>
      <c r="CT1687" s="163"/>
      <c r="EC1687" s="366" t="str">
        <f t="shared" si="220"/>
        <v>META_VILLAVICENCIO</v>
      </c>
      <c r="ED1687" s="367"/>
      <c r="EE1687" s="367"/>
      <c r="EF1687" s="368"/>
      <c r="EG1687" s="367"/>
      <c r="EH1687" s="367"/>
      <c r="EI1687" s="367"/>
    </row>
    <row r="1688" spans="1:139" s="164" customFormat="1" ht="25.5">
      <c r="A1688" s="228">
        <v>40495</v>
      </c>
      <c r="B1688" s="205" t="s">
        <v>1824</v>
      </c>
      <c r="C1688" s="205" t="s">
        <v>2509</v>
      </c>
      <c r="D1688" s="207" t="s">
        <v>1878</v>
      </c>
      <c r="E1688" s="323" t="s">
        <v>3994</v>
      </c>
      <c r="F1688" s="323"/>
      <c r="G1688" s="204"/>
      <c r="H1688" s="151"/>
      <c r="I1688" s="151"/>
      <c r="J1688" s="151"/>
      <c r="K1688" s="151"/>
      <c r="L1688" s="1"/>
      <c r="M1688" s="73">
        <f t="shared" si="215"/>
        <v>0</v>
      </c>
      <c r="N1688" s="73">
        <f t="shared" si="219"/>
        <v>0</v>
      </c>
      <c r="O1688" s="73">
        <f t="shared" si="214"/>
        <v>0</v>
      </c>
      <c r="P1688" s="73">
        <f t="shared" si="216"/>
        <v>0</v>
      </c>
      <c r="Q1688" s="73"/>
      <c r="R1688" s="75">
        <v>0</v>
      </c>
      <c r="S1688" s="75">
        <f t="shared" si="218"/>
        <v>0</v>
      </c>
      <c r="T1688" s="77">
        <v>0</v>
      </c>
      <c r="U1688" s="66">
        <v>40508</v>
      </c>
      <c r="V1688" s="79"/>
      <c r="W1688" s="66" t="s">
        <v>1585</v>
      </c>
      <c r="X1688" s="24" t="s">
        <v>1586</v>
      </c>
      <c r="Y1688" s="62"/>
      <c r="Z1688" s="169" t="s">
        <v>894</v>
      </c>
      <c r="AA1688" s="166" t="s">
        <v>2510</v>
      </c>
      <c r="AB1688" s="152"/>
      <c r="AC1688" s="153"/>
      <c r="AD1688" s="154"/>
      <c r="AE1688" s="153"/>
      <c r="AF1688" s="153"/>
      <c r="AG1688" s="153"/>
      <c r="AH1688" s="153"/>
      <c r="AI1688" s="153"/>
      <c r="AJ1688" s="153"/>
      <c r="AK1688" s="153"/>
      <c r="AL1688" s="153"/>
      <c r="AM1688" s="153"/>
      <c r="AN1688" s="153"/>
      <c r="AO1688" s="153"/>
      <c r="AP1688" s="153"/>
      <c r="AQ1688" s="153"/>
      <c r="AR1688" s="153"/>
      <c r="AS1688" s="153"/>
      <c r="AT1688" s="153"/>
      <c r="AU1688" s="153"/>
      <c r="AV1688" s="153"/>
      <c r="AW1688" s="153"/>
      <c r="AX1688" s="153"/>
      <c r="AY1688" s="153"/>
      <c r="AZ1688" s="153"/>
      <c r="BA1688" s="153"/>
      <c r="BB1688" s="153"/>
      <c r="BC1688" s="153"/>
      <c r="BD1688" s="153"/>
      <c r="BE1688" s="153"/>
      <c r="BF1688" s="153"/>
      <c r="BG1688" s="153"/>
      <c r="BH1688" s="153"/>
      <c r="BI1688" s="153"/>
      <c r="BJ1688" s="153"/>
      <c r="BK1688" s="153"/>
      <c r="BL1688" s="153"/>
      <c r="BM1688" s="153"/>
      <c r="BN1688" s="153"/>
      <c r="BO1688" s="153"/>
      <c r="BP1688" s="153"/>
      <c r="BQ1688" s="153"/>
      <c r="BR1688" s="153"/>
      <c r="BS1688" s="153"/>
      <c r="BT1688" s="153"/>
      <c r="BU1688" s="153"/>
      <c r="BV1688" s="153"/>
      <c r="BW1688" s="153"/>
      <c r="BX1688" s="153"/>
      <c r="BY1688" s="153"/>
      <c r="BZ1688" s="153"/>
      <c r="CA1688" s="153"/>
      <c r="CB1688" s="153"/>
      <c r="CC1688" s="153"/>
      <c r="CD1688" s="155"/>
      <c r="CE1688" s="156"/>
      <c r="CF1688" s="155"/>
      <c r="CG1688" s="156"/>
      <c r="CH1688" s="155"/>
      <c r="CI1688" s="156"/>
      <c r="CJ1688" s="157">
        <f t="shared" si="217"/>
        <v>0</v>
      </c>
      <c r="CK1688" s="158"/>
      <c r="CL1688" s="159"/>
      <c r="CM1688" s="160"/>
      <c r="CN1688" s="161"/>
      <c r="CO1688" s="162"/>
      <c r="CP1688" s="161"/>
      <c r="CQ1688" s="158"/>
      <c r="CR1688" s="159"/>
      <c r="CS1688" s="68"/>
      <c r="CT1688" s="163"/>
      <c r="EC1688" s="366" t="str">
        <f t="shared" si="220"/>
        <v>NARIÑO_TANGUA</v>
      </c>
      <c r="ED1688" s="367"/>
      <c r="EE1688" s="367"/>
      <c r="EF1688" s="368"/>
      <c r="EG1688" s="367"/>
      <c r="EH1688" s="367"/>
      <c r="EI1688" s="367"/>
    </row>
    <row r="1689" spans="1:139" s="164" customFormat="1" ht="45">
      <c r="A1689" s="228">
        <v>40495</v>
      </c>
      <c r="B1689" s="205" t="s">
        <v>2400</v>
      </c>
      <c r="C1689" s="102" t="s">
        <v>734</v>
      </c>
      <c r="D1689" s="207" t="s">
        <v>1201</v>
      </c>
      <c r="E1689" s="323" t="s">
        <v>4221</v>
      </c>
      <c r="F1689" s="323"/>
      <c r="G1689" s="204"/>
      <c r="H1689" s="151"/>
      <c r="I1689" s="151"/>
      <c r="J1689" s="151">
        <v>900</v>
      </c>
      <c r="K1689" s="151">
        <v>200</v>
      </c>
      <c r="L1689" s="1"/>
      <c r="M1689" s="73">
        <f t="shared" si="215"/>
        <v>0</v>
      </c>
      <c r="N1689" s="73">
        <f t="shared" si="219"/>
        <v>0</v>
      </c>
      <c r="O1689" s="73">
        <f t="shared" si="214"/>
        <v>0</v>
      </c>
      <c r="P1689" s="73">
        <f t="shared" si="216"/>
        <v>0</v>
      </c>
      <c r="Q1689" s="73"/>
      <c r="R1689" s="73">
        <v>0</v>
      </c>
      <c r="S1689" s="75">
        <f t="shared" si="218"/>
        <v>0</v>
      </c>
      <c r="T1689" s="77">
        <v>0</v>
      </c>
      <c r="U1689" s="66"/>
      <c r="V1689" s="79"/>
      <c r="W1689" s="66" t="s">
        <v>1606</v>
      </c>
      <c r="X1689" s="264" t="s">
        <v>1607</v>
      </c>
      <c r="Y1689" s="62"/>
      <c r="Z1689" s="260" t="s">
        <v>18</v>
      </c>
      <c r="AA1689" s="166" t="s">
        <v>28</v>
      </c>
      <c r="AB1689" s="152"/>
      <c r="AC1689" s="153"/>
      <c r="AD1689" s="154"/>
      <c r="AE1689" s="153"/>
      <c r="AF1689" s="153"/>
      <c r="AG1689" s="153"/>
      <c r="AH1689" s="153"/>
      <c r="AI1689" s="153"/>
      <c r="AJ1689" s="153"/>
      <c r="AK1689" s="153"/>
      <c r="AL1689" s="153"/>
      <c r="AM1689" s="153"/>
      <c r="AN1689" s="153"/>
      <c r="AO1689" s="153"/>
      <c r="AP1689" s="153"/>
      <c r="AQ1689" s="153"/>
      <c r="AR1689" s="153"/>
      <c r="AS1689" s="153"/>
      <c r="AT1689" s="153"/>
      <c r="AU1689" s="153"/>
      <c r="AV1689" s="153"/>
      <c r="AW1689" s="153"/>
      <c r="AX1689" s="153"/>
      <c r="AY1689" s="153"/>
      <c r="AZ1689" s="153"/>
      <c r="BA1689" s="153"/>
      <c r="BB1689" s="153"/>
      <c r="BC1689" s="153"/>
      <c r="BD1689" s="153"/>
      <c r="BE1689" s="153"/>
      <c r="BF1689" s="153"/>
      <c r="BG1689" s="153"/>
      <c r="BH1689" s="153"/>
      <c r="BI1689" s="153"/>
      <c r="BJ1689" s="153"/>
      <c r="BK1689" s="153"/>
      <c r="BL1689" s="153"/>
      <c r="BM1689" s="153"/>
      <c r="BN1689" s="153"/>
      <c r="BO1689" s="153"/>
      <c r="BP1689" s="153"/>
      <c r="BQ1689" s="153"/>
      <c r="BR1689" s="153"/>
      <c r="BS1689" s="153"/>
      <c r="BT1689" s="153"/>
      <c r="BU1689" s="153"/>
      <c r="BV1689" s="153"/>
      <c r="BW1689" s="153"/>
      <c r="BX1689" s="153"/>
      <c r="BY1689" s="153"/>
      <c r="BZ1689" s="153"/>
      <c r="CA1689" s="153"/>
      <c r="CB1689" s="153"/>
      <c r="CC1689" s="153"/>
      <c r="CD1689" s="155"/>
      <c r="CE1689" s="156"/>
      <c r="CF1689" s="155"/>
      <c r="CG1689" s="156"/>
      <c r="CH1689" s="155"/>
      <c r="CI1689" s="156"/>
      <c r="CJ1689" s="157">
        <f t="shared" si="217"/>
        <v>0</v>
      </c>
      <c r="CK1689" s="158"/>
      <c r="CL1689" s="159"/>
      <c r="CM1689" s="160"/>
      <c r="CN1689" s="161"/>
      <c r="CO1689" s="162"/>
      <c r="CP1689" s="161"/>
      <c r="CQ1689" s="158"/>
      <c r="CR1689" s="159"/>
      <c r="CS1689" s="68"/>
      <c r="CT1689" s="163"/>
      <c r="EC1689" s="366" t="str">
        <f t="shared" si="220"/>
        <v>TOLIMA_VENADILLO</v>
      </c>
      <c r="ED1689" s="367"/>
      <c r="EE1689" s="367"/>
      <c r="EF1689" s="368"/>
      <c r="EG1689" s="367"/>
      <c r="EH1689" s="367"/>
      <c r="EI1689" s="367"/>
    </row>
    <row r="1690" spans="1:139" s="164" customFormat="1" ht="38.25">
      <c r="A1690" s="228">
        <v>40495.658333333333</v>
      </c>
      <c r="B1690" s="205" t="s">
        <v>2298</v>
      </c>
      <c r="C1690" s="205" t="s">
        <v>1610</v>
      </c>
      <c r="D1690" s="207" t="s">
        <v>1201</v>
      </c>
      <c r="E1690" s="323"/>
      <c r="F1690" s="323"/>
      <c r="G1690" s="204"/>
      <c r="H1690" s="151"/>
      <c r="I1690" s="151"/>
      <c r="J1690" s="151"/>
      <c r="K1690" s="409"/>
      <c r="L1690" s="1"/>
      <c r="M1690" s="73">
        <f t="shared" si="215"/>
        <v>0</v>
      </c>
      <c r="N1690" s="73">
        <f t="shared" si="219"/>
        <v>0</v>
      </c>
      <c r="O1690" s="73">
        <f t="shared" si="214"/>
        <v>0</v>
      </c>
      <c r="P1690" s="73">
        <f t="shared" si="216"/>
        <v>0</v>
      </c>
      <c r="Q1690" s="73"/>
      <c r="R1690" s="73">
        <v>0</v>
      </c>
      <c r="S1690" s="75">
        <f t="shared" si="218"/>
        <v>0</v>
      </c>
      <c r="T1690" s="77">
        <v>0</v>
      </c>
      <c r="U1690" s="296">
        <v>40624</v>
      </c>
      <c r="V1690" s="297"/>
      <c r="W1690" s="296" t="s">
        <v>1585</v>
      </c>
      <c r="X1690" s="298" t="s">
        <v>1586</v>
      </c>
      <c r="Y1690" s="299"/>
      <c r="Z1690" s="300" t="s">
        <v>894</v>
      </c>
      <c r="AA1690" s="414" t="s">
        <v>5418</v>
      </c>
      <c r="AB1690" s="152"/>
      <c r="AC1690" s="153"/>
      <c r="AD1690" s="154"/>
      <c r="AE1690" s="153"/>
      <c r="AF1690" s="153"/>
      <c r="AG1690" s="153"/>
      <c r="AH1690" s="153"/>
      <c r="AI1690" s="153"/>
      <c r="AJ1690" s="153"/>
      <c r="AK1690" s="153"/>
      <c r="AL1690" s="153"/>
      <c r="AM1690" s="153"/>
      <c r="AN1690" s="153"/>
      <c r="AO1690" s="153"/>
      <c r="AP1690" s="153"/>
      <c r="AQ1690" s="153"/>
      <c r="AR1690" s="153"/>
      <c r="AS1690" s="153"/>
      <c r="AT1690" s="153"/>
      <c r="AU1690" s="153"/>
      <c r="AV1690" s="153"/>
      <c r="AW1690" s="153"/>
      <c r="AX1690" s="153"/>
      <c r="AY1690" s="153"/>
      <c r="AZ1690" s="153"/>
      <c r="BA1690" s="153"/>
      <c r="BB1690" s="153"/>
      <c r="BC1690" s="153"/>
      <c r="BD1690" s="153"/>
      <c r="BE1690" s="153"/>
      <c r="BF1690" s="153"/>
      <c r="BG1690" s="153"/>
      <c r="BH1690" s="153"/>
      <c r="BI1690" s="153"/>
      <c r="BJ1690" s="153"/>
      <c r="BK1690" s="153"/>
      <c r="BL1690" s="153"/>
      <c r="BM1690" s="153"/>
      <c r="BN1690" s="153"/>
      <c r="BO1690" s="153"/>
      <c r="BP1690" s="153"/>
      <c r="BQ1690" s="153"/>
      <c r="BR1690" s="153"/>
      <c r="BS1690" s="153"/>
      <c r="BT1690" s="153"/>
      <c r="BU1690" s="153"/>
      <c r="BV1690" s="153"/>
      <c r="BW1690" s="153"/>
      <c r="BX1690" s="153"/>
      <c r="BY1690" s="153"/>
      <c r="BZ1690" s="153"/>
      <c r="CA1690" s="153"/>
      <c r="CB1690" s="153"/>
      <c r="CC1690" s="153"/>
      <c r="CD1690" s="155"/>
      <c r="CE1690" s="156"/>
      <c r="CF1690" s="155"/>
      <c r="CG1690" s="156"/>
      <c r="CH1690" s="155"/>
      <c r="CI1690" s="156"/>
      <c r="CJ1690" s="157">
        <f t="shared" si="217"/>
        <v>0</v>
      </c>
      <c r="CK1690" s="158"/>
      <c r="CL1690" s="159"/>
      <c r="CM1690" s="160"/>
      <c r="CN1690" s="161"/>
      <c r="CO1690" s="162"/>
      <c r="CP1690" s="161"/>
      <c r="CQ1690" s="158"/>
      <c r="CR1690" s="159"/>
      <c r="CS1690" s="68"/>
      <c r="CT1690" s="163"/>
      <c r="EC1690" s="366" t="str">
        <f t="shared" si="220"/>
        <v>BOGOTA D.C._BOGOTA</v>
      </c>
      <c r="ED1690" s="367"/>
      <c r="EE1690" s="367"/>
      <c r="EF1690" s="368"/>
      <c r="EG1690" s="367"/>
      <c r="EH1690" s="367"/>
      <c r="EI1690" s="367"/>
    </row>
    <row r="1691" spans="1:139" s="164" customFormat="1" ht="84">
      <c r="A1691" s="235">
        <v>40496</v>
      </c>
      <c r="B1691" s="269" t="s">
        <v>1972</v>
      </c>
      <c r="C1691" s="269" t="s">
        <v>2866</v>
      </c>
      <c r="D1691" s="270" t="s">
        <v>1201</v>
      </c>
      <c r="E1691" s="327" t="s">
        <v>3290</v>
      </c>
      <c r="F1691" s="327"/>
      <c r="G1691" s="204"/>
      <c r="H1691" s="151"/>
      <c r="I1691" s="151"/>
      <c r="J1691" s="151">
        <f>1320-110</f>
        <v>1210</v>
      </c>
      <c r="K1691" s="151">
        <v>304</v>
      </c>
      <c r="L1691" s="1"/>
      <c r="M1691" s="73">
        <f t="shared" si="215"/>
        <v>0</v>
      </c>
      <c r="N1691" s="73">
        <f t="shared" si="219"/>
        <v>0</v>
      </c>
      <c r="O1691" s="73">
        <f t="shared" si="214"/>
        <v>0</v>
      </c>
      <c r="P1691" s="73">
        <f t="shared" si="216"/>
        <v>0</v>
      </c>
      <c r="Q1691" s="73"/>
      <c r="R1691" s="73">
        <v>0</v>
      </c>
      <c r="S1691" s="75">
        <f t="shared" si="218"/>
        <v>0</v>
      </c>
      <c r="T1691" s="77">
        <v>0</v>
      </c>
      <c r="U1691" s="66">
        <v>40497</v>
      </c>
      <c r="V1691" s="79"/>
      <c r="W1691" s="66" t="s">
        <v>1585</v>
      </c>
      <c r="X1691" s="24" t="s">
        <v>1586</v>
      </c>
      <c r="Y1691" s="62"/>
      <c r="Z1691" s="169" t="s">
        <v>894</v>
      </c>
      <c r="AA1691" s="166" t="s">
        <v>871</v>
      </c>
      <c r="AB1691" s="152"/>
      <c r="AC1691" s="153"/>
      <c r="AD1691" s="154"/>
      <c r="AE1691" s="153"/>
      <c r="AF1691" s="153"/>
      <c r="AG1691" s="153"/>
      <c r="AH1691" s="153"/>
      <c r="AI1691" s="153"/>
      <c r="AJ1691" s="153"/>
      <c r="AK1691" s="153"/>
      <c r="AL1691" s="153"/>
      <c r="AM1691" s="153"/>
      <c r="AN1691" s="153"/>
      <c r="AO1691" s="153"/>
      <c r="AP1691" s="153"/>
      <c r="AQ1691" s="153"/>
      <c r="AR1691" s="153"/>
      <c r="AS1691" s="153"/>
      <c r="AT1691" s="153"/>
      <c r="AU1691" s="153"/>
      <c r="AV1691" s="153"/>
      <c r="AW1691" s="153"/>
      <c r="AX1691" s="153"/>
      <c r="AY1691" s="153"/>
      <c r="AZ1691" s="153"/>
      <c r="BA1691" s="153"/>
      <c r="BB1691" s="153"/>
      <c r="BC1691" s="153"/>
      <c r="BD1691" s="153"/>
      <c r="BE1691" s="153"/>
      <c r="BF1691" s="153"/>
      <c r="BG1691" s="153"/>
      <c r="BH1691" s="153"/>
      <c r="BI1691" s="153"/>
      <c r="BJ1691" s="153"/>
      <c r="BK1691" s="153"/>
      <c r="BL1691" s="153"/>
      <c r="BM1691" s="153"/>
      <c r="BN1691" s="153"/>
      <c r="BO1691" s="153"/>
      <c r="BP1691" s="153"/>
      <c r="BQ1691" s="153"/>
      <c r="BR1691" s="153"/>
      <c r="BS1691" s="153"/>
      <c r="BT1691" s="153"/>
      <c r="BU1691" s="153"/>
      <c r="BV1691" s="153"/>
      <c r="BW1691" s="153"/>
      <c r="BX1691" s="153"/>
      <c r="BY1691" s="153"/>
      <c r="BZ1691" s="153"/>
      <c r="CA1691" s="153"/>
      <c r="CB1691" s="153"/>
      <c r="CC1691" s="153"/>
      <c r="CD1691" s="155"/>
      <c r="CE1691" s="156"/>
      <c r="CF1691" s="155"/>
      <c r="CG1691" s="156"/>
      <c r="CH1691" s="155"/>
      <c r="CI1691" s="156"/>
      <c r="CJ1691" s="157">
        <f t="shared" si="217"/>
        <v>0</v>
      </c>
      <c r="CK1691" s="158"/>
      <c r="CL1691" s="159"/>
      <c r="CM1691" s="160"/>
      <c r="CN1691" s="161"/>
      <c r="CO1691" s="162"/>
      <c r="CP1691" s="161"/>
      <c r="CQ1691" s="158"/>
      <c r="CR1691" s="159"/>
      <c r="CS1691" s="68"/>
      <c r="CT1691" s="163"/>
      <c r="EC1691" s="366" t="str">
        <f t="shared" si="220"/>
        <v>ANTIOQUIA_LA ESTRELLA</v>
      </c>
      <c r="ED1691" s="367"/>
      <c r="EE1691" s="367"/>
      <c r="EF1691" s="368"/>
      <c r="EG1691" s="367"/>
      <c r="EH1691" s="367"/>
      <c r="EI1691" s="367"/>
    </row>
    <row r="1692" spans="1:139" s="164" customFormat="1" ht="25.5">
      <c r="A1692" s="235">
        <v>40496</v>
      </c>
      <c r="B1692" s="269" t="s">
        <v>1972</v>
      </c>
      <c r="C1692" s="269" t="s">
        <v>2358</v>
      </c>
      <c r="D1692" s="236" t="s">
        <v>1878</v>
      </c>
      <c r="E1692" s="324" t="s">
        <v>3227</v>
      </c>
      <c r="F1692" s="324"/>
      <c r="G1692" s="204">
        <v>4</v>
      </c>
      <c r="H1692" s="151"/>
      <c r="I1692" s="151"/>
      <c r="J1692" s="151">
        <v>130</v>
      </c>
      <c r="K1692" s="151">
        <v>26</v>
      </c>
      <c r="L1692" s="1"/>
      <c r="M1692" s="73">
        <f t="shared" si="215"/>
        <v>0</v>
      </c>
      <c r="N1692" s="73">
        <f t="shared" si="219"/>
        <v>0</v>
      </c>
      <c r="O1692" s="73">
        <f t="shared" si="214"/>
        <v>0</v>
      </c>
      <c r="P1692" s="73">
        <f t="shared" si="216"/>
        <v>0</v>
      </c>
      <c r="Q1692" s="73"/>
      <c r="R1692" s="73">
        <v>0</v>
      </c>
      <c r="S1692" s="75">
        <f t="shared" si="218"/>
        <v>0</v>
      </c>
      <c r="T1692" s="77">
        <v>0</v>
      </c>
      <c r="U1692" s="66">
        <v>40497</v>
      </c>
      <c r="V1692" s="79"/>
      <c r="W1692" s="66" t="s">
        <v>1585</v>
      </c>
      <c r="X1692" s="24" t="s">
        <v>1586</v>
      </c>
      <c r="Y1692" s="62"/>
      <c r="Z1692" s="169" t="s">
        <v>894</v>
      </c>
      <c r="AA1692" s="166" t="s">
        <v>2858</v>
      </c>
      <c r="AB1692" s="152"/>
      <c r="AC1692" s="153"/>
      <c r="AD1692" s="154"/>
      <c r="AE1692" s="153"/>
      <c r="AF1692" s="153"/>
      <c r="AG1692" s="153"/>
      <c r="AH1692" s="153"/>
      <c r="AI1692" s="153"/>
      <c r="AJ1692" s="153"/>
      <c r="AK1692" s="153"/>
      <c r="AL1692" s="153"/>
      <c r="AM1692" s="153"/>
      <c r="AN1692" s="153"/>
      <c r="AO1692" s="153"/>
      <c r="AP1692" s="153"/>
      <c r="AQ1692" s="153"/>
      <c r="AR1692" s="153"/>
      <c r="AS1692" s="153"/>
      <c r="AT1692" s="153"/>
      <c r="AU1692" s="153"/>
      <c r="AV1692" s="153"/>
      <c r="AW1692" s="153"/>
      <c r="AX1692" s="153"/>
      <c r="AY1692" s="153"/>
      <c r="AZ1692" s="153"/>
      <c r="BA1692" s="153"/>
      <c r="BB1692" s="153"/>
      <c r="BC1692" s="153"/>
      <c r="BD1692" s="153"/>
      <c r="BE1692" s="153"/>
      <c r="BF1692" s="153"/>
      <c r="BG1692" s="153"/>
      <c r="BH1692" s="153"/>
      <c r="BI1692" s="153"/>
      <c r="BJ1692" s="153"/>
      <c r="BK1692" s="153"/>
      <c r="BL1692" s="153"/>
      <c r="BM1692" s="153"/>
      <c r="BN1692" s="153"/>
      <c r="BO1692" s="153"/>
      <c r="BP1692" s="153"/>
      <c r="BQ1692" s="153"/>
      <c r="BR1692" s="153"/>
      <c r="BS1692" s="153"/>
      <c r="BT1692" s="153"/>
      <c r="BU1692" s="153"/>
      <c r="BV1692" s="153"/>
      <c r="BW1692" s="153"/>
      <c r="BX1692" s="153"/>
      <c r="BY1692" s="153"/>
      <c r="BZ1692" s="153"/>
      <c r="CA1692" s="153"/>
      <c r="CB1692" s="153"/>
      <c r="CC1692" s="153"/>
      <c r="CD1692" s="155"/>
      <c r="CE1692" s="156"/>
      <c r="CF1692" s="155"/>
      <c r="CG1692" s="156"/>
      <c r="CH1692" s="155"/>
      <c r="CI1692" s="156"/>
      <c r="CJ1692" s="157">
        <f t="shared" si="217"/>
        <v>0</v>
      </c>
      <c r="CK1692" s="158"/>
      <c r="CL1692" s="159"/>
      <c r="CM1692" s="160"/>
      <c r="CN1692" s="161"/>
      <c r="CO1692" s="162"/>
      <c r="CP1692" s="161"/>
      <c r="CQ1692" s="158"/>
      <c r="CR1692" s="159"/>
      <c r="CS1692" s="68"/>
      <c r="CT1692" s="163"/>
      <c r="EC1692" s="366" t="str">
        <f t="shared" si="220"/>
        <v>ANTIOQUIA_MEDELLIN</v>
      </c>
      <c r="ED1692" s="367"/>
      <c r="EE1692" s="367"/>
      <c r="EF1692" s="368"/>
      <c r="EG1692" s="367"/>
      <c r="EH1692" s="367"/>
      <c r="EI1692" s="367"/>
    </row>
    <row r="1693" spans="1:139" s="164" customFormat="1" ht="36">
      <c r="A1693" s="228">
        <v>40496</v>
      </c>
      <c r="B1693" s="205" t="s">
        <v>1615</v>
      </c>
      <c r="C1693" s="205" t="s">
        <v>1555</v>
      </c>
      <c r="D1693" s="207" t="s">
        <v>1201</v>
      </c>
      <c r="E1693" s="323" t="s">
        <v>3393</v>
      </c>
      <c r="F1693" s="323"/>
      <c r="G1693" s="204"/>
      <c r="H1693" s="151"/>
      <c r="I1693" s="151"/>
      <c r="J1693" s="151">
        <f>520*5</f>
        <v>2600</v>
      </c>
      <c r="K1693" s="151">
        <f>802-282</f>
        <v>520</v>
      </c>
      <c r="L1693" s="1"/>
      <c r="M1693" s="73">
        <f t="shared" si="215"/>
        <v>0</v>
      </c>
      <c r="N1693" s="73">
        <f t="shared" si="219"/>
        <v>0</v>
      </c>
      <c r="O1693" s="73">
        <f t="shared" si="214"/>
        <v>0</v>
      </c>
      <c r="P1693" s="73">
        <f t="shared" si="216"/>
        <v>0</v>
      </c>
      <c r="Q1693" s="73"/>
      <c r="R1693" s="73">
        <v>0</v>
      </c>
      <c r="S1693" s="75">
        <f t="shared" si="218"/>
        <v>0</v>
      </c>
      <c r="T1693" s="77">
        <v>0</v>
      </c>
      <c r="U1693" s="66">
        <v>40496</v>
      </c>
      <c r="V1693" s="79"/>
      <c r="W1693" s="66" t="s">
        <v>1585</v>
      </c>
      <c r="X1693" s="24" t="s">
        <v>1586</v>
      </c>
      <c r="Y1693" s="62"/>
      <c r="Z1693" s="169" t="s">
        <v>894</v>
      </c>
      <c r="AA1693" s="166" t="s">
        <v>214</v>
      </c>
      <c r="AB1693" s="152"/>
      <c r="AC1693" s="153"/>
      <c r="AD1693" s="154"/>
      <c r="AE1693" s="153"/>
      <c r="AF1693" s="153"/>
      <c r="AG1693" s="153"/>
      <c r="AH1693" s="153"/>
      <c r="AI1693" s="153"/>
      <c r="AJ1693" s="153"/>
      <c r="AK1693" s="153"/>
      <c r="AL1693" s="153"/>
      <c r="AM1693" s="153"/>
      <c r="AN1693" s="153"/>
      <c r="AO1693" s="153"/>
      <c r="AP1693" s="153"/>
      <c r="AQ1693" s="153"/>
      <c r="AR1693" s="153"/>
      <c r="AS1693" s="153"/>
      <c r="AT1693" s="153"/>
      <c r="AU1693" s="153"/>
      <c r="AV1693" s="153"/>
      <c r="AW1693" s="153"/>
      <c r="AX1693" s="153"/>
      <c r="AY1693" s="153"/>
      <c r="AZ1693" s="153"/>
      <c r="BA1693" s="153"/>
      <c r="BB1693" s="153"/>
      <c r="BC1693" s="153"/>
      <c r="BD1693" s="153"/>
      <c r="BE1693" s="153"/>
      <c r="BF1693" s="153"/>
      <c r="BG1693" s="153"/>
      <c r="BH1693" s="153"/>
      <c r="BI1693" s="153"/>
      <c r="BJ1693" s="153"/>
      <c r="BK1693" s="153"/>
      <c r="BL1693" s="153"/>
      <c r="BM1693" s="153"/>
      <c r="BN1693" s="153"/>
      <c r="BO1693" s="153"/>
      <c r="BP1693" s="153"/>
      <c r="BQ1693" s="153"/>
      <c r="BR1693" s="153"/>
      <c r="BS1693" s="153"/>
      <c r="BT1693" s="153"/>
      <c r="BU1693" s="153"/>
      <c r="BV1693" s="153"/>
      <c r="BW1693" s="153"/>
      <c r="BX1693" s="153"/>
      <c r="BY1693" s="153"/>
      <c r="BZ1693" s="153"/>
      <c r="CA1693" s="153"/>
      <c r="CB1693" s="153"/>
      <c r="CC1693" s="153"/>
      <c r="CD1693" s="155"/>
      <c r="CE1693" s="156"/>
      <c r="CF1693" s="155"/>
      <c r="CG1693" s="156"/>
      <c r="CH1693" s="155"/>
      <c r="CI1693" s="156"/>
      <c r="CJ1693" s="157">
        <f t="shared" si="217"/>
        <v>0</v>
      </c>
      <c r="CK1693" s="158"/>
      <c r="CL1693" s="159"/>
      <c r="CM1693" s="160"/>
      <c r="CN1693" s="161"/>
      <c r="CO1693" s="162"/>
      <c r="CP1693" s="161"/>
      <c r="CQ1693" s="158"/>
      <c r="CR1693" s="159"/>
      <c r="CS1693" s="68"/>
      <c r="CT1693" s="163"/>
      <c r="EC1693" s="366" t="str">
        <f t="shared" si="220"/>
        <v>BOLIVAR_MAHATES</v>
      </c>
      <c r="ED1693" s="367"/>
      <c r="EE1693" s="367"/>
      <c r="EF1693" s="368"/>
      <c r="EG1693" s="367"/>
      <c r="EH1693" s="367"/>
      <c r="EI1693" s="367"/>
    </row>
    <row r="1694" spans="1:139" s="164" customFormat="1" ht="36">
      <c r="A1694" s="228">
        <v>40496</v>
      </c>
      <c r="B1694" s="205" t="s">
        <v>1615</v>
      </c>
      <c r="C1694" s="205" t="s">
        <v>1445</v>
      </c>
      <c r="D1694" s="207" t="s">
        <v>1201</v>
      </c>
      <c r="E1694" s="323" t="s">
        <v>3420</v>
      </c>
      <c r="F1694" s="323"/>
      <c r="G1694" s="204"/>
      <c r="H1694" s="151"/>
      <c r="I1694" s="151"/>
      <c r="J1694" s="151">
        <v>1000</v>
      </c>
      <c r="K1694" s="151">
        <v>200</v>
      </c>
      <c r="L1694" s="1"/>
      <c r="M1694" s="73">
        <f t="shared" si="215"/>
        <v>0</v>
      </c>
      <c r="N1694" s="73">
        <f t="shared" si="219"/>
        <v>0</v>
      </c>
      <c r="O1694" s="73">
        <f t="shared" si="214"/>
        <v>0</v>
      </c>
      <c r="P1694" s="73">
        <f t="shared" si="216"/>
        <v>0</v>
      </c>
      <c r="Q1694" s="73"/>
      <c r="R1694" s="73">
        <v>0</v>
      </c>
      <c r="S1694" s="75">
        <f t="shared" si="218"/>
        <v>0</v>
      </c>
      <c r="T1694" s="77">
        <v>0</v>
      </c>
      <c r="U1694" s="66">
        <v>40496</v>
      </c>
      <c r="V1694" s="79"/>
      <c r="W1694" s="66" t="s">
        <v>1585</v>
      </c>
      <c r="X1694" s="24" t="s">
        <v>1586</v>
      </c>
      <c r="Y1694" s="62"/>
      <c r="Z1694" s="169" t="s">
        <v>894</v>
      </c>
      <c r="AA1694" s="166" t="s">
        <v>213</v>
      </c>
      <c r="AB1694" s="152"/>
      <c r="AC1694" s="153"/>
      <c r="AD1694" s="154"/>
      <c r="AE1694" s="153"/>
      <c r="AF1694" s="153"/>
      <c r="AG1694" s="153"/>
      <c r="AH1694" s="153"/>
      <c r="AI1694" s="153"/>
      <c r="AJ1694" s="153"/>
      <c r="AK1694" s="153"/>
      <c r="AL1694" s="153"/>
      <c r="AM1694" s="153"/>
      <c r="AN1694" s="153"/>
      <c r="AO1694" s="153"/>
      <c r="AP1694" s="153"/>
      <c r="AQ1694" s="153"/>
      <c r="AR1694" s="153"/>
      <c r="AS1694" s="153"/>
      <c r="AT1694" s="153"/>
      <c r="AU1694" s="153"/>
      <c r="AV1694" s="153"/>
      <c r="AW1694" s="153"/>
      <c r="AX1694" s="153"/>
      <c r="AY1694" s="153"/>
      <c r="AZ1694" s="153"/>
      <c r="BA1694" s="153"/>
      <c r="BB1694" s="153"/>
      <c r="BC1694" s="153"/>
      <c r="BD1694" s="153"/>
      <c r="BE1694" s="153"/>
      <c r="BF1694" s="153"/>
      <c r="BG1694" s="153"/>
      <c r="BH1694" s="153"/>
      <c r="BI1694" s="153"/>
      <c r="BJ1694" s="153"/>
      <c r="BK1694" s="153"/>
      <c r="BL1694" s="153"/>
      <c r="BM1694" s="153"/>
      <c r="BN1694" s="153"/>
      <c r="BO1694" s="153"/>
      <c r="BP1694" s="153"/>
      <c r="BQ1694" s="153"/>
      <c r="BR1694" s="153"/>
      <c r="BS1694" s="153"/>
      <c r="BT1694" s="153"/>
      <c r="BU1694" s="153"/>
      <c r="BV1694" s="153"/>
      <c r="BW1694" s="153"/>
      <c r="BX1694" s="153"/>
      <c r="BY1694" s="153"/>
      <c r="BZ1694" s="153"/>
      <c r="CA1694" s="153"/>
      <c r="CB1694" s="153"/>
      <c r="CC1694" s="153"/>
      <c r="CD1694" s="155"/>
      <c r="CE1694" s="156"/>
      <c r="CF1694" s="155"/>
      <c r="CG1694" s="156"/>
      <c r="CH1694" s="155"/>
      <c r="CI1694" s="156"/>
      <c r="CJ1694" s="157">
        <f t="shared" si="217"/>
        <v>0</v>
      </c>
      <c r="CK1694" s="158"/>
      <c r="CL1694" s="159"/>
      <c r="CM1694" s="160"/>
      <c r="CN1694" s="161"/>
      <c r="CO1694" s="162"/>
      <c r="CP1694" s="161"/>
      <c r="CQ1694" s="158"/>
      <c r="CR1694" s="159"/>
      <c r="CS1694" s="68"/>
      <c r="CT1694" s="163"/>
      <c r="EC1694" s="366" t="str">
        <f t="shared" si="220"/>
        <v>BOLIVAR_ZAMBRANO</v>
      </c>
      <c r="ED1694" s="367"/>
      <c r="EE1694" s="367"/>
      <c r="EF1694" s="368"/>
      <c r="EG1694" s="367"/>
      <c r="EH1694" s="367"/>
      <c r="EI1694" s="367"/>
    </row>
    <row r="1695" spans="1:139" s="164" customFormat="1" ht="25.5">
      <c r="A1695" s="228">
        <v>40496</v>
      </c>
      <c r="B1695" s="205" t="s">
        <v>1314</v>
      </c>
      <c r="C1695" s="205" t="s">
        <v>895</v>
      </c>
      <c r="D1695" s="206" t="s">
        <v>1201</v>
      </c>
      <c r="E1695" s="320" t="s">
        <v>3602</v>
      </c>
      <c r="F1695" s="320"/>
      <c r="G1695" s="204"/>
      <c r="H1695" s="151"/>
      <c r="I1695" s="151"/>
      <c r="J1695" s="416">
        <f>3862*3</f>
        <v>11586</v>
      </c>
      <c r="K1695" s="151">
        <v>3862</v>
      </c>
      <c r="L1695" s="1"/>
      <c r="M1695" s="73">
        <f t="shared" si="215"/>
        <v>0</v>
      </c>
      <c r="N1695" s="73">
        <f t="shared" si="219"/>
        <v>0</v>
      </c>
      <c r="O1695" s="73">
        <f t="shared" si="214"/>
        <v>0</v>
      </c>
      <c r="P1695" s="73">
        <f t="shared" si="216"/>
        <v>0</v>
      </c>
      <c r="Q1695" s="73"/>
      <c r="R1695" s="73">
        <v>0</v>
      </c>
      <c r="S1695" s="75">
        <f t="shared" si="218"/>
        <v>0</v>
      </c>
      <c r="T1695" s="77">
        <v>0</v>
      </c>
      <c r="U1695" s="66">
        <v>40497</v>
      </c>
      <c r="V1695" s="79"/>
      <c r="W1695" s="66" t="s">
        <v>1585</v>
      </c>
      <c r="X1695" s="24" t="s">
        <v>1586</v>
      </c>
      <c r="Y1695" s="62"/>
      <c r="Z1695" s="169" t="s">
        <v>894</v>
      </c>
      <c r="AA1695" s="166" t="s">
        <v>2865</v>
      </c>
      <c r="AB1695" s="152"/>
      <c r="AC1695" s="153"/>
      <c r="AD1695" s="154"/>
      <c r="AE1695" s="153"/>
      <c r="AF1695" s="153"/>
      <c r="AG1695" s="153"/>
      <c r="AH1695" s="153"/>
      <c r="AI1695" s="153"/>
      <c r="AJ1695" s="153"/>
      <c r="AK1695" s="153"/>
      <c r="AL1695" s="153"/>
      <c r="AM1695" s="153"/>
      <c r="AN1695" s="153"/>
      <c r="AO1695" s="153"/>
      <c r="AP1695" s="153"/>
      <c r="AQ1695" s="153"/>
      <c r="AR1695" s="153"/>
      <c r="AS1695" s="153"/>
      <c r="AT1695" s="153"/>
      <c r="AU1695" s="153"/>
      <c r="AV1695" s="153"/>
      <c r="AW1695" s="153"/>
      <c r="AX1695" s="153"/>
      <c r="AY1695" s="153"/>
      <c r="AZ1695" s="153"/>
      <c r="BA1695" s="153"/>
      <c r="BB1695" s="153"/>
      <c r="BC1695" s="153"/>
      <c r="BD1695" s="153"/>
      <c r="BE1695" s="153"/>
      <c r="BF1695" s="153"/>
      <c r="BG1695" s="153"/>
      <c r="BH1695" s="153"/>
      <c r="BI1695" s="153"/>
      <c r="BJ1695" s="153"/>
      <c r="BK1695" s="153"/>
      <c r="BL1695" s="153"/>
      <c r="BM1695" s="153"/>
      <c r="BN1695" s="153"/>
      <c r="BO1695" s="153"/>
      <c r="BP1695" s="153"/>
      <c r="BQ1695" s="153"/>
      <c r="BR1695" s="153"/>
      <c r="BS1695" s="153"/>
      <c r="BT1695" s="153"/>
      <c r="BU1695" s="153"/>
      <c r="BV1695" s="153"/>
      <c r="BW1695" s="153"/>
      <c r="BX1695" s="153"/>
      <c r="BY1695" s="153"/>
      <c r="BZ1695" s="153"/>
      <c r="CA1695" s="153"/>
      <c r="CB1695" s="153"/>
      <c r="CC1695" s="153"/>
      <c r="CD1695" s="155"/>
      <c r="CE1695" s="156"/>
      <c r="CF1695" s="155"/>
      <c r="CG1695" s="156"/>
      <c r="CH1695" s="155"/>
      <c r="CI1695" s="156"/>
      <c r="CJ1695" s="157">
        <f t="shared" si="217"/>
        <v>0</v>
      </c>
      <c r="CK1695" s="158"/>
      <c r="CL1695" s="159"/>
      <c r="CM1695" s="160"/>
      <c r="CN1695" s="161"/>
      <c r="CO1695" s="162"/>
      <c r="CP1695" s="161"/>
      <c r="CQ1695" s="158"/>
      <c r="CR1695" s="159"/>
      <c r="CS1695" s="68"/>
      <c r="CT1695" s="163"/>
      <c r="EC1695" s="366" t="str">
        <f t="shared" si="220"/>
        <v>CAUCA_LA SIERRA</v>
      </c>
      <c r="ED1695" s="367"/>
      <c r="EE1695" s="367"/>
      <c r="EF1695" s="368"/>
      <c r="EG1695" s="367"/>
      <c r="EH1695" s="367"/>
      <c r="EI1695" s="367"/>
    </row>
    <row r="1696" spans="1:139" s="164" customFormat="1" ht="25.5">
      <c r="A1696" s="228">
        <v>40496</v>
      </c>
      <c r="B1696" s="205" t="s">
        <v>1314</v>
      </c>
      <c r="C1696" s="205" t="s">
        <v>3133</v>
      </c>
      <c r="D1696" s="207" t="s">
        <v>1201</v>
      </c>
      <c r="E1696" s="323" t="s">
        <v>3604</v>
      </c>
      <c r="F1696" s="323"/>
      <c r="G1696" s="204"/>
      <c r="H1696" s="151"/>
      <c r="I1696" s="151"/>
      <c r="J1696" s="151">
        <v>200</v>
      </c>
      <c r="K1696" s="151">
        <v>40</v>
      </c>
      <c r="L1696" s="1"/>
      <c r="M1696" s="73">
        <f t="shared" si="215"/>
        <v>0</v>
      </c>
      <c r="N1696" s="73">
        <f t="shared" si="219"/>
        <v>0</v>
      </c>
      <c r="O1696" s="73">
        <f t="shared" si="214"/>
        <v>0</v>
      </c>
      <c r="P1696" s="73">
        <f t="shared" si="216"/>
        <v>0</v>
      </c>
      <c r="Q1696" s="73"/>
      <c r="R1696" s="73">
        <v>0</v>
      </c>
      <c r="S1696" s="75">
        <f t="shared" si="218"/>
        <v>0</v>
      </c>
      <c r="T1696" s="77">
        <v>0</v>
      </c>
      <c r="U1696" s="66">
        <v>40497</v>
      </c>
      <c r="V1696" s="79"/>
      <c r="W1696" s="66" t="s">
        <v>1585</v>
      </c>
      <c r="X1696" s="24" t="s">
        <v>1586</v>
      </c>
      <c r="Y1696" s="62"/>
      <c r="Z1696" s="169" t="s">
        <v>894</v>
      </c>
      <c r="AA1696" s="166" t="s">
        <v>902</v>
      </c>
      <c r="AB1696" s="152"/>
      <c r="AC1696" s="153"/>
      <c r="AD1696" s="154"/>
      <c r="AE1696" s="153"/>
      <c r="AF1696" s="153"/>
      <c r="AG1696" s="153"/>
      <c r="AH1696" s="153"/>
      <c r="AI1696" s="153"/>
      <c r="AJ1696" s="153"/>
      <c r="AK1696" s="153"/>
      <c r="AL1696" s="153"/>
      <c r="AM1696" s="153"/>
      <c r="AN1696" s="153"/>
      <c r="AO1696" s="153"/>
      <c r="AP1696" s="153"/>
      <c r="AQ1696" s="153"/>
      <c r="AR1696" s="153"/>
      <c r="AS1696" s="153"/>
      <c r="AT1696" s="153"/>
      <c r="AU1696" s="153"/>
      <c r="AV1696" s="153"/>
      <c r="AW1696" s="153"/>
      <c r="AX1696" s="153"/>
      <c r="AY1696" s="153"/>
      <c r="AZ1696" s="153"/>
      <c r="BA1696" s="153"/>
      <c r="BB1696" s="153"/>
      <c r="BC1696" s="153"/>
      <c r="BD1696" s="153"/>
      <c r="BE1696" s="153"/>
      <c r="BF1696" s="153"/>
      <c r="BG1696" s="153"/>
      <c r="BH1696" s="153"/>
      <c r="BI1696" s="153"/>
      <c r="BJ1696" s="153"/>
      <c r="BK1696" s="153"/>
      <c r="BL1696" s="153"/>
      <c r="BM1696" s="153"/>
      <c r="BN1696" s="153"/>
      <c r="BO1696" s="153"/>
      <c r="BP1696" s="153"/>
      <c r="BQ1696" s="153"/>
      <c r="BR1696" s="153"/>
      <c r="BS1696" s="153"/>
      <c r="BT1696" s="153"/>
      <c r="BU1696" s="153"/>
      <c r="BV1696" s="153"/>
      <c r="BW1696" s="153"/>
      <c r="BX1696" s="153"/>
      <c r="BY1696" s="153"/>
      <c r="BZ1696" s="153"/>
      <c r="CA1696" s="153"/>
      <c r="CB1696" s="153"/>
      <c r="CC1696" s="153"/>
      <c r="CD1696" s="155"/>
      <c r="CE1696" s="156"/>
      <c r="CF1696" s="155"/>
      <c r="CG1696" s="156"/>
      <c r="CH1696" s="155"/>
      <c r="CI1696" s="156"/>
      <c r="CJ1696" s="157">
        <f t="shared" si="217"/>
        <v>0</v>
      </c>
      <c r="CK1696" s="158"/>
      <c r="CL1696" s="159"/>
      <c r="CM1696" s="160"/>
      <c r="CN1696" s="161"/>
      <c r="CO1696" s="162"/>
      <c r="CP1696" s="161"/>
      <c r="CQ1696" s="158"/>
      <c r="CR1696" s="159"/>
      <c r="CS1696" s="68"/>
      <c r="CT1696" s="163"/>
      <c r="EC1696" s="366" t="str">
        <f t="shared" si="220"/>
        <v>CAUCA_LOPEZ</v>
      </c>
      <c r="ED1696" s="367"/>
      <c r="EE1696" s="367"/>
      <c r="EF1696" s="368"/>
      <c r="EG1696" s="367"/>
      <c r="EH1696" s="367"/>
      <c r="EI1696" s="367"/>
    </row>
    <row r="1697" spans="1:139" s="164" customFormat="1" ht="25.5">
      <c r="A1697" s="228">
        <v>40496</v>
      </c>
      <c r="B1697" s="205" t="s">
        <v>1314</v>
      </c>
      <c r="C1697" s="205" t="s">
        <v>896</v>
      </c>
      <c r="D1697" s="206" t="s">
        <v>1878</v>
      </c>
      <c r="E1697" s="320" t="s">
        <v>3605</v>
      </c>
      <c r="F1697" s="320"/>
      <c r="G1697" s="204">
        <v>2</v>
      </c>
      <c r="H1697" s="151">
        <v>4</v>
      </c>
      <c r="I1697" s="151"/>
      <c r="J1697" s="151">
        <v>10</v>
      </c>
      <c r="K1697" s="151">
        <v>2</v>
      </c>
      <c r="L1697" s="1"/>
      <c r="M1697" s="73">
        <f t="shared" si="215"/>
        <v>0</v>
      </c>
      <c r="N1697" s="73">
        <f t="shared" si="219"/>
        <v>0</v>
      </c>
      <c r="O1697" s="73">
        <f t="shared" si="214"/>
        <v>0</v>
      </c>
      <c r="P1697" s="73">
        <f t="shared" si="216"/>
        <v>0</v>
      </c>
      <c r="Q1697" s="73"/>
      <c r="R1697" s="73">
        <v>0</v>
      </c>
      <c r="S1697" s="75">
        <f t="shared" si="218"/>
        <v>0</v>
      </c>
      <c r="T1697" s="77">
        <v>0</v>
      </c>
      <c r="U1697" s="66">
        <v>40497</v>
      </c>
      <c r="V1697" s="79"/>
      <c r="W1697" s="66" t="s">
        <v>1585</v>
      </c>
      <c r="X1697" s="67" t="s">
        <v>1586</v>
      </c>
      <c r="Y1697" s="62"/>
      <c r="Z1697" s="169" t="s">
        <v>894</v>
      </c>
      <c r="AA1697" s="166" t="s">
        <v>2864</v>
      </c>
      <c r="AB1697" s="152"/>
      <c r="AC1697" s="153"/>
      <c r="AD1697" s="154"/>
      <c r="AE1697" s="153"/>
      <c r="AF1697" s="153"/>
      <c r="AG1697" s="153"/>
      <c r="AH1697" s="153"/>
      <c r="AI1697" s="153"/>
      <c r="AJ1697" s="153"/>
      <c r="AK1697" s="153"/>
      <c r="AL1697" s="153"/>
      <c r="AM1697" s="153"/>
      <c r="AN1697" s="153"/>
      <c r="AO1697" s="153"/>
      <c r="AP1697" s="153"/>
      <c r="AQ1697" s="153"/>
      <c r="AR1697" s="153"/>
      <c r="AS1697" s="153"/>
      <c r="AT1697" s="153"/>
      <c r="AU1697" s="153"/>
      <c r="AV1697" s="153"/>
      <c r="AW1697" s="153"/>
      <c r="AX1697" s="153"/>
      <c r="AY1697" s="153"/>
      <c r="AZ1697" s="153"/>
      <c r="BA1697" s="153"/>
      <c r="BB1697" s="153"/>
      <c r="BC1697" s="153"/>
      <c r="BD1697" s="153"/>
      <c r="BE1697" s="153"/>
      <c r="BF1697" s="153"/>
      <c r="BG1697" s="153"/>
      <c r="BH1697" s="153"/>
      <c r="BI1697" s="153"/>
      <c r="BJ1697" s="153"/>
      <c r="BK1697" s="153"/>
      <c r="BL1697" s="153"/>
      <c r="BM1697" s="153"/>
      <c r="BN1697" s="153"/>
      <c r="BO1697" s="153"/>
      <c r="BP1697" s="153"/>
      <c r="BQ1697" s="153"/>
      <c r="BR1697" s="153"/>
      <c r="BS1697" s="153"/>
      <c r="BT1697" s="153"/>
      <c r="BU1697" s="153"/>
      <c r="BV1697" s="153"/>
      <c r="BW1697" s="153"/>
      <c r="BX1697" s="153"/>
      <c r="BY1697" s="153"/>
      <c r="BZ1697" s="153"/>
      <c r="CA1697" s="153"/>
      <c r="CB1697" s="153"/>
      <c r="CC1697" s="153"/>
      <c r="CD1697" s="155"/>
      <c r="CE1697" s="156"/>
      <c r="CF1697" s="155"/>
      <c r="CG1697" s="156"/>
      <c r="CH1697" s="155"/>
      <c r="CI1697" s="156"/>
      <c r="CJ1697" s="157">
        <f t="shared" si="217"/>
        <v>0</v>
      </c>
      <c r="CK1697" s="158"/>
      <c r="CL1697" s="159"/>
      <c r="CM1697" s="160"/>
      <c r="CN1697" s="161"/>
      <c r="CO1697" s="162"/>
      <c r="CP1697" s="161"/>
      <c r="CQ1697" s="158"/>
      <c r="CR1697" s="159"/>
      <c r="CS1697" s="68"/>
      <c r="CT1697" s="163"/>
      <c r="EC1697" s="366" t="str">
        <f t="shared" si="220"/>
        <v>CAUCA_MERCADERES</v>
      </c>
      <c r="ED1697" s="367"/>
      <c r="EE1697" s="367"/>
      <c r="EF1697" s="368"/>
      <c r="EG1697" s="367"/>
      <c r="EH1697" s="367"/>
      <c r="EI1697" s="367"/>
    </row>
    <row r="1698" spans="1:139" s="164" customFormat="1" ht="25.5">
      <c r="A1698" s="228">
        <v>40496</v>
      </c>
      <c r="B1698" s="205" t="s">
        <v>1821</v>
      </c>
      <c r="C1698" s="205" t="s">
        <v>425</v>
      </c>
      <c r="D1698" s="207" t="s">
        <v>1201</v>
      </c>
      <c r="E1698" s="323" t="s">
        <v>3633</v>
      </c>
      <c r="F1698" s="323"/>
      <c r="G1698" s="204"/>
      <c r="H1698" s="151"/>
      <c r="I1698" s="151"/>
      <c r="J1698" s="151">
        <f>1482*5</f>
        <v>7410</v>
      </c>
      <c r="K1698" s="151">
        <v>1482</v>
      </c>
      <c r="L1698" s="1"/>
      <c r="M1698" s="73">
        <f t="shared" si="215"/>
        <v>0</v>
      </c>
      <c r="N1698" s="73">
        <f t="shared" si="219"/>
        <v>0</v>
      </c>
      <c r="O1698" s="73">
        <f t="shared" si="214"/>
        <v>0</v>
      </c>
      <c r="P1698" s="73">
        <f t="shared" si="216"/>
        <v>0</v>
      </c>
      <c r="Q1698" s="73"/>
      <c r="R1698" s="73">
        <v>0</v>
      </c>
      <c r="S1698" s="75">
        <f t="shared" si="218"/>
        <v>0</v>
      </c>
      <c r="T1698" s="77">
        <v>0</v>
      </c>
      <c r="U1698" s="66">
        <v>40496</v>
      </c>
      <c r="V1698" s="79"/>
      <c r="W1698" s="66" t="s">
        <v>1585</v>
      </c>
      <c r="X1698" s="67" t="s">
        <v>1586</v>
      </c>
      <c r="Y1698" s="62"/>
      <c r="Z1698" s="169" t="s">
        <v>894</v>
      </c>
      <c r="AA1698" s="166" t="s">
        <v>211</v>
      </c>
      <c r="AB1698" s="152"/>
      <c r="AC1698" s="153"/>
      <c r="AD1698" s="154"/>
      <c r="AE1698" s="153"/>
      <c r="AF1698" s="153"/>
      <c r="AG1698" s="153"/>
      <c r="AH1698" s="153"/>
      <c r="AI1698" s="153"/>
      <c r="AJ1698" s="153"/>
      <c r="AK1698" s="153"/>
      <c r="AL1698" s="153"/>
      <c r="AM1698" s="153"/>
      <c r="AN1698" s="153"/>
      <c r="AO1698" s="153"/>
      <c r="AP1698" s="153"/>
      <c r="AQ1698" s="153"/>
      <c r="AR1698" s="153"/>
      <c r="AS1698" s="153"/>
      <c r="AT1698" s="153"/>
      <c r="AU1698" s="153"/>
      <c r="AV1698" s="153"/>
      <c r="AW1698" s="153"/>
      <c r="AX1698" s="153"/>
      <c r="AY1698" s="153"/>
      <c r="AZ1698" s="153"/>
      <c r="BA1698" s="153"/>
      <c r="BB1698" s="153"/>
      <c r="BC1698" s="153"/>
      <c r="BD1698" s="153"/>
      <c r="BE1698" s="153"/>
      <c r="BF1698" s="153"/>
      <c r="BG1698" s="153"/>
      <c r="BH1698" s="153"/>
      <c r="BI1698" s="153"/>
      <c r="BJ1698" s="153"/>
      <c r="BK1698" s="153"/>
      <c r="BL1698" s="153"/>
      <c r="BM1698" s="153"/>
      <c r="BN1698" s="153"/>
      <c r="BO1698" s="153"/>
      <c r="BP1698" s="153"/>
      <c r="BQ1698" s="153"/>
      <c r="BR1698" s="153"/>
      <c r="BS1698" s="153"/>
      <c r="BT1698" s="153"/>
      <c r="BU1698" s="153"/>
      <c r="BV1698" s="153"/>
      <c r="BW1698" s="153"/>
      <c r="BX1698" s="153"/>
      <c r="BY1698" s="153"/>
      <c r="BZ1698" s="153"/>
      <c r="CA1698" s="153"/>
      <c r="CB1698" s="153"/>
      <c r="CC1698" s="153"/>
      <c r="CD1698" s="155"/>
      <c r="CE1698" s="156"/>
      <c r="CF1698" s="155"/>
      <c r="CG1698" s="156"/>
      <c r="CH1698" s="155"/>
      <c r="CI1698" s="156"/>
      <c r="CJ1698" s="157">
        <f t="shared" si="217"/>
        <v>0</v>
      </c>
      <c r="CK1698" s="158"/>
      <c r="CL1698" s="159"/>
      <c r="CM1698" s="160"/>
      <c r="CN1698" s="161"/>
      <c r="CO1698" s="162"/>
      <c r="CP1698" s="161"/>
      <c r="CQ1698" s="158"/>
      <c r="CR1698" s="159"/>
      <c r="CS1698" s="68"/>
      <c r="CT1698" s="163"/>
      <c r="EC1698" s="366" t="str">
        <f t="shared" si="220"/>
        <v>CESAR_BOSCONIA</v>
      </c>
      <c r="ED1698" s="367"/>
      <c r="EE1698" s="367"/>
      <c r="EF1698" s="368"/>
      <c r="EG1698" s="367"/>
      <c r="EH1698" s="367"/>
      <c r="EI1698" s="367"/>
    </row>
    <row r="1699" spans="1:139" s="164" customFormat="1" ht="38.25">
      <c r="A1699" s="228">
        <v>40496</v>
      </c>
      <c r="B1699" s="205" t="s">
        <v>965</v>
      </c>
      <c r="C1699" s="205" t="s">
        <v>1327</v>
      </c>
      <c r="D1699" s="207" t="s">
        <v>1201</v>
      </c>
      <c r="E1699" s="323" t="s">
        <v>3998</v>
      </c>
      <c r="F1699" s="323"/>
      <c r="G1699" s="204"/>
      <c r="H1699" s="151"/>
      <c r="I1699" s="151"/>
      <c r="J1699" s="151">
        <v>175</v>
      </c>
      <c r="K1699" s="151">
        <v>35</v>
      </c>
      <c r="L1699" s="1"/>
      <c r="M1699" s="73">
        <f t="shared" si="215"/>
        <v>0</v>
      </c>
      <c r="N1699" s="73">
        <f t="shared" si="219"/>
        <v>0</v>
      </c>
      <c r="O1699" s="73">
        <f t="shared" si="214"/>
        <v>0</v>
      </c>
      <c r="P1699" s="73">
        <f t="shared" si="216"/>
        <v>0</v>
      </c>
      <c r="Q1699" s="73"/>
      <c r="R1699" s="73">
        <v>0</v>
      </c>
      <c r="S1699" s="75">
        <f t="shared" si="218"/>
        <v>0</v>
      </c>
      <c r="T1699" s="77">
        <v>0</v>
      </c>
      <c r="U1699" s="66">
        <v>40497</v>
      </c>
      <c r="V1699" s="79"/>
      <c r="W1699" s="66" t="s">
        <v>1585</v>
      </c>
      <c r="X1699" s="24" t="s">
        <v>1586</v>
      </c>
      <c r="Y1699" s="62"/>
      <c r="Z1699" s="169" t="s">
        <v>894</v>
      </c>
      <c r="AA1699" s="166" t="s">
        <v>2879</v>
      </c>
      <c r="AB1699" s="152"/>
      <c r="AC1699" s="153"/>
      <c r="AD1699" s="154"/>
      <c r="AE1699" s="153"/>
      <c r="AF1699" s="153"/>
      <c r="AG1699" s="153"/>
      <c r="AH1699" s="153"/>
      <c r="AI1699" s="153"/>
      <c r="AJ1699" s="153"/>
      <c r="AK1699" s="153"/>
      <c r="AL1699" s="153"/>
      <c r="AM1699" s="153"/>
      <c r="AN1699" s="153"/>
      <c r="AO1699" s="153"/>
      <c r="AP1699" s="153"/>
      <c r="AQ1699" s="153"/>
      <c r="AR1699" s="153"/>
      <c r="AS1699" s="153"/>
      <c r="AT1699" s="153"/>
      <c r="AU1699" s="153"/>
      <c r="AV1699" s="153"/>
      <c r="AW1699" s="153"/>
      <c r="AX1699" s="153"/>
      <c r="AY1699" s="153"/>
      <c r="AZ1699" s="153"/>
      <c r="BA1699" s="153"/>
      <c r="BB1699" s="153"/>
      <c r="BC1699" s="153"/>
      <c r="BD1699" s="153"/>
      <c r="BE1699" s="153"/>
      <c r="BF1699" s="153"/>
      <c r="BG1699" s="153"/>
      <c r="BH1699" s="153"/>
      <c r="BI1699" s="153"/>
      <c r="BJ1699" s="153"/>
      <c r="BK1699" s="153"/>
      <c r="BL1699" s="153"/>
      <c r="BM1699" s="153"/>
      <c r="BN1699" s="153"/>
      <c r="BO1699" s="153"/>
      <c r="BP1699" s="153"/>
      <c r="BQ1699" s="153"/>
      <c r="BR1699" s="153"/>
      <c r="BS1699" s="153"/>
      <c r="BT1699" s="153"/>
      <c r="BU1699" s="153"/>
      <c r="BV1699" s="153"/>
      <c r="BW1699" s="153"/>
      <c r="BX1699" s="153"/>
      <c r="BY1699" s="153"/>
      <c r="BZ1699" s="153"/>
      <c r="CA1699" s="153"/>
      <c r="CB1699" s="153"/>
      <c r="CC1699" s="153"/>
      <c r="CD1699" s="155"/>
      <c r="CE1699" s="156"/>
      <c r="CF1699" s="155"/>
      <c r="CG1699" s="156"/>
      <c r="CH1699" s="155"/>
      <c r="CI1699" s="156"/>
      <c r="CJ1699" s="157">
        <f t="shared" si="217"/>
        <v>0</v>
      </c>
      <c r="CK1699" s="158"/>
      <c r="CL1699" s="159"/>
      <c r="CM1699" s="160"/>
      <c r="CN1699" s="161"/>
      <c r="CO1699" s="162"/>
      <c r="CP1699" s="161"/>
      <c r="CQ1699" s="158"/>
      <c r="CR1699" s="159"/>
      <c r="CS1699" s="68"/>
      <c r="CT1699" s="163"/>
      <c r="EC1699" s="366" t="str">
        <f t="shared" si="220"/>
        <v>NORTE DE SANTANDER_CUCUTA</v>
      </c>
      <c r="ED1699" s="367"/>
      <c r="EE1699" s="367"/>
      <c r="EF1699" s="368"/>
      <c r="EG1699" s="367"/>
      <c r="EH1699" s="367"/>
      <c r="EI1699" s="367"/>
    </row>
    <row r="1700" spans="1:139" s="164" customFormat="1" ht="72">
      <c r="A1700" s="228">
        <v>40496</v>
      </c>
      <c r="B1700" s="102" t="s">
        <v>1609</v>
      </c>
      <c r="C1700" s="205" t="s">
        <v>1605</v>
      </c>
      <c r="D1700" s="207" t="s">
        <v>1201</v>
      </c>
      <c r="E1700" s="323" t="s">
        <v>3182</v>
      </c>
      <c r="F1700" s="323"/>
      <c r="G1700" s="204"/>
      <c r="H1700" s="151"/>
      <c r="I1700" s="151"/>
      <c r="J1700" s="151"/>
      <c r="K1700" s="151"/>
      <c r="L1700" s="1">
        <v>40515</v>
      </c>
      <c r="M1700" s="73">
        <f t="shared" si="215"/>
        <v>103140000</v>
      </c>
      <c r="N1700" s="73">
        <f t="shared" si="219"/>
        <v>425000000</v>
      </c>
      <c r="O1700" s="73">
        <f t="shared" si="214"/>
        <v>0</v>
      </c>
      <c r="P1700" s="73">
        <f t="shared" si="216"/>
        <v>0</v>
      </c>
      <c r="Q1700" s="73"/>
      <c r="R1700" s="73">
        <v>40000000</v>
      </c>
      <c r="S1700" s="75">
        <f t="shared" si="218"/>
        <v>568140000</v>
      </c>
      <c r="T1700" s="77">
        <v>0</v>
      </c>
      <c r="U1700" s="66">
        <v>40500</v>
      </c>
      <c r="V1700" s="79">
        <v>64406</v>
      </c>
      <c r="W1700" s="66" t="s">
        <v>1606</v>
      </c>
      <c r="X1700" s="24" t="s">
        <v>1607</v>
      </c>
      <c r="Y1700" s="83" t="s">
        <v>527</v>
      </c>
      <c r="Z1700" s="169" t="s">
        <v>1435</v>
      </c>
      <c r="AA1700" s="166" t="s">
        <v>526</v>
      </c>
      <c r="AB1700" s="152"/>
      <c r="AC1700" s="153"/>
      <c r="AD1700" s="154"/>
      <c r="AE1700" s="153"/>
      <c r="AF1700" s="153"/>
      <c r="AG1700" s="153"/>
      <c r="AH1700" s="153"/>
      <c r="AI1700" s="153"/>
      <c r="AJ1700" s="153"/>
      <c r="AK1700" s="153"/>
      <c r="AL1700" s="153"/>
      <c r="AM1700" s="153"/>
      <c r="AN1700" s="153">
        <f>200+200</f>
        <v>400</v>
      </c>
      <c r="AO1700" s="153">
        <f>200*56000+200*56000</f>
        <v>22400000</v>
      </c>
      <c r="AP1700" s="153"/>
      <c r="AQ1700" s="153"/>
      <c r="AR1700" s="153"/>
      <c r="AS1700" s="153"/>
      <c r="AT1700" s="153"/>
      <c r="AU1700" s="153"/>
      <c r="AV1700" s="153"/>
      <c r="AW1700" s="153"/>
      <c r="AX1700" s="153"/>
      <c r="AY1700" s="153"/>
      <c r="AZ1700" s="153"/>
      <c r="BA1700" s="153"/>
      <c r="BB1700" s="153"/>
      <c r="BC1700" s="153"/>
      <c r="BD1700" s="153"/>
      <c r="BE1700" s="153"/>
      <c r="BF1700" s="153"/>
      <c r="BG1700" s="153"/>
      <c r="BH1700" s="153"/>
      <c r="BI1700" s="153"/>
      <c r="BJ1700" s="153"/>
      <c r="BK1700" s="153"/>
      <c r="BL1700" s="153"/>
      <c r="BM1700" s="153"/>
      <c r="BN1700" s="153">
        <v>20</v>
      </c>
      <c r="BO1700" s="153">
        <f>20*470000</f>
        <v>9400000</v>
      </c>
      <c r="BP1700" s="153"/>
      <c r="BQ1700" s="153"/>
      <c r="BR1700" s="153"/>
      <c r="BS1700" s="153"/>
      <c r="BT1700" s="153"/>
      <c r="BU1700" s="153"/>
      <c r="BV1700" s="153">
        <v>200</v>
      </c>
      <c r="BW1700" s="153">
        <f>200*18000</f>
        <v>3600000</v>
      </c>
      <c r="BX1700" s="153">
        <v>200</v>
      </c>
      <c r="BY1700" s="153">
        <f>200*21500</f>
        <v>4300000</v>
      </c>
      <c r="BZ1700" s="153"/>
      <c r="CA1700" s="153"/>
      <c r="CB1700" s="153"/>
      <c r="CC1700" s="153"/>
      <c r="CD1700" s="155">
        <v>1500</v>
      </c>
      <c r="CE1700" s="156">
        <f>1500*37000</f>
        <v>55500000</v>
      </c>
      <c r="CF1700" s="155">
        <v>200</v>
      </c>
      <c r="CG1700" s="156">
        <f>200*39700</f>
        <v>7940000</v>
      </c>
      <c r="CH1700" s="155"/>
      <c r="CI1700" s="156"/>
      <c r="CJ1700" s="157">
        <f t="shared" si="217"/>
        <v>103140000</v>
      </c>
      <c r="CK1700" s="158"/>
      <c r="CL1700" s="159"/>
      <c r="CM1700" s="160">
        <f>1500+3500</f>
        <v>5000</v>
      </c>
      <c r="CN1700" s="161">
        <f>1500*85000+3500*85000</f>
        <v>425000000</v>
      </c>
      <c r="CO1700" s="162"/>
      <c r="CP1700" s="161"/>
      <c r="CQ1700" s="158"/>
      <c r="CR1700" s="159"/>
      <c r="CS1700" s="68"/>
      <c r="CT1700" s="163"/>
      <c r="EC1700" s="366" t="str">
        <f t="shared" si="220"/>
        <v>RISARALDA_DEPARTAMENTO</v>
      </c>
      <c r="ED1700" s="367"/>
      <c r="EE1700" s="367"/>
      <c r="EF1700" s="368"/>
      <c r="EG1700" s="367"/>
      <c r="EH1700" s="367"/>
      <c r="EI1700" s="367"/>
    </row>
    <row r="1701" spans="1:139" s="164" customFormat="1" ht="48">
      <c r="A1701" s="228">
        <v>40496</v>
      </c>
      <c r="B1701" s="102" t="s">
        <v>1609</v>
      </c>
      <c r="C1701" s="205" t="s">
        <v>1455</v>
      </c>
      <c r="D1701" s="206" t="s">
        <v>1878</v>
      </c>
      <c r="E1701" s="320" t="s">
        <v>4055</v>
      </c>
      <c r="F1701" s="320"/>
      <c r="G1701" s="204"/>
      <c r="H1701" s="151"/>
      <c r="I1701" s="151"/>
      <c r="J1701" s="151">
        <f>188*5</f>
        <v>940</v>
      </c>
      <c r="K1701" s="151">
        <v>188</v>
      </c>
      <c r="L1701" s="1"/>
      <c r="M1701" s="73">
        <f t="shared" si="215"/>
        <v>0</v>
      </c>
      <c r="N1701" s="73">
        <f t="shared" si="219"/>
        <v>0</v>
      </c>
      <c r="O1701" s="73">
        <f t="shared" si="214"/>
        <v>0</v>
      </c>
      <c r="P1701" s="73">
        <f t="shared" si="216"/>
        <v>0</v>
      </c>
      <c r="Q1701" s="73"/>
      <c r="R1701" s="73">
        <v>0</v>
      </c>
      <c r="S1701" s="75">
        <f t="shared" si="218"/>
        <v>0</v>
      </c>
      <c r="T1701" s="77">
        <v>0</v>
      </c>
      <c r="U1701" s="66">
        <v>40505</v>
      </c>
      <c r="V1701" s="79"/>
      <c r="W1701" s="66" t="s">
        <v>1585</v>
      </c>
      <c r="X1701" s="24" t="s">
        <v>1586</v>
      </c>
      <c r="Y1701" s="62"/>
      <c r="Z1701" s="169" t="s">
        <v>894</v>
      </c>
      <c r="AA1701" s="166" t="s">
        <v>22</v>
      </c>
      <c r="AB1701" s="152"/>
      <c r="AC1701" s="153"/>
      <c r="AD1701" s="154"/>
      <c r="AE1701" s="153"/>
      <c r="AF1701" s="153"/>
      <c r="AG1701" s="153"/>
      <c r="AH1701" s="153"/>
      <c r="AI1701" s="153"/>
      <c r="AJ1701" s="153"/>
      <c r="AK1701" s="153"/>
      <c r="AL1701" s="153"/>
      <c r="AM1701" s="153"/>
      <c r="AN1701" s="153"/>
      <c r="AO1701" s="153"/>
      <c r="AP1701" s="153"/>
      <c r="AQ1701" s="153"/>
      <c r="AR1701" s="153"/>
      <c r="AS1701" s="153"/>
      <c r="AT1701" s="153"/>
      <c r="AU1701" s="153"/>
      <c r="AV1701" s="153"/>
      <c r="AW1701" s="153"/>
      <c r="AX1701" s="153"/>
      <c r="AY1701" s="153"/>
      <c r="AZ1701" s="153"/>
      <c r="BA1701" s="153"/>
      <c r="BB1701" s="153"/>
      <c r="BC1701" s="153"/>
      <c r="BD1701" s="153"/>
      <c r="BE1701" s="153"/>
      <c r="BF1701" s="153"/>
      <c r="BG1701" s="153"/>
      <c r="BH1701" s="153"/>
      <c r="BI1701" s="153"/>
      <c r="BJ1701" s="153"/>
      <c r="BK1701" s="153"/>
      <c r="BL1701" s="153"/>
      <c r="BM1701" s="153"/>
      <c r="BN1701" s="153"/>
      <c r="BO1701" s="153"/>
      <c r="BP1701" s="153"/>
      <c r="BQ1701" s="153"/>
      <c r="BR1701" s="153"/>
      <c r="BS1701" s="153"/>
      <c r="BT1701" s="153"/>
      <c r="BU1701" s="153"/>
      <c r="BV1701" s="153"/>
      <c r="BW1701" s="153"/>
      <c r="BX1701" s="153"/>
      <c r="BY1701" s="153"/>
      <c r="BZ1701" s="153"/>
      <c r="CA1701" s="153"/>
      <c r="CB1701" s="153"/>
      <c r="CC1701" s="153"/>
      <c r="CD1701" s="155"/>
      <c r="CE1701" s="156"/>
      <c r="CF1701" s="155"/>
      <c r="CG1701" s="156"/>
      <c r="CH1701" s="155"/>
      <c r="CI1701" s="156"/>
      <c r="CJ1701" s="157">
        <f t="shared" si="217"/>
        <v>0</v>
      </c>
      <c r="CK1701" s="158"/>
      <c r="CL1701" s="159"/>
      <c r="CM1701" s="160"/>
      <c r="CN1701" s="161"/>
      <c r="CO1701" s="162"/>
      <c r="CP1701" s="161"/>
      <c r="CQ1701" s="158"/>
      <c r="CR1701" s="159"/>
      <c r="CS1701" s="68"/>
      <c r="CT1701" s="163"/>
      <c r="EC1701" s="366" t="str">
        <f t="shared" si="220"/>
        <v>RISARALDA_GUATICA</v>
      </c>
      <c r="ED1701" s="367"/>
      <c r="EE1701" s="367"/>
      <c r="EF1701" s="368"/>
      <c r="EG1701" s="367"/>
      <c r="EH1701" s="367"/>
      <c r="EI1701" s="367"/>
    </row>
    <row r="1702" spans="1:139" s="164" customFormat="1" ht="25.5">
      <c r="A1702" s="228">
        <v>40496</v>
      </c>
      <c r="B1702" s="102" t="s">
        <v>1609</v>
      </c>
      <c r="C1702" s="205" t="s">
        <v>2004</v>
      </c>
      <c r="D1702" s="207" t="s">
        <v>1201</v>
      </c>
      <c r="E1702" s="328" t="s">
        <v>4050</v>
      </c>
      <c r="F1702" s="328"/>
      <c r="G1702" s="241"/>
      <c r="H1702" s="151"/>
      <c r="I1702" s="151"/>
      <c r="J1702" s="151">
        <f>744*5</f>
        <v>3720</v>
      </c>
      <c r="K1702" s="151">
        <f>574+170</f>
        <v>744</v>
      </c>
      <c r="L1702" s="1"/>
      <c r="M1702" s="73">
        <f t="shared" si="215"/>
        <v>0</v>
      </c>
      <c r="N1702" s="73">
        <f t="shared" si="219"/>
        <v>0</v>
      </c>
      <c r="O1702" s="73">
        <f t="shared" si="214"/>
        <v>0</v>
      </c>
      <c r="P1702" s="73">
        <f t="shared" si="216"/>
        <v>0</v>
      </c>
      <c r="Q1702" s="73"/>
      <c r="R1702" s="73">
        <v>0</v>
      </c>
      <c r="S1702" s="75">
        <f t="shared" si="218"/>
        <v>0</v>
      </c>
      <c r="T1702" s="77">
        <v>0</v>
      </c>
      <c r="U1702" s="66">
        <v>40497</v>
      </c>
      <c r="V1702" s="79"/>
      <c r="W1702" s="66" t="s">
        <v>1606</v>
      </c>
      <c r="X1702" s="24" t="s">
        <v>1607</v>
      </c>
      <c r="Y1702" s="62"/>
      <c r="Z1702" s="176" t="s">
        <v>2877</v>
      </c>
      <c r="AA1702" s="166" t="s">
        <v>2876</v>
      </c>
      <c r="AB1702" s="152"/>
      <c r="AC1702" s="153"/>
      <c r="AD1702" s="154"/>
      <c r="AE1702" s="153"/>
      <c r="AF1702" s="153"/>
      <c r="AG1702" s="153"/>
      <c r="AH1702" s="153"/>
      <c r="AI1702" s="153"/>
      <c r="AJ1702" s="153"/>
      <c r="AK1702" s="153"/>
      <c r="AL1702" s="153"/>
      <c r="AM1702" s="153"/>
      <c r="AN1702" s="153"/>
      <c r="AO1702" s="153"/>
      <c r="AP1702" s="153"/>
      <c r="AQ1702" s="153"/>
      <c r="AR1702" s="153"/>
      <c r="AS1702" s="153"/>
      <c r="AT1702" s="153"/>
      <c r="AU1702" s="153"/>
      <c r="AV1702" s="153"/>
      <c r="AW1702" s="153"/>
      <c r="AX1702" s="153"/>
      <c r="AY1702" s="153"/>
      <c r="AZ1702" s="153"/>
      <c r="BA1702" s="153"/>
      <c r="BB1702" s="153"/>
      <c r="BC1702" s="153"/>
      <c r="BD1702" s="153"/>
      <c r="BE1702" s="153"/>
      <c r="BF1702" s="153"/>
      <c r="BG1702" s="153"/>
      <c r="BH1702" s="153"/>
      <c r="BI1702" s="153"/>
      <c r="BJ1702" s="153"/>
      <c r="BK1702" s="153"/>
      <c r="BL1702" s="153"/>
      <c r="BM1702" s="153"/>
      <c r="BN1702" s="153"/>
      <c r="BO1702" s="153"/>
      <c r="BP1702" s="153"/>
      <c r="BQ1702" s="153"/>
      <c r="BR1702" s="153"/>
      <c r="BS1702" s="153"/>
      <c r="BT1702" s="153"/>
      <c r="BU1702" s="153"/>
      <c r="BV1702" s="153"/>
      <c r="BW1702" s="153"/>
      <c r="BX1702" s="153"/>
      <c r="BY1702" s="153"/>
      <c r="BZ1702" s="153"/>
      <c r="CA1702" s="153"/>
      <c r="CB1702" s="153"/>
      <c r="CC1702" s="153"/>
      <c r="CD1702" s="155"/>
      <c r="CE1702" s="156"/>
      <c r="CF1702" s="155"/>
      <c r="CG1702" s="156"/>
      <c r="CH1702" s="155"/>
      <c r="CI1702" s="156"/>
      <c r="CJ1702" s="157">
        <f t="shared" si="217"/>
        <v>0</v>
      </c>
      <c r="CK1702" s="158"/>
      <c r="CL1702" s="159"/>
      <c r="CM1702" s="160"/>
      <c r="CN1702" s="161"/>
      <c r="CO1702" s="162"/>
      <c r="CP1702" s="161"/>
      <c r="CQ1702" s="158"/>
      <c r="CR1702" s="159"/>
      <c r="CS1702" s="68"/>
      <c r="CT1702" s="163"/>
      <c r="EC1702" s="366" t="str">
        <f t="shared" si="220"/>
        <v>RISARALDA_PEREIRA</v>
      </c>
      <c r="ED1702" s="367"/>
      <c r="EE1702" s="367"/>
      <c r="EF1702" s="368"/>
      <c r="EG1702" s="367"/>
      <c r="EH1702" s="367"/>
      <c r="EI1702" s="367"/>
    </row>
    <row r="1703" spans="1:139" s="164" customFormat="1" ht="25.5">
      <c r="A1703" s="228">
        <v>40496</v>
      </c>
      <c r="B1703" s="102" t="s">
        <v>1609</v>
      </c>
      <c r="C1703" s="205" t="s">
        <v>2196</v>
      </c>
      <c r="D1703" s="206" t="s">
        <v>1878</v>
      </c>
      <c r="E1703" s="320" t="s">
        <v>4061</v>
      </c>
      <c r="F1703" s="320"/>
      <c r="G1703" s="204">
        <v>4</v>
      </c>
      <c r="H1703" s="151">
        <v>4</v>
      </c>
      <c r="I1703" s="151"/>
      <c r="J1703" s="151">
        <f>87*5</f>
        <v>435</v>
      </c>
      <c r="K1703" s="151">
        <f>94-7</f>
        <v>87</v>
      </c>
      <c r="L1703" s="1"/>
      <c r="M1703" s="73">
        <f t="shared" si="215"/>
        <v>0</v>
      </c>
      <c r="N1703" s="73">
        <f t="shared" si="219"/>
        <v>0</v>
      </c>
      <c r="O1703" s="73">
        <f t="shared" si="214"/>
        <v>0</v>
      </c>
      <c r="P1703" s="73">
        <f t="shared" si="216"/>
        <v>0</v>
      </c>
      <c r="Q1703" s="73"/>
      <c r="R1703" s="73">
        <v>0</v>
      </c>
      <c r="S1703" s="75">
        <f t="shared" si="218"/>
        <v>0</v>
      </c>
      <c r="T1703" s="77">
        <v>0</v>
      </c>
      <c r="U1703" s="66">
        <v>40497</v>
      </c>
      <c r="V1703" s="79"/>
      <c r="W1703" s="66" t="s">
        <v>1606</v>
      </c>
      <c r="X1703" s="24" t="s">
        <v>1607</v>
      </c>
      <c r="Y1703" s="62"/>
      <c r="Z1703" s="176" t="s">
        <v>2116</v>
      </c>
      <c r="AA1703" s="166" t="s">
        <v>2856</v>
      </c>
      <c r="AB1703" s="152"/>
      <c r="AC1703" s="153"/>
      <c r="AD1703" s="154"/>
      <c r="AE1703" s="153"/>
      <c r="AF1703" s="153"/>
      <c r="AG1703" s="153"/>
      <c r="AH1703" s="153"/>
      <c r="AI1703" s="153"/>
      <c r="AJ1703" s="153"/>
      <c r="AK1703" s="153"/>
      <c r="AL1703" s="153"/>
      <c r="AM1703" s="153"/>
      <c r="AN1703" s="153"/>
      <c r="AO1703" s="153"/>
      <c r="AP1703" s="153"/>
      <c r="AQ1703" s="153"/>
      <c r="AR1703" s="153"/>
      <c r="AS1703" s="153"/>
      <c r="AT1703" s="153"/>
      <c r="AU1703" s="153"/>
      <c r="AV1703" s="153"/>
      <c r="AW1703" s="153"/>
      <c r="AX1703" s="153"/>
      <c r="AY1703" s="153"/>
      <c r="AZ1703" s="153"/>
      <c r="BA1703" s="153"/>
      <c r="BB1703" s="153"/>
      <c r="BC1703" s="153"/>
      <c r="BD1703" s="153"/>
      <c r="BE1703" s="153"/>
      <c r="BF1703" s="153"/>
      <c r="BG1703" s="153"/>
      <c r="BH1703" s="153"/>
      <c r="BI1703" s="153"/>
      <c r="BJ1703" s="153"/>
      <c r="BK1703" s="153"/>
      <c r="BL1703" s="153"/>
      <c r="BM1703" s="153"/>
      <c r="BN1703" s="153"/>
      <c r="BO1703" s="153"/>
      <c r="BP1703" s="153"/>
      <c r="BQ1703" s="153"/>
      <c r="BR1703" s="153"/>
      <c r="BS1703" s="153"/>
      <c r="BT1703" s="153"/>
      <c r="BU1703" s="153"/>
      <c r="BV1703" s="153"/>
      <c r="BW1703" s="153"/>
      <c r="BX1703" s="153"/>
      <c r="BY1703" s="153"/>
      <c r="BZ1703" s="153"/>
      <c r="CA1703" s="153"/>
      <c r="CB1703" s="153"/>
      <c r="CC1703" s="153"/>
      <c r="CD1703" s="155"/>
      <c r="CE1703" s="156"/>
      <c r="CF1703" s="155"/>
      <c r="CG1703" s="156"/>
      <c r="CH1703" s="155"/>
      <c r="CI1703" s="156"/>
      <c r="CJ1703" s="157">
        <f t="shared" si="217"/>
        <v>0</v>
      </c>
      <c r="CK1703" s="158"/>
      <c r="CL1703" s="159"/>
      <c r="CM1703" s="160"/>
      <c r="CN1703" s="161"/>
      <c r="CO1703" s="162"/>
      <c r="CP1703" s="161"/>
      <c r="CQ1703" s="158"/>
      <c r="CR1703" s="159"/>
      <c r="CS1703" s="68"/>
      <c r="CT1703" s="163"/>
      <c r="EC1703" s="366" t="str">
        <f t="shared" si="220"/>
        <v>RISARALDA_QUINCHIA</v>
      </c>
      <c r="ED1703" s="367"/>
      <c r="EE1703" s="367"/>
      <c r="EF1703" s="368"/>
      <c r="EG1703" s="367"/>
      <c r="EH1703" s="367"/>
      <c r="EI1703" s="367"/>
    </row>
    <row r="1704" spans="1:139" s="164" customFormat="1" ht="25.5">
      <c r="A1704" s="228">
        <v>40496</v>
      </c>
      <c r="B1704" s="205" t="s">
        <v>2400</v>
      </c>
      <c r="C1704" s="205" t="s">
        <v>1545</v>
      </c>
      <c r="D1704" s="206" t="s">
        <v>1878</v>
      </c>
      <c r="E1704" s="320" t="s">
        <v>4177</v>
      </c>
      <c r="F1704" s="320"/>
      <c r="G1704" s="204"/>
      <c r="H1704" s="151"/>
      <c r="I1704" s="151"/>
      <c r="J1704" s="151">
        <v>55</v>
      </c>
      <c r="K1704" s="151">
        <v>11</v>
      </c>
      <c r="L1704" s="1"/>
      <c r="M1704" s="73">
        <f t="shared" si="215"/>
        <v>0</v>
      </c>
      <c r="N1704" s="73">
        <f t="shared" si="219"/>
        <v>0</v>
      </c>
      <c r="O1704" s="73">
        <f t="shared" si="214"/>
        <v>0</v>
      </c>
      <c r="P1704" s="73">
        <f t="shared" si="216"/>
        <v>0</v>
      </c>
      <c r="Q1704" s="73"/>
      <c r="R1704" s="73">
        <v>0</v>
      </c>
      <c r="S1704" s="75">
        <f t="shared" si="218"/>
        <v>0</v>
      </c>
      <c r="T1704" s="77">
        <v>0</v>
      </c>
      <c r="U1704" s="66">
        <v>40497</v>
      </c>
      <c r="V1704" s="79"/>
      <c r="W1704" s="66" t="s">
        <v>1585</v>
      </c>
      <c r="X1704" s="24" t="s">
        <v>1586</v>
      </c>
      <c r="Y1704" s="62"/>
      <c r="Z1704" s="169" t="s">
        <v>894</v>
      </c>
      <c r="AA1704" s="166" t="s">
        <v>2857</v>
      </c>
      <c r="AB1704" s="152"/>
      <c r="AC1704" s="153"/>
      <c r="AD1704" s="154"/>
      <c r="AE1704" s="153"/>
      <c r="AF1704" s="153"/>
      <c r="AG1704" s="153"/>
      <c r="AH1704" s="153"/>
      <c r="AI1704" s="153"/>
      <c r="AJ1704" s="153"/>
      <c r="AK1704" s="153"/>
      <c r="AL1704" s="153"/>
      <c r="AM1704" s="153"/>
      <c r="AN1704" s="153"/>
      <c r="AO1704" s="153"/>
      <c r="AP1704" s="153"/>
      <c r="AQ1704" s="153"/>
      <c r="AR1704" s="153"/>
      <c r="AS1704" s="153"/>
      <c r="AT1704" s="153"/>
      <c r="AU1704" s="153"/>
      <c r="AV1704" s="153"/>
      <c r="AW1704" s="153"/>
      <c r="AX1704" s="153"/>
      <c r="AY1704" s="153"/>
      <c r="AZ1704" s="153"/>
      <c r="BA1704" s="153"/>
      <c r="BB1704" s="153"/>
      <c r="BC1704" s="153"/>
      <c r="BD1704" s="153"/>
      <c r="BE1704" s="153"/>
      <c r="BF1704" s="153"/>
      <c r="BG1704" s="153"/>
      <c r="BH1704" s="153"/>
      <c r="BI1704" s="153"/>
      <c r="BJ1704" s="153"/>
      <c r="BK1704" s="153"/>
      <c r="BL1704" s="153"/>
      <c r="BM1704" s="153"/>
      <c r="BN1704" s="153"/>
      <c r="BO1704" s="153"/>
      <c r="BP1704" s="153"/>
      <c r="BQ1704" s="153"/>
      <c r="BR1704" s="153"/>
      <c r="BS1704" s="153"/>
      <c r="BT1704" s="153"/>
      <c r="BU1704" s="153"/>
      <c r="BV1704" s="153"/>
      <c r="BW1704" s="153"/>
      <c r="BX1704" s="153"/>
      <c r="BY1704" s="153"/>
      <c r="BZ1704" s="153"/>
      <c r="CA1704" s="153"/>
      <c r="CB1704" s="153"/>
      <c r="CC1704" s="153"/>
      <c r="CD1704" s="155"/>
      <c r="CE1704" s="156"/>
      <c r="CF1704" s="155"/>
      <c r="CG1704" s="156"/>
      <c r="CH1704" s="155"/>
      <c r="CI1704" s="156"/>
      <c r="CJ1704" s="157">
        <f t="shared" si="217"/>
        <v>0</v>
      </c>
      <c r="CK1704" s="158"/>
      <c r="CL1704" s="159"/>
      <c r="CM1704" s="160"/>
      <c r="CN1704" s="161"/>
      <c r="CO1704" s="162"/>
      <c r="CP1704" s="161"/>
      <c r="CQ1704" s="158"/>
      <c r="CR1704" s="159"/>
      <c r="CS1704" s="68"/>
      <c r="CT1704" s="163"/>
      <c r="EC1704" s="366" t="str">
        <f t="shared" si="220"/>
        <v>TOLIMA_IBAGUE</v>
      </c>
      <c r="ED1704" s="367"/>
      <c r="EE1704" s="367"/>
      <c r="EF1704" s="368"/>
      <c r="EG1704" s="367"/>
      <c r="EH1704" s="367"/>
      <c r="EI1704" s="367"/>
    </row>
    <row r="1705" spans="1:139" s="164" customFormat="1" ht="48">
      <c r="A1705" s="228">
        <v>40496</v>
      </c>
      <c r="B1705" s="205" t="s">
        <v>1088</v>
      </c>
      <c r="C1705" s="205" t="s">
        <v>1548</v>
      </c>
      <c r="D1705" s="207" t="s">
        <v>1201</v>
      </c>
      <c r="E1705" s="323" t="s">
        <v>4235</v>
      </c>
      <c r="F1705" s="323"/>
      <c r="G1705" s="204"/>
      <c r="H1705" s="151"/>
      <c r="I1705" s="151"/>
      <c r="J1705" s="151">
        <f>300*5</f>
        <v>1500</v>
      </c>
      <c r="K1705" s="151">
        <v>300</v>
      </c>
      <c r="L1705" s="1"/>
      <c r="M1705" s="73">
        <f t="shared" si="215"/>
        <v>0</v>
      </c>
      <c r="N1705" s="73">
        <f t="shared" si="219"/>
        <v>0</v>
      </c>
      <c r="O1705" s="73">
        <f t="shared" si="214"/>
        <v>0</v>
      </c>
      <c r="P1705" s="73">
        <f t="shared" si="216"/>
        <v>0</v>
      </c>
      <c r="Q1705" s="73"/>
      <c r="R1705" s="73">
        <v>0</v>
      </c>
      <c r="S1705" s="75">
        <f t="shared" si="218"/>
        <v>0</v>
      </c>
      <c r="T1705" s="77">
        <v>0</v>
      </c>
      <c r="U1705" s="66">
        <v>40497</v>
      </c>
      <c r="V1705" s="79"/>
      <c r="W1705" s="66" t="s">
        <v>1585</v>
      </c>
      <c r="X1705" s="24" t="s">
        <v>1586</v>
      </c>
      <c r="Y1705" s="62"/>
      <c r="Z1705" s="169" t="s">
        <v>894</v>
      </c>
      <c r="AA1705" s="166" t="s">
        <v>2929</v>
      </c>
      <c r="AB1705" s="152"/>
      <c r="AC1705" s="153"/>
      <c r="AD1705" s="154"/>
      <c r="AE1705" s="153"/>
      <c r="AF1705" s="153"/>
      <c r="AG1705" s="153"/>
      <c r="AH1705" s="153"/>
      <c r="AI1705" s="153"/>
      <c r="AJ1705" s="153"/>
      <c r="AK1705" s="153"/>
      <c r="AL1705" s="153"/>
      <c r="AM1705" s="153"/>
      <c r="AN1705" s="153"/>
      <c r="AO1705" s="153"/>
      <c r="AP1705" s="153"/>
      <c r="AQ1705" s="153"/>
      <c r="AR1705" s="153"/>
      <c r="AS1705" s="153"/>
      <c r="AT1705" s="153"/>
      <c r="AU1705" s="153"/>
      <c r="AV1705" s="153"/>
      <c r="AW1705" s="153"/>
      <c r="AX1705" s="153"/>
      <c r="AY1705" s="153"/>
      <c r="AZ1705" s="153"/>
      <c r="BA1705" s="153"/>
      <c r="BB1705" s="153"/>
      <c r="BC1705" s="153"/>
      <c r="BD1705" s="153"/>
      <c r="BE1705" s="153"/>
      <c r="BF1705" s="153"/>
      <c r="BG1705" s="153"/>
      <c r="BH1705" s="153"/>
      <c r="BI1705" s="153"/>
      <c r="BJ1705" s="153"/>
      <c r="BK1705" s="153"/>
      <c r="BL1705" s="153"/>
      <c r="BM1705" s="153"/>
      <c r="BN1705" s="153"/>
      <c r="BO1705" s="153"/>
      <c r="BP1705" s="153"/>
      <c r="BQ1705" s="153"/>
      <c r="BR1705" s="153"/>
      <c r="BS1705" s="153"/>
      <c r="BT1705" s="153"/>
      <c r="BU1705" s="153"/>
      <c r="BV1705" s="153"/>
      <c r="BW1705" s="153"/>
      <c r="BX1705" s="153"/>
      <c r="BY1705" s="153"/>
      <c r="BZ1705" s="153"/>
      <c r="CA1705" s="153"/>
      <c r="CB1705" s="153"/>
      <c r="CC1705" s="153"/>
      <c r="CD1705" s="155"/>
      <c r="CE1705" s="156"/>
      <c r="CF1705" s="155"/>
      <c r="CG1705" s="156"/>
      <c r="CH1705" s="155"/>
      <c r="CI1705" s="156"/>
      <c r="CJ1705" s="157">
        <f t="shared" si="217"/>
        <v>0</v>
      </c>
      <c r="CK1705" s="158"/>
      <c r="CL1705" s="159"/>
      <c r="CM1705" s="160"/>
      <c r="CN1705" s="161"/>
      <c r="CO1705" s="162"/>
      <c r="CP1705" s="161"/>
      <c r="CQ1705" s="158"/>
      <c r="CR1705" s="159"/>
      <c r="CS1705" s="68"/>
      <c r="CT1705" s="163"/>
      <c r="EC1705" s="366" t="str">
        <f t="shared" si="220"/>
        <v>VALLE DEL CAUCA_CANDELARIA</v>
      </c>
      <c r="ED1705" s="367"/>
      <c r="EE1705" s="367"/>
      <c r="EF1705" s="368"/>
      <c r="EG1705" s="367"/>
      <c r="EH1705" s="367"/>
      <c r="EI1705" s="367"/>
    </row>
    <row r="1706" spans="1:139" s="164" customFormat="1" ht="38.25">
      <c r="A1706" s="228">
        <v>40496</v>
      </c>
      <c r="B1706" s="205" t="s">
        <v>1088</v>
      </c>
      <c r="C1706" s="205" t="s">
        <v>2823</v>
      </c>
      <c r="D1706" s="207" t="s">
        <v>1201</v>
      </c>
      <c r="E1706" s="323" t="s">
        <v>4264</v>
      </c>
      <c r="F1706" s="323"/>
      <c r="G1706" s="204"/>
      <c r="H1706" s="151"/>
      <c r="I1706" s="151"/>
      <c r="J1706" s="151">
        <f>260*5</f>
        <v>1300</v>
      </c>
      <c r="K1706" s="151">
        <f>325-60-5</f>
        <v>260</v>
      </c>
      <c r="L1706" s="1"/>
      <c r="M1706" s="73">
        <f t="shared" si="215"/>
        <v>0</v>
      </c>
      <c r="N1706" s="73">
        <f t="shared" si="219"/>
        <v>0</v>
      </c>
      <c r="O1706" s="73">
        <f t="shared" si="214"/>
        <v>0</v>
      </c>
      <c r="P1706" s="73">
        <f t="shared" si="216"/>
        <v>0</v>
      </c>
      <c r="Q1706" s="73"/>
      <c r="R1706" s="73">
        <v>0</v>
      </c>
      <c r="S1706" s="75">
        <f t="shared" si="218"/>
        <v>0</v>
      </c>
      <c r="T1706" s="77">
        <v>0</v>
      </c>
      <c r="U1706" s="66">
        <v>40497</v>
      </c>
      <c r="V1706" s="79"/>
      <c r="W1706" s="66" t="s">
        <v>1585</v>
      </c>
      <c r="X1706" s="24" t="s">
        <v>1586</v>
      </c>
      <c r="Y1706" s="62"/>
      <c r="Z1706" s="169" t="s">
        <v>894</v>
      </c>
      <c r="AA1706" s="166" t="s">
        <v>2133</v>
      </c>
      <c r="AB1706" s="152"/>
      <c r="AC1706" s="153"/>
      <c r="AD1706" s="154"/>
      <c r="AE1706" s="153"/>
      <c r="AF1706" s="153"/>
      <c r="AG1706" s="153"/>
      <c r="AH1706" s="153"/>
      <c r="AI1706" s="153"/>
      <c r="AJ1706" s="153"/>
      <c r="AK1706" s="153"/>
      <c r="AL1706" s="153"/>
      <c r="AM1706" s="153"/>
      <c r="AN1706" s="153"/>
      <c r="AO1706" s="153"/>
      <c r="AP1706" s="153"/>
      <c r="AQ1706" s="153"/>
      <c r="AR1706" s="153"/>
      <c r="AS1706" s="153"/>
      <c r="AT1706" s="153"/>
      <c r="AU1706" s="153"/>
      <c r="AV1706" s="153"/>
      <c r="AW1706" s="153"/>
      <c r="AX1706" s="153"/>
      <c r="AY1706" s="153"/>
      <c r="AZ1706" s="153"/>
      <c r="BA1706" s="153"/>
      <c r="BB1706" s="153"/>
      <c r="BC1706" s="153"/>
      <c r="BD1706" s="153"/>
      <c r="BE1706" s="153"/>
      <c r="BF1706" s="153"/>
      <c r="BG1706" s="153"/>
      <c r="BH1706" s="153"/>
      <c r="BI1706" s="153"/>
      <c r="BJ1706" s="153"/>
      <c r="BK1706" s="153"/>
      <c r="BL1706" s="153"/>
      <c r="BM1706" s="153"/>
      <c r="BN1706" s="153"/>
      <c r="BO1706" s="153"/>
      <c r="BP1706" s="153"/>
      <c r="BQ1706" s="153"/>
      <c r="BR1706" s="153"/>
      <c r="BS1706" s="153"/>
      <c r="BT1706" s="153"/>
      <c r="BU1706" s="153"/>
      <c r="BV1706" s="153"/>
      <c r="BW1706" s="153"/>
      <c r="BX1706" s="153"/>
      <c r="BY1706" s="153"/>
      <c r="BZ1706" s="153"/>
      <c r="CA1706" s="153"/>
      <c r="CB1706" s="153"/>
      <c r="CC1706" s="153"/>
      <c r="CD1706" s="155"/>
      <c r="CE1706" s="156"/>
      <c r="CF1706" s="155"/>
      <c r="CG1706" s="156"/>
      <c r="CH1706" s="155"/>
      <c r="CI1706" s="156"/>
      <c r="CJ1706" s="157">
        <f t="shared" si="217"/>
        <v>0</v>
      </c>
      <c r="CK1706" s="158"/>
      <c r="CL1706" s="159"/>
      <c r="CM1706" s="160"/>
      <c r="CN1706" s="161"/>
      <c r="CO1706" s="162"/>
      <c r="CP1706" s="161"/>
      <c r="CQ1706" s="158"/>
      <c r="CR1706" s="159"/>
      <c r="CS1706" s="68"/>
      <c r="CT1706" s="163"/>
      <c r="EC1706" s="366" t="str">
        <f t="shared" si="220"/>
        <v>VALLE DEL CAUCA_YUMBO</v>
      </c>
      <c r="ED1706" s="367"/>
      <c r="EE1706" s="367"/>
      <c r="EF1706" s="368"/>
      <c r="EG1706" s="367"/>
      <c r="EH1706" s="367"/>
      <c r="EI1706" s="367"/>
    </row>
    <row r="1707" spans="1:139" s="164" customFormat="1" ht="25.5">
      <c r="A1707" s="228">
        <v>40497</v>
      </c>
      <c r="B1707" s="205" t="s">
        <v>1192</v>
      </c>
      <c r="C1707" s="205" t="s">
        <v>1929</v>
      </c>
      <c r="D1707" s="206" t="s">
        <v>1878</v>
      </c>
      <c r="E1707" s="320" t="s">
        <v>3474</v>
      </c>
      <c r="F1707" s="320"/>
      <c r="G1707" s="204"/>
      <c r="H1707" s="151"/>
      <c r="I1707" s="151"/>
      <c r="J1707" s="151">
        <v>300</v>
      </c>
      <c r="K1707" s="151">
        <v>60</v>
      </c>
      <c r="L1707" s="1">
        <v>40530</v>
      </c>
      <c r="M1707" s="73">
        <f t="shared" si="215"/>
        <v>6009968</v>
      </c>
      <c r="N1707" s="73">
        <f t="shared" si="219"/>
        <v>4250000</v>
      </c>
      <c r="O1707" s="73">
        <f t="shared" si="214"/>
        <v>0</v>
      </c>
      <c r="P1707" s="73">
        <f t="shared" si="216"/>
        <v>0</v>
      </c>
      <c r="Q1707" s="73"/>
      <c r="R1707" s="73">
        <v>0</v>
      </c>
      <c r="S1707" s="75">
        <f t="shared" si="218"/>
        <v>10259968</v>
      </c>
      <c r="T1707" s="77">
        <v>0</v>
      </c>
      <c r="U1707" s="66">
        <v>40498</v>
      </c>
      <c r="V1707" s="79"/>
      <c r="W1707" s="66" t="s">
        <v>1606</v>
      </c>
      <c r="X1707" s="24" t="s">
        <v>1607</v>
      </c>
      <c r="Y1707" s="83" t="s">
        <v>237</v>
      </c>
      <c r="Z1707" s="169" t="s">
        <v>2877</v>
      </c>
      <c r="AA1707" s="166" t="s">
        <v>2884</v>
      </c>
      <c r="AB1707" s="152"/>
      <c r="AC1707" s="153"/>
      <c r="AD1707" s="154"/>
      <c r="AE1707" s="153"/>
      <c r="AF1707" s="153"/>
      <c r="AG1707" s="153"/>
      <c r="AH1707" s="153"/>
      <c r="AI1707" s="153"/>
      <c r="AJ1707" s="153"/>
      <c r="AK1707" s="153"/>
      <c r="AL1707" s="153"/>
      <c r="AM1707" s="153"/>
      <c r="AN1707" s="153"/>
      <c r="AO1707" s="153"/>
      <c r="AP1707" s="153"/>
      <c r="AQ1707" s="153"/>
      <c r="AR1707" s="153"/>
      <c r="AS1707" s="153"/>
      <c r="AT1707" s="153"/>
      <c r="AU1707" s="153"/>
      <c r="AV1707" s="153"/>
      <c r="AW1707" s="153"/>
      <c r="AX1707" s="153"/>
      <c r="AY1707" s="153"/>
      <c r="AZ1707" s="153">
        <v>50</v>
      </c>
      <c r="BA1707" s="153">
        <f>50*25500</f>
        <v>1275000</v>
      </c>
      <c r="BB1707" s="153"/>
      <c r="BC1707" s="153"/>
      <c r="BD1707" s="153"/>
      <c r="BE1707" s="153"/>
      <c r="BF1707" s="153"/>
      <c r="BG1707" s="153"/>
      <c r="BH1707" s="153"/>
      <c r="BI1707" s="153"/>
      <c r="BJ1707" s="153"/>
      <c r="BK1707" s="153"/>
      <c r="BL1707" s="153"/>
      <c r="BM1707" s="153"/>
      <c r="BN1707" s="153"/>
      <c r="BO1707" s="153"/>
      <c r="BP1707" s="153"/>
      <c r="BQ1707" s="153"/>
      <c r="BR1707" s="153"/>
      <c r="BS1707" s="153"/>
      <c r="BT1707" s="153"/>
      <c r="BU1707" s="153"/>
      <c r="BV1707" s="153"/>
      <c r="BW1707" s="153"/>
      <c r="BX1707" s="153"/>
      <c r="BY1707" s="153"/>
      <c r="BZ1707" s="153"/>
      <c r="CA1707" s="153"/>
      <c r="CB1707" s="153">
        <v>50</v>
      </c>
      <c r="CC1707" s="153">
        <f>50*18000</f>
        <v>900000</v>
      </c>
      <c r="CD1707" s="155">
        <v>50</v>
      </c>
      <c r="CE1707" s="156">
        <f>50*36999.36</f>
        <v>1849968</v>
      </c>
      <c r="CF1707" s="155">
        <v>50</v>
      </c>
      <c r="CG1707" s="156">
        <f>50*39700</f>
        <v>1985000</v>
      </c>
      <c r="CH1707" s="155"/>
      <c r="CI1707" s="156"/>
      <c r="CJ1707" s="157">
        <f t="shared" si="217"/>
        <v>6009968</v>
      </c>
      <c r="CK1707" s="158"/>
      <c r="CL1707" s="159"/>
      <c r="CM1707" s="160">
        <v>50</v>
      </c>
      <c r="CN1707" s="161">
        <f>50*85000</f>
        <v>4250000</v>
      </c>
      <c r="CO1707" s="162"/>
      <c r="CP1707" s="161"/>
      <c r="CQ1707" s="158"/>
      <c r="CR1707" s="159"/>
      <c r="CS1707" s="68"/>
      <c r="CT1707" s="163"/>
      <c r="EC1707" s="366" t="str">
        <f t="shared" si="220"/>
        <v>BOYACA_MIRAFLORES</v>
      </c>
      <c r="ED1707" s="367"/>
      <c r="EE1707" s="367"/>
      <c r="EF1707" s="368"/>
      <c r="EG1707" s="367"/>
      <c r="EH1707" s="367"/>
      <c r="EI1707" s="367"/>
    </row>
    <row r="1708" spans="1:139" s="164" customFormat="1" ht="25.5">
      <c r="A1708" s="228">
        <v>40497</v>
      </c>
      <c r="B1708" s="205" t="s">
        <v>1314</v>
      </c>
      <c r="C1708" s="205" t="s">
        <v>2535</v>
      </c>
      <c r="D1708" s="206" t="s">
        <v>1878</v>
      </c>
      <c r="E1708" s="320" t="s">
        <v>3592</v>
      </c>
      <c r="F1708" s="320"/>
      <c r="G1708" s="204"/>
      <c r="H1708" s="151"/>
      <c r="I1708" s="151"/>
      <c r="J1708" s="151">
        <v>75</v>
      </c>
      <c r="K1708" s="151">
        <v>15</v>
      </c>
      <c r="L1708" s="1"/>
      <c r="M1708" s="73">
        <f t="shared" si="215"/>
        <v>0</v>
      </c>
      <c r="N1708" s="73">
        <f t="shared" si="219"/>
        <v>0</v>
      </c>
      <c r="O1708" s="73">
        <f t="shared" si="214"/>
        <v>0</v>
      </c>
      <c r="P1708" s="73">
        <f t="shared" si="216"/>
        <v>0</v>
      </c>
      <c r="Q1708" s="73"/>
      <c r="R1708" s="73">
        <v>0</v>
      </c>
      <c r="S1708" s="75">
        <f t="shared" si="218"/>
        <v>0</v>
      </c>
      <c r="T1708" s="77">
        <v>0</v>
      </c>
      <c r="U1708" s="66">
        <v>40498</v>
      </c>
      <c r="V1708" s="79"/>
      <c r="W1708" s="66" t="s">
        <v>1585</v>
      </c>
      <c r="X1708" s="24" t="s">
        <v>1586</v>
      </c>
      <c r="Y1708" s="62"/>
      <c r="Z1708" s="169" t="s">
        <v>2877</v>
      </c>
      <c r="AA1708" s="166" t="s">
        <v>2883</v>
      </c>
      <c r="AB1708" s="152"/>
      <c r="AC1708" s="153"/>
      <c r="AD1708" s="154"/>
      <c r="AE1708" s="153"/>
      <c r="AF1708" s="153"/>
      <c r="AG1708" s="153"/>
      <c r="AH1708" s="153"/>
      <c r="AI1708" s="153"/>
      <c r="AJ1708" s="153"/>
      <c r="AK1708" s="153"/>
      <c r="AL1708" s="153"/>
      <c r="AM1708" s="153"/>
      <c r="AN1708" s="153"/>
      <c r="AO1708" s="153"/>
      <c r="AP1708" s="153"/>
      <c r="AQ1708" s="153"/>
      <c r="AR1708" s="153"/>
      <c r="AS1708" s="153"/>
      <c r="AT1708" s="153"/>
      <c r="AU1708" s="153"/>
      <c r="AV1708" s="153"/>
      <c r="AW1708" s="153"/>
      <c r="AX1708" s="153"/>
      <c r="AY1708" s="153"/>
      <c r="AZ1708" s="153"/>
      <c r="BA1708" s="153"/>
      <c r="BB1708" s="153"/>
      <c r="BC1708" s="153"/>
      <c r="BD1708" s="153"/>
      <c r="BE1708" s="153"/>
      <c r="BF1708" s="153"/>
      <c r="BG1708" s="153"/>
      <c r="BH1708" s="153"/>
      <c r="BI1708" s="153"/>
      <c r="BJ1708" s="153"/>
      <c r="BK1708" s="153"/>
      <c r="BL1708" s="153"/>
      <c r="BM1708" s="153"/>
      <c r="BN1708" s="153"/>
      <c r="BO1708" s="153"/>
      <c r="BP1708" s="153"/>
      <c r="BQ1708" s="153"/>
      <c r="BR1708" s="153"/>
      <c r="BS1708" s="153"/>
      <c r="BT1708" s="153"/>
      <c r="BU1708" s="153"/>
      <c r="BV1708" s="153"/>
      <c r="BW1708" s="153"/>
      <c r="BX1708" s="153"/>
      <c r="BY1708" s="153"/>
      <c r="BZ1708" s="153"/>
      <c r="CA1708" s="153"/>
      <c r="CB1708" s="153"/>
      <c r="CC1708" s="153"/>
      <c r="CD1708" s="155"/>
      <c r="CE1708" s="156"/>
      <c r="CF1708" s="155"/>
      <c r="CG1708" s="156"/>
      <c r="CH1708" s="155"/>
      <c r="CI1708" s="156"/>
      <c r="CJ1708" s="157">
        <f t="shared" si="217"/>
        <v>0</v>
      </c>
      <c r="CK1708" s="158"/>
      <c r="CL1708" s="159"/>
      <c r="CM1708" s="160"/>
      <c r="CN1708" s="161"/>
      <c r="CO1708" s="162"/>
      <c r="CP1708" s="161"/>
      <c r="CQ1708" s="158"/>
      <c r="CR1708" s="159"/>
      <c r="CS1708" s="68"/>
      <c r="CT1708" s="163"/>
      <c r="EC1708" s="366" t="str">
        <f t="shared" si="220"/>
        <v>CAUCA_CAJIBIO</v>
      </c>
      <c r="ED1708" s="367"/>
      <c r="EE1708" s="367"/>
      <c r="EF1708" s="368"/>
      <c r="EG1708" s="367"/>
      <c r="EH1708" s="367"/>
      <c r="EI1708" s="367"/>
    </row>
    <row r="1709" spans="1:139" s="164" customFormat="1" ht="38.25">
      <c r="A1709" s="228">
        <v>40497</v>
      </c>
      <c r="B1709" s="205" t="s">
        <v>1604</v>
      </c>
      <c r="C1709" s="205" t="s">
        <v>2868</v>
      </c>
      <c r="D1709" s="206" t="s">
        <v>1878</v>
      </c>
      <c r="E1709" s="320" t="s">
        <v>3771</v>
      </c>
      <c r="F1709" s="320"/>
      <c r="G1709" s="204"/>
      <c r="H1709" s="151"/>
      <c r="I1709" s="151"/>
      <c r="J1709" s="151">
        <v>5</v>
      </c>
      <c r="K1709" s="151">
        <v>1</v>
      </c>
      <c r="L1709" s="1"/>
      <c r="M1709" s="73">
        <f t="shared" si="215"/>
        <v>0</v>
      </c>
      <c r="N1709" s="73">
        <f t="shared" si="219"/>
        <v>0</v>
      </c>
      <c r="O1709" s="73">
        <f t="shared" si="214"/>
        <v>0</v>
      </c>
      <c r="P1709" s="73">
        <f t="shared" si="216"/>
        <v>0</v>
      </c>
      <c r="Q1709" s="73"/>
      <c r="R1709" s="73">
        <v>0</v>
      </c>
      <c r="S1709" s="75">
        <f t="shared" si="218"/>
        <v>0</v>
      </c>
      <c r="T1709" s="77">
        <v>0</v>
      </c>
      <c r="U1709" s="66">
        <v>40498</v>
      </c>
      <c r="V1709" s="79"/>
      <c r="W1709" s="66" t="s">
        <v>1585</v>
      </c>
      <c r="X1709" s="24" t="s">
        <v>1586</v>
      </c>
      <c r="Y1709" s="62"/>
      <c r="Z1709" s="169" t="s">
        <v>2877</v>
      </c>
      <c r="AA1709" s="166" t="s">
        <v>2869</v>
      </c>
      <c r="AB1709" s="152"/>
      <c r="AC1709" s="153"/>
      <c r="AD1709" s="154"/>
      <c r="AE1709" s="153"/>
      <c r="AF1709" s="153"/>
      <c r="AG1709" s="153"/>
      <c r="AH1709" s="153"/>
      <c r="AI1709" s="153"/>
      <c r="AJ1709" s="153"/>
      <c r="AK1709" s="153"/>
      <c r="AL1709" s="153"/>
      <c r="AM1709" s="153"/>
      <c r="AN1709" s="153"/>
      <c r="AO1709" s="153"/>
      <c r="AP1709" s="153"/>
      <c r="AQ1709" s="153"/>
      <c r="AR1709" s="153"/>
      <c r="AS1709" s="153"/>
      <c r="AT1709" s="153"/>
      <c r="AU1709" s="153"/>
      <c r="AV1709" s="153"/>
      <c r="AW1709" s="153"/>
      <c r="AX1709" s="153"/>
      <c r="AY1709" s="153"/>
      <c r="AZ1709" s="153"/>
      <c r="BA1709" s="153"/>
      <c r="BB1709" s="153"/>
      <c r="BC1709" s="153"/>
      <c r="BD1709" s="153"/>
      <c r="BE1709" s="153"/>
      <c r="BF1709" s="153"/>
      <c r="BG1709" s="153"/>
      <c r="BH1709" s="153"/>
      <c r="BI1709" s="153"/>
      <c r="BJ1709" s="153"/>
      <c r="BK1709" s="153"/>
      <c r="BL1709" s="153"/>
      <c r="BM1709" s="153"/>
      <c r="BN1709" s="153"/>
      <c r="BO1709" s="153"/>
      <c r="BP1709" s="153"/>
      <c r="BQ1709" s="153"/>
      <c r="BR1709" s="153"/>
      <c r="BS1709" s="153"/>
      <c r="BT1709" s="153"/>
      <c r="BU1709" s="153"/>
      <c r="BV1709" s="153"/>
      <c r="BW1709" s="153"/>
      <c r="BX1709" s="153"/>
      <c r="BY1709" s="153"/>
      <c r="BZ1709" s="153"/>
      <c r="CA1709" s="153"/>
      <c r="CB1709" s="153"/>
      <c r="CC1709" s="153"/>
      <c r="CD1709" s="155"/>
      <c r="CE1709" s="156"/>
      <c r="CF1709" s="155"/>
      <c r="CG1709" s="156"/>
      <c r="CH1709" s="155"/>
      <c r="CI1709" s="156"/>
      <c r="CJ1709" s="157">
        <f t="shared" si="217"/>
        <v>0</v>
      </c>
      <c r="CK1709" s="158"/>
      <c r="CL1709" s="159"/>
      <c r="CM1709" s="160"/>
      <c r="CN1709" s="161"/>
      <c r="CO1709" s="162"/>
      <c r="CP1709" s="161"/>
      <c r="CQ1709" s="158"/>
      <c r="CR1709" s="159"/>
      <c r="CS1709" s="68"/>
      <c r="CT1709" s="163"/>
      <c r="EC1709" s="366" t="str">
        <f t="shared" si="220"/>
        <v>CUNDINAMARCA_TABIO</v>
      </c>
      <c r="ED1709" s="367"/>
      <c r="EE1709" s="367"/>
      <c r="EF1709" s="368"/>
      <c r="EG1709" s="367"/>
      <c r="EH1709" s="367"/>
      <c r="EI1709" s="367"/>
    </row>
    <row r="1710" spans="1:139" s="164" customFormat="1" ht="25.5">
      <c r="A1710" s="228">
        <v>40497</v>
      </c>
      <c r="B1710" s="205" t="s">
        <v>962</v>
      </c>
      <c r="C1710" s="205" t="s">
        <v>2683</v>
      </c>
      <c r="D1710" s="206" t="s">
        <v>1878</v>
      </c>
      <c r="E1710" s="320" t="s">
        <v>3851</v>
      </c>
      <c r="F1710" s="320"/>
      <c r="G1710" s="204"/>
      <c r="H1710" s="151"/>
      <c r="I1710" s="151"/>
      <c r="J1710" s="151">
        <v>5</v>
      </c>
      <c r="K1710" s="151">
        <v>1</v>
      </c>
      <c r="L1710" s="1"/>
      <c r="M1710" s="73">
        <f t="shared" si="215"/>
        <v>0</v>
      </c>
      <c r="N1710" s="73">
        <f t="shared" si="219"/>
        <v>0</v>
      </c>
      <c r="O1710" s="73">
        <f t="shared" si="214"/>
        <v>0</v>
      </c>
      <c r="P1710" s="73">
        <f t="shared" si="216"/>
        <v>0</v>
      </c>
      <c r="Q1710" s="73"/>
      <c r="R1710" s="73">
        <v>0</v>
      </c>
      <c r="S1710" s="75">
        <f t="shared" si="218"/>
        <v>0</v>
      </c>
      <c r="T1710" s="77">
        <v>0</v>
      </c>
      <c r="U1710" s="66">
        <v>40498</v>
      </c>
      <c r="V1710" s="79"/>
      <c r="W1710" s="66" t="s">
        <v>1585</v>
      </c>
      <c r="X1710" s="24" t="s">
        <v>1586</v>
      </c>
      <c r="Y1710" s="62"/>
      <c r="Z1710" s="169" t="s">
        <v>2877</v>
      </c>
      <c r="AA1710" s="166" t="s">
        <v>2878</v>
      </c>
      <c r="AB1710" s="152"/>
      <c r="AC1710" s="153"/>
      <c r="AD1710" s="154"/>
      <c r="AE1710" s="153"/>
      <c r="AF1710" s="153"/>
      <c r="AG1710" s="153"/>
      <c r="AH1710" s="153"/>
      <c r="AI1710" s="153"/>
      <c r="AJ1710" s="153"/>
      <c r="AK1710" s="153"/>
      <c r="AL1710" s="153"/>
      <c r="AM1710" s="153"/>
      <c r="AN1710" s="153"/>
      <c r="AO1710" s="153"/>
      <c r="AP1710" s="153"/>
      <c r="AQ1710" s="153"/>
      <c r="AR1710" s="153"/>
      <c r="AS1710" s="153"/>
      <c r="AT1710" s="153"/>
      <c r="AU1710" s="153"/>
      <c r="AV1710" s="153"/>
      <c r="AW1710" s="153"/>
      <c r="AX1710" s="153"/>
      <c r="AY1710" s="153"/>
      <c r="AZ1710" s="153"/>
      <c r="BA1710" s="153"/>
      <c r="BB1710" s="153"/>
      <c r="BC1710" s="153"/>
      <c r="BD1710" s="153"/>
      <c r="BE1710" s="153"/>
      <c r="BF1710" s="153"/>
      <c r="BG1710" s="153"/>
      <c r="BH1710" s="153"/>
      <c r="BI1710" s="153"/>
      <c r="BJ1710" s="153"/>
      <c r="BK1710" s="153"/>
      <c r="BL1710" s="153"/>
      <c r="BM1710" s="153"/>
      <c r="BN1710" s="153"/>
      <c r="BO1710" s="153"/>
      <c r="BP1710" s="153"/>
      <c r="BQ1710" s="153"/>
      <c r="BR1710" s="153"/>
      <c r="BS1710" s="153"/>
      <c r="BT1710" s="153"/>
      <c r="BU1710" s="153"/>
      <c r="BV1710" s="153"/>
      <c r="BW1710" s="153"/>
      <c r="BX1710" s="153"/>
      <c r="BY1710" s="153"/>
      <c r="BZ1710" s="153"/>
      <c r="CA1710" s="153"/>
      <c r="CB1710" s="153"/>
      <c r="CC1710" s="153"/>
      <c r="CD1710" s="155"/>
      <c r="CE1710" s="156"/>
      <c r="CF1710" s="155"/>
      <c r="CG1710" s="156"/>
      <c r="CH1710" s="155"/>
      <c r="CI1710" s="156"/>
      <c r="CJ1710" s="157">
        <f t="shared" si="217"/>
        <v>0</v>
      </c>
      <c r="CK1710" s="158"/>
      <c r="CL1710" s="159"/>
      <c r="CM1710" s="160"/>
      <c r="CN1710" s="161"/>
      <c r="CO1710" s="162"/>
      <c r="CP1710" s="161"/>
      <c r="CQ1710" s="158"/>
      <c r="CR1710" s="159"/>
      <c r="CS1710" s="68"/>
      <c r="CT1710" s="163"/>
      <c r="EC1710" s="366" t="str">
        <f t="shared" si="220"/>
        <v>HUILA_SANTA MARIA</v>
      </c>
      <c r="ED1710" s="367"/>
      <c r="EE1710" s="367"/>
      <c r="EF1710" s="368"/>
      <c r="EG1710" s="367"/>
      <c r="EH1710" s="367"/>
      <c r="EI1710" s="367"/>
    </row>
    <row r="1711" spans="1:139" s="164" customFormat="1" ht="38.25">
      <c r="A1711" s="228">
        <v>40497</v>
      </c>
      <c r="B1711" s="205" t="s">
        <v>396</v>
      </c>
      <c r="C1711" s="205" t="s">
        <v>2860</v>
      </c>
      <c r="D1711" s="207" t="s">
        <v>1316</v>
      </c>
      <c r="E1711" s="323" t="s">
        <v>3933</v>
      </c>
      <c r="F1711" s="323"/>
      <c r="G1711" s="204"/>
      <c r="H1711" s="151"/>
      <c r="I1711" s="151"/>
      <c r="J1711" s="151">
        <v>10</v>
      </c>
      <c r="K1711" s="151">
        <v>2</v>
      </c>
      <c r="L1711" s="1"/>
      <c r="M1711" s="73">
        <f t="shared" si="215"/>
        <v>0</v>
      </c>
      <c r="N1711" s="73">
        <f t="shared" si="219"/>
        <v>0</v>
      </c>
      <c r="O1711" s="73">
        <f t="shared" si="214"/>
        <v>0</v>
      </c>
      <c r="P1711" s="73">
        <f t="shared" si="216"/>
        <v>0</v>
      </c>
      <c r="Q1711" s="73"/>
      <c r="R1711" s="73">
        <v>0</v>
      </c>
      <c r="S1711" s="75">
        <f t="shared" si="218"/>
        <v>0</v>
      </c>
      <c r="T1711" s="77">
        <v>0</v>
      </c>
      <c r="U1711" s="66">
        <v>40498</v>
      </c>
      <c r="V1711" s="79"/>
      <c r="W1711" s="66" t="s">
        <v>1585</v>
      </c>
      <c r="X1711" s="24" t="s">
        <v>1586</v>
      </c>
      <c r="Y1711" s="62"/>
      <c r="Z1711" s="169" t="s">
        <v>2877</v>
      </c>
      <c r="AA1711" s="166" t="s">
        <v>2861</v>
      </c>
      <c r="AB1711" s="152"/>
      <c r="AC1711" s="153"/>
      <c r="AD1711" s="154"/>
      <c r="AE1711" s="153"/>
      <c r="AF1711" s="153"/>
      <c r="AG1711" s="153"/>
      <c r="AH1711" s="153"/>
      <c r="AI1711" s="153"/>
      <c r="AJ1711" s="153"/>
      <c r="AK1711" s="153"/>
      <c r="AL1711" s="153"/>
      <c r="AM1711" s="153"/>
      <c r="AN1711" s="153"/>
      <c r="AO1711" s="153"/>
      <c r="AP1711" s="153"/>
      <c r="AQ1711" s="153"/>
      <c r="AR1711" s="153"/>
      <c r="AS1711" s="153"/>
      <c r="AT1711" s="153"/>
      <c r="AU1711" s="153"/>
      <c r="AV1711" s="153"/>
      <c r="AW1711" s="153"/>
      <c r="AX1711" s="153"/>
      <c r="AY1711" s="153"/>
      <c r="AZ1711" s="153"/>
      <c r="BA1711" s="153"/>
      <c r="BB1711" s="153"/>
      <c r="BC1711" s="153"/>
      <c r="BD1711" s="153"/>
      <c r="BE1711" s="153"/>
      <c r="BF1711" s="153"/>
      <c r="BG1711" s="153"/>
      <c r="BH1711" s="153"/>
      <c r="BI1711" s="153"/>
      <c r="BJ1711" s="153"/>
      <c r="BK1711" s="153"/>
      <c r="BL1711" s="153"/>
      <c r="BM1711" s="153"/>
      <c r="BN1711" s="153"/>
      <c r="BO1711" s="153"/>
      <c r="BP1711" s="153"/>
      <c r="BQ1711" s="153"/>
      <c r="BR1711" s="153"/>
      <c r="BS1711" s="153"/>
      <c r="BT1711" s="153"/>
      <c r="BU1711" s="153"/>
      <c r="BV1711" s="153"/>
      <c r="BW1711" s="153"/>
      <c r="BX1711" s="153"/>
      <c r="BY1711" s="153"/>
      <c r="BZ1711" s="153"/>
      <c r="CA1711" s="153"/>
      <c r="CB1711" s="153"/>
      <c r="CC1711" s="153"/>
      <c r="CD1711" s="155"/>
      <c r="CE1711" s="156"/>
      <c r="CF1711" s="155"/>
      <c r="CG1711" s="156"/>
      <c r="CH1711" s="155"/>
      <c r="CI1711" s="156"/>
      <c r="CJ1711" s="157">
        <f t="shared" si="217"/>
        <v>0</v>
      </c>
      <c r="CK1711" s="158"/>
      <c r="CL1711" s="159"/>
      <c r="CM1711" s="160"/>
      <c r="CN1711" s="161"/>
      <c r="CO1711" s="162"/>
      <c r="CP1711" s="161"/>
      <c r="CQ1711" s="158"/>
      <c r="CR1711" s="159"/>
      <c r="CS1711" s="68"/>
      <c r="CT1711" s="163"/>
      <c r="EC1711" s="366" t="str">
        <f t="shared" si="220"/>
        <v>META_VISTAHERMOSA</v>
      </c>
      <c r="ED1711" s="367"/>
      <c r="EE1711" s="367"/>
      <c r="EF1711" s="368"/>
      <c r="EG1711" s="367"/>
      <c r="EH1711" s="367"/>
      <c r="EI1711" s="367"/>
    </row>
    <row r="1712" spans="1:139" s="164" customFormat="1" ht="25.5">
      <c r="A1712" s="228">
        <v>40497</v>
      </c>
      <c r="B1712" s="205" t="s">
        <v>1824</v>
      </c>
      <c r="C1712" s="205" t="s">
        <v>840</v>
      </c>
      <c r="D1712" s="207" t="s">
        <v>1878</v>
      </c>
      <c r="E1712" s="323" t="s">
        <v>3982</v>
      </c>
      <c r="F1712" s="323"/>
      <c r="G1712" s="204"/>
      <c r="H1712" s="151"/>
      <c r="I1712" s="151"/>
      <c r="J1712" s="151">
        <f>884-35</f>
        <v>849</v>
      </c>
      <c r="K1712" s="151">
        <f>221-7</f>
        <v>214</v>
      </c>
      <c r="L1712" s="1"/>
      <c r="M1712" s="73">
        <f t="shared" si="215"/>
        <v>0</v>
      </c>
      <c r="N1712" s="73">
        <f t="shared" si="219"/>
        <v>0</v>
      </c>
      <c r="O1712" s="73">
        <f t="shared" si="214"/>
        <v>0</v>
      </c>
      <c r="P1712" s="73">
        <f t="shared" si="216"/>
        <v>0</v>
      </c>
      <c r="Q1712" s="73"/>
      <c r="R1712" s="73">
        <v>0</v>
      </c>
      <c r="S1712" s="75">
        <f t="shared" si="218"/>
        <v>0</v>
      </c>
      <c r="T1712" s="77">
        <v>0</v>
      </c>
      <c r="U1712" s="66">
        <v>40508</v>
      </c>
      <c r="V1712" s="79"/>
      <c r="W1712" s="66" t="s">
        <v>1585</v>
      </c>
      <c r="X1712" s="24" t="s">
        <v>1586</v>
      </c>
      <c r="Y1712" s="62"/>
      <c r="Z1712" s="169" t="s">
        <v>894</v>
      </c>
      <c r="AA1712" s="166" t="s">
        <v>2513</v>
      </c>
      <c r="AB1712" s="152"/>
      <c r="AC1712" s="153"/>
      <c r="AD1712" s="154"/>
      <c r="AE1712" s="153"/>
      <c r="AF1712" s="153"/>
      <c r="AG1712" s="153"/>
      <c r="AH1712" s="153"/>
      <c r="AI1712" s="153"/>
      <c r="AJ1712" s="153"/>
      <c r="AK1712" s="153"/>
      <c r="AL1712" s="153"/>
      <c r="AM1712" s="153"/>
      <c r="AN1712" s="153"/>
      <c r="AO1712" s="153"/>
      <c r="AP1712" s="153"/>
      <c r="AQ1712" s="153"/>
      <c r="AR1712" s="153"/>
      <c r="AS1712" s="153"/>
      <c r="AT1712" s="153"/>
      <c r="AU1712" s="153"/>
      <c r="AV1712" s="153"/>
      <c r="AW1712" s="153"/>
      <c r="AX1712" s="153"/>
      <c r="AY1712" s="153"/>
      <c r="AZ1712" s="153"/>
      <c r="BA1712" s="153"/>
      <c r="BB1712" s="153"/>
      <c r="BC1712" s="153"/>
      <c r="BD1712" s="153"/>
      <c r="BE1712" s="153"/>
      <c r="BF1712" s="153"/>
      <c r="BG1712" s="153"/>
      <c r="BH1712" s="153"/>
      <c r="BI1712" s="153"/>
      <c r="BJ1712" s="153"/>
      <c r="BK1712" s="153"/>
      <c r="BL1712" s="153"/>
      <c r="BM1712" s="153"/>
      <c r="BN1712" s="153"/>
      <c r="BO1712" s="153"/>
      <c r="BP1712" s="153"/>
      <c r="BQ1712" s="153"/>
      <c r="BR1712" s="153"/>
      <c r="BS1712" s="153"/>
      <c r="BT1712" s="153"/>
      <c r="BU1712" s="153"/>
      <c r="BV1712" s="153"/>
      <c r="BW1712" s="153"/>
      <c r="BX1712" s="153"/>
      <c r="BY1712" s="153"/>
      <c r="BZ1712" s="153"/>
      <c r="CA1712" s="153"/>
      <c r="CB1712" s="153"/>
      <c r="CC1712" s="153"/>
      <c r="CD1712" s="155"/>
      <c r="CE1712" s="156"/>
      <c r="CF1712" s="155"/>
      <c r="CG1712" s="156"/>
      <c r="CH1712" s="155"/>
      <c r="CI1712" s="156"/>
      <c r="CJ1712" s="157">
        <f t="shared" si="217"/>
        <v>0</v>
      </c>
      <c r="CK1712" s="158"/>
      <c r="CL1712" s="159"/>
      <c r="CM1712" s="160"/>
      <c r="CN1712" s="161"/>
      <c r="CO1712" s="162"/>
      <c r="CP1712" s="161"/>
      <c r="CQ1712" s="158"/>
      <c r="CR1712" s="159"/>
      <c r="CS1712" s="68"/>
      <c r="CT1712" s="163"/>
      <c r="EC1712" s="366" t="str">
        <f t="shared" si="220"/>
        <v>NARIÑO_RICAURTE</v>
      </c>
      <c r="ED1712" s="367"/>
      <c r="EE1712" s="367"/>
      <c r="EF1712" s="368"/>
      <c r="EG1712" s="367"/>
      <c r="EH1712" s="367"/>
      <c r="EI1712" s="367"/>
    </row>
    <row r="1713" spans="1:139" s="164" customFormat="1" ht="51">
      <c r="A1713" s="228">
        <v>40497</v>
      </c>
      <c r="B1713" s="205" t="s">
        <v>965</v>
      </c>
      <c r="C1713" s="205" t="s">
        <v>2880</v>
      </c>
      <c r="D1713" s="206" t="s">
        <v>1878</v>
      </c>
      <c r="E1713" s="320" t="s">
        <v>4005</v>
      </c>
      <c r="F1713" s="320"/>
      <c r="G1713" s="204"/>
      <c r="H1713" s="151"/>
      <c r="I1713" s="151"/>
      <c r="J1713" s="151">
        <f>723-25</f>
        <v>698</v>
      </c>
      <c r="K1713" s="151">
        <f>167-5</f>
        <v>162</v>
      </c>
      <c r="L1713" s="1"/>
      <c r="M1713" s="73">
        <f t="shared" si="215"/>
        <v>0</v>
      </c>
      <c r="N1713" s="73">
        <f t="shared" si="219"/>
        <v>0</v>
      </c>
      <c r="O1713" s="73">
        <f t="shared" si="214"/>
        <v>0</v>
      </c>
      <c r="P1713" s="73">
        <f t="shared" si="216"/>
        <v>0</v>
      </c>
      <c r="Q1713" s="73"/>
      <c r="R1713" s="73">
        <v>0</v>
      </c>
      <c r="S1713" s="75">
        <f t="shared" si="218"/>
        <v>0</v>
      </c>
      <c r="T1713" s="77">
        <v>0</v>
      </c>
      <c r="U1713" s="66">
        <v>40498</v>
      </c>
      <c r="V1713" s="79"/>
      <c r="W1713" s="66" t="s">
        <v>1585</v>
      </c>
      <c r="X1713" s="67" t="s">
        <v>1586</v>
      </c>
      <c r="Y1713" s="62"/>
      <c r="Z1713" s="169" t="s">
        <v>2877</v>
      </c>
      <c r="AA1713" s="166" t="s">
        <v>2881</v>
      </c>
      <c r="AB1713" s="152"/>
      <c r="AC1713" s="153"/>
      <c r="AD1713" s="154"/>
      <c r="AE1713" s="153"/>
      <c r="AF1713" s="153"/>
      <c r="AG1713" s="153"/>
      <c r="AH1713" s="153"/>
      <c r="AI1713" s="153"/>
      <c r="AJ1713" s="153"/>
      <c r="AK1713" s="153"/>
      <c r="AL1713" s="153"/>
      <c r="AM1713" s="153"/>
      <c r="AN1713" s="153"/>
      <c r="AO1713" s="153"/>
      <c r="AP1713" s="153"/>
      <c r="AQ1713" s="153"/>
      <c r="AR1713" s="153"/>
      <c r="AS1713" s="153"/>
      <c r="AT1713" s="153"/>
      <c r="AU1713" s="153"/>
      <c r="AV1713" s="153"/>
      <c r="AW1713" s="153"/>
      <c r="AX1713" s="153"/>
      <c r="AY1713" s="153"/>
      <c r="AZ1713" s="153"/>
      <c r="BA1713" s="153"/>
      <c r="BB1713" s="153"/>
      <c r="BC1713" s="153"/>
      <c r="BD1713" s="153"/>
      <c r="BE1713" s="153"/>
      <c r="BF1713" s="153"/>
      <c r="BG1713" s="153"/>
      <c r="BH1713" s="153"/>
      <c r="BI1713" s="153"/>
      <c r="BJ1713" s="153"/>
      <c r="BK1713" s="153"/>
      <c r="BL1713" s="153"/>
      <c r="BM1713" s="153"/>
      <c r="BN1713" s="153"/>
      <c r="BO1713" s="153"/>
      <c r="BP1713" s="153"/>
      <c r="BQ1713" s="153"/>
      <c r="BR1713" s="153"/>
      <c r="BS1713" s="153"/>
      <c r="BT1713" s="153"/>
      <c r="BU1713" s="153"/>
      <c r="BV1713" s="153"/>
      <c r="BW1713" s="153"/>
      <c r="BX1713" s="153"/>
      <c r="BY1713" s="153"/>
      <c r="BZ1713" s="153"/>
      <c r="CA1713" s="153"/>
      <c r="CB1713" s="153"/>
      <c r="CC1713" s="153"/>
      <c r="CD1713" s="155"/>
      <c r="CE1713" s="156"/>
      <c r="CF1713" s="155"/>
      <c r="CG1713" s="156"/>
      <c r="CH1713" s="155"/>
      <c r="CI1713" s="156"/>
      <c r="CJ1713" s="157">
        <f t="shared" si="217"/>
        <v>0</v>
      </c>
      <c r="CK1713" s="158"/>
      <c r="CL1713" s="159"/>
      <c r="CM1713" s="160"/>
      <c r="CN1713" s="161"/>
      <c r="CO1713" s="162"/>
      <c r="CP1713" s="161"/>
      <c r="CQ1713" s="158"/>
      <c r="CR1713" s="159"/>
      <c r="CS1713" s="68"/>
      <c r="CT1713" s="163"/>
      <c r="EC1713" s="366" t="str">
        <f t="shared" si="220"/>
        <v>NORTE DE SANTANDER_CHINACOTA</v>
      </c>
      <c r="ED1713" s="367"/>
      <c r="EE1713" s="367"/>
      <c r="EF1713" s="368"/>
      <c r="EG1713" s="367"/>
      <c r="EH1713" s="367"/>
      <c r="EI1713" s="367"/>
    </row>
    <row r="1714" spans="1:139" s="164" customFormat="1" ht="51">
      <c r="A1714" s="228">
        <v>40497</v>
      </c>
      <c r="B1714" s="102" t="s">
        <v>1609</v>
      </c>
      <c r="C1714" s="205" t="s">
        <v>1708</v>
      </c>
      <c r="D1714" s="206" t="s">
        <v>1878</v>
      </c>
      <c r="E1714" s="320" t="s">
        <v>4062</v>
      </c>
      <c r="F1714" s="320"/>
      <c r="G1714" s="204">
        <v>1</v>
      </c>
      <c r="H1714" s="151">
        <v>1</v>
      </c>
      <c r="I1714" s="151"/>
      <c r="J1714" s="151">
        <v>10</v>
      </c>
      <c r="K1714" s="151">
        <v>2</v>
      </c>
      <c r="L1714" s="1"/>
      <c r="M1714" s="73">
        <f t="shared" si="215"/>
        <v>0</v>
      </c>
      <c r="N1714" s="73">
        <f t="shared" si="219"/>
        <v>0</v>
      </c>
      <c r="O1714" s="73">
        <f t="shared" si="214"/>
        <v>0</v>
      </c>
      <c r="P1714" s="73">
        <f t="shared" si="216"/>
        <v>0</v>
      </c>
      <c r="Q1714" s="73"/>
      <c r="R1714" s="73">
        <v>0</v>
      </c>
      <c r="S1714" s="75">
        <f t="shared" si="218"/>
        <v>0</v>
      </c>
      <c r="T1714" s="77">
        <v>0</v>
      </c>
      <c r="U1714" s="66">
        <v>40498</v>
      </c>
      <c r="V1714" s="79"/>
      <c r="W1714" s="66" t="s">
        <v>1585</v>
      </c>
      <c r="X1714" s="24" t="s">
        <v>1586</v>
      </c>
      <c r="Y1714" s="62"/>
      <c r="Z1714" s="169" t="s">
        <v>2877</v>
      </c>
      <c r="AA1714" s="166" t="s">
        <v>2497</v>
      </c>
      <c r="AB1714" s="152"/>
      <c r="AC1714" s="153"/>
      <c r="AD1714" s="154"/>
      <c r="AE1714" s="153"/>
      <c r="AF1714" s="153"/>
      <c r="AG1714" s="153"/>
      <c r="AH1714" s="153"/>
      <c r="AI1714" s="153"/>
      <c r="AJ1714" s="153"/>
      <c r="AK1714" s="153"/>
      <c r="AL1714" s="153"/>
      <c r="AM1714" s="153"/>
      <c r="AN1714" s="153"/>
      <c r="AO1714" s="153"/>
      <c r="AP1714" s="153"/>
      <c r="AQ1714" s="153"/>
      <c r="AR1714" s="153"/>
      <c r="AS1714" s="153"/>
      <c r="AT1714" s="153"/>
      <c r="AU1714" s="153"/>
      <c r="AV1714" s="153"/>
      <c r="AW1714" s="153"/>
      <c r="AX1714" s="153"/>
      <c r="AY1714" s="153"/>
      <c r="AZ1714" s="153"/>
      <c r="BA1714" s="153"/>
      <c r="BB1714" s="153"/>
      <c r="BC1714" s="153"/>
      <c r="BD1714" s="153"/>
      <c r="BE1714" s="153"/>
      <c r="BF1714" s="153"/>
      <c r="BG1714" s="153"/>
      <c r="BH1714" s="153"/>
      <c r="BI1714" s="153"/>
      <c r="BJ1714" s="153"/>
      <c r="BK1714" s="153"/>
      <c r="BL1714" s="153"/>
      <c r="BM1714" s="153"/>
      <c r="BN1714" s="153"/>
      <c r="BO1714" s="153"/>
      <c r="BP1714" s="153"/>
      <c r="BQ1714" s="153"/>
      <c r="BR1714" s="153"/>
      <c r="BS1714" s="153"/>
      <c r="BT1714" s="153"/>
      <c r="BU1714" s="153"/>
      <c r="BV1714" s="153"/>
      <c r="BW1714" s="153"/>
      <c r="BX1714" s="153"/>
      <c r="BY1714" s="153"/>
      <c r="BZ1714" s="153"/>
      <c r="CA1714" s="153"/>
      <c r="CB1714" s="153"/>
      <c r="CC1714" s="153"/>
      <c r="CD1714" s="155"/>
      <c r="CE1714" s="156"/>
      <c r="CF1714" s="155"/>
      <c r="CG1714" s="156"/>
      <c r="CH1714" s="155"/>
      <c r="CI1714" s="156"/>
      <c r="CJ1714" s="157">
        <f t="shared" si="217"/>
        <v>0</v>
      </c>
      <c r="CK1714" s="158"/>
      <c r="CL1714" s="159"/>
      <c r="CM1714" s="160"/>
      <c r="CN1714" s="161"/>
      <c r="CO1714" s="162"/>
      <c r="CP1714" s="161"/>
      <c r="CQ1714" s="158"/>
      <c r="CR1714" s="159"/>
      <c r="CS1714" s="68"/>
      <c r="CT1714" s="163"/>
      <c r="EC1714" s="366" t="str">
        <f t="shared" si="220"/>
        <v>RISARALDA_SANTA ROSA DE CABAL</v>
      </c>
      <c r="ED1714" s="367"/>
      <c r="EE1714" s="367"/>
      <c r="EF1714" s="368"/>
      <c r="EG1714" s="367"/>
      <c r="EH1714" s="367"/>
      <c r="EI1714" s="367"/>
    </row>
    <row r="1715" spans="1:139" s="164" customFormat="1" ht="38.25">
      <c r="A1715" s="228">
        <v>40497</v>
      </c>
      <c r="B1715" s="205" t="s">
        <v>1998</v>
      </c>
      <c r="C1715" s="205" t="s">
        <v>1605</v>
      </c>
      <c r="D1715" s="207" t="s">
        <v>1201</v>
      </c>
      <c r="E1715" s="323" t="s">
        <v>3184</v>
      </c>
      <c r="F1715" s="323"/>
      <c r="G1715" s="263"/>
      <c r="H1715" s="151"/>
      <c r="I1715" s="151"/>
      <c r="J1715" s="151"/>
      <c r="K1715" s="151"/>
      <c r="L1715" s="1"/>
      <c r="M1715" s="73">
        <f t="shared" si="215"/>
        <v>1229400000</v>
      </c>
      <c r="N1715" s="73">
        <f t="shared" si="219"/>
        <v>935000000</v>
      </c>
      <c r="O1715" s="73">
        <f t="shared" si="214"/>
        <v>0</v>
      </c>
      <c r="P1715" s="73">
        <f t="shared" si="216"/>
        <v>63011200</v>
      </c>
      <c r="Q1715" s="73"/>
      <c r="R1715" s="73">
        <v>0</v>
      </c>
      <c r="S1715" s="75">
        <f t="shared" si="218"/>
        <v>2227411200</v>
      </c>
      <c r="T1715" s="77">
        <v>0</v>
      </c>
      <c r="U1715" s="66">
        <v>40500</v>
      </c>
      <c r="V1715" s="79"/>
      <c r="W1715" s="66" t="s">
        <v>1606</v>
      </c>
      <c r="X1715" s="24" t="s">
        <v>1607</v>
      </c>
      <c r="Y1715" s="83" t="s">
        <v>438</v>
      </c>
      <c r="Z1715" s="169" t="s">
        <v>1435</v>
      </c>
      <c r="AA1715" s="166" t="s">
        <v>2117</v>
      </c>
      <c r="AB1715" s="152"/>
      <c r="AC1715" s="153"/>
      <c r="AD1715" s="154"/>
      <c r="AE1715" s="153"/>
      <c r="AF1715" s="153"/>
      <c r="AG1715" s="153"/>
      <c r="AH1715" s="153"/>
      <c r="AI1715" s="153"/>
      <c r="AJ1715" s="153"/>
      <c r="AK1715" s="153"/>
      <c r="AL1715" s="153"/>
      <c r="AM1715" s="153"/>
      <c r="AN1715" s="153">
        <v>5000</v>
      </c>
      <c r="AO1715" s="153">
        <f>5000*56000</f>
        <v>280000000</v>
      </c>
      <c r="AP1715" s="153"/>
      <c r="AQ1715" s="153"/>
      <c r="AR1715" s="153"/>
      <c r="AS1715" s="153"/>
      <c r="AT1715" s="153"/>
      <c r="AU1715" s="153"/>
      <c r="AV1715" s="153"/>
      <c r="AW1715" s="153"/>
      <c r="AX1715" s="153"/>
      <c r="AY1715" s="153"/>
      <c r="AZ1715" s="153"/>
      <c r="BA1715" s="153"/>
      <c r="BB1715" s="153"/>
      <c r="BC1715" s="153"/>
      <c r="BD1715" s="153"/>
      <c r="BE1715" s="153"/>
      <c r="BF1715" s="153"/>
      <c r="BG1715" s="153"/>
      <c r="BH1715" s="153"/>
      <c r="BI1715" s="153"/>
      <c r="BJ1715" s="153"/>
      <c r="BK1715" s="153"/>
      <c r="BL1715" s="153"/>
      <c r="BM1715" s="153"/>
      <c r="BN1715" s="153">
        <v>200</v>
      </c>
      <c r="BO1715" s="153">
        <f>200*522000</f>
        <v>104400000</v>
      </c>
      <c r="BP1715" s="153"/>
      <c r="BQ1715" s="153"/>
      <c r="BR1715" s="153"/>
      <c r="BS1715" s="153"/>
      <c r="BT1715" s="153"/>
      <c r="BU1715" s="153"/>
      <c r="BV1715" s="153"/>
      <c r="BW1715" s="153"/>
      <c r="BX1715" s="153">
        <v>2000</v>
      </c>
      <c r="BY1715" s="153">
        <f>2000*21000</f>
        <v>42000000</v>
      </c>
      <c r="BZ1715" s="153"/>
      <c r="CA1715" s="153"/>
      <c r="CB1715" s="153"/>
      <c r="CC1715" s="153"/>
      <c r="CD1715" s="155">
        <v>11000</v>
      </c>
      <c r="CE1715" s="156">
        <f>11000*37000</f>
        <v>407000000</v>
      </c>
      <c r="CF1715" s="155">
        <v>11000</v>
      </c>
      <c r="CG1715" s="156">
        <f>11000*36000</f>
        <v>396000000</v>
      </c>
      <c r="CH1715" s="155"/>
      <c r="CI1715" s="156"/>
      <c r="CJ1715" s="157">
        <f t="shared" si="217"/>
        <v>1229400000</v>
      </c>
      <c r="CK1715" s="158">
        <v>70000</v>
      </c>
      <c r="CL1715" s="159">
        <f>70000*900.16</f>
        <v>63011200</v>
      </c>
      <c r="CM1715" s="160">
        <v>11000</v>
      </c>
      <c r="CN1715" s="161">
        <f>11000*85000</f>
        <v>935000000</v>
      </c>
      <c r="CO1715" s="162"/>
      <c r="CP1715" s="161"/>
      <c r="CQ1715" s="158"/>
      <c r="CR1715" s="159"/>
      <c r="CS1715" s="68"/>
      <c r="CT1715" s="163"/>
      <c r="EC1715" s="366" t="str">
        <f t="shared" si="220"/>
        <v>SANTANDER_DEPARTAMENTO</v>
      </c>
      <c r="ED1715" s="367"/>
      <c r="EE1715" s="367"/>
      <c r="EF1715" s="368"/>
      <c r="EG1715" s="367"/>
      <c r="EH1715" s="367"/>
      <c r="EI1715" s="367"/>
    </row>
    <row r="1716" spans="1:139" s="164" customFormat="1" ht="36">
      <c r="A1716" s="228">
        <v>40497</v>
      </c>
      <c r="B1716" s="205" t="s">
        <v>1998</v>
      </c>
      <c r="C1716" s="205" t="s">
        <v>1833</v>
      </c>
      <c r="D1716" s="207" t="s">
        <v>1201</v>
      </c>
      <c r="E1716" s="323" t="s">
        <v>4099</v>
      </c>
      <c r="F1716" s="323"/>
      <c r="G1716" s="263"/>
      <c r="H1716" s="151"/>
      <c r="I1716" s="151"/>
      <c r="J1716" s="151">
        <f>4100-525</f>
        <v>3575</v>
      </c>
      <c r="K1716" s="151">
        <f>820-105</f>
        <v>715</v>
      </c>
      <c r="L1716" s="1"/>
      <c r="M1716" s="73">
        <f t="shared" si="215"/>
        <v>0</v>
      </c>
      <c r="N1716" s="73">
        <f t="shared" si="219"/>
        <v>0</v>
      </c>
      <c r="O1716" s="73">
        <f t="shared" ref="O1716:O1779" si="221">CP1716+CR1716</f>
        <v>0</v>
      </c>
      <c r="P1716" s="73">
        <f t="shared" si="216"/>
        <v>0</v>
      </c>
      <c r="Q1716" s="73"/>
      <c r="R1716" s="73">
        <v>0</v>
      </c>
      <c r="S1716" s="75">
        <f t="shared" si="218"/>
        <v>0</v>
      </c>
      <c r="T1716" s="77">
        <v>0</v>
      </c>
      <c r="U1716" s="66">
        <v>40497</v>
      </c>
      <c r="V1716" s="79"/>
      <c r="W1716" s="66" t="s">
        <v>1585</v>
      </c>
      <c r="X1716" s="24" t="s">
        <v>1586</v>
      </c>
      <c r="Y1716" s="62"/>
      <c r="Z1716" s="66" t="s">
        <v>894</v>
      </c>
      <c r="AA1716" s="166" t="s">
        <v>2899</v>
      </c>
      <c r="AB1716" s="152"/>
      <c r="AC1716" s="153"/>
      <c r="AD1716" s="154"/>
      <c r="AE1716" s="153"/>
      <c r="AF1716" s="153"/>
      <c r="AG1716" s="153"/>
      <c r="AH1716" s="153"/>
      <c r="AI1716" s="153"/>
      <c r="AJ1716" s="153"/>
      <c r="AK1716" s="153"/>
      <c r="AL1716" s="153"/>
      <c r="AM1716" s="153"/>
      <c r="AN1716" s="153"/>
      <c r="AO1716" s="153"/>
      <c r="AP1716" s="153"/>
      <c r="AQ1716" s="153"/>
      <c r="AR1716" s="153"/>
      <c r="AS1716" s="153"/>
      <c r="AT1716" s="153"/>
      <c r="AU1716" s="153"/>
      <c r="AV1716" s="153"/>
      <c r="AW1716" s="153"/>
      <c r="AX1716" s="153"/>
      <c r="AY1716" s="153"/>
      <c r="AZ1716" s="153"/>
      <c r="BA1716" s="153"/>
      <c r="BB1716" s="153"/>
      <c r="BC1716" s="153"/>
      <c r="BD1716" s="153"/>
      <c r="BE1716" s="153"/>
      <c r="BF1716" s="153"/>
      <c r="BG1716" s="153"/>
      <c r="BH1716" s="153"/>
      <c r="BI1716" s="153"/>
      <c r="BJ1716" s="153"/>
      <c r="BK1716" s="153"/>
      <c r="BL1716" s="153"/>
      <c r="BM1716" s="153"/>
      <c r="BN1716" s="153"/>
      <c r="BO1716" s="153"/>
      <c r="BP1716" s="153"/>
      <c r="BQ1716" s="153"/>
      <c r="BR1716" s="153"/>
      <c r="BS1716" s="153"/>
      <c r="BT1716" s="153"/>
      <c r="BU1716" s="153"/>
      <c r="BV1716" s="153"/>
      <c r="BW1716" s="153"/>
      <c r="BX1716" s="153"/>
      <c r="BY1716" s="153"/>
      <c r="BZ1716" s="153"/>
      <c r="CA1716" s="153"/>
      <c r="CB1716" s="153"/>
      <c r="CC1716" s="153"/>
      <c r="CD1716" s="155"/>
      <c r="CE1716" s="156"/>
      <c r="CF1716" s="155"/>
      <c r="CG1716" s="156"/>
      <c r="CH1716" s="155"/>
      <c r="CI1716" s="156"/>
      <c r="CJ1716" s="157">
        <f t="shared" si="217"/>
        <v>0</v>
      </c>
      <c r="CK1716" s="158"/>
      <c r="CL1716" s="159"/>
      <c r="CM1716" s="160"/>
      <c r="CN1716" s="161"/>
      <c r="CO1716" s="162"/>
      <c r="CP1716" s="161"/>
      <c r="CQ1716" s="158"/>
      <c r="CR1716" s="159"/>
      <c r="CS1716" s="68"/>
      <c r="CT1716" s="163"/>
      <c r="EC1716" s="366" t="str">
        <f t="shared" si="220"/>
        <v>SANTANDER_GIRON</v>
      </c>
      <c r="ED1716" s="367"/>
      <c r="EE1716" s="367"/>
      <c r="EF1716" s="368"/>
      <c r="EG1716" s="367"/>
      <c r="EH1716" s="367"/>
      <c r="EI1716" s="367"/>
    </row>
    <row r="1717" spans="1:139" s="164" customFormat="1" ht="38.25">
      <c r="A1717" s="228">
        <v>40497</v>
      </c>
      <c r="B1717" s="205" t="s">
        <v>1998</v>
      </c>
      <c r="C1717" s="205" t="s">
        <v>2271</v>
      </c>
      <c r="D1717" s="207" t="s">
        <v>1201</v>
      </c>
      <c r="E1717" s="323" t="s">
        <v>4129</v>
      </c>
      <c r="F1717" s="323"/>
      <c r="G1717" s="263"/>
      <c r="H1717" s="151"/>
      <c r="I1717" s="151"/>
      <c r="J1717" s="151">
        <v>15</v>
      </c>
      <c r="K1717" s="151">
        <v>3</v>
      </c>
      <c r="L1717" s="1"/>
      <c r="M1717" s="73">
        <f t="shared" si="215"/>
        <v>0</v>
      </c>
      <c r="N1717" s="73">
        <f t="shared" si="219"/>
        <v>0</v>
      </c>
      <c r="O1717" s="73">
        <f t="shared" si="221"/>
        <v>0</v>
      </c>
      <c r="P1717" s="73">
        <f t="shared" si="216"/>
        <v>0</v>
      </c>
      <c r="Q1717" s="73"/>
      <c r="R1717" s="73">
        <v>0</v>
      </c>
      <c r="S1717" s="75">
        <f t="shared" si="218"/>
        <v>0</v>
      </c>
      <c r="T1717" s="77">
        <v>0</v>
      </c>
      <c r="U1717" s="66">
        <v>40498</v>
      </c>
      <c r="V1717" s="79"/>
      <c r="W1717" s="66" t="s">
        <v>1585</v>
      </c>
      <c r="X1717" s="24" t="s">
        <v>1586</v>
      </c>
      <c r="Y1717" s="62"/>
      <c r="Z1717" s="169" t="s">
        <v>2877</v>
      </c>
      <c r="AA1717" s="166" t="s">
        <v>2885</v>
      </c>
      <c r="AB1717" s="152"/>
      <c r="AC1717" s="153"/>
      <c r="AD1717" s="154"/>
      <c r="AE1717" s="153"/>
      <c r="AF1717" s="153"/>
      <c r="AG1717" s="153"/>
      <c r="AH1717" s="153"/>
      <c r="AI1717" s="153"/>
      <c r="AJ1717" s="153"/>
      <c r="AK1717" s="153"/>
      <c r="AL1717" s="153"/>
      <c r="AM1717" s="153"/>
      <c r="AN1717" s="153"/>
      <c r="AO1717" s="153"/>
      <c r="AP1717" s="153"/>
      <c r="AQ1717" s="153"/>
      <c r="AR1717" s="153"/>
      <c r="AS1717" s="153"/>
      <c r="AT1717" s="153"/>
      <c r="AU1717" s="153"/>
      <c r="AV1717" s="153"/>
      <c r="AW1717" s="153"/>
      <c r="AX1717" s="153"/>
      <c r="AY1717" s="153"/>
      <c r="AZ1717" s="153"/>
      <c r="BA1717" s="153"/>
      <c r="BB1717" s="153"/>
      <c r="BC1717" s="153"/>
      <c r="BD1717" s="153"/>
      <c r="BE1717" s="153"/>
      <c r="BF1717" s="153"/>
      <c r="BG1717" s="153"/>
      <c r="BH1717" s="153"/>
      <c r="BI1717" s="153"/>
      <c r="BJ1717" s="153"/>
      <c r="BK1717" s="153"/>
      <c r="BL1717" s="153"/>
      <c r="BM1717" s="153"/>
      <c r="BN1717" s="153"/>
      <c r="BO1717" s="153"/>
      <c r="BP1717" s="153"/>
      <c r="BQ1717" s="153"/>
      <c r="BR1717" s="153"/>
      <c r="BS1717" s="153"/>
      <c r="BT1717" s="153"/>
      <c r="BU1717" s="153"/>
      <c r="BV1717" s="153"/>
      <c r="BW1717" s="153"/>
      <c r="BX1717" s="153"/>
      <c r="BY1717" s="153"/>
      <c r="BZ1717" s="153"/>
      <c r="CA1717" s="153"/>
      <c r="CB1717" s="153"/>
      <c r="CC1717" s="153"/>
      <c r="CD1717" s="155"/>
      <c r="CE1717" s="156"/>
      <c r="CF1717" s="155"/>
      <c r="CG1717" s="156"/>
      <c r="CH1717" s="155"/>
      <c r="CI1717" s="156"/>
      <c r="CJ1717" s="157">
        <f t="shared" si="217"/>
        <v>0</v>
      </c>
      <c r="CK1717" s="158"/>
      <c r="CL1717" s="159"/>
      <c r="CM1717" s="160"/>
      <c r="CN1717" s="161"/>
      <c r="CO1717" s="162"/>
      <c r="CP1717" s="161"/>
      <c r="CQ1717" s="158"/>
      <c r="CR1717" s="159"/>
      <c r="CS1717" s="68"/>
      <c r="CT1717" s="163"/>
      <c r="EC1717" s="366" t="str">
        <f t="shared" si="220"/>
        <v>SANTANDER_RIONEGRO</v>
      </c>
      <c r="ED1717" s="367"/>
      <c r="EE1717" s="367"/>
      <c r="EF1717" s="368"/>
      <c r="EG1717" s="367"/>
      <c r="EH1717" s="367"/>
      <c r="EI1717" s="367"/>
    </row>
    <row r="1718" spans="1:139" s="164" customFormat="1" ht="38.25">
      <c r="A1718" s="228">
        <v>40497.599305555559</v>
      </c>
      <c r="B1718" s="205" t="s">
        <v>2298</v>
      </c>
      <c r="C1718" s="205" t="s">
        <v>1610</v>
      </c>
      <c r="D1718" s="207" t="s">
        <v>1201</v>
      </c>
      <c r="E1718" s="323"/>
      <c r="F1718" s="323"/>
      <c r="G1718" s="204"/>
      <c r="H1718" s="151"/>
      <c r="I1718" s="151"/>
      <c r="J1718" s="151"/>
      <c r="K1718" s="409"/>
      <c r="L1718" s="1"/>
      <c r="M1718" s="73">
        <f t="shared" si="215"/>
        <v>0</v>
      </c>
      <c r="N1718" s="73">
        <f t="shared" si="219"/>
        <v>0</v>
      </c>
      <c r="O1718" s="73">
        <f t="shared" si="221"/>
        <v>0</v>
      </c>
      <c r="P1718" s="73">
        <f t="shared" si="216"/>
        <v>0</v>
      </c>
      <c r="Q1718" s="73"/>
      <c r="R1718" s="73">
        <v>0</v>
      </c>
      <c r="S1718" s="75">
        <f t="shared" si="218"/>
        <v>0</v>
      </c>
      <c r="T1718" s="77">
        <v>0</v>
      </c>
      <c r="U1718" s="296">
        <v>40624</v>
      </c>
      <c r="V1718" s="297"/>
      <c r="W1718" s="296" t="s">
        <v>1585</v>
      </c>
      <c r="X1718" s="412" t="s">
        <v>1586</v>
      </c>
      <c r="Y1718" s="299"/>
      <c r="Z1718" s="300" t="s">
        <v>894</v>
      </c>
      <c r="AA1718" s="414" t="s">
        <v>5419</v>
      </c>
      <c r="AB1718" s="152"/>
      <c r="AC1718" s="153"/>
      <c r="AD1718" s="154"/>
      <c r="AE1718" s="153"/>
      <c r="AF1718" s="153"/>
      <c r="AG1718" s="153"/>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c r="BF1718" s="153"/>
      <c r="BG1718" s="153"/>
      <c r="BH1718" s="153"/>
      <c r="BI1718" s="153"/>
      <c r="BJ1718" s="153"/>
      <c r="BK1718" s="153"/>
      <c r="BL1718" s="153"/>
      <c r="BM1718" s="153"/>
      <c r="BN1718" s="153"/>
      <c r="BO1718" s="153"/>
      <c r="BP1718" s="153"/>
      <c r="BQ1718" s="153"/>
      <c r="BR1718" s="153"/>
      <c r="BS1718" s="153"/>
      <c r="BT1718" s="153"/>
      <c r="BU1718" s="153"/>
      <c r="BV1718" s="153"/>
      <c r="BW1718" s="153"/>
      <c r="BX1718" s="153"/>
      <c r="BY1718" s="153"/>
      <c r="BZ1718" s="153"/>
      <c r="CA1718" s="153"/>
      <c r="CB1718" s="153"/>
      <c r="CC1718" s="153"/>
      <c r="CD1718" s="155"/>
      <c r="CE1718" s="156"/>
      <c r="CF1718" s="155"/>
      <c r="CG1718" s="156"/>
      <c r="CH1718" s="155"/>
      <c r="CI1718" s="156"/>
      <c r="CJ1718" s="157">
        <f t="shared" si="217"/>
        <v>0</v>
      </c>
      <c r="CK1718" s="158"/>
      <c r="CL1718" s="159"/>
      <c r="CM1718" s="160"/>
      <c r="CN1718" s="161"/>
      <c r="CO1718" s="162"/>
      <c r="CP1718" s="161"/>
      <c r="CQ1718" s="158"/>
      <c r="CR1718" s="159"/>
      <c r="CS1718" s="68"/>
      <c r="CT1718" s="163"/>
      <c r="EC1718" s="366" t="str">
        <f t="shared" si="220"/>
        <v>BOGOTA D.C._BOGOTA</v>
      </c>
      <c r="ED1718" s="367"/>
      <c r="EE1718" s="367"/>
      <c r="EF1718" s="368"/>
      <c r="EG1718" s="367"/>
      <c r="EH1718" s="367"/>
      <c r="EI1718" s="367"/>
    </row>
    <row r="1719" spans="1:139" s="164" customFormat="1" ht="38.25">
      <c r="A1719" s="228">
        <v>40497.709027777775</v>
      </c>
      <c r="B1719" s="205" t="s">
        <v>2298</v>
      </c>
      <c r="C1719" s="205" t="s">
        <v>1610</v>
      </c>
      <c r="D1719" s="207" t="s">
        <v>1201</v>
      </c>
      <c r="E1719" s="323"/>
      <c r="F1719" s="323"/>
      <c r="G1719" s="204"/>
      <c r="H1719" s="151"/>
      <c r="I1719" s="151"/>
      <c r="J1719" s="151"/>
      <c r="K1719" s="409"/>
      <c r="L1719" s="1"/>
      <c r="M1719" s="73">
        <f t="shared" si="215"/>
        <v>0</v>
      </c>
      <c r="N1719" s="73">
        <f t="shared" si="219"/>
        <v>0</v>
      </c>
      <c r="O1719" s="73">
        <f t="shared" si="221"/>
        <v>0</v>
      </c>
      <c r="P1719" s="73">
        <f t="shared" si="216"/>
        <v>0</v>
      </c>
      <c r="Q1719" s="73"/>
      <c r="R1719" s="73">
        <v>0</v>
      </c>
      <c r="S1719" s="75">
        <f t="shared" si="218"/>
        <v>0</v>
      </c>
      <c r="T1719" s="77">
        <v>0</v>
      </c>
      <c r="U1719" s="296">
        <v>40624</v>
      </c>
      <c r="V1719" s="297"/>
      <c r="W1719" s="296" t="s">
        <v>1585</v>
      </c>
      <c r="X1719" s="298" t="s">
        <v>1586</v>
      </c>
      <c r="Y1719" s="299"/>
      <c r="Z1719" s="300" t="s">
        <v>894</v>
      </c>
      <c r="AA1719" s="414" t="s">
        <v>5420</v>
      </c>
      <c r="AB1719" s="152"/>
      <c r="AC1719" s="153"/>
      <c r="AD1719" s="154"/>
      <c r="AE1719" s="153"/>
      <c r="AF1719" s="153"/>
      <c r="AG1719" s="153"/>
      <c r="AH1719" s="153"/>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c r="BF1719" s="153"/>
      <c r="BG1719" s="153"/>
      <c r="BH1719" s="153"/>
      <c r="BI1719" s="153"/>
      <c r="BJ1719" s="153"/>
      <c r="BK1719" s="153"/>
      <c r="BL1719" s="153"/>
      <c r="BM1719" s="153"/>
      <c r="BN1719" s="153"/>
      <c r="BO1719" s="153"/>
      <c r="BP1719" s="153"/>
      <c r="BQ1719" s="153"/>
      <c r="BR1719" s="153"/>
      <c r="BS1719" s="153"/>
      <c r="BT1719" s="153"/>
      <c r="BU1719" s="153"/>
      <c r="BV1719" s="153"/>
      <c r="BW1719" s="153"/>
      <c r="BX1719" s="153"/>
      <c r="BY1719" s="153"/>
      <c r="BZ1719" s="153"/>
      <c r="CA1719" s="153"/>
      <c r="CB1719" s="153"/>
      <c r="CC1719" s="153"/>
      <c r="CD1719" s="155"/>
      <c r="CE1719" s="156"/>
      <c r="CF1719" s="155"/>
      <c r="CG1719" s="156"/>
      <c r="CH1719" s="155"/>
      <c r="CI1719" s="156"/>
      <c r="CJ1719" s="157">
        <f t="shared" si="217"/>
        <v>0</v>
      </c>
      <c r="CK1719" s="158"/>
      <c r="CL1719" s="159"/>
      <c r="CM1719" s="160"/>
      <c r="CN1719" s="161"/>
      <c r="CO1719" s="162"/>
      <c r="CP1719" s="161"/>
      <c r="CQ1719" s="158"/>
      <c r="CR1719" s="159"/>
      <c r="CS1719" s="68"/>
      <c r="CT1719" s="163"/>
      <c r="EC1719" s="366" t="str">
        <f t="shared" si="220"/>
        <v>BOGOTA D.C._BOGOTA</v>
      </c>
      <c r="ED1719" s="367"/>
      <c r="EE1719" s="367"/>
      <c r="EF1719" s="368"/>
      <c r="EG1719" s="367"/>
      <c r="EH1719" s="367"/>
      <c r="EI1719" s="367"/>
    </row>
    <row r="1720" spans="1:139" s="164" customFormat="1" ht="25.5">
      <c r="A1720" s="228">
        <v>40498</v>
      </c>
      <c r="B1720" s="205" t="s">
        <v>1192</v>
      </c>
      <c r="C1720" s="205" t="s">
        <v>1929</v>
      </c>
      <c r="D1720" s="207" t="s">
        <v>1201</v>
      </c>
      <c r="E1720" s="323" t="s">
        <v>3474</v>
      </c>
      <c r="F1720" s="323"/>
      <c r="G1720" s="204"/>
      <c r="H1720" s="151"/>
      <c r="I1720" s="151"/>
      <c r="J1720" s="151">
        <f>32*5</f>
        <v>160</v>
      </c>
      <c r="K1720" s="151">
        <v>32</v>
      </c>
      <c r="L1720" s="1"/>
      <c r="M1720" s="73">
        <f t="shared" si="215"/>
        <v>0</v>
      </c>
      <c r="N1720" s="73">
        <f t="shared" si="219"/>
        <v>0</v>
      </c>
      <c r="O1720" s="73">
        <f t="shared" si="221"/>
        <v>0</v>
      </c>
      <c r="P1720" s="73">
        <f t="shared" si="216"/>
        <v>0</v>
      </c>
      <c r="Q1720" s="73"/>
      <c r="R1720" s="73">
        <v>0</v>
      </c>
      <c r="S1720" s="75">
        <f t="shared" si="218"/>
        <v>0</v>
      </c>
      <c r="T1720" s="77">
        <v>0</v>
      </c>
      <c r="U1720" s="66">
        <v>40499</v>
      </c>
      <c r="V1720" s="79"/>
      <c r="W1720" s="66" t="s">
        <v>1585</v>
      </c>
      <c r="X1720" s="24" t="s">
        <v>1586</v>
      </c>
      <c r="Y1720" s="62"/>
      <c r="Z1720" s="169" t="s">
        <v>894</v>
      </c>
      <c r="AA1720" s="166" t="s">
        <v>2870</v>
      </c>
      <c r="AB1720" s="152"/>
      <c r="AC1720" s="153"/>
      <c r="AD1720" s="154"/>
      <c r="AE1720" s="153"/>
      <c r="AF1720" s="153"/>
      <c r="AG1720" s="153"/>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c r="BF1720" s="153"/>
      <c r="BG1720" s="153"/>
      <c r="BH1720" s="153"/>
      <c r="BI1720" s="153"/>
      <c r="BJ1720" s="153"/>
      <c r="BK1720" s="153"/>
      <c r="BL1720" s="153"/>
      <c r="BM1720" s="153"/>
      <c r="BN1720" s="153"/>
      <c r="BO1720" s="153"/>
      <c r="BP1720" s="153"/>
      <c r="BQ1720" s="153"/>
      <c r="BR1720" s="153"/>
      <c r="BS1720" s="153"/>
      <c r="BT1720" s="153"/>
      <c r="BU1720" s="153"/>
      <c r="BV1720" s="153"/>
      <c r="BW1720" s="153"/>
      <c r="BX1720" s="153"/>
      <c r="BY1720" s="153"/>
      <c r="BZ1720" s="153"/>
      <c r="CA1720" s="153"/>
      <c r="CB1720" s="153"/>
      <c r="CC1720" s="153"/>
      <c r="CD1720" s="155"/>
      <c r="CE1720" s="156"/>
      <c r="CF1720" s="155"/>
      <c r="CG1720" s="156"/>
      <c r="CH1720" s="155"/>
      <c r="CI1720" s="156"/>
      <c r="CJ1720" s="157">
        <f t="shared" si="217"/>
        <v>0</v>
      </c>
      <c r="CK1720" s="158"/>
      <c r="CL1720" s="159"/>
      <c r="CM1720" s="160"/>
      <c r="CN1720" s="161"/>
      <c r="CO1720" s="162"/>
      <c r="CP1720" s="161"/>
      <c r="CQ1720" s="158"/>
      <c r="CR1720" s="159"/>
      <c r="CS1720" s="68"/>
      <c r="CT1720" s="163"/>
      <c r="EC1720" s="366" t="str">
        <f t="shared" si="220"/>
        <v>BOYACA_MIRAFLORES</v>
      </c>
      <c r="ED1720" s="367"/>
      <c r="EE1720" s="367"/>
      <c r="EF1720" s="368"/>
      <c r="EG1720" s="367"/>
      <c r="EH1720" s="367"/>
      <c r="EI1720" s="367"/>
    </row>
    <row r="1721" spans="1:139" s="164" customFormat="1" ht="25.5">
      <c r="A1721" s="228">
        <v>40498</v>
      </c>
      <c r="B1721" s="205" t="s">
        <v>1192</v>
      </c>
      <c r="C1721" s="205" t="s">
        <v>70</v>
      </c>
      <c r="D1721" s="207" t="s">
        <v>1878</v>
      </c>
      <c r="E1721" s="323" t="s">
        <v>3489</v>
      </c>
      <c r="F1721" s="323"/>
      <c r="G1721" s="204"/>
      <c r="H1721" s="151"/>
      <c r="I1721" s="151"/>
      <c r="J1721" s="151">
        <f>78*5</f>
        <v>390</v>
      </c>
      <c r="K1721" s="151">
        <v>78</v>
      </c>
      <c r="L1721" s="1"/>
      <c r="M1721" s="73">
        <f t="shared" si="215"/>
        <v>0</v>
      </c>
      <c r="N1721" s="73">
        <f t="shared" si="219"/>
        <v>0</v>
      </c>
      <c r="O1721" s="73">
        <f t="shared" si="221"/>
        <v>0</v>
      </c>
      <c r="P1721" s="73">
        <f t="shared" si="216"/>
        <v>0</v>
      </c>
      <c r="Q1721" s="73"/>
      <c r="R1721" s="73">
        <v>0</v>
      </c>
      <c r="S1721" s="75">
        <f t="shared" si="218"/>
        <v>0</v>
      </c>
      <c r="T1721" s="77">
        <v>0</v>
      </c>
      <c r="U1721" s="66">
        <v>40578</v>
      </c>
      <c r="V1721" s="79"/>
      <c r="W1721" s="66" t="s">
        <v>1585</v>
      </c>
      <c r="X1721" s="24" t="s">
        <v>1586</v>
      </c>
      <c r="Y1721" s="62"/>
      <c r="Z1721" s="169" t="s">
        <v>894</v>
      </c>
      <c r="AA1721" s="166" t="s">
        <v>54</v>
      </c>
      <c r="AB1721" s="152"/>
      <c r="AC1721" s="153"/>
      <c r="AD1721" s="154"/>
      <c r="AE1721" s="153"/>
      <c r="AF1721" s="153"/>
      <c r="AG1721" s="153"/>
      <c r="AH1721" s="153"/>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c r="BF1721" s="153"/>
      <c r="BG1721" s="153"/>
      <c r="BH1721" s="153"/>
      <c r="BI1721" s="153"/>
      <c r="BJ1721" s="153"/>
      <c r="BK1721" s="153"/>
      <c r="BL1721" s="153"/>
      <c r="BM1721" s="153"/>
      <c r="BN1721" s="153"/>
      <c r="BO1721" s="153"/>
      <c r="BP1721" s="153"/>
      <c r="BQ1721" s="153"/>
      <c r="BR1721" s="153"/>
      <c r="BS1721" s="153"/>
      <c r="BT1721" s="153"/>
      <c r="BU1721" s="153"/>
      <c r="BV1721" s="153"/>
      <c r="BW1721" s="153"/>
      <c r="BX1721" s="153"/>
      <c r="BY1721" s="153"/>
      <c r="BZ1721" s="153"/>
      <c r="CA1721" s="153"/>
      <c r="CB1721" s="153"/>
      <c r="CC1721" s="153"/>
      <c r="CD1721" s="155"/>
      <c r="CE1721" s="156"/>
      <c r="CF1721" s="155"/>
      <c r="CG1721" s="156"/>
      <c r="CH1721" s="155"/>
      <c r="CI1721" s="156"/>
      <c r="CJ1721" s="157">
        <f t="shared" si="217"/>
        <v>0</v>
      </c>
      <c r="CK1721" s="158"/>
      <c r="CL1721" s="159"/>
      <c r="CM1721" s="160"/>
      <c r="CN1721" s="161"/>
      <c r="CO1721" s="162"/>
      <c r="CP1721" s="161"/>
      <c r="CQ1721" s="158"/>
      <c r="CR1721" s="159"/>
      <c r="CS1721" s="68"/>
      <c r="CT1721" s="163"/>
      <c r="EC1721" s="366" t="str">
        <f t="shared" si="220"/>
        <v>BOYACA_PAUNA</v>
      </c>
      <c r="ED1721" s="367"/>
      <c r="EE1721" s="367"/>
      <c r="EF1721" s="368"/>
      <c r="EG1721" s="367"/>
      <c r="EH1721" s="367"/>
      <c r="EI1721" s="367"/>
    </row>
    <row r="1722" spans="1:139" s="164" customFormat="1" ht="38.25">
      <c r="A1722" s="228">
        <v>40498</v>
      </c>
      <c r="B1722" s="205" t="s">
        <v>653</v>
      </c>
      <c r="C1722" s="205" t="s">
        <v>2102</v>
      </c>
      <c r="D1722" s="206" t="s">
        <v>1878</v>
      </c>
      <c r="E1722" s="320" t="s">
        <v>3554</v>
      </c>
      <c r="F1722" s="320"/>
      <c r="G1722" s="204">
        <v>2</v>
      </c>
      <c r="H1722" s="151">
        <v>3</v>
      </c>
      <c r="I1722" s="151"/>
      <c r="J1722" s="151">
        <f>299*5</f>
        <v>1495</v>
      </c>
      <c r="K1722" s="151">
        <v>299</v>
      </c>
      <c r="L1722" s="1"/>
      <c r="M1722" s="73">
        <f t="shared" si="215"/>
        <v>0</v>
      </c>
      <c r="N1722" s="73">
        <f t="shared" si="219"/>
        <v>0</v>
      </c>
      <c r="O1722" s="73">
        <f t="shared" si="221"/>
        <v>0</v>
      </c>
      <c r="P1722" s="73">
        <f t="shared" si="216"/>
        <v>0</v>
      </c>
      <c r="Q1722" s="73"/>
      <c r="R1722" s="73">
        <v>0</v>
      </c>
      <c r="S1722" s="75">
        <f t="shared" si="218"/>
        <v>0</v>
      </c>
      <c r="T1722" s="77">
        <v>0</v>
      </c>
      <c r="U1722" s="66">
        <v>40497</v>
      </c>
      <c r="V1722" s="79"/>
      <c r="W1722" s="66" t="s">
        <v>1606</v>
      </c>
      <c r="X1722" s="24" t="s">
        <v>1607</v>
      </c>
      <c r="Y1722" s="62"/>
      <c r="Z1722" s="176" t="s">
        <v>3056</v>
      </c>
      <c r="AA1722" s="166" t="s">
        <v>2103</v>
      </c>
      <c r="AB1722" s="152"/>
      <c r="AC1722" s="153"/>
      <c r="AD1722" s="154"/>
      <c r="AE1722" s="153"/>
      <c r="AF1722" s="153"/>
      <c r="AG1722" s="153"/>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c r="BF1722" s="153"/>
      <c r="BG1722" s="153"/>
      <c r="BH1722" s="153"/>
      <c r="BI1722" s="153"/>
      <c r="BJ1722" s="153"/>
      <c r="BK1722" s="153"/>
      <c r="BL1722" s="153"/>
      <c r="BM1722" s="153"/>
      <c r="BN1722" s="153"/>
      <c r="BO1722" s="153"/>
      <c r="BP1722" s="153"/>
      <c r="BQ1722" s="153"/>
      <c r="BR1722" s="153"/>
      <c r="BS1722" s="153"/>
      <c r="BT1722" s="153"/>
      <c r="BU1722" s="153"/>
      <c r="BV1722" s="153"/>
      <c r="BW1722" s="153"/>
      <c r="BX1722" s="153"/>
      <c r="BY1722" s="153"/>
      <c r="BZ1722" s="153"/>
      <c r="CA1722" s="153"/>
      <c r="CB1722" s="153"/>
      <c r="CC1722" s="153"/>
      <c r="CD1722" s="155"/>
      <c r="CE1722" s="156"/>
      <c r="CF1722" s="155"/>
      <c r="CG1722" s="156"/>
      <c r="CH1722" s="155"/>
      <c r="CI1722" s="156"/>
      <c r="CJ1722" s="157">
        <f t="shared" si="217"/>
        <v>0</v>
      </c>
      <c r="CK1722" s="158"/>
      <c r="CL1722" s="159"/>
      <c r="CM1722" s="160"/>
      <c r="CN1722" s="161"/>
      <c r="CO1722" s="162"/>
      <c r="CP1722" s="161"/>
      <c r="CQ1722" s="158"/>
      <c r="CR1722" s="159"/>
      <c r="CS1722" s="68"/>
      <c r="CT1722" s="163"/>
      <c r="EC1722" s="366" t="str">
        <f t="shared" si="220"/>
        <v>CALDAS_MARQUETALIA</v>
      </c>
      <c r="ED1722" s="367"/>
      <c r="EE1722" s="367"/>
      <c r="EF1722" s="368"/>
      <c r="EG1722" s="367"/>
      <c r="EH1722" s="367"/>
      <c r="EI1722" s="367"/>
    </row>
    <row r="1723" spans="1:139" s="164" customFormat="1" ht="60">
      <c r="A1723" s="228">
        <v>40498</v>
      </c>
      <c r="B1723" s="205" t="s">
        <v>1314</v>
      </c>
      <c r="C1723" s="205" t="s">
        <v>1234</v>
      </c>
      <c r="D1723" s="207" t="s">
        <v>1878</v>
      </c>
      <c r="E1723" s="323" t="s">
        <v>3614</v>
      </c>
      <c r="F1723" s="323"/>
      <c r="G1723" s="204"/>
      <c r="H1723" s="151"/>
      <c r="I1723" s="151"/>
      <c r="J1723" s="151">
        <f>853*5</f>
        <v>4265</v>
      </c>
      <c r="K1723" s="151">
        <f>42+811</f>
        <v>853</v>
      </c>
      <c r="L1723" s="1"/>
      <c r="M1723" s="73">
        <f t="shared" si="215"/>
        <v>0</v>
      </c>
      <c r="N1723" s="73">
        <f t="shared" si="219"/>
        <v>0</v>
      </c>
      <c r="O1723" s="73">
        <f t="shared" si="221"/>
        <v>0</v>
      </c>
      <c r="P1723" s="73">
        <f t="shared" si="216"/>
        <v>0</v>
      </c>
      <c r="Q1723" s="73"/>
      <c r="R1723" s="73">
        <v>0</v>
      </c>
      <c r="S1723" s="75">
        <f t="shared" si="218"/>
        <v>0</v>
      </c>
      <c r="T1723" s="77">
        <v>0</v>
      </c>
      <c r="U1723" s="66"/>
      <c r="V1723" s="79"/>
      <c r="W1723" s="66" t="s">
        <v>1606</v>
      </c>
      <c r="X1723" s="264" t="s">
        <v>1607</v>
      </c>
      <c r="Y1723" s="62"/>
      <c r="Z1723" s="260" t="s">
        <v>18</v>
      </c>
      <c r="AA1723" s="166" t="s">
        <v>2939</v>
      </c>
      <c r="AB1723" s="152"/>
      <c r="AC1723" s="153"/>
      <c r="AD1723" s="154"/>
      <c r="AE1723" s="153"/>
      <c r="AF1723" s="153"/>
      <c r="AG1723" s="153"/>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53"/>
      <c r="BB1723" s="153"/>
      <c r="BC1723" s="153"/>
      <c r="BD1723" s="153"/>
      <c r="BE1723" s="153"/>
      <c r="BF1723" s="153"/>
      <c r="BG1723" s="153"/>
      <c r="BH1723" s="153"/>
      <c r="BI1723" s="153"/>
      <c r="BJ1723" s="153"/>
      <c r="BK1723" s="153"/>
      <c r="BL1723" s="153"/>
      <c r="BM1723" s="153"/>
      <c r="BN1723" s="153"/>
      <c r="BO1723" s="153"/>
      <c r="BP1723" s="153"/>
      <c r="BQ1723" s="153"/>
      <c r="BR1723" s="153"/>
      <c r="BS1723" s="153"/>
      <c r="BT1723" s="153"/>
      <c r="BU1723" s="153"/>
      <c r="BV1723" s="153"/>
      <c r="BW1723" s="153"/>
      <c r="BX1723" s="153"/>
      <c r="BY1723" s="153"/>
      <c r="BZ1723" s="153"/>
      <c r="CA1723" s="153"/>
      <c r="CB1723" s="153"/>
      <c r="CC1723" s="153"/>
      <c r="CD1723" s="155"/>
      <c r="CE1723" s="156"/>
      <c r="CF1723" s="155"/>
      <c r="CG1723" s="156"/>
      <c r="CH1723" s="155"/>
      <c r="CI1723" s="156"/>
      <c r="CJ1723" s="157">
        <f t="shared" si="217"/>
        <v>0</v>
      </c>
      <c r="CK1723" s="158"/>
      <c r="CL1723" s="159"/>
      <c r="CM1723" s="160"/>
      <c r="CN1723" s="161"/>
      <c r="CO1723" s="162"/>
      <c r="CP1723" s="161"/>
      <c r="CQ1723" s="158"/>
      <c r="CR1723" s="159"/>
      <c r="CS1723" s="68"/>
      <c r="CT1723" s="163"/>
      <c r="EC1723" s="366" t="str">
        <f t="shared" si="220"/>
        <v>CAUCA_PURACE</v>
      </c>
      <c r="ED1723" s="367"/>
      <c r="EE1723" s="367"/>
      <c r="EF1723" s="368"/>
      <c r="EG1723" s="367"/>
      <c r="EH1723" s="367"/>
      <c r="EI1723" s="367"/>
    </row>
    <row r="1724" spans="1:139" s="164" customFormat="1" ht="25.5">
      <c r="A1724" s="228">
        <v>40498</v>
      </c>
      <c r="B1724" s="205" t="s">
        <v>1821</v>
      </c>
      <c r="C1724" s="205" t="s">
        <v>601</v>
      </c>
      <c r="D1724" s="207" t="s">
        <v>1201</v>
      </c>
      <c r="E1724" s="323" t="s">
        <v>3632</v>
      </c>
      <c r="F1724" s="323"/>
      <c r="G1724" s="204">
        <v>1</v>
      </c>
      <c r="H1724" s="151"/>
      <c r="I1724" s="151"/>
      <c r="J1724" s="151">
        <f>1014*5</f>
        <v>5070</v>
      </c>
      <c r="K1724" s="151">
        <f>1105-28-38-25</f>
        <v>1014</v>
      </c>
      <c r="L1724" s="1"/>
      <c r="M1724" s="73">
        <f t="shared" si="215"/>
        <v>0</v>
      </c>
      <c r="N1724" s="73">
        <f t="shared" si="219"/>
        <v>0</v>
      </c>
      <c r="O1724" s="73">
        <f t="shared" si="221"/>
        <v>0</v>
      </c>
      <c r="P1724" s="73">
        <f t="shared" si="216"/>
        <v>0</v>
      </c>
      <c r="Q1724" s="73"/>
      <c r="R1724" s="73">
        <v>0</v>
      </c>
      <c r="S1724" s="75">
        <f t="shared" si="218"/>
        <v>0</v>
      </c>
      <c r="T1724" s="77">
        <v>0</v>
      </c>
      <c r="U1724" s="66">
        <v>40497</v>
      </c>
      <c r="V1724" s="79"/>
      <c r="W1724" s="66" t="s">
        <v>1585</v>
      </c>
      <c r="X1724" s="24" t="s">
        <v>1586</v>
      </c>
      <c r="Y1724" s="62"/>
      <c r="Z1724" s="169" t="s">
        <v>894</v>
      </c>
      <c r="AA1724" s="166" t="s">
        <v>2894</v>
      </c>
      <c r="AB1724" s="152"/>
      <c r="AC1724" s="153"/>
      <c r="AD1724" s="154"/>
      <c r="AE1724" s="153"/>
      <c r="AF1724" s="153"/>
      <c r="AG1724" s="153"/>
      <c r="AH1724" s="153"/>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c r="BF1724" s="153"/>
      <c r="BG1724" s="153"/>
      <c r="BH1724" s="153"/>
      <c r="BI1724" s="153"/>
      <c r="BJ1724" s="153"/>
      <c r="BK1724" s="153"/>
      <c r="BL1724" s="153"/>
      <c r="BM1724" s="153"/>
      <c r="BN1724" s="153"/>
      <c r="BO1724" s="153"/>
      <c r="BP1724" s="153"/>
      <c r="BQ1724" s="153"/>
      <c r="BR1724" s="153"/>
      <c r="BS1724" s="153"/>
      <c r="BT1724" s="153"/>
      <c r="BU1724" s="153"/>
      <c r="BV1724" s="153"/>
      <c r="BW1724" s="153"/>
      <c r="BX1724" s="153"/>
      <c r="BY1724" s="153"/>
      <c r="BZ1724" s="153"/>
      <c r="CA1724" s="153"/>
      <c r="CB1724" s="153"/>
      <c r="CC1724" s="153"/>
      <c r="CD1724" s="155"/>
      <c r="CE1724" s="156"/>
      <c r="CF1724" s="155"/>
      <c r="CG1724" s="156"/>
      <c r="CH1724" s="155"/>
      <c r="CI1724" s="156"/>
      <c r="CJ1724" s="157">
        <f t="shared" si="217"/>
        <v>0</v>
      </c>
      <c r="CK1724" s="158"/>
      <c r="CL1724" s="159"/>
      <c r="CM1724" s="160"/>
      <c r="CN1724" s="161"/>
      <c r="CO1724" s="162"/>
      <c r="CP1724" s="161"/>
      <c r="CQ1724" s="158"/>
      <c r="CR1724" s="159"/>
      <c r="CS1724" s="68"/>
      <c r="CT1724" s="163"/>
      <c r="EC1724" s="366" t="str">
        <f t="shared" si="220"/>
        <v>CESAR_BECERRIL</v>
      </c>
      <c r="ED1724" s="367"/>
      <c r="EE1724" s="367"/>
      <c r="EF1724" s="368"/>
      <c r="EG1724" s="367"/>
      <c r="EH1724" s="367"/>
      <c r="EI1724" s="367"/>
    </row>
    <row r="1725" spans="1:139" s="164" customFormat="1" ht="25.5">
      <c r="A1725" s="228">
        <v>40498</v>
      </c>
      <c r="B1725" s="205" t="s">
        <v>1996</v>
      </c>
      <c r="C1725" s="205" t="s">
        <v>2800</v>
      </c>
      <c r="D1725" s="207" t="s">
        <v>1201</v>
      </c>
      <c r="E1725" s="323" t="s">
        <v>3817</v>
      </c>
      <c r="F1725" s="323"/>
      <c r="G1725" s="204">
        <v>1</v>
      </c>
      <c r="H1725" s="151"/>
      <c r="I1725" s="151"/>
      <c r="J1725" s="151"/>
      <c r="K1725" s="151"/>
      <c r="L1725" s="1"/>
      <c r="M1725" s="73">
        <f t="shared" si="215"/>
        <v>0</v>
      </c>
      <c r="N1725" s="73">
        <f t="shared" si="219"/>
        <v>0</v>
      </c>
      <c r="O1725" s="73">
        <f t="shared" si="221"/>
        <v>0</v>
      </c>
      <c r="P1725" s="73">
        <f t="shared" si="216"/>
        <v>0</v>
      </c>
      <c r="Q1725" s="73"/>
      <c r="R1725" s="73">
        <v>0</v>
      </c>
      <c r="S1725" s="75">
        <f t="shared" si="218"/>
        <v>0</v>
      </c>
      <c r="T1725" s="77">
        <v>0</v>
      </c>
      <c r="U1725" s="228">
        <v>40497</v>
      </c>
      <c r="V1725" s="79"/>
      <c r="W1725" s="66" t="s">
        <v>1585</v>
      </c>
      <c r="X1725" s="24" t="s">
        <v>1586</v>
      </c>
      <c r="Y1725" s="62"/>
      <c r="Z1725" s="169" t="s">
        <v>894</v>
      </c>
      <c r="AA1725" s="166" t="s">
        <v>2895</v>
      </c>
      <c r="AB1725" s="152"/>
      <c r="AC1725" s="153"/>
      <c r="AD1725" s="154"/>
      <c r="AE1725" s="153"/>
      <c r="AF1725" s="153"/>
      <c r="AG1725" s="153"/>
      <c r="AH1725" s="153"/>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c r="BF1725" s="153"/>
      <c r="BG1725" s="153"/>
      <c r="BH1725" s="153"/>
      <c r="BI1725" s="153"/>
      <c r="BJ1725" s="153"/>
      <c r="BK1725" s="153"/>
      <c r="BL1725" s="153"/>
      <c r="BM1725" s="153"/>
      <c r="BN1725" s="153"/>
      <c r="BO1725" s="153"/>
      <c r="BP1725" s="153"/>
      <c r="BQ1725" s="153"/>
      <c r="BR1725" s="153"/>
      <c r="BS1725" s="153"/>
      <c r="BT1725" s="153"/>
      <c r="BU1725" s="153"/>
      <c r="BV1725" s="153"/>
      <c r="BW1725" s="153"/>
      <c r="BX1725" s="153"/>
      <c r="BY1725" s="153"/>
      <c r="BZ1725" s="153"/>
      <c r="CA1725" s="153"/>
      <c r="CB1725" s="153"/>
      <c r="CC1725" s="153"/>
      <c r="CD1725" s="155"/>
      <c r="CE1725" s="156"/>
      <c r="CF1725" s="155"/>
      <c r="CG1725" s="156"/>
      <c r="CH1725" s="155"/>
      <c r="CI1725" s="156"/>
      <c r="CJ1725" s="157">
        <f t="shared" si="217"/>
        <v>0</v>
      </c>
      <c r="CK1725" s="158"/>
      <c r="CL1725" s="159"/>
      <c r="CM1725" s="160"/>
      <c r="CN1725" s="161"/>
      <c r="CO1725" s="162"/>
      <c r="CP1725" s="161"/>
      <c r="CQ1725" s="158"/>
      <c r="CR1725" s="159"/>
      <c r="CS1725" s="68"/>
      <c r="CT1725" s="163"/>
      <c r="EC1725" s="366" t="str">
        <f t="shared" si="220"/>
        <v>CHOCO_RIOSUCIO</v>
      </c>
      <c r="ED1725" s="367"/>
      <c r="EE1725" s="367"/>
      <c r="EF1725" s="368"/>
      <c r="EG1725" s="367"/>
      <c r="EH1725" s="367"/>
      <c r="EI1725" s="367"/>
    </row>
    <row r="1726" spans="1:139" s="164" customFormat="1" ht="38.25">
      <c r="A1726" s="228">
        <v>40498</v>
      </c>
      <c r="B1726" s="205" t="s">
        <v>1604</v>
      </c>
      <c r="C1726" s="205" t="s">
        <v>1950</v>
      </c>
      <c r="D1726" s="207" t="s">
        <v>1201</v>
      </c>
      <c r="E1726" s="323" t="s">
        <v>3701</v>
      </c>
      <c r="F1726" s="323"/>
      <c r="G1726" s="204"/>
      <c r="H1726" s="151"/>
      <c r="I1726" s="151"/>
      <c r="J1726" s="151">
        <v>52</v>
      </c>
      <c r="K1726" s="151">
        <v>16</v>
      </c>
      <c r="L1726" s="1"/>
      <c r="M1726" s="73">
        <f t="shared" si="215"/>
        <v>0</v>
      </c>
      <c r="N1726" s="73">
        <f t="shared" si="219"/>
        <v>0</v>
      </c>
      <c r="O1726" s="73">
        <f t="shared" si="221"/>
        <v>0</v>
      </c>
      <c r="P1726" s="73">
        <f t="shared" si="216"/>
        <v>0</v>
      </c>
      <c r="Q1726" s="73"/>
      <c r="R1726" s="73">
        <v>0</v>
      </c>
      <c r="S1726" s="75">
        <f t="shared" si="218"/>
        <v>0</v>
      </c>
      <c r="T1726" s="77">
        <v>0</v>
      </c>
      <c r="U1726" s="66">
        <v>40612</v>
      </c>
      <c r="V1726" s="79"/>
      <c r="W1726" s="66" t="s">
        <v>1585</v>
      </c>
      <c r="X1726" s="24" t="s">
        <v>1586</v>
      </c>
      <c r="Y1726" s="62"/>
      <c r="Z1726" s="169" t="s">
        <v>894</v>
      </c>
      <c r="AA1726" s="166" t="s">
        <v>155</v>
      </c>
      <c r="AB1726" s="152"/>
      <c r="AC1726" s="153"/>
      <c r="AD1726" s="154"/>
      <c r="AE1726" s="153"/>
      <c r="AF1726" s="153"/>
      <c r="AG1726" s="153"/>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c r="BF1726" s="153"/>
      <c r="BG1726" s="153"/>
      <c r="BH1726" s="153"/>
      <c r="BI1726" s="153"/>
      <c r="BJ1726" s="153"/>
      <c r="BK1726" s="153"/>
      <c r="BL1726" s="153"/>
      <c r="BM1726" s="153"/>
      <c r="BN1726" s="153"/>
      <c r="BO1726" s="153"/>
      <c r="BP1726" s="153"/>
      <c r="BQ1726" s="153"/>
      <c r="BR1726" s="153"/>
      <c r="BS1726" s="153"/>
      <c r="BT1726" s="153"/>
      <c r="BU1726" s="153"/>
      <c r="BV1726" s="153"/>
      <c r="BW1726" s="153"/>
      <c r="BX1726" s="153"/>
      <c r="BY1726" s="153"/>
      <c r="BZ1726" s="153"/>
      <c r="CA1726" s="153"/>
      <c r="CB1726" s="153"/>
      <c r="CC1726" s="153"/>
      <c r="CD1726" s="155"/>
      <c r="CE1726" s="156"/>
      <c r="CF1726" s="155"/>
      <c r="CG1726" s="156"/>
      <c r="CH1726" s="155"/>
      <c r="CI1726" s="156"/>
      <c r="CJ1726" s="157">
        <f t="shared" si="217"/>
        <v>0</v>
      </c>
      <c r="CK1726" s="158"/>
      <c r="CL1726" s="159"/>
      <c r="CM1726" s="160"/>
      <c r="CN1726" s="161"/>
      <c r="CO1726" s="162"/>
      <c r="CP1726" s="161"/>
      <c r="CQ1726" s="158"/>
      <c r="CR1726" s="159"/>
      <c r="CS1726" s="68"/>
      <c r="CT1726" s="163"/>
      <c r="EC1726" s="366" t="str">
        <f t="shared" si="220"/>
        <v>CUNDINAMARCA_EL COLEGIO</v>
      </c>
      <c r="ED1726" s="367"/>
      <c r="EE1726" s="367"/>
      <c r="EF1726" s="368"/>
      <c r="EG1726" s="367"/>
      <c r="EH1726" s="367"/>
      <c r="EI1726" s="367"/>
    </row>
    <row r="1727" spans="1:139" s="164" customFormat="1" ht="38.25">
      <c r="A1727" s="228">
        <v>40498</v>
      </c>
      <c r="B1727" s="205" t="s">
        <v>1604</v>
      </c>
      <c r="C1727" s="205" t="s">
        <v>1951</v>
      </c>
      <c r="D1727" s="207" t="s">
        <v>1878</v>
      </c>
      <c r="E1727" s="323" t="s">
        <v>3708</v>
      </c>
      <c r="F1727" s="323"/>
      <c r="G1727" s="204"/>
      <c r="H1727" s="151"/>
      <c r="I1727" s="151"/>
      <c r="J1727" s="151">
        <v>86</v>
      </c>
      <c r="K1727" s="151">
        <v>27</v>
      </c>
      <c r="L1727" s="1"/>
      <c r="M1727" s="73">
        <f t="shared" si="215"/>
        <v>0</v>
      </c>
      <c r="N1727" s="73">
        <f t="shared" si="219"/>
        <v>0</v>
      </c>
      <c r="O1727" s="73">
        <f t="shared" si="221"/>
        <v>0</v>
      </c>
      <c r="P1727" s="73">
        <f t="shared" si="216"/>
        <v>0</v>
      </c>
      <c r="Q1727" s="73"/>
      <c r="R1727" s="73">
        <v>0</v>
      </c>
      <c r="S1727" s="75">
        <f t="shared" si="218"/>
        <v>0</v>
      </c>
      <c r="T1727" s="77">
        <v>0</v>
      </c>
      <c r="U1727" s="228">
        <v>40612</v>
      </c>
      <c r="V1727" s="79"/>
      <c r="W1727" s="66" t="s">
        <v>1585</v>
      </c>
      <c r="X1727" s="24" t="s">
        <v>1586</v>
      </c>
      <c r="Y1727" s="62"/>
      <c r="Z1727" s="169" t="s">
        <v>894</v>
      </c>
      <c r="AA1727" s="166" t="s">
        <v>155</v>
      </c>
      <c r="AB1727" s="152"/>
      <c r="AC1727" s="153"/>
      <c r="AD1727" s="154"/>
      <c r="AE1727" s="153"/>
      <c r="AF1727" s="153"/>
      <c r="AG1727" s="153"/>
      <c r="AH1727" s="153"/>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c r="BF1727" s="153"/>
      <c r="BG1727" s="153"/>
      <c r="BH1727" s="153"/>
      <c r="BI1727" s="153"/>
      <c r="BJ1727" s="153"/>
      <c r="BK1727" s="153"/>
      <c r="BL1727" s="153"/>
      <c r="BM1727" s="153"/>
      <c r="BN1727" s="153"/>
      <c r="BO1727" s="153"/>
      <c r="BP1727" s="153"/>
      <c r="BQ1727" s="153"/>
      <c r="BR1727" s="153"/>
      <c r="BS1727" s="153"/>
      <c r="BT1727" s="153"/>
      <c r="BU1727" s="153"/>
      <c r="BV1727" s="153"/>
      <c r="BW1727" s="153"/>
      <c r="BX1727" s="153"/>
      <c r="BY1727" s="153"/>
      <c r="BZ1727" s="153"/>
      <c r="CA1727" s="153"/>
      <c r="CB1727" s="153"/>
      <c r="CC1727" s="153"/>
      <c r="CD1727" s="155"/>
      <c r="CE1727" s="156"/>
      <c r="CF1727" s="155"/>
      <c r="CG1727" s="156"/>
      <c r="CH1727" s="155"/>
      <c r="CI1727" s="156"/>
      <c r="CJ1727" s="157">
        <f t="shared" si="217"/>
        <v>0</v>
      </c>
      <c r="CK1727" s="158"/>
      <c r="CL1727" s="159"/>
      <c r="CM1727" s="160"/>
      <c r="CN1727" s="161"/>
      <c r="CO1727" s="162"/>
      <c r="CP1727" s="161"/>
      <c r="CQ1727" s="158"/>
      <c r="CR1727" s="159"/>
      <c r="CS1727" s="68"/>
      <c r="CT1727" s="163"/>
      <c r="EC1727" s="366" t="str">
        <f t="shared" si="220"/>
        <v>CUNDINAMARCA_FUQUENE</v>
      </c>
      <c r="ED1727" s="367"/>
      <c r="EE1727" s="367"/>
      <c r="EF1727" s="368"/>
      <c r="EG1727" s="367"/>
      <c r="EH1727" s="367"/>
      <c r="EI1727" s="367"/>
    </row>
    <row r="1728" spans="1:139" s="164" customFormat="1" ht="72">
      <c r="A1728" s="228">
        <v>40498</v>
      </c>
      <c r="B1728" s="205" t="s">
        <v>1824</v>
      </c>
      <c r="C1728" s="205" t="s">
        <v>2482</v>
      </c>
      <c r="D1728" s="206" t="s">
        <v>1878</v>
      </c>
      <c r="E1728" s="320" t="s">
        <v>3967</v>
      </c>
      <c r="F1728" s="320"/>
      <c r="G1728" s="204"/>
      <c r="H1728" s="151"/>
      <c r="I1728" s="151"/>
      <c r="J1728" s="151">
        <v>155</v>
      </c>
      <c r="K1728" s="151">
        <v>31</v>
      </c>
      <c r="L1728" s="1"/>
      <c r="M1728" s="73">
        <f t="shared" si="215"/>
        <v>0</v>
      </c>
      <c r="N1728" s="73">
        <f t="shared" si="219"/>
        <v>0</v>
      </c>
      <c r="O1728" s="73">
        <f t="shared" si="221"/>
        <v>0</v>
      </c>
      <c r="P1728" s="73">
        <f t="shared" si="216"/>
        <v>0</v>
      </c>
      <c r="Q1728" s="73"/>
      <c r="R1728" s="73">
        <v>0</v>
      </c>
      <c r="S1728" s="75">
        <f t="shared" si="218"/>
        <v>0</v>
      </c>
      <c r="T1728" s="77">
        <v>0</v>
      </c>
      <c r="U1728" s="66">
        <v>40497</v>
      </c>
      <c r="V1728" s="79"/>
      <c r="W1728" s="66" t="s">
        <v>1585</v>
      </c>
      <c r="X1728" s="24" t="s">
        <v>1586</v>
      </c>
      <c r="Y1728" s="62"/>
      <c r="Z1728" s="169" t="s">
        <v>894</v>
      </c>
      <c r="AA1728" s="166" t="s">
        <v>2817</v>
      </c>
      <c r="AB1728" s="152"/>
      <c r="AC1728" s="153"/>
      <c r="AD1728" s="154"/>
      <c r="AE1728" s="153"/>
      <c r="AF1728" s="153"/>
      <c r="AG1728" s="153"/>
      <c r="AH1728" s="153"/>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c r="BF1728" s="153"/>
      <c r="BG1728" s="153"/>
      <c r="BH1728" s="153"/>
      <c r="BI1728" s="153"/>
      <c r="BJ1728" s="153"/>
      <c r="BK1728" s="153"/>
      <c r="BL1728" s="153"/>
      <c r="BM1728" s="153"/>
      <c r="BN1728" s="153"/>
      <c r="BO1728" s="153"/>
      <c r="BP1728" s="153"/>
      <c r="BQ1728" s="153"/>
      <c r="BR1728" s="153"/>
      <c r="BS1728" s="153"/>
      <c r="BT1728" s="153"/>
      <c r="BU1728" s="153"/>
      <c r="BV1728" s="153"/>
      <c r="BW1728" s="153"/>
      <c r="BX1728" s="153"/>
      <c r="BY1728" s="153"/>
      <c r="BZ1728" s="153"/>
      <c r="CA1728" s="153"/>
      <c r="CB1728" s="153"/>
      <c r="CC1728" s="153"/>
      <c r="CD1728" s="155"/>
      <c r="CE1728" s="156"/>
      <c r="CF1728" s="155"/>
      <c r="CG1728" s="156"/>
      <c r="CH1728" s="155"/>
      <c r="CI1728" s="156"/>
      <c r="CJ1728" s="157">
        <f t="shared" si="217"/>
        <v>0</v>
      </c>
      <c r="CK1728" s="158"/>
      <c r="CL1728" s="159"/>
      <c r="CM1728" s="160"/>
      <c r="CN1728" s="161"/>
      <c r="CO1728" s="162"/>
      <c r="CP1728" s="161"/>
      <c r="CQ1728" s="158"/>
      <c r="CR1728" s="159"/>
      <c r="CS1728" s="68"/>
      <c r="CT1728" s="163"/>
      <c r="EC1728" s="366" t="str">
        <f t="shared" si="220"/>
        <v>NARIÑO_LEIVA</v>
      </c>
      <c r="ED1728" s="367"/>
      <c r="EE1728" s="367"/>
      <c r="EF1728" s="368"/>
      <c r="EG1728" s="367"/>
      <c r="EH1728" s="367"/>
      <c r="EI1728" s="367"/>
    </row>
    <row r="1729" spans="1:139" s="164" customFormat="1" ht="60">
      <c r="A1729" s="228">
        <v>40498</v>
      </c>
      <c r="B1729" s="205" t="s">
        <v>1824</v>
      </c>
      <c r="C1729" s="205" t="s">
        <v>40</v>
      </c>
      <c r="D1729" s="206" t="s">
        <v>1878</v>
      </c>
      <c r="E1729" s="320" t="s">
        <v>3969</v>
      </c>
      <c r="F1729" s="320"/>
      <c r="G1729" s="204"/>
      <c r="H1729" s="151">
        <v>1</v>
      </c>
      <c r="I1729" s="151"/>
      <c r="J1729" s="151">
        <v>913</v>
      </c>
      <c r="K1729" s="151">
        <v>235</v>
      </c>
      <c r="L1729" s="1"/>
      <c r="M1729" s="73">
        <f t="shared" si="215"/>
        <v>0</v>
      </c>
      <c r="N1729" s="73">
        <f t="shared" si="219"/>
        <v>0</v>
      </c>
      <c r="O1729" s="73">
        <f t="shared" si="221"/>
        <v>0</v>
      </c>
      <c r="P1729" s="73">
        <f t="shared" si="216"/>
        <v>0</v>
      </c>
      <c r="Q1729" s="73"/>
      <c r="R1729" s="73">
        <v>0</v>
      </c>
      <c r="S1729" s="75">
        <f t="shared" si="218"/>
        <v>0</v>
      </c>
      <c r="T1729" s="77">
        <v>0</v>
      </c>
      <c r="U1729" s="66">
        <v>40497</v>
      </c>
      <c r="V1729" s="79"/>
      <c r="W1729" s="66" t="s">
        <v>1585</v>
      </c>
      <c r="X1729" s="24" t="s">
        <v>1586</v>
      </c>
      <c r="Y1729" s="62"/>
      <c r="Z1729" s="169" t="s">
        <v>894</v>
      </c>
      <c r="AA1729" s="166" t="s">
        <v>2827</v>
      </c>
      <c r="AB1729" s="152"/>
      <c r="AC1729" s="153"/>
      <c r="AD1729" s="154"/>
      <c r="AE1729" s="153"/>
      <c r="AF1729" s="153"/>
      <c r="AG1729" s="153"/>
      <c r="AH1729" s="153"/>
      <c r="AI1729" s="153"/>
      <c r="AJ1729" s="153"/>
      <c r="AK1729" s="153"/>
      <c r="AL1729" s="153"/>
      <c r="AM1729" s="153"/>
      <c r="AN1729" s="153"/>
      <c r="AO1729" s="153"/>
      <c r="AP1729" s="153"/>
      <c r="AQ1729" s="153"/>
      <c r="AR1729" s="153"/>
      <c r="AS1729" s="153"/>
      <c r="AT1729" s="153"/>
      <c r="AU1729" s="153"/>
      <c r="AV1729" s="153"/>
      <c r="AW1729" s="153"/>
      <c r="AX1729" s="153"/>
      <c r="AY1729" s="153"/>
      <c r="AZ1729" s="153"/>
      <c r="BA1729" s="153"/>
      <c r="BB1729" s="153"/>
      <c r="BC1729" s="153"/>
      <c r="BD1729" s="153"/>
      <c r="BE1729" s="153"/>
      <c r="BF1729" s="153"/>
      <c r="BG1729" s="153"/>
      <c r="BH1729" s="153"/>
      <c r="BI1729" s="153"/>
      <c r="BJ1729" s="153"/>
      <c r="BK1729" s="153"/>
      <c r="BL1729" s="153"/>
      <c r="BM1729" s="153"/>
      <c r="BN1729" s="153"/>
      <c r="BO1729" s="153"/>
      <c r="BP1729" s="153"/>
      <c r="BQ1729" s="153"/>
      <c r="BR1729" s="153"/>
      <c r="BS1729" s="153"/>
      <c r="BT1729" s="153"/>
      <c r="BU1729" s="153"/>
      <c r="BV1729" s="153"/>
      <c r="BW1729" s="153"/>
      <c r="BX1729" s="153"/>
      <c r="BY1729" s="153"/>
      <c r="BZ1729" s="153"/>
      <c r="CA1729" s="153"/>
      <c r="CB1729" s="153"/>
      <c r="CC1729" s="153"/>
      <c r="CD1729" s="155"/>
      <c r="CE1729" s="156"/>
      <c r="CF1729" s="155"/>
      <c r="CG1729" s="156"/>
      <c r="CH1729" s="155"/>
      <c r="CI1729" s="156"/>
      <c r="CJ1729" s="157">
        <f t="shared" si="217"/>
        <v>0</v>
      </c>
      <c r="CK1729" s="158"/>
      <c r="CL1729" s="159"/>
      <c r="CM1729" s="160"/>
      <c r="CN1729" s="161"/>
      <c r="CO1729" s="162"/>
      <c r="CP1729" s="161"/>
      <c r="CQ1729" s="158"/>
      <c r="CR1729" s="159"/>
      <c r="CS1729" s="68"/>
      <c r="CT1729" s="163"/>
      <c r="EC1729" s="366" t="str">
        <f t="shared" si="220"/>
        <v>NARIÑO_LOS ANDES</v>
      </c>
      <c r="ED1729" s="367"/>
      <c r="EE1729" s="367"/>
      <c r="EF1729" s="368"/>
      <c r="EG1729" s="367"/>
      <c r="EH1729" s="367"/>
      <c r="EI1729" s="367"/>
    </row>
    <row r="1730" spans="1:139" s="164" customFormat="1" ht="25.5">
      <c r="A1730" s="228">
        <v>40498</v>
      </c>
      <c r="B1730" s="205" t="s">
        <v>1612</v>
      </c>
      <c r="C1730" s="205" t="s">
        <v>1613</v>
      </c>
      <c r="D1730" s="206" t="s">
        <v>1878</v>
      </c>
      <c r="E1730" s="320" t="s">
        <v>4038</v>
      </c>
      <c r="F1730" s="320"/>
      <c r="G1730" s="204"/>
      <c r="H1730" s="151">
        <v>3</v>
      </c>
      <c r="I1730" s="151"/>
      <c r="J1730" s="151"/>
      <c r="K1730" s="151"/>
      <c r="L1730" s="1"/>
      <c r="M1730" s="73">
        <f t="shared" si="215"/>
        <v>0</v>
      </c>
      <c r="N1730" s="73">
        <f t="shared" si="219"/>
        <v>0</v>
      </c>
      <c r="O1730" s="73">
        <f t="shared" si="221"/>
        <v>0</v>
      </c>
      <c r="P1730" s="73">
        <f t="shared" si="216"/>
        <v>0</v>
      </c>
      <c r="Q1730" s="73"/>
      <c r="R1730" s="73">
        <v>0</v>
      </c>
      <c r="S1730" s="75">
        <f t="shared" si="218"/>
        <v>0</v>
      </c>
      <c r="T1730" s="77">
        <v>0</v>
      </c>
      <c r="U1730" s="66">
        <v>40499</v>
      </c>
      <c r="V1730" s="79"/>
      <c r="W1730" s="66" t="s">
        <v>1585</v>
      </c>
      <c r="X1730" s="24" t="s">
        <v>1586</v>
      </c>
      <c r="Y1730" s="62"/>
      <c r="Z1730" s="169" t="s">
        <v>894</v>
      </c>
      <c r="AA1730" s="166" t="s">
        <v>2886</v>
      </c>
      <c r="AB1730" s="152"/>
      <c r="AC1730" s="153"/>
      <c r="AD1730" s="154"/>
      <c r="AE1730" s="153"/>
      <c r="AF1730" s="153"/>
      <c r="AG1730" s="153"/>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c r="BF1730" s="153"/>
      <c r="BG1730" s="153"/>
      <c r="BH1730" s="153"/>
      <c r="BI1730" s="153"/>
      <c r="BJ1730" s="153"/>
      <c r="BK1730" s="153"/>
      <c r="BL1730" s="153"/>
      <c r="BM1730" s="153"/>
      <c r="BN1730" s="153"/>
      <c r="BO1730" s="153"/>
      <c r="BP1730" s="153"/>
      <c r="BQ1730" s="153"/>
      <c r="BR1730" s="153"/>
      <c r="BS1730" s="153"/>
      <c r="BT1730" s="153"/>
      <c r="BU1730" s="153"/>
      <c r="BV1730" s="153"/>
      <c r="BW1730" s="153"/>
      <c r="BX1730" s="153"/>
      <c r="BY1730" s="153"/>
      <c r="BZ1730" s="153"/>
      <c r="CA1730" s="153"/>
      <c r="CB1730" s="153"/>
      <c r="CC1730" s="153"/>
      <c r="CD1730" s="155"/>
      <c r="CE1730" s="156"/>
      <c r="CF1730" s="155"/>
      <c r="CG1730" s="156"/>
      <c r="CH1730" s="155"/>
      <c r="CI1730" s="156"/>
      <c r="CJ1730" s="157">
        <f t="shared" si="217"/>
        <v>0</v>
      </c>
      <c r="CK1730" s="158"/>
      <c r="CL1730" s="159"/>
      <c r="CM1730" s="160"/>
      <c r="CN1730" s="161"/>
      <c r="CO1730" s="162"/>
      <c r="CP1730" s="161"/>
      <c r="CQ1730" s="158"/>
      <c r="CR1730" s="159"/>
      <c r="CS1730" s="68"/>
      <c r="CT1730" s="163"/>
      <c r="EC1730" s="366" t="str">
        <f t="shared" si="220"/>
        <v>QUINDIO_ARMENIA</v>
      </c>
      <c r="ED1730" s="367"/>
      <c r="EE1730" s="367"/>
      <c r="EF1730" s="368"/>
      <c r="EG1730" s="367"/>
      <c r="EH1730" s="367"/>
      <c r="EI1730" s="367"/>
    </row>
    <row r="1731" spans="1:139" s="164" customFormat="1" ht="25.5">
      <c r="A1731" s="228">
        <v>40498</v>
      </c>
      <c r="B1731" s="102" t="s">
        <v>1609</v>
      </c>
      <c r="C1731" s="205" t="s">
        <v>742</v>
      </c>
      <c r="D1731" s="206" t="s">
        <v>1878</v>
      </c>
      <c r="E1731" s="320" t="s">
        <v>4052</v>
      </c>
      <c r="F1731" s="320"/>
      <c r="G1731" s="204"/>
      <c r="H1731" s="151"/>
      <c r="I1731" s="151"/>
      <c r="J1731" s="151">
        <v>20</v>
      </c>
      <c r="K1731" s="151">
        <v>4</v>
      </c>
      <c r="L1731" s="1"/>
      <c r="M1731" s="73">
        <f t="shared" ref="M1731:M1794" si="222">CJ1731</f>
        <v>0</v>
      </c>
      <c r="N1731" s="73">
        <f t="shared" si="219"/>
        <v>0</v>
      </c>
      <c r="O1731" s="73">
        <f t="shared" si="221"/>
        <v>0</v>
      </c>
      <c r="P1731" s="73">
        <f t="shared" ref="P1731:P1794" si="223">CL1731</f>
        <v>0</v>
      </c>
      <c r="Q1731" s="73"/>
      <c r="R1731" s="73">
        <v>0</v>
      </c>
      <c r="S1731" s="75">
        <f t="shared" si="218"/>
        <v>0</v>
      </c>
      <c r="T1731" s="77">
        <v>0</v>
      </c>
      <c r="U1731" s="66">
        <v>40505</v>
      </c>
      <c r="V1731" s="79"/>
      <c r="W1731" s="66" t="s">
        <v>1585</v>
      </c>
      <c r="X1731" s="24" t="s">
        <v>1586</v>
      </c>
      <c r="Y1731" s="62"/>
      <c r="Z1731" s="169" t="s">
        <v>894</v>
      </c>
      <c r="AA1731" s="166" t="s">
        <v>2146</v>
      </c>
      <c r="AB1731" s="152"/>
      <c r="AC1731" s="153"/>
      <c r="AD1731" s="154"/>
      <c r="AE1731" s="153"/>
      <c r="AF1731" s="153"/>
      <c r="AG1731" s="153"/>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c r="BF1731" s="153"/>
      <c r="BG1731" s="153"/>
      <c r="BH1731" s="153"/>
      <c r="BI1731" s="153"/>
      <c r="BJ1731" s="153"/>
      <c r="BK1731" s="153"/>
      <c r="BL1731" s="153"/>
      <c r="BM1731" s="153"/>
      <c r="BN1731" s="153"/>
      <c r="BO1731" s="153"/>
      <c r="BP1731" s="153"/>
      <c r="BQ1731" s="153"/>
      <c r="BR1731" s="153"/>
      <c r="BS1731" s="153"/>
      <c r="BT1731" s="153"/>
      <c r="BU1731" s="153"/>
      <c r="BV1731" s="153"/>
      <c r="BW1731" s="153"/>
      <c r="BX1731" s="153"/>
      <c r="BY1731" s="153"/>
      <c r="BZ1731" s="153"/>
      <c r="CA1731" s="153"/>
      <c r="CB1731" s="153"/>
      <c r="CC1731" s="153"/>
      <c r="CD1731" s="155"/>
      <c r="CE1731" s="156"/>
      <c r="CF1731" s="155"/>
      <c r="CG1731" s="156"/>
      <c r="CH1731" s="155"/>
      <c r="CI1731" s="156"/>
      <c r="CJ1731" s="157">
        <f t="shared" ref="CJ1731:CJ1794" si="224">AC1731+AE1731+AG1731+AI1731+AK1731+AM1731+AO1731+AQ1731+AS1731+AU1731+AW1731+AY1731+BA1731+BC1731+BE1731+BG1731+BI1731+BK1731+BM1731+BO1731+BQ1731+BS1731+BU1731+BW1731+BY1731+CA1731+CC1731+CE1731+CG1731+CI1731</f>
        <v>0</v>
      </c>
      <c r="CK1731" s="158"/>
      <c r="CL1731" s="159"/>
      <c r="CM1731" s="160"/>
      <c r="CN1731" s="161"/>
      <c r="CO1731" s="162"/>
      <c r="CP1731" s="161"/>
      <c r="CQ1731" s="158"/>
      <c r="CR1731" s="159"/>
      <c r="CS1731" s="68"/>
      <c r="CT1731" s="163"/>
      <c r="EC1731" s="366" t="str">
        <f t="shared" si="220"/>
        <v>RISARALDA_BALBOA</v>
      </c>
      <c r="ED1731" s="367"/>
      <c r="EE1731" s="367"/>
      <c r="EF1731" s="368"/>
      <c r="EG1731" s="367"/>
      <c r="EH1731" s="367"/>
      <c r="EI1731" s="367"/>
    </row>
    <row r="1732" spans="1:139" s="164" customFormat="1" ht="25.5">
      <c r="A1732" s="228">
        <v>40498</v>
      </c>
      <c r="B1732" s="205" t="s">
        <v>1609</v>
      </c>
      <c r="C1732" s="205" t="s">
        <v>2596</v>
      </c>
      <c r="D1732" s="207" t="s">
        <v>1878</v>
      </c>
      <c r="E1732" s="323"/>
      <c r="F1732" s="323"/>
      <c r="G1732" s="204"/>
      <c r="H1732" s="151"/>
      <c r="I1732" s="151"/>
      <c r="J1732" s="151">
        <v>175</v>
      </c>
      <c r="K1732" s="151">
        <v>35</v>
      </c>
      <c r="L1732" s="1"/>
      <c r="M1732" s="73">
        <f t="shared" si="222"/>
        <v>0</v>
      </c>
      <c r="N1732" s="73">
        <f t="shared" si="219"/>
        <v>0</v>
      </c>
      <c r="O1732" s="73">
        <f t="shared" si="221"/>
        <v>0</v>
      </c>
      <c r="P1732" s="73">
        <f t="shared" si="223"/>
        <v>0</v>
      </c>
      <c r="Q1732" s="73"/>
      <c r="R1732" s="73">
        <v>0</v>
      </c>
      <c r="S1732" s="75">
        <f t="shared" si="218"/>
        <v>0</v>
      </c>
      <c r="T1732" s="77">
        <v>0</v>
      </c>
      <c r="U1732" s="66">
        <v>40624</v>
      </c>
      <c r="V1732" s="79"/>
      <c r="W1732" s="66" t="s">
        <v>1585</v>
      </c>
      <c r="X1732" s="24" t="s">
        <v>1586</v>
      </c>
      <c r="Y1732" s="62"/>
      <c r="Z1732" s="169" t="s">
        <v>894</v>
      </c>
      <c r="AA1732" s="166" t="s">
        <v>155</v>
      </c>
      <c r="AB1732" s="152"/>
      <c r="AC1732" s="153"/>
      <c r="AD1732" s="154"/>
      <c r="AE1732" s="153"/>
      <c r="AF1732" s="153"/>
      <c r="AG1732" s="153"/>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c r="BF1732" s="153"/>
      <c r="BG1732" s="153"/>
      <c r="BH1732" s="153"/>
      <c r="BI1732" s="153"/>
      <c r="BJ1732" s="153"/>
      <c r="BK1732" s="153"/>
      <c r="BL1732" s="153"/>
      <c r="BM1732" s="153"/>
      <c r="BN1732" s="153"/>
      <c r="BO1732" s="153"/>
      <c r="BP1732" s="153"/>
      <c r="BQ1732" s="153"/>
      <c r="BR1732" s="153"/>
      <c r="BS1732" s="153"/>
      <c r="BT1732" s="153"/>
      <c r="BU1732" s="153"/>
      <c r="BV1732" s="153"/>
      <c r="BW1732" s="153"/>
      <c r="BX1732" s="153"/>
      <c r="BY1732" s="153"/>
      <c r="BZ1732" s="153"/>
      <c r="CA1732" s="153"/>
      <c r="CB1732" s="153"/>
      <c r="CC1732" s="153"/>
      <c r="CD1732" s="155"/>
      <c r="CE1732" s="156"/>
      <c r="CF1732" s="155"/>
      <c r="CG1732" s="156"/>
      <c r="CH1732" s="155"/>
      <c r="CI1732" s="156"/>
      <c r="CJ1732" s="157">
        <f t="shared" si="224"/>
        <v>0</v>
      </c>
      <c r="CK1732" s="158"/>
      <c r="CL1732" s="159"/>
      <c r="CM1732" s="160"/>
      <c r="CN1732" s="161"/>
      <c r="CO1732" s="162"/>
      <c r="CP1732" s="161"/>
      <c r="CQ1732" s="158"/>
      <c r="CR1732" s="159"/>
      <c r="CS1732" s="68"/>
      <c r="CT1732" s="163"/>
      <c r="EC1732" s="366" t="str">
        <f t="shared" si="220"/>
        <v>RISARALDA_LA CELIA</v>
      </c>
      <c r="ED1732" s="367"/>
      <c r="EE1732" s="367"/>
      <c r="EF1732" s="368"/>
      <c r="EG1732" s="367"/>
      <c r="EH1732" s="367"/>
      <c r="EI1732" s="367"/>
    </row>
    <row r="1733" spans="1:139" s="164" customFormat="1" ht="38.25">
      <c r="A1733" s="228">
        <v>40498.256944444445</v>
      </c>
      <c r="B1733" s="205" t="s">
        <v>2298</v>
      </c>
      <c r="C1733" s="205" t="s">
        <v>1610</v>
      </c>
      <c r="D1733" s="207" t="s">
        <v>1878</v>
      </c>
      <c r="E1733" s="323"/>
      <c r="F1733" s="323"/>
      <c r="G1733" s="204">
        <v>4</v>
      </c>
      <c r="H1733" s="151">
        <v>3</v>
      </c>
      <c r="I1733" s="151"/>
      <c r="J1733" s="151">
        <v>39</v>
      </c>
      <c r="K1733" s="409">
        <v>14</v>
      </c>
      <c r="L1733" s="1"/>
      <c r="M1733" s="73">
        <f t="shared" si="222"/>
        <v>0</v>
      </c>
      <c r="N1733" s="73">
        <f t="shared" si="219"/>
        <v>0</v>
      </c>
      <c r="O1733" s="73">
        <f t="shared" si="221"/>
        <v>0</v>
      </c>
      <c r="P1733" s="73">
        <f t="shared" si="223"/>
        <v>0</v>
      </c>
      <c r="Q1733" s="73"/>
      <c r="R1733" s="73">
        <v>0</v>
      </c>
      <c r="S1733" s="75">
        <f t="shared" si="218"/>
        <v>0</v>
      </c>
      <c r="T1733" s="77">
        <v>0</v>
      </c>
      <c r="U1733" s="296">
        <v>40624</v>
      </c>
      <c r="V1733" s="297"/>
      <c r="W1733" s="296" t="s">
        <v>1585</v>
      </c>
      <c r="X1733" s="298" t="s">
        <v>1586</v>
      </c>
      <c r="Y1733" s="299"/>
      <c r="Z1733" s="300" t="s">
        <v>894</v>
      </c>
      <c r="AA1733" s="414" t="s">
        <v>5421</v>
      </c>
      <c r="AB1733" s="152"/>
      <c r="AC1733" s="153"/>
      <c r="AD1733" s="154"/>
      <c r="AE1733" s="153"/>
      <c r="AF1733" s="153"/>
      <c r="AG1733" s="153"/>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c r="BF1733" s="153"/>
      <c r="BG1733" s="153"/>
      <c r="BH1733" s="153"/>
      <c r="BI1733" s="153"/>
      <c r="BJ1733" s="153"/>
      <c r="BK1733" s="153"/>
      <c r="BL1733" s="153"/>
      <c r="BM1733" s="153"/>
      <c r="BN1733" s="153"/>
      <c r="BO1733" s="153"/>
      <c r="BP1733" s="153"/>
      <c r="BQ1733" s="153"/>
      <c r="BR1733" s="153"/>
      <c r="BS1733" s="153"/>
      <c r="BT1733" s="153"/>
      <c r="BU1733" s="153"/>
      <c r="BV1733" s="153"/>
      <c r="BW1733" s="153"/>
      <c r="BX1733" s="153"/>
      <c r="BY1733" s="153"/>
      <c r="BZ1733" s="153"/>
      <c r="CA1733" s="153"/>
      <c r="CB1733" s="153"/>
      <c r="CC1733" s="153"/>
      <c r="CD1733" s="155"/>
      <c r="CE1733" s="156"/>
      <c r="CF1733" s="155"/>
      <c r="CG1733" s="156"/>
      <c r="CH1733" s="155"/>
      <c r="CI1733" s="156"/>
      <c r="CJ1733" s="157">
        <f t="shared" si="224"/>
        <v>0</v>
      </c>
      <c r="CK1733" s="158"/>
      <c r="CL1733" s="159"/>
      <c r="CM1733" s="160"/>
      <c r="CN1733" s="161"/>
      <c r="CO1733" s="162"/>
      <c r="CP1733" s="161"/>
      <c r="CQ1733" s="158"/>
      <c r="CR1733" s="159"/>
      <c r="CS1733" s="68"/>
      <c r="CT1733" s="163"/>
      <c r="EC1733" s="366" t="str">
        <f t="shared" si="220"/>
        <v>BOGOTA D.C._BOGOTA</v>
      </c>
      <c r="ED1733" s="367"/>
      <c r="EE1733" s="367"/>
      <c r="EF1733" s="368"/>
      <c r="EG1733" s="367"/>
      <c r="EH1733" s="367"/>
      <c r="EI1733" s="367"/>
    </row>
    <row r="1734" spans="1:139" s="164" customFormat="1" ht="38.25">
      <c r="A1734" s="228">
        <v>40498.871527777781</v>
      </c>
      <c r="B1734" s="205" t="s">
        <v>2298</v>
      </c>
      <c r="C1734" s="205" t="s">
        <v>1610</v>
      </c>
      <c r="D1734" s="207" t="s">
        <v>1878</v>
      </c>
      <c r="E1734" s="323"/>
      <c r="F1734" s="323"/>
      <c r="G1734" s="204"/>
      <c r="H1734" s="151"/>
      <c r="I1734" s="151"/>
      <c r="J1734" s="151">
        <v>44</v>
      </c>
      <c r="K1734" s="409">
        <v>10</v>
      </c>
      <c r="L1734" s="1"/>
      <c r="M1734" s="73">
        <f t="shared" si="222"/>
        <v>0</v>
      </c>
      <c r="N1734" s="73">
        <f t="shared" si="219"/>
        <v>0</v>
      </c>
      <c r="O1734" s="73">
        <f t="shared" si="221"/>
        <v>0</v>
      </c>
      <c r="P1734" s="73">
        <f t="shared" si="223"/>
        <v>0</v>
      </c>
      <c r="Q1734" s="73"/>
      <c r="R1734" s="73">
        <v>0</v>
      </c>
      <c r="S1734" s="75">
        <f t="shared" si="218"/>
        <v>0</v>
      </c>
      <c r="T1734" s="77">
        <v>0</v>
      </c>
      <c r="U1734" s="296">
        <v>40624</v>
      </c>
      <c r="V1734" s="297"/>
      <c r="W1734" s="296" t="s">
        <v>1585</v>
      </c>
      <c r="X1734" s="298" t="s">
        <v>1586</v>
      </c>
      <c r="Y1734" s="299"/>
      <c r="Z1734" s="300" t="s">
        <v>894</v>
      </c>
      <c r="AA1734" s="414" t="s">
        <v>5422</v>
      </c>
      <c r="AB1734" s="152"/>
      <c r="AC1734" s="153"/>
      <c r="AD1734" s="154"/>
      <c r="AE1734" s="153"/>
      <c r="AF1734" s="153"/>
      <c r="AG1734" s="153"/>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c r="BF1734" s="153"/>
      <c r="BG1734" s="153"/>
      <c r="BH1734" s="153"/>
      <c r="BI1734" s="153"/>
      <c r="BJ1734" s="153"/>
      <c r="BK1734" s="153"/>
      <c r="BL1734" s="153"/>
      <c r="BM1734" s="153"/>
      <c r="BN1734" s="153"/>
      <c r="BO1734" s="153"/>
      <c r="BP1734" s="153"/>
      <c r="BQ1734" s="153"/>
      <c r="BR1734" s="153"/>
      <c r="BS1734" s="153"/>
      <c r="BT1734" s="153"/>
      <c r="BU1734" s="153"/>
      <c r="BV1734" s="153"/>
      <c r="BW1734" s="153"/>
      <c r="BX1734" s="153"/>
      <c r="BY1734" s="153"/>
      <c r="BZ1734" s="153"/>
      <c r="CA1734" s="153"/>
      <c r="CB1734" s="153"/>
      <c r="CC1734" s="153"/>
      <c r="CD1734" s="155"/>
      <c r="CE1734" s="156"/>
      <c r="CF1734" s="155"/>
      <c r="CG1734" s="156"/>
      <c r="CH1734" s="155"/>
      <c r="CI1734" s="156"/>
      <c r="CJ1734" s="157">
        <f t="shared" si="224"/>
        <v>0</v>
      </c>
      <c r="CK1734" s="158"/>
      <c r="CL1734" s="159"/>
      <c r="CM1734" s="160"/>
      <c r="CN1734" s="161"/>
      <c r="CO1734" s="162"/>
      <c r="CP1734" s="161"/>
      <c r="CQ1734" s="158"/>
      <c r="CR1734" s="159"/>
      <c r="CS1734" s="68"/>
      <c r="CT1734" s="163"/>
      <c r="EC1734" s="366" t="str">
        <f t="shared" si="220"/>
        <v>BOGOTA D.C._BOGOTA</v>
      </c>
      <c r="ED1734" s="367"/>
      <c r="EE1734" s="367"/>
      <c r="EF1734" s="368"/>
      <c r="EG1734" s="367"/>
      <c r="EH1734" s="367"/>
      <c r="EI1734" s="367"/>
    </row>
    <row r="1735" spans="1:139" s="164" customFormat="1" ht="25.5">
      <c r="A1735" s="228">
        <v>40499</v>
      </c>
      <c r="B1735" s="205" t="s">
        <v>1551</v>
      </c>
      <c r="C1735" s="205" t="s">
        <v>1374</v>
      </c>
      <c r="D1735" s="207" t="s">
        <v>1201</v>
      </c>
      <c r="E1735" s="323" t="s">
        <v>3359</v>
      </c>
      <c r="F1735" s="323"/>
      <c r="G1735" s="204"/>
      <c r="H1735" s="151"/>
      <c r="I1735" s="151"/>
      <c r="J1735" s="151">
        <f>1511*5</f>
        <v>7555</v>
      </c>
      <c r="K1735" s="151">
        <f>1702-4-52-135</f>
        <v>1511</v>
      </c>
      <c r="L1735" s="1">
        <v>40536</v>
      </c>
      <c r="M1735" s="73">
        <f t="shared" si="222"/>
        <v>0</v>
      </c>
      <c r="N1735" s="73">
        <f t="shared" si="219"/>
        <v>144670000</v>
      </c>
      <c r="O1735" s="73">
        <f t="shared" si="221"/>
        <v>0</v>
      </c>
      <c r="P1735" s="73">
        <f t="shared" si="223"/>
        <v>0</v>
      </c>
      <c r="Q1735" s="73"/>
      <c r="R1735" s="73">
        <v>0</v>
      </c>
      <c r="S1735" s="75">
        <f t="shared" si="218"/>
        <v>144670000</v>
      </c>
      <c r="T1735" s="77">
        <v>0</v>
      </c>
      <c r="U1735" s="66">
        <v>40504</v>
      </c>
      <c r="V1735" s="79"/>
      <c r="W1735" s="66" t="s">
        <v>1606</v>
      </c>
      <c r="X1735" s="24" t="s">
        <v>1607</v>
      </c>
      <c r="Y1735" s="62">
        <v>27459</v>
      </c>
      <c r="Z1735" s="169" t="s">
        <v>894</v>
      </c>
      <c r="AA1735" s="166" t="s">
        <v>2907</v>
      </c>
      <c r="AB1735" s="152"/>
      <c r="AC1735" s="153"/>
      <c r="AD1735" s="154"/>
      <c r="AE1735" s="153"/>
      <c r="AF1735" s="153"/>
      <c r="AG1735" s="153"/>
      <c r="AH1735" s="153"/>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c r="BF1735" s="153"/>
      <c r="BG1735" s="153"/>
      <c r="BH1735" s="153"/>
      <c r="BI1735" s="153"/>
      <c r="BJ1735" s="153"/>
      <c r="BK1735" s="153"/>
      <c r="BL1735" s="153"/>
      <c r="BM1735" s="153"/>
      <c r="BN1735" s="153"/>
      <c r="BO1735" s="153"/>
      <c r="BP1735" s="153"/>
      <c r="BQ1735" s="153"/>
      <c r="BR1735" s="153"/>
      <c r="BS1735" s="153"/>
      <c r="BT1735" s="153"/>
      <c r="BU1735" s="153"/>
      <c r="BV1735" s="153"/>
      <c r="BW1735" s="153"/>
      <c r="BX1735" s="153"/>
      <c r="BY1735" s="153"/>
      <c r="BZ1735" s="153"/>
      <c r="CA1735" s="153"/>
      <c r="CB1735" s="153"/>
      <c r="CC1735" s="153"/>
      <c r="CD1735" s="155"/>
      <c r="CE1735" s="156"/>
      <c r="CF1735" s="155"/>
      <c r="CG1735" s="156"/>
      <c r="CH1735" s="155"/>
      <c r="CI1735" s="156"/>
      <c r="CJ1735" s="157">
        <f t="shared" si="224"/>
        <v>0</v>
      </c>
      <c r="CK1735" s="158"/>
      <c r="CL1735" s="159"/>
      <c r="CM1735" s="160">
        <v>1702</v>
      </c>
      <c r="CN1735" s="161">
        <f>1702*85000</f>
        <v>144670000</v>
      </c>
      <c r="CO1735" s="162"/>
      <c r="CP1735" s="161"/>
      <c r="CQ1735" s="158"/>
      <c r="CR1735" s="159"/>
      <c r="CS1735" s="68"/>
      <c r="CT1735" s="163"/>
      <c r="EC1735" s="366" t="str">
        <f t="shared" si="220"/>
        <v>ATLANTICO_MALAMBO</v>
      </c>
      <c r="ED1735" s="367"/>
      <c r="EE1735" s="367"/>
      <c r="EF1735" s="368"/>
      <c r="EG1735" s="367"/>
      <c r="EH1735" s="367"/>
      <c r="EI1735" s="367"/>
    </row>
    <row r="1736" spans="1:139" s="164" customFormat="1" ht="25.5">
      <c r="A1736" s="228">
        <v>40499</v>
      </c>
      <c r="B1736" s="205" t="s">
        <v>1615</v>
      </c>
      <c r="C1736" s="205" t="s">
        <v>1642</v>
      </c>
      <c r="D1736" s="206" t="s">
        <v>1878</v>
      </c>
      <c r="E1736" s="320" t="s">
        <v>3376</v>
      </c>
      <c r="F1736" s="320"/>
      <c r="G1736" s="204"/>
      <c r="H1736" s="151"/>
      <c r="I1736" s="151"/>
      <c r="J1736" s="151">
        <v>260</v>
      </c>
      <c r="K1736" s="151">
        <v>50</v>
      </c>
      <c r="L1736" s="1"/>
      <c r="M1736" s="73">
        <f t="shared" si="222"/>
        <v>0</v>
      </c>
      <c r="N1736" s="73">
        <f t="shared" si="219"/>
        <v>0</v>
      </c>
      <c r="O1736" s="73">
        <f t="shared" si="221"/>
        <v>0</v>
      </c>
      <c r="P1736" s="73">
        <f t="shared" si="223"/>
        <v>0</v>
      </c>
      <c r="Q1736" s="73"/>
      <c r="R1736" s="73">
        <v>0</v>
      </c>
      <c r="S1736" s="75">
        <f t="shared" si="218"/>
        <v>0</v>
      </c>
      <c r="T1736" s="77">
        <v>0</v>
      </c>
      <c r="U1736" s="66">
        <v>40504</v>
      </c>
      <c r="V1736" s="79"/>
      <c r="W1736" s="66" t="s">
        <v>1585</v>
      </c>
      <c r="X1736" s="24" t="s">
        <v>1586</v>
      </c>
      <c r="Y1736" s="62"/>
      <c r="Z1736" s="169" t="s">
        <v>894</v>
      </c>
      <c r="AA1736" s="166" t="s">
        <v>2906</v>
      </c>
      <c r="AB1736" s="152"/>
      <c r="AC1736" s="153"/>
      <c r="AD1736" s="154"/>
      <c r="AE1736" s="153"/>
      <c r="AF1736" s="153"/>
      <c r="AG1736" s="153"/>
      <c r="AH1736" s="153"/>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c r="BF1736" s="153"/>
      <c r="BG1736" s="153"/>
      <c r="BH1736" s="153"/>
      <c r="BI1736" s="153"/>
      <c r="BJ1736" s="153"/>
      <c r="BK1736" s="153"/>
      <c r="BL1736" s="153"/>
      <c r="BM1736" s="153"/>
      <c r="BN1736" s="153"/>
      <c r="BO1736" s="153"/>
      <c r="BP1736" s="153"/>
      <c r="BQ1736" s="153"/>
      <c r="BR1736" s="153"/>
      <c r="BS1736" s="153"/>
      <c r="BT1736" s="153"/>
      <c r="BU1736" s="153"/>
      <c r="BV1736" s="153"/>
      <c r="BW1736" s="153"/>
      <c r="BX1736" s="153"/>
      <c r="BY1736" s="153"/>
      <c r="BZ1736" s="153"/>
      <c r="CA1736" s="153"/>
      <c r="CB1736" s="153"/>
      <c r="CC1736" s="153"/>
      <c r="CD1736" s="155"/>
      <c r="CE1736" s="156"/>
      <c r="CF1736" s="155"/>
      <c r="CG1736" s="156"/>
      <c r="CH1736" s="155"/>
      <c r="CI1736" s="156"/>
      <c r="CJ1736" s="157">
        <f t="shared" si="224"/>
        <v>0</v>
      </c>
      <c r="CK1736" s="158"/>
      <c r="CL1736" s="159"/>
      <c r="CM1736" s="160"/>
      <c r="CN1736" s="161"/>
      <c r="CO1736" s="162"/>
      <c r="CP1736" s="161"/>
      <c r="CQ1736" s="158"/>
      <c r="CR1736" s="159"/>
      <c r="CS1736" s="68"/>
      <c r="CT1736" s="163"/>
      <c r="EC1736" s="366" t="str">
        <f t="shared" si="220"/>
        <v>BOLIVAR_CARTAGENA</v>
      </c>
      <c r="ED1736" s="367"/>
      <c r="EE1736" s="367"/>
      <c r="EF1736" s="368"/>
      <c r="EG1736" s="367"/>
      <c r="EH1736" s="367"/>
      <c r="EI1736" s="367"/>
    </row>
    <row r="1737" spans="1:139" s="164" customFormat="1" ht="25.5">
      <c r="A1737" s="228">
        <v>40499</v>
      </c>
      <c r="B1737" s="205" t="s">
        <v>653</v>
      </c>
      <c r="C1737" s="205" t="s">
        <v>2731</v>
      </c>
      <c r="D1737" s="207" t="s">
        <v>1201</v>
      </c>
      <c r="E1737" s="323" t="s">
        <v>3551</v>
      </c>
      <c r="F1737" s="323"/>
      <c r="G1737" s="204"/>
      <c r="H1737" s="151"/>
      <c r="I1737" s="151"/>
      <c r="J1737" s="151">
        <f>176*5</f>
        <v>880</v>
      </c>
      <c r="K1737" s="151">
        <f>217-41</f>
        <v>176</v>
      </c>
      <c r="L1737" s="1"/>
      <c r="M1737" s="73">
        <f t="shared" si="222"/>
        <v>0</v>
      </c>
      <c r="N1737" s="73">
        <f t="shared" si="219"/>
        <v>0</v>
      </c>
      <c r="O1737" s="73">
        <f t="shared" si="221"/>
        <v>0</v>
      </c>
      <c r="P1737" s="73">
        <f t="shared" si="223"/>
        <v>0</v>
      </c>
      <c r="Q1737" s="73"/>
      <c r="R1737" s="73">
        <v>0</v>
      </c>
      <c r="S1737" s="75">
        <f t="shared" ref="S1737:S1800" si="225">M1737+N1737+O1737+P1737+Q1737+R1737</f>
        <v>0</v>
      </c>
      <c r="T1737" s="77">
        <v>0</v>
      </c>
      <c r="U1737" s="66">
        <v>40504</v>
      </c>
      <c r="V1737" s="79"/>
      <c r="W1737" s="66" t="s">
        <v>1606</v>
      </c>
      <c r="X1737" s="24" t="s">
        <v>1607</v>
      </c>
      <c r="Y1737" s="62"/>
      <c r="Z1737" s="176" t="s">
        <v>3056</v>
      </c>
      <c r="AA1737" s="166" t="s">
        <v>2104</v>
      </c>
      <c r="AB1737" s="152"/>
      <c r="AC1737" s="153"/>
      <c r="AD1737" s="154"/>
      <c r="AE1737" s="153"/>
      <c r="AF1737" s="153"/>
      <c r="AG1737" s="153"/>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c r="BF1737" s="153"/>
      <c r="BG1737" s="153"/>
      <c r="BH1737" s="153"/>
      <c r="BI1737" s="153"/>
      <c r="BJ1737" s="153"/>
      <c r="BK1737" s="153"/>
      <c r="BL1737" s="153"/>
      <c r="BM1737" s="153"/>
      <c r="BN1737" s="153"/>
      <c r="BO1737" s="153"/>
      <c r="BP1737" s="153"/>
      <c r="BQ1737" s="153"/>
      <c r="BR1737" s="153"/>
      <c r="BS1737" s="153"/>
      <c r="BT1737" s="153"/>
      <c r="BU1737" s="153"/>
      <c r="BV1737" s="153"/>
      <c r="BW1737" s="153"/>
      <c r="BX1737" s="153"/>
      <c r="BY1737" s="153"/>
      <c r="BZ1737" s="153"/>
      <c r="CA1737" s="153"/>
      <c r="CB1737" s="153"/>
      <c r="CC1737" s="153"/>
      <c r="CD1737" s="155"/>
      <c r="CE1737" s="156"/>
      <c r="CF1737" s="155"/>
      <c r="CG1737" s="156"/>
      <c r="CH1737" s="155"/>
      <c r="CI1737" s="156"/>
      <c r="CJ1737" s="157">
        <f t="shared" si="224"/>
        <v>0</v>
      </c>
      <c r="CK1737" s="158"/>
      <c r="CL1737" s="159"/>
      <c r="CM1737" s="160"/>
      <c r="CN1737" s="161"/>
      <c r="CO1737" s="162"/>
      <c r="CP1737" s="161"/>
      <c r="CQ1737" s="158"/>
      <c r="CR1737" s="159"/>
      <c r="CS1737" s="68"/>
      <c r="CT1737" s="163"/>
      <c r="EC1737" s="366" t="str">
        <f t="shared" si="220"/>
        <v>CALDAS_LA MERCED</v>
      </c>
      <c r="ED1737" s="367"/>
      <c r="EE1737" s="367"/>
      <c r="EF1737" s="368"/>
      <c r="EG1737" s="367"/>
      <c r="EH1737" s="367"/>
      <c r="EI1737" s="367"/>
    </row>
    <row r="1738" spans="1:139" s="164" customFormat="1" ht="25.5">
      <c r="A1738" s="228">
        <v>40499</v>
      </c>
      <c r="B1738" s="205" t="s">
        <v>653</v>
      </c>
      <c r="C1738" s="205" t="s">
        <v>399</v>
      </c>
      <c r="D1738" s="206" t="s">
        <v>1878</v>
      </c>
      <c r="E1738" s="320" t="s">
        <v>3543</v>
      </c>
      <c r="F1738" s="320"/>
      <c r="G1738" s="204"/>
      <c r="H1738" s="151"/>
      <c r="I1738" s="151"/>
      <c r="J1738" s="151">
        <f>430*5</f>
        <v>2150</v>
      </c>
      <c r="K1738" s="151">
        <f>471-3-4-24-10</f>
        <v>430</v>
      </c>
      <c r="L1738" s="1"/>
      <c r="M1738" s="73">
        <f t="shared" si="222"/>
        <v>0</v>
      </c>
      <c r="N1738" s="73">
        <f t="shared" si="219"/>
        <v>0</v>
      </c>
      <c r="O1738" s="73">
        <f t="shared" si="221"/>
        <v>0</v>
      </c>
      <c r="P1738" s="73">
        <f t="shared" si="223"/>
        <v>0</v>
      </c>
      <c r="Q1738" s="73"/>
      <c r="R1738" s="73">
        <v>0</v>
      </c>
      <c r="S1738" s="75">
        <f t="shared" si="225"/>
        <v>0</v>
      </c>
      <c r="T1738" s="77">
        <v>0</v>
      </c>
      <c r="U1738" s="66">
        <v>40504</v>
      </c>
      <c r="V1738" s="79"/>
      <c r="W1738" s="66" t="s">
        <v>1606</v>
      </c>
      <c r="X1738" s="24" t="s">
        <v>1607</v>
      </c>
      <c r="Y1738" s="62"/>
      <c r="Z1738" s="176" t="s">
        <v>3056</v>
      </c>
      <c r="AA1738" s="166" t="s">
        <v>2101</v>
      </c>
      <c r="AB1738" s="152"/>
      <c r="AC1738" s="153"/>
      <c r="AD1738" s="154"/>
      <c r="AE1738" s="153"/>
      <c r="AF1738" s="153"/>
      <c r="AG1738" s="153"/>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c r="BF1738" s="153"/>
      <c r="BG1738" s="153"/>
      <c r="BH1738" s="153"/>
      <c r="BI1738" s="153"/>
      <c r="BJ1738" s="153"/>
      <c r="BK1738" s="153"/>
      <c r="BL1738" s="153"/>
      <c r="BM1738" s="153"/>
      <c r="BN1738" s="153"/>
      <c r="BO1738" s="153"/>
      <c r="BP1738" s="153"/>
      <c r="BQ1738" s="153"/>
      <c r="BR1738" s="153"/>
      <c r="BS1738" s="153"/>
      <c r="BT1738" s="153"/>
      <c r="BU1738" s="153"/>
      <c r="BV1738" s="153"/>
      <c r="BW1738" s="153"/>
      <c r="BX1738" s="153"/>
      <c r="BY1738" s="153"/>
      <c r="BZ1738" s="153"/>
      <c r="CA1738" s="153"/>
      <c r="CB1738" s="153"/>
      <c r="CC1738" s="153"/>
      <c r="CD1738" s="155"/>
      <c r="CE1738" s="156"/>
      <c r="CF1738" s="155"/>
      <c r="CG1738" s="156"/>
      <c r="CH1738" s="155"/>
      <c r="CI1738" s="156"/>
      <c r="CJ1738" s="157">
        <f t="shared" si="224"/>
        <v>0</v>
      </c>
      <c r="CK1738" s="158"/>
      <c r="CL1738" s="159"/>
      <c r="CM1738" s="160"/>
      <c r="CN1738" s="161"/>
      <c r="CO1738" s="162"/>
      <c r="CP1738" s="161"/>
      <c r="CQ1738" s="158"/>
      <c r="CR1738" s="159"/>
      <c r="CS1738" s="68"/>
      <c r="CT1738" s="163"/>
      <c r="EC1738" s="366" t="str">
        <f t="shared" si="220"/>
        <v>CALDAS_MANIZALES</v>
      </c>
      <c r="ED1738" s="367"/>
      <c r="EE1738" s="367"/>
      <c r="EF1738" s="368"/>
      <c r="EG1738" s="367"/>
      <c r="EH1738" s="367"/>
      <c r="EI1738" s="367"/>
    </row>
    <row r="1739" spans="1:139" s="164" customFormat="1" ht="60">
      <c r="A1739" s="228">
        <v>40499</v>
      </c>
      <c r="B1739" s="205" t="s">
        <v>1617</v>
      </c>
      <c r="C1739" s="205" t="s">
        <v>1553</v>
      </c>
      <c r="D1739" s="207" t="s">
        <v>1201</v>
      </c>
      <c r="E1739" s="323" t="s">
        <v>4291</v>
      </c>
      <c r="F1739" s="323"/>
      <c r="G1739" s="204">
        <v>1</v>
      </c>
      <c r="H1739" s="151"/>
      <c r="I1739" s="151"/>
      <c r="J1739" s="151">
        <f>433-125</f>
        <v>308</v>
      </c>
      <c r="K1739" s="151">
        <v>104</v>
      </c>
      <c r="L1739" s="1"/>
      <c r="M1739" s="73">
        <f t="shared" si="222"/>
        <v>0</v>
      </c>
      <c r="N1739" s="73">
        <f t="shared" si="219"/>
        <v>0</v>
      </c>
      <c r="O1739" s="73">
        <f t="shared" si="221"/>
        <v>0</v>
      </c>
      <c r="P1739" s="73">
        <f t="shared" si="223"/>
        <v>0</v>
      </c>
      <c r="Q1739" s="73"/>
      <c r="R1739" s="73">
        <v>0</v>
      </c>
      <c r="S1739" s="75">
        <f t="shared" si="225"/>
        <v>0</v>
      </c>
      <c r="T1739" s="77">
        <v>0</v>
      </c>
      <c r="U1739" s="66">
        <v>40504</v>
      </c>
      <c r="V1739" s="79"/>
      <c r="W1739" s="66" t="s">
        <v>1585</v>
      </c>
      <c r="X1739" s="24" t="s">
        <v>1586</v>
      </c>
      <c r="Y1739" s="62"/>
      <c r="Z1739" s="169" t="s">
        <v>894</v>
      </c>
      <c r="AA1739" s="166" t="s">
        <v>2904</v>
      </c>
      <c r="AB1739" s="152"/>
      <c r="AC1739" s="153"/>
      <c r="AD1739" s="154"/>
      <c r="AE1739" s="153"/>
      <c r="AF1739" s="153"/>
      <c r="AG1739" s="153"/>
      <c r="AH1739" s="153"/>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153"/>
      <c r="BI1739" s="153"/>
      <c r="BJ1739" s="153"/>
      <c r="BK1739" s="153"/>
      <c r="BL1739" s="153"/>
      <c r="BM1739" s="153"/>
      <c r="BN1739" s="153"/>
      <c r="BO1739" s="153"/>
      <c r="BP1739" s="153"/>
      <c r="BQ1739" s="153"/>
      <c r="BR1739" s="153"/>
      <c r="BS1739" s="153"/>
      <c r="BT1739" s="153"/>
      <c r="BU1739" s="153"/>
      <c r="BV1739" s="153"/>
      <c r="BW1739" s="153"/>
      <c r="BX1739" s="153"/>
      <c r="BY1739" s="153"/>
      <c r="BZ1739" s="153"/>
      <c r="CA1739" s="153"/>
      <c r="CB1739" s="153"/>
      <c r="CC1739" s="153"/>
      <c r="CD1739" s="155"/>
      <c r="CE1739" s="156"/>
      <c r="CF1739" s="155"/>
      <c r="CG1739" s="156"/>
      <c r="CH1739" s="155"/>
      <c r="CI1739" s="156"/>
      <c r="CJ1739" s="157">
        <f t="shared" si="224"/>
        <v>0</v>
      </c>
      <c r="CK1739" s="158"/>
      <c r="CL1739" s="159"/>
      <c r="CM1739" s="160"/>
      <c r="CN1739" s="161"/>
      <c r="CO1739" s="162"/>
      <c r="CP1739" s="161"/>
      <c r="CQ1739" s="158"/>
      <c r="CR1739" s="159"/>
      <c r="CS1739" s="68"/>
      <c r="CT1739" s="163"/>
      <c r="EC1739" s="366" t="str">
        <f t="shared" si="220"/>
        <v>CASANARE_VILLANUEVA</v>
      </c>
      <c r="ED1739" s="367"/>
      <c r="EE1739" s="367"/>
      <c r="EF1739" s="368"/>
      <c r="EG1739" s="367"/>
      <c r="EH1739" s="367"/>
      <c r="EI1739" s="367"/>
    </row>
    <row r="1740" spans="1:139" s="164" customFormat="1" ht="36">
      <c r="A1740" s="228">
        <v>40499</v>
      </c>
      <c r="B1740" s="205" t="s">
        <v>1314</v>
      </c>
      <c r="C1740" s="205" t="s">
        <v>3133</v>
      </c>
      <c r="D1740" s="207" t="s">
        <v>1201</v>
      </c>
      <c r="E1740" s="323" t="s">
        <v>3604</v>
      </c>
      <c r="F1740" s="323"/>
      <c r="G1740" s="204">
        <v>2</v>
      </c>
      <c r="H1740" s="151"/>
      <c r="I1740" s="151"/>
      <c r="J1740" s="151">
        <f>1382*5</f>
        <v>6910</v>
      </c>
      <c r="K1740" s="151">
        <f>3429-800-40-802-405</f>
        <v>1382</v>
      </c>
      <c r="L1740" s="1">
        <v>40463</v>
      </c>
      <c r="M1740" s="73">
        <f t="shared" si="222"/>
        <v>114997760</v>
      </c>
      <c r="N1740" s="73">
        <f t="shared" si="219"/>
        <v>84998460</v>
      </c>
      <c r="O1740" s="73">
        <f t="shared" si="221"/>
        <v>0</v>
      </c>
      <c r="P1740" s="73">
        <f t="shared" si="223"/>
        <v>0</v>
      </c>
      <c r="Q1740" s="73"/>
      <c r="R1740" s="73">
        <v>0</v>
      </c>
      <c r="S1740" s="75">
        <f t="shared" si="225"/>
        <v>199996220</v>
      </c>
      <c r="T1740" s="77">
        <v>0</v>
      </c>
      <c r="U1740" s="66">
        <v>40500</v>
      </c>
      <c r="V1740" s="79">
        <v>65903</v>
      </c>
      <c r="W1740" s="66" t="s">
        <v>1606</v>
      </c>
      <c r="X1740" s="24" t="s">
        <v>1607</v>
      </c>
      <c r="Y1740" s="62">
        <v>27398</v>
      </c>
      <c r="Z1740" s="169" t="s">
        <v>1435</v>
      </c>
      <c r="AA1740" s="166" t="s">
        <v>2916</v>
      </c>
      <c r="AB1740" s="152"/>
      <c r="AC1740" s="153"/>
      <c r="AD1740" s="154"/>
      <c r="AE1740" s="153"/>
      <c r="AF1740" s="153"/>
      <c r="AG1740" s="153"/>
      <c r="AH1740" s="153"/>
      <c r="AI1740" s="153"/>
      <c r="AJ1740" s="153"/>
      <c r="AK1740" s="153"/>
      <c r="AL1740" s="153"/>
      <c r="AM1740" s="153"/>
      <c r="AN1740" s="153">
        <v>1000</v>
      </c>
      <c r="AO1740" s="153">
        <f>1000*55999.58</f>
        <v>55999580</v>
      </c>
      <c r="AP1740" s="153"/>
      <c r="AQ1740" s="153"/>
      <c r="AR1740" s="153"/>
      <c r="AS1740" s="153"/>
      <c r="AT1740" s="153"/>
      <c r="AU1740" s="153"/>
      <c r="AV1740" s="153"/>
      <c r="AW1740" s="153"/>
      <c r="AX1740" s="153"/>
      <c r="AY1740" s="153"/>
      <c r="AZ1740" s="153"/>
      <c r="BA1740" s="153"/>
      <c r="BB1740" s="153"/>
      <c r="BC1740" s="153"/>
      <c r="BD1740" s="153"/>
      <c r="BE1740" s="153"/>
      <c r="BF1740" s="153"/>
      <c r="BG1740" s="153"/>
      <c r="BH1740" s="153"/>
      <c r="BI1740" s="153"/>
      <c r="BJ1740" s="153"/>
      <c r="BK1740" s="153"/>
      <c r="BL1740" s="153"/>
      <c r="BM1740" s="153"/>
      <c r="BN1740" s="153"/>
      <c r="BO1740" s="153"/>
      <c r="BP1740" s="153"/>
      <c r="BQ1740" s="153"/>
      <c r="BR1740" s="153"/>
      <c r="BS1740" s="153"/>
      <c r="BT1740" s="153"/>
      <c r="BU1740" s="153"/>
      <c r="BV1740" s="153"/>
      <c r="BW1740" s="153"/>
      <c r="BX1740" s="153">
        <v>1000</v>
      </c>
      <c r="BY1740" s="153">
        <f>1000*20998.32</f>
        <v>20998320</v>
      </c>
      <c r="BZ1740" s="153"/>
      <c r="CA1740" s="153"/>
      <c r="CB1740" s="153"/>
      <c r="CC1740" s="153"/>
      <c r="CD1740" s="155">
        <v>1000</v>
      </c>
      <c r="CE1740" s="156">
        <f>1000*37999.86</f>
        <v>37999860</v>
      </c>
      <c r="CF1740" s="155"/>
      <c r="CG1740" s="156"/>
      <c r="CH1740" s="155"/>
      <c r="CI1740" s="156"/>
      <c r="CJ1740" s="157">
        <f t="shared" si="224"/>
        <v>114997760</v>
      </c>
      <c r="CK1740" s="158"/>
      <c r="CL1740" s="159"/>
      <c r="CM1740" s="160">
        <v>1000</v>
      </c>
      <c r="CN1740" s="161">
        <f>1000*84998.46</f>
        <v>84998460</v>
      </c>
      <c r="CO1740" s="162"/>
      <c r="CP1740" s="161"/>
      <c r="CQ1740" s="158"/>
      <c r="CR1740" s="159"/>
      <c r="CS1740" s="68"/>
      <c r="CT1740" s="163"/>
      <c r="EC1740" s="366" t="str">
        <f t="shared" si="220"/>
        <v>CAUCA_LOPEZ</v>
      </c>
      <c r="ED1740" s="367"/>
      <c r="EE1740" s="367"/>
      <c r="EF1740" s="368"/>
      <c r="EG1740" s="367"/>
      <c r="EH1740" s="367"/>
      <c r="EI1740" s="367"/>
    </row>
    <row r="1741" spans="1:139" s="164" customFormat="1" ht="38.25">
      <c r="A1741" s="228">
        <v>40499</v>
      </c>
      <c r="B1741" s="205" t="s">
        <v>1996</v>
      </c>
      <c r="C1741" s="205" t="s">
        <v>947</v>
      </c>
      <c r="D1741" s="207" t="s">
        <v>1201</v>
      </c>
      <c r="E1741" s="323" t="s">
        <v>3811</v>
      </c>
      <c r="F1741" s="323"/>
      <c r="G1741" s="204">
        <v>1</v>
      </c>
      <c r="H1741" s="151">
        <v>3</v>
      </c>
      <c r="I1741" s="151"/>
      <c r="J1741" s="151">
        <v>5</v>
      </c>
      <c r="K1741" s="151">
        <v>1</v>
      </c>
      <c r="L1741" s="1"/>
      <c r="M1741" s="73">
        <f t="shared" si="222"/>
        <v>42002000</v>
      </c>
      <c r="N1741" s="73">
        <f t="shared" si="219"/>
        <v>96376500</v>
      </c>
      <c r="O1741" s="73">
        <f t="shared" si="221"/>
        <v>0</v>
      </c>
      <c r="P1741" s="73">
        <f t="shared" si="223"/>
        <v>0</v>
      </c>
      <c r="Q1741" s="73"/>
      <c r="R1741" s="73">
        <v>0</v>
      </c>
      <c r="S1741" s="75">
        <f t="shared" si="225"/>
        <v>138378500</v>
      </c>
      <c r="T1741" s="77">
        <v>0</v>
      </c>
      <c r="U1741" s="66">
        <v>40504</v>
      </c>
      <c r="V1741" s="79"/>
      <c r="W1741" s="66" t="s">
        <v>1606</v>
      </c>
      <c r="X1741" s="24" t="s">
        <v>1607</v>
      </c>
      <c r="Y1741" s="62"/>
      <c r="Z1741" s="169" t="s">
        <v>894</v>
      </c>
      <c r="AA1741" s="166" t="s">
        <v>2896</v>
      </c>
      <c r="AB1741" s="152"/>
      <c r="AC1741" s="153"/>
      <c r="AD1741" s="154"/>
      <c r="AE1741" s="153"/>
      <c r="AF1741" s="153"/>
      <c r="AG1741" s="153"/>
      <c r="AH1741" s="153"/>
      <c r="AI1741" s="153"/>
      <c r="AJ1741" s="153"/>
      <c r="AK1741" s="153"/>
      <c r="AL1741" s="153"/>
      <c r="AM1741" s="153"/>
      <c r="AN1741" s="153"/>
      <c r="AO1741" s="153"/>
      <c r="AP1741" s="153">
        <v>400</v>
      </c>
      <c r="AQ1741" s="153">
        <f>400*56000</f>
        <v>22400000</v>
      </c>
      <c r="AR1741" s="153"/>
      <c r="AS1741" s="153"/>
      <c r="AT1741" s="153"/>
      <c r="AU1741" s="153"/>
      <c r="AV1741" s="153"/>
      <c r="AW1741" s="153"/>
      <c r="AX1741" s="153"/>
      <c r="AY1741" s="153"/>
      <c r="AZ1741" s="153"/>
      <c r="BA1741" s="153"/>
      <c r="BB1741" s="153"/>
      <c r="BC1741" s="153"/>
      <c r="BD1741" s="153"/>
      <c r="BE1741" s="153"/>
      <c r="BF1741" s="153"/>
      <c r="BG1741" s="153"/>
      <c r="BH1741" s="153"/>
      <c r="BI1741" s="153"/>
      <c r="BJ1741" s="153"/>
      <c r="BK1741" s="153"/>
      <c r="BL1741" s="153"/>
      <c r="BM1741" s="153"/>
      <c r="BN1741" s="153"/>
      <c r="BO1741" s="153"/>
      <c r="BP1741" s="153"/>
      <c r="BQ1741" s="153"/>
      <c r="BR1741" s="153"/>
      <c r="BS1741" s="153"/>
      <c r="BT1741" s="153"/>
      <c r="BU1741" s="153"/>
      <c r="BV1741" s="153"/>
      <c r="BW1741" s="153"/>
      <c r="BX1741" s="153"/>
      <c r="BY1741" s="153"/>
      <c r="BZ1741" s="153"/>
      <c r="CA1741" s="153"/>
      <c r="CB1741" s="153">
        <v>1089</v>
      </c>
      <c r="CC1741" s="153">
        <f>1089*18000</f>
        <v>19602000</v>
      </c>
      <c r="CD1741" s="155"/>
      <c r="CE1741" s="156"/>
      <c r="CF1741" s="155"/>
      <c r="CG1741" s="156"/>
      <c r="CH1741" s="155"/>
      <c r="CI1741" s="156"/>
      <c r="CJ1741" s="157">
        <f t="shared" si="224"/>
        <v>42002000</v>
      </c>
      <c r="CK1741" s="158"/>
      <c r="CL1741" s="159"/>
      <c r="CM1741" s="160">
        <v>1089</v>
      </c>
      <c r="CN1741" s="161">
        <f>1089*88500</f>
        <v>96376500</v>
      </c>
      <c r="CO1741" s="162"/>
      <c r="CP1741" s="161"/>
      <c r="CQ1741" s="158"/>
      <c r="CR1741" s="159"/>
      <c r="CS1741" s="68"/>
      <c r="CT1741" s="163"/>
      <c r="EC1741" s="366" t="str">
        <f t="shared" si="220"/>
        <v>CHOCO_MEDIO BAUDO</v>
      </c>
      <c r="ED1741" s="367"/>
      <c r="EE1741" s="367"/>
      <c r="EF1741" s="368"/>
      <c r="EG1741" s="367"/>
      <c r="EH1741" s="367"/>
      <c r="EI1741" s="367"/>
    </row>
    <row r="1742" spans="1:139" s="164" customFormat="1" ht="38.25">
      <c r="A1742" s="228">
        <v>40499</v>
      </c>
      <c r="B1742" s="205" t="s">
        <v>1604</v>
      </c>
      <c r="C1742" s="205" t="s">
        <v>2234</v>
      </c>
      <c r="D1742" s="207" t="s">
        <v>1201</v>
      </c>
      <c r="E1742" s="323" t="s">
        <v>3690</v>
      </c>
      <c r="F1742" s="323"/>
      <c r="G1742" s="204"/>
      <c r="H1742" s="151"/>
      <c r="I1742" s="151"/>
      <c r="J1742" s="151">
        <v>87</v>
      </c>
      <c r="K1742" s="151">
        <v>18</v>
      </c>
      <c r="L1742" s="1"/>
      <c r="M1742" s="73">
        <f t="shared" si="222"/>
        <v>0</v>
      </c>
      <c r="N1742" s="73">
        <f t="shared" ref="N1742:N1805" si="226">CN1742</f>
        <v>0</v>
      </c>
      <c r="O1742" s="73">
        <f t="shared" si="221"/>
        <v>0</v>
      </c>
      <c r="P1742" s="73">
        <f t="shared" si="223"/>
        <v>0</v>
      </c>
      <c r="Q1742" s="73"/>
      <c r="R1742" s="73">
        <v>0</v>
      </c>
      <c r="S1742" s="75">
        <f t="shared" si="225"/>
        <v>0</v>
      </c>
      <c r="T1742" s="77">
        <v>0</v>
      </c>
      <c r="U1742" s="66">
        <v>40504</v>
      </c>
      <c r="V1742" s="79"/>
      <c r="W1742" s="66" t="s">
        <v>1585</v>
      </c>
      <c r="X1742" s="24" t="s">
        <v>1586</v>
      </c>
      <c r="Y1742" s="62"/>
      <c r="Z1742" s="169" t="s">
        <v>894</v>
      </c>
      <c r="AA1742" s="166" t="s">
        <v>2814</v>
      </c>
      <c r="AB1742" s="152"/>
      <c r="AC1742" s="153"/>
      <c r="AD1742" s="154"/>
      <c r="AE1742" s="153"/>
      <c r="AF1742" s="153"/>
      <c r="AG1742" s="153"/>
      <c r="AH1742" s="153"/>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c r="BF1742" s="153"/>
      <c r="BG1742" s="153"/>
      <c r="BH1742" s="153"/>
      <c r="BI1742" s="153"/>
      <c r="BJ1742" s="153"/>
      <c r="BK1742" s="153"/>
      <c r="BL1742" s="153"/>
      <c r="BM1742" s="153"/>
      <c r="BN1742" s="153"/>
      <c r="BO1742" s="153"/>
      <c r="BP1742" s="153"/>
      <c r="BQ1742" s="153"/>
      <c r="BR1742" s="153"/>
      <c r="BS1742" s="153"/>
      <c r="BT1742" s="153"/>
      <c r="BU1742" s="153"/>
      <c r="BV1742" s="153"/>
      <c r="BW1742" s="153"/>
      <c r="BX1742" s="153"/>
      <c r="BY1742" s="153"/>
      <c r="BZ1742" s="153"/>
      <c r="CA1742" s="153"/>
      <c r="CB1742" s="153"/>
      <c r="CC1742" s="153"/>
      <c r="CD1742" s="155"/>
      <c r="CE1742" s="156"/>
      <c r="CF1742" s="155"/>
      <c r="CG1742" s="156"/>
      <c r="CH1742" s="155"/>
      <c r="CI1742" s="156"/>
      <c r="CJ1742" s="157">
        <f t="shared" si="224"/>
        <v>0</v>
      </c>
      <c r="CK1742" s="158"/>
      <c r="CL1742" s="159"/>
      <c r="CM1742" s="160"/>
      <c r="CN1742" s="161"/>
      <c r="CO1742" s="162"/>
      <c r="CP1742" s="161"/>
      <c r="CQ1742" s="158"/>
      <c r="CR1742" s="159"/>
      <c r="CS1742" s="68"/>
      <c r="CT1742" s="163"/>
      <c r="EC1742" s="366" t="str">
        <f t="shared" si="220"/>
        <v>CUNDINAMARCA_CAJICA</v>
      </c>
      <c r="ED1742" s="367"/>
      <c r="EE1742" s="367"/>
      <c r="EF1742" s="368"/>
      <c r="EG1742" s="367"/>
      <c r="EH1742" s="367"/>
      <c r="EI1742" s="367"/>
    </row>
    <row r="1743" spans="1:139" s="164" customFormat="1" ht="60">
      <c r="A1743" s="228">
        <v>40499</v>
      </c>
      <c r="B1743" s="205" t="s">
        <v>1604</v>
      </c>
      <c r="C1743" s="205" t="s">
        <v>1949</v>
      </c>
      <c r="D1743" s="207" t="s">
        <v>1201</v>
      </c>
      <c r="E1743" s="323" t="s">
        <v>3699</v>
      </c>
      <c r="F1743" s="323"/>
      <c r="G1743" s="204"/>
      <c r="H1743" s="151"/>
      <c r="I1743" s="151"/>
      <c r="J1743" s="151">
        <v>1155</v>
      </c>
      <c r="K1743" s="151">
        <v>247</v>
      </c>
      <c r="L1743" s="1"/>
      <c r="M1743" s="73">
        <f t="shared" si="222"/>
        <v>0</v>
      </c>
      <c r="N1743" s="73">
        <f t="shared" si="226"/>
        <v>0</v>
      </c>
      <c r="O1743" s="73">
        <f t="shared" si="221"/>
        <v>0</v>
      </c>
      <c r="P1743" s="73">
        <f t="shared" si="223"/>
        <v>0</v>
      </c>
      <c r="Q1743" s="73"/>
      <c r="R1743" s="73">
        <v>0</v>
      </c>
      <c r="S1743" s="75">
        <f t="shared" si="225"/>
        <v>0</v>
      </c>
      <c r="T1743" s="77">
        <v>0</v>
      </c>
      <c r="U1743" s="66">
        <v>40500</v>
      </c>
      <c r="V1743" s="79"/>
      <c r="W1743" s="66" t="s">
        <v>1585</v>
      </c>
      <c r="X1743" s="24" t="s">
        <v>1586</v>
      </c>
      <c r="Y1743" s="62"/>
      <c r="Z1743" s="169" t="s">
        <v>894</v>
      </c>
      <c r="AA1743" s="166" t="s">
        <v>2476</v>
      </c>
      <c r="AB1743" s="152"/>
      <c r="AC1743" s="153"/>
      <c r="AD1743" s="154"/>
      <c r="AE1743" s="153"/>
      <c r="AF1743" s="153"/>
      <c r="AG1743" s="153"/>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c r="BF1743" s="153"/>
      <c r="BG1743" s="153"/>
      <c r="BH1743" s="153"/>
      <c r="BI1743" s="153"/>
      <c r="BJ1743" s="153"/>
      <c r="BK1743" s="153"/>
      <c r="BL1743" s="153"/>
      <c r="BM1743" s="153"/>
      <c r="BN1743" s="153"/>
      <c r="BO1743" s="153"/>
      <c r="BP1743" s="153"/>
      <c r="BQ1743" s="153"/>
      <c r="BR1743" s="153"/>
      <c r="BS1743" s="153"/>
      <c r="BT1743" s="153"/>
      <c r="BU1743" s="153"/>
      <c r="BV1743" s="153"/>
      <c r="BW1743" s="153"/>
      <c r="BX1743" s="153"/>
      <c r="BY1743" s="153"/>
      <c r="BZ1743" s="153"/>
      <c r="CA1743" s="153"/>
      <c r="CB1743" s="153"/>
      <c r="CC1743" s="153"/>
      <c r="CD1743" s="155"/>
      <c r="CE1743" s="156"/>
      <c r="CF1743" s="155"/>
      <c r="CG1743" s="156"/>
      <c r="CH1743" s="155"/>
      <c r="CI1743" s="156"/>
      <c r="CJ1743" s="157">
        <f t="shared" si="224"/>
        <v>0</v>
      </c>
      <c r="CK1743" s="158"/>
      <c r="CL1743" s="159"/>
      <c r="CM1743" s="160"/>
      <c r="CN1743" s="161"/>
      <c r="CO1743" s="162"/>
      <c r="CP1743" s="161"/>
      <c r="CQ1743" s="158"/>
      <c r="CR1743" s="159"/>
      <c r="CS1743" s="68"/>
      <c r="CT1743" s="163"/>
      <c r="EC1743" s="366" t="str">
        <f t="shared" si="220"/>
        <v>CUNDINAMARCA_COTA</v>
      </c>
      <c r="ED1743" s="367"/>
      <c r="EE1743" s="367"/>
      <c r="EF1743" s="368"/>
      <c r="EG1743" s="367"/>
      <c r="EH1743" s="367"/>
      <c r="EI1743" s="367"/>
    </row>
    <row r="1744" spans="1:139" s="164" customFormat="1" ht="38.25">
      <c r="A1744" s="228">
        <v>40499</v>
      </c>
      <c r="B1744" s="205" t="s">
        <v>1604</v>
      </c>
      <c r="C1744" s="205" t="s">
        <v>594</v>
      </c>
      <c r="D1744" s="206" t="s">
        <v>1878</v>
      </c>
      <c r="E1744" s="320" t="s">
        <v>3725</v>
      </c>
      <c r="F1744" s="320"/>
      <c r="G1744" s="204"/>
      <c r="H1744" s="151">
        <v>3</v>
      </c>
      <c r="I1744" s="151"/>
      <c r="J1744" s="151">
        <f>18*5</f>
        <v>90</v>
      </c>
      <c r="K1744" s="151">
        <v>18</v>
      </c>
      <c r="L1744" s="1"/>
      <c r="M1744" s="73">
        <f t="shared" si="222"/>
        <v>0</v>
      </c>
      <c r="N1744" s="73">
        <f t="shared" si="226"/>
        <v>0</v>
      </c>
      <c r="O1744" s="73">
        <f t="shared" si="221"/>
        <v>0</v>
      </c>
      <c r="P1744" s="73">
        <f t="shared" si="223"/>
        <v>0</v>
      </c>
      <c r="Q1744" s="73"/>
      <c r="R1744" s="73">
        <v>0</v>
      </c>
      <c r="S1744" s="75">
        <f t="shared" si="225"/>
        <v>0</v>
      </c>
      <c r="T1744" s="77">
        <v>0</v>
      </c>
      <c r="U1744" s="66">
        <v>40500</v>
      </c>
      <c r="V1744" s="79"/>
      <c r="W1744" s="66" t="s">
        <v>1585</v>
      </c>
      <c r="X1744" s="24" t="s">
        <v>1586</v>
      </c>
      <c r="Y1744" s="62"/>
      <c r="Z1744" s="169" t="s">
        <v>894</v>
      </c>
      <c r="AA1744" s="166" t="s">
        <v>2810</v>
      </c>
      <c r="AB1744" s="152"/>
      <c r="AC1744" s="153"/>
      <c r="AD1744" s="154"/>
      <c r="AE1744" s="153"/>
      <c r="AF1744" s="153"/>
      <c r="AG1744" s="153"/>
      <c r="AH1744" s="153"/>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c r="BF1744" s="153"/>
      <c r="BG1744" s="153"/>
      <c r="BH1744" s="153"/>
      <c r="BI1744" s="153"/>
      <c r="BJ1744" s="153"/>
      <c r="BK1744" s="153"/>
      <c r="BL1744" s="153"/>
      <c r="BM1744" s="153"/>
      <c r="BN1744" s="153"/>
      <c r="BO1744" s="153"/>
      <c r="BP1744" s="153"/>
      <c r="BQ1744" s="153"/>
      <c r="BR1744" s="153"/>
      <c r="BS1744" s="153"/>
      <c r="BT1744" s="153"/>
      <c r="BU1744" s="153"/>
      <c r="BV1744" s="153"/>
      <c r="BW1744" s="153"/>
      <c r="BX1744" s="153"/>
      <c r="BY1744" s="153"/>
      <c r="BZ1744" s="153"/>
      <c r="CA1744" s="153"/>
      <c r="CB1744" s="153"/>
      <c r="CC1744" s="153"/>
      <c r="CD1744" s="155"/>
      <c r="CE1744" s="156"/>
      <c r="CF1744" s="155"/>
      <c r="CG1744" s="156"/>
      <c r="CH1744" s="155"/>
      <c r="CI1744" s="156"/>
      <c r="CJ1744" s="157">
        <f t="shared" si="224"/>
        <v>0</v>
      </c>
      <c r="CK1744" s="158"/>
      <c r="CL1744" s="159"/>
      <c r="CM1744" s="160"/>
      <c r="CN1744" s="161"/>
      <c r="CO1744" s="162"/>
      <c r="CP1744" s="161"/>
      <c r="CQ1744" s="158"/>
      <c r="CR1744" s="159"/>
      <c r="CS1744" s="68"/>
      <c r="CT1744" s="163"/>
      <c r="EC1744" s="366" t="str">
        <f t="shared" ref="EC1744:EC1806" si="227">B1744&amp;"_"&amp;C1744</f>
        <v>CUNDINAMARCA_LA CALERA</v>
      </c>
      <c r="ED1744" s="367"/>
      <c r="EE1744" s="367"/>
      <c r="EF1744" s="368"/>
      <c r="EG1744" s="367"/>
      <c r="EH1744" s="367"/>
      <c r="EI1744" s="367"/>
    </row>
    <row r="1745" spans="1:139" s="164" customFormat="1" ht="84">
      <c r="A1745" s="228">
        <v>40499</v>
      </c>
      <c r="B1745" s="205" t="s">
        <v>1604</v>
      </c>
      <c r="C1745" s="205" t="s">
        <v>2045</v>
      </c>
      <c r="D1745" s="207" t="s">
        <v>1201</v>
      </c>
      <c r="E1745" s="323" t="s">
        <v>3735</v>
      </c>
      <c r="F1745" s="323"/>
      <c r="G1745" s="204"/>
      <c r="H1745" s="151"/>
      <c r="I1745" s="151"/>
      <c r="J1745" s="151">
        <v>2043</v>
      </c>
      <c r="K1745" s="151">
        <v>445</v>
      </c>
      <c r="L1745" s="1">
        <v>40550</v>
      </c>
      <c r="M1745" s="73">
        <f t="shared" si="222"/>
        <v>0</v>
      </c>
      <c r="N1745" s="73">
        <f t="shared" si="226"/>
        <v>0</v>
      </c>
      <c r="O1745" s="73">
        <f t="shared" si="221"/>
        <v>0</v>
      </c>
      <c r="P1745" s="73">
        <f t="shared" si="223"/>
        <v>0</v>
      </c>
      <c r="Q1745" s="73"/>
      <c r="R1745" s="73">
        <v>50000000</v>
      </c>
      <c r="S1745" s="75">
        <f t="shared" si="225"/>
        <v>50000000</v>
      </c>
      <c r="T1745" s="77">
        <v>0</v>
      </c>
      <c r="U1745" s="66">
        <v>40504</v>
      </c>
      <c r="V1745" s="79">
        <v>71635</v>
      </c>
      <c r="W1745" s="66" t="s">
        <v>1606</v>
      </c>
      <c r="X1745" s="24" t="s">
        <v>1607</v>
      </c>
      <c r="Y1745" s="62">
        <v>275</v>
      </c>
      <c r="Z1745" s="169" t="s">
        <v>1</v>
      </c>
      <c r="AA1745" s="166" t="s">
        <v>0</v>
      </c>
      <c r="AB1745" s="152"/>
      <c r="AC1745" s="153"/>
      <c r="AD1745" s="154"/>
      <c r="AE1745" s="153"/>
      <c r="AF1745" s="153"/>
      <c r="AG1745" s="153"/>
      <c r="AH1745" s="153"/>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c r="BF1745" s="153"/>
      <c r="BG1745" s="153"/>
      <c r="BH1745" s="153"/>
      <c r="BI1745" s="153"/>
      <c r="BJ1745" s="153"/>
      <c r="BK1745" s="153"/>
      <c r="BL1745" s="153"/>
      <c r="BM1745" s="153"/>
      <c r="BN1745" s="153"/>
      <c r="BO1745" s="153"/>
      <c r="BP1745" s="153"/>
      <c r="BQ1745" s="153"/>
      <c r="BR1745" s="153"/>
      <c r="BS1745" s="153"/>
      <c r="BT1745" s="153"/>
      <c r="BU1745" s="153"/>
      <c r="BV1745" s="153"/>
      <c r="BW1745" s="153"/>
      <c r="BX1745" s="153"/>
      <c r="BY1745" s="153"/>
      <c r="BZ1745" s="153"/>
      <c r="CA1745" s="153"/>
      <c r="CB1745" s="153"/>
      <c r="CC1745" s="153"/>
      <c r="CD1745" s="155"/>
      <c r="CE1745" s="156"/>
      <c r="CF1745" s="155"/>
      <c r="CG1745" s="156"/>
      <c r="CH1745" s="155"/>
      <c r="CI1745" s="156"/>
      <c r="CJ1745" s="157">
        <f t="shared" si="224"/>
        <v>0</v>
      </c>
      <c r="CK1745" s="158"/>
      <c r="CL1745" s="159"/>
      <c r="CM1745" s="160"/>
      <c r="CN1745" s="161"/>
      <c r="CO1745" s="162"/>
      <c r="CP1745" s="161"/>
      <c r="CQ1745" s="158"/>
      <c r="CR1745" s="159"/>
      <c r="CS1745" s="68">
        <v>4</v>
      </c>
      <c r="CT1745" s="163"/>
      <c r="EC1745" s="366" t="str">
        <f t="shared" si="227"/>
        <v>CUNDINAMARCA_MOSQUERA</v>
      </c>
      <c r="ED1745" s="367"/>
      <c r="EE1745" s="367"/>
      <c r="EF1745" s="368"/>
      <c r="EG1745" s="367"/>
      <c r="EH1745" s="367"/>
      <c r="EI1745" s="367"/>
    </row>
    <row r="1746" spans="1:139" s="164" customFormat="1" ht="76.5">
      <c r="A1746" s="228">
        <v>40499</v>
      </c>
      <c r="B1746" s="205" t="s">
        <v>1604</v>
      </c>
      <c r="C1746" s="205" t="s">
        <v>5397</v>
      </c>
      <c r="D1746" s="207" t="s">
        <v>1878</v>
      </c>
      <c r="E1746" s="323" t="s">
        <v>3754</v>
      </c>
      <c r="F1746" s="323"/>
      <c r="G1746" s="204"/>
      <c r="H1746" s="151"/>
      <c r="I1746" s="151"/>
      <c r="J1746" s="151">
        <v>78</v>
      </c>
      <c r="K1746" s="151">
        <v>20</v>
      </c>
      <c r="L1746" s="1"/>
      <c r="M1746" s="73">
        <f t="shared" si="222"/>
        <v>0</v>
      </c>
      <c r="N1746" s="73">
        <f t="shared" si="226"/>
        <v>0</v>
      </c>
      <c r="O1746" s="73">
        <f t="shared" si="221"/>
        <v>0</v>
      </c>
      <c r="P1746" s="73">
        <f t="shared" si="223"/>
        <v>0</v>
      </c>
      <c r="Q1746" s="73"/>
      <c r="R1746" s="73">
        <v>0</v>
      </c>
      <c r="S1746" s="75">
        <f t="shared" si="225"/>
        <v>0</v>
      </c>
      <c r="T1746" s="77">
        <v>0</v>
      </c>
      <c r="U1746" s="66">
        <v>40508</v>
      </c>
      <c r="V1746" s="79"/>
      <c r="W1746" s="66" t="s">
        <v>1585</v>
      </c>
      <c r="X1746" s="24" t="s">
        <v>1586</v>
      </c>
      <c r="Y1746" s="62"/>
      <c r="Z1746" s="169" t="s">
        <v>894</v>
      </c>
      <c r="AA1746" s="166" t="s">
        <v>2505</v>
      </c>
      <c r="AB1746" s="152"/>
      <c r="AC1746" s="153"/>
      <c r="AD1746" s="154"/>
      <c r="AE1746" s="153"/>
      <c r="AF1746" s="153"/>
      <c r="AG1746" s="153"/>
      <c r="AH1746" s="153"/>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c r="BF1746" s="153"/>
      <c r="BG1746" s="153"/>
      <c r="BH1746" s="153"/>
      <c r="BI1746" s="153"/>
      <c r="BJ1746" s="153"/>
      <c r="BK1746" s="153"/>
      <c r="BL1746" s="153"/>
      <c r="BM1746" s="153"/>
      <c r="BN1746" s="153"/>
      <c r="BO1746" s="153"/>
      <c r="BP1746" s="153"/>
      <c r="BQ1746" s="153"/>
      <c r="BR1746" s="153"/>
      <c r="BS1746" s="153"/>
      <c r="BT1746" s="153"/>
      <c r="BU1746" s="153"/>
      <c r="BV1746" s="153"/>
      <c r="BW1746" s="153"/>
      <c r="BX1746" s="153"/>
      <c r="BY1746" s="153"/>
      <c r="BZ1746" s="153"/>
      <c r="CA1746" s="153"/>
      <c r="CB1746" s="153"/>
      <c r="CC1746" s="153"/>
      <c r="CD1746" s="155"/>
      <c r="CE1746" s="156"/>
      <c r="CF1746" s="155"/>
      <c r="CG1746" s="156"/>
      <c r="CH1746" s="155"/>
      <c r="CI1746" s="156"/>
      <c r="CJ1746" s="157">
        <f t="shared" si="224"/>
        <v>0</v>
      </c>
      <c r="CK1746" s="158"/>
      <c r="CL1746" s="159"/>
      <c r="CM1746" s="160"/>
      <c r="CN1746" s="161"/>
      <c r="CO1746" s="162"/>
      <c r="CP1746" s="161"/>
      <c r="CQ1746" s="158"/>
      <c r="CR1746" s="159"/>
      <c r="CS1746" s="68"/>
      <c r="CT1746" s="163"/>
      <c r="EC1746" s="366" t="str">
        <f t="shared" si="227"/>
        <v>CUNDINAMARCA_SAN ANTONIO DEL TEQUENDAMA</v>
      </c>
      <c r="ED1746" s="367"/>
      <c r="EE1746" s="367"/>
      <c r="EF1746" s="368"/>
      <c r="EG1746" s="367"/>
      <c r="EH1746" s="367"/>
      <c r="EI1746" s="367"/>
    </row>
    <row r="1747" spans="1:139" s="164" customFormat="1" ht="38.25">
      <c r="A1747" s="228">
        <v>40499</v>
      </c>
      <c r="B1747" s="205" t="s">
        <v>1604</v>
      </c>
      <c r="C1747" s="205" t="s">
        <v>848</v>
      </c>
      <c r="D1747" s="207" t="s">
        <v>1201</v>
      </c>
      <c r="E1747" s="323" t="s">
        <v>3761</v>
      </c>
      <c r="F1747" s="323"/>
      <c r="G1747" s="204"/>
      <c r="H1747" s="151"/>
      <c r="I1747" s="151"/>
      <c r="J1747" s="151">
        <f>1051-35-40</f>
        <v>976</v>
      </c>
      <c r="K1747" s="175">
        <f>260-7-8</f>
        <v>245</v>
      </c>
      <c r="L1747" s="1"/>
      <c r="M1747" s="73">
        <f t="shared" si="222"/>
        <v>0</v>
      </c>
      <c r="N1747" s="73">
        <f t="shared" si="226"/>
        <v>0</v>
      </c>
      <c r="O1747" s="73">
        <f t="shared" si="221"/>
        <v>0</v>
      </c>
      <c r="P1747" s="73">
        <f t="shared" si="223"/>
        <v>0</v>
      </c>
      <c r="Q1747" s="73"/>
      <c r="R1747" s="73">
        <v>0</v>
      </c>
      <c r="S1747" s="75">
        <f t="shared" si="225"/>
        <v>0</v>
      </c>
      <c r="T1747" s="77">
        <v>0</v>
      </c>
      <c r="U1747" s="66">
        <v>40504</v>
      </c>
      <c r="V1747" s="79"/>
      <c r="W1747" s="66" t="s">
        <v>1585</v>
      </c>
      <c r="X1747" s="24" t="s">
        <v>1586</v>
      </c>
      <c r="Y1747" s="62"/>
      <c r="Z1747" s="169" t="s">
        <v>894</v>
      </c>
      <c r="AA1747" s="166" t="s">
        <v>2504</v>
      </c>
      <c r="AB1747" s="152"/>
      <c r="AC1747" s="153"/>
      <c r="AD1747" s="154"/>
      <c r="AE1747" s="153"/>
      <c r="AF1747" s="153"/>
      <c r="AG1747" s="153"/>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c r="BF1747" s="153"/>
      <c r="BG1747" s="153"/>
      <c r="BH1747" s="153"/>
      <c r="BI1747" s="153"/>
      <c r="BJ1747" s="153"/>
      <c r="BK1747" s="153"/>
      <c r="BL1747" s="153"/>
      <c r="BM1747" s="153"/>
      <c r="BN1747" s="153"/>
      <c r="BO1747" s="153"/>
      <c r="BP1747" s="153"/>
      <c r="BQ1747" s="153"/>
      <c r="BR1747" s="153"/>
      <c r="BS1747" s="153"/>
      <c r="BT1747" s="153"/>
      <c r="BU1747" s="153"/>
      <c r="BV1747" s="153"/>
      <c r="BW1747" s="153"/>
      <c r="BX1747" s="153"/>
      <c r="BY1747" s="153"/>
      <c r="BZ1747" s="153"/>
      <c r="CA1747" s="153"/>
      <c r="CB1747" s="153"/>
      <c r="CC1747" s="153"/>
      <c r="CD1747" s="155"/>
      <c r="CE1747" s="156"/>
      <c r="CF1747" s="155"/>
      <c r="CG1747" s="156"/>
      <c r="CH1747" s="155"/>
      <c r="CI1747" s="156"/>
      <c r="CJ1747" s="157">
        <f t="shared" si="224"/>
        <v>0</v>
      </c>
      <c r="CK1747" s="158"/>
      <c r="CL1747" s="159"/>
      <c r="CM1747" s="160"/>
      <c r="CN1747" s="161"/>
      <c r="CO1747" s="162"/>
      <c r="CP1747" s="161"/>
      <c r="CQ1747" s="158"/>
      <c r="CR1747" s="159"/>
      <c r="CS1747" s="68"/>
      <c r="CT1747" s="163"/>
      <c r="EC1747" s="366" t="str">
        <f t="shared" si="227"/>
        <v>CUNDINAMARCA_SIBATE</v>
      </c>
      <c r="ED1747" s="367"/>
      <c r="EE1747" s="367"/>
      <c r="EF1747" s="368"/>
      <c r="EG1747" s="367"/>
      <c r="EH1747" s="367"/>
      <c r="EI1747" s="367"/>
    </row>
    <row r="1748" spans="1:139" s="164" customFormat="1" ht="38.25">
      <c r="A1748" s="228">
        <v>40499</v>
      </c>
      <c r="B1748" s="205" t="s">
        <v>1604</v>
      </c>
      <c r="C1748" s="205" t="s">
        <v>2868</v>
      </c>
      <c r="D1748" s="207" t="s">
        <v>1201</v>
      </c>
      <c r="E1748" s="323" t="s">
        <v>3771</v>
      </c>
      <c r="F1748" s="323"/>
      <c r="G1748" s="204"/>
      <c r="H1748" s="151"/>
      <c r="I1748" s="151"/>
      <c r="J1748" s="151">
        <v>15</v>
      </c>
      <c r="K1748" s="151">
        <v>3</v>
      </c>
      <c r="L1748" s="1"/>
      <c r="M1748" s="73">
        <f t="shared" si="222"/>
        <v>0</v>
      </c>
      <c r="N1748" s="73">
        <f t="shared" si="226"/>
        <v>0</v>
      </c>
      <c r="O1748" s="73">
        <f t="shared" si="221"/>
        <v>0</v>
      </c>
      <c r="P1748" s="73">
        <f t="shared" si="223"/>
        <v>0</v>
      </c>
      <c r="Q1748" s="73"/>
      <c r="R1748" s="73">
        <v>0</v>
      </c>
      <c r="S1748" s="75">
        <f t="shared" si="225"/>
        <v>0</v>
      </c>
      <c r="T1748" s="77">
        <v>0</v>
      </c>
      <c r="U1748" s="66">
        <v>40504</v>
      </c>
      <c r="V1748" s="79"/>
      <c r="W1748" s="66" t="s">
        <v>1585</v>
      </c>
      <c r="X1748" s="24" t="s">
        <v>1586</v>
      </c>
      <c r="Y1748" s="62"/>
      <c r="Z1748" s="66" t="s">
        <v>894</v>
      </c>
      <c r="AA1748" s="166" t="s">
        <v>2812</v>
      </c>
      <c r="AB1748" s="152"/>
      <c r="AC1748" s="153"/>
      <c r="AD1748" s="154"/>
      <c r="AE1748" s="153"/>
      <c r="AF1748" s="153"/>
      <c r="AG1748" s="153"/>
      <c r="AH1748" s="153"/>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c r="BF1748" s="153"/>
      <c r="BG1748" s="153"/>
      <c r="BH1748" s="153"/>
      <c r="BI1748" s="153"/>
      <c r="BJ1748" s="153"/>
      <c r="BK1748" s="153"/>
      <c r="BL1748" s="153"/>
      <c r="BM1748" s="153"/>
      <c r="BN1748" s="153"/>
      <c r="BO1748" s="153"/>
      <c r="BP1748" s="153"/>
      <c r="BQ1748" s="153"/>
      <c r="BR1748" s="153"/>
      <c r="BS1748" s="153"/>
      <c r="BT1748" s="153"/>
      <c r="BU1748" s="153"/>
      <c r="BV1748" s="153"/>
      <c r="BW1748" s="153"/>
      <c r="BX1748" s="153"/>
      <c r="BY1748" s="153"/>
      <c r="BZ1748" s="153"/>
      <c r="CA1748" s="153"/>
      <c r="CB1748" s="153"/>
      <c r="CC1748" s="153"/>
      <c r="CD1748" s="155"/>
      <c r="CE1748" s="156"/>
      <c r="CF1748" s="155"/>
      <c r="CG1748" s="156"/>
      <c r="CH1748" s="155"/>
      <c r="CI1748" s="156"/>
      <c r="CJ1748" s="157">
        <f t="shared" si="224"/>
        <v>0</v>
      </c>
      <c r="CK1748" s="158"/>
      <c r="CL1748" s="159"/>
      <c r="CM1748" s="160"/>
      <c r="CN1748" s="161"/>
      <c r="CO1748" s="162"/>
      <c r="CP1748" s="161"/>
      <c r="CQ1748" s="158"/>
      <c r="CR1748" s="159"/>
      <c r="CS1748" s="68"/>
      <c r="CT1748" s="163"/>
      <c r="EC1748" s="366" t="str">
        <f t="shared" si="227"/>
        <v>CUNDINAMARCA_TABIO</v>
      </c>
      <c r="ED1748" s="367"/>
      <c r="EE1748" s="367"/>
      <c r="EF1748" s="368"/>
      <c r="EG1748" s="367"/>
      <c r="EH1748" s="367"/>
      <c r="EI1748" s="367"/>
    </row>
    <row r="1749" spans="1:139" s="164" customFormat="1" ht="38.25">
      <c r="A1749" s="228">
        <v>40499</v>
      </c>
      <c r="B1749" s="205" t="s">
        <v>1604</v>
      </c>
      <c r="C1749" s="205" t="s">
        <v>982</v>
      </c>
      <c r="D1749" s="206" t="s">
        <v>1878</v>
      </c>
      <c r="E1749" s="320" t="s">
        <v>3777</v>
      </c>
      <c r="F1749" s="320"/>
      <c r="G1749" s="204">
        <v>1</v>
      </c>
      <c r="H1749" s="151">
        <v>1</v>
      </c>
      <c r="I1749" s="151"/>
      <c r="J1749" s="151"/>
      <c r="K1749" s="151"/>
      <c r="L1749" s="1"/>
      <c r="M1749" s="73">
        <f t="shared" si="222"/>
        <v>0</v>
      </c>
      <c r="N1749" s="73">
        <f t="shared" si="226"/>
        <v>0</v>
      </c>
      <c r="O1749" s="73">
        <f t="shared" si="221"/>
        <v>0</v>
      </c>
      <c r="P1749" s="73">
        <f t="shared" si="223"/>
        <v>0</v>
      </c>
      <c r="Q1749" s="73"/>
      <c r="R1749" s="73">
        <v>0</v>
      </c>
      <c r="S1749" s="75">
        <f t="shared" si="225"/>
        <v>0</v>
      </c>
      <c r="T1749" s="77">
        <v>0</v>
      </c>
      <c r="U1749" s="66">
        <v>40504</v>
      </c>
      <c r="V1749" s="79"/>
      <c r="W1749" s="66" t="s">
        <v>1585</v>
      </c>
      <c r="X1749" s="24" t="s">
        <v>1586</v>
      </c>
      <c r="Y1749" s="62"/>
      <c r="Z1749" s="169" t="s">
        <v>894</v>
      </c>
      <c r="AA1749" s="166" t="s">
        <v>2811</v>
      </c>
      <c r="AB1749" s="152"/>
      <c r="AC1749" s="153"/>
      <c r="AD1749" s="154"/>
      <c r="AE1749" s="153"/>
      <c r="AF1749" s="153"/>
      <c r="AG1749" s="153"/>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c r="BF1749" s="153"/>
      <c r="BG1749" s="153"/>
      <c r="BH1749" s="153"/>
      <c r="BI1749" s="153"/>
      <c r="BJ1749" s="153"/>
      <c r="BK1749" s="153"/>
      <c r="BL1749" s="153"/>
      <c r="BM1749" s="153"/>
      <c r="BN1749" s="153"/>
      <c r="BO1749" s="153"/>
      <c r="BP1749" s="153"/>
      <c r="BQ1749" s="153"/>
      <c r="BR1749" s="153"/>
      <c r="BS1749" s="153"/>
      <c r="BT1749" s="153"/>
      <c r="BU1749" s="153"/>
      <c r="BV1749" s="153"/>
      <c r="BW1749" s="153"/>
      <c r="BX1749" s="153"/>
      <c r="BY1749" s="153"/>
      <c r="BZ1749" s="153"/>
      <c r="CA1749" s="153"/>
      <c r="CB1749" s="153"/>
      <c r="CC1749" s="153"/>
      <c r="CD1749" s="155"/>
      <c r="CE1749" s="156"/>
      <c r="CF1749" s="155"/>
      <c r="CG1749" s="156"/>
      <c r="CH1749" s="155"/>
      <c r="CI1749" s="156"/>
      <c r="CJ1749" s="157">
        <f t="shared" si="224"/>
        <v>0</v>
      </c>
      <c r="CK1749" s="158"/>
      <c r="CL1749" s="159"/>
      <c r="CM1749" s="160"/>
      <c r="CN1749" s="161"/>
      <c r="CO1749" s="162"/>
      <c r="CP1749" s="161"/>
      <c r="CQ1749" s="158"/>
      <c r="CR1749" s="159"/>
      <c r="CS1749" s="68"/>
      <c r="CT1749" s="163"/>
      <c r="EC1749" s="366" t="str">
        <f t="shared" si="227"/>
        <v>CUNDINAMARCA_TOCAIMA</v>
      </c>
      <c r="ED1749" s="367"/>
      <c r="EE1749" s="367"/>
      <c r="EF1749" s="368"/>
      <c r="EG1749" s="367"/>
      <c r="EH1749" s="367"/>
      <c r="EI1749" s="367"/>
    </row>
    <row r="1750" spans="1:139" s="164" customFormat="1" ht="45">
      <c r="A1750" s="228">
        <v>40499</v>
      </c>
      <c r="B1750" s="102" t="s">
        <v>4321</v>
      </c>
      <c r="C1750" s="205" t="s">
        <v>771</v>
      </c>
      <c r="D1750" s="207" t="s">
        <v>1201</v>
      </c>
      <c r="E1750" s="323" t="s">
        <v>3865</v>
      </c>
      <c r="F1750" s="323"/>
      <c r="G1750" s="204"/>
      <c r="H1750" s="151"/>
      <c r="I1750" s="151"/>
      <c r="J1750" s="151">
        <f>197*5</f>
        <v>985</v>
      </c>
      <c r="K1750" s="151">
        <v>197</v>
      </c>
      <c r="L1750" s="1"/>
      <c r="M1750" s="73">
        <f t="shared" si="222"/>
        <v>0</v>
      </c>
      <c r="N1750" s="73">
        <f t="shared" si="226"/>
        <v>0</v>
      </c>
      <c r="O1750" s="73">
        <f t="shared" si="221"/>
        <v>0</v>
      </c>
      <c r="P1750" s="73">
        <f t="shared" si="223"/>
        <v>0</v>
      </c>
      <c r="Q1750" s="73"/>
      <c r="R1750" s="73">
        <v>0</v>
      </c>
      <c r="S1750" s="75">
        <f t="shared" si="225"/>
        <v>0</v>
      </c>
      <c r="T1750" s="77">
        <v>0</v>
      </c>
      <c r="U1750" s="66"/>
      <c r="V1750" s="79"/>
      <c r="W1750" s="66" t="s">
        <v>1606</v>
      </c>
      <c r="X1750" s="264" t="s">
        <v>1607</v>
      </c>
      <c r="Y1750" s="62"/>
      <c r="Z1750" s="260" t="s">
        <v>18</v>
      </c>
      <c r="AA1750" s="166" t="s">
        <v>772</v>
      </c>
      <c r="AB1750" s="152"/>
      <c r="AC1750" s="153"/>
      <c r="AD1750" s="154"/>
      <c r="AE1750" s="153"/>
      <c r="AF1750" s="153"/>
      <c r="AG1750" s="153"/>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c r="BF1750" s="153"/>
      <c r="BG1750" s="153"/>
      <c r="BH1750" s="153"/>
      <c r="BI1750" s="153"/>
      <c r="BJ1750" s="153"/>
      <c r="BK1750" s="153"/>
      <c r="BL1750" s="153"/>
      <c r="BM1750" s="153"/>
      <c r="BN1750" s="153"/>
      <c r="BO1750" s="153"/>
      <c r="BP1750" s="153"/>
      <c r="BQ1750" s="153"/>
      <c r="BR1750" s="153"/>
      <c r="BS1750" s="153"/>
      <c r="BT1750" s="153"/>
      <c r="BU1750" s="153"/>
      <c r="BV1750" s="153"/>
      <c r="BW1750" s="153"/>
      <c r="BX1750" s="153"/>
      <c r="BY1750" s="153"/>
      <c r="BZ1750" s="153"/>
      <c r="CA1750" s="153"/>
      <c r="CB1750" s="153"/>
      <c r="CC1750" s="153"/>
      <c r="CD1750" s="155"/>
      <c r="CE1750" s="156"/>
      <c r="CF1750" s="155"/>
      <c r="CG1750" s="156"/>
      <c r="CH1750" s="155"/>
      <c r="CI1750" s="156"/>
      <c r="CJ1750" s="157">
        <f t="shared" si="224"/>
        <v>0</v>
      </c>
      <c r="CK1750" s="158"/>
      <c r="CL1750" s="159"/>
      <c r="CM1750" s="160"/>
      <c r="CN1750" s="161"/>
      <c r="CO1750" s="162"/>
      <c r="CP1750" s="161"/>
      <c r="CQ1750" s="158"/>
      <c r="CR1750" s="159"/>
      <c r="CS1750" s="68"/>
      <c r="CT1750" s="163"/>
      <c r="EC1750" s="366" t="str">
        <f t="shared" si="227"/>
        <v>LA GUAJIRA_EL MOLINO</v>
      </c>
      <c r="ED1750" s="367"/>
      <c r="EE1750" s="367"/>
      <c r="EF1750" s="368"/>
      <c r="EG1750" s="367"/>
      <c r="EH1750" s="367"/>
      <c r="EI1750" s="367"/>
    </row>
    <row r="1751" spans="1:139" s="164" customFormat="1" ht="38.25">
      <c r="A1751" s="228">
        <v>40499</v>
      </c>
      <c r="B1751" s="205" t="s">
        <v>396</v>
      </c>
      <c r="C1751" s="102" t="s">
        <v>1350</v>
      </c>
      <c r="D1751" s="207" t="s">
        <v>1201</v>
      </c>
      <c r="E1751" s="323" t="s">
        <v>3907</v>
      </c>
      <c r="F1751" s="323"/>
      <c r="G1751" s="204"/>
      <c r="H1751" s="151"/>
      <c r="I1751" s="151"/>
      <c r="J1751" s="151">
        <f>1450-121-317</f>
        <v>1012</v>
      </c>
      <c r="K1751" s="151">
        <f>290-50-72</f>
        <v>168</v>
      </c>
      <c r="L1751" s="1"/>
      <c r="M1751" s="73">
        <f t="shared" si="222"/>
        <v>0</v>
      </c>
      <c r="N1751" s="73">
        <f t="shared" si="226"/>
        <v>0</v>
      </c>
      <c r="O1751" s="73">
        <f t="shared" si="221"/>
        <v>0</v>
      </c>
      <c r="P1751" s="73">
        <f t="shared" si="223"/>
        <v>0</v>
      </c>
      <c r="Q1751" s="73"/>
      <c r="R1751" s="73">
        <v>0</v>
      </c>
      <c r="S1751" s="75">
        <f t="shared" si="225"/>
        <v>0</v>
      </c>
      <c r="T1751" s="77">
        <v>0</v>
      </c>
      <c r="U1751" s="66">
        <v>40504</v>
      </c>
      <c r="V1751" s="79"/>
      <c r="W1751" s="66" t="s">
        <v>1585</v>
      </c>
      <c r="X1751" s="24" t="s">
        <v>1586</v>
      </c>
      <c r="Y1751" s="62"/>
      <c r="Z1751" s="169" t="s">
        <v>894</v>
      </c>
      <c r="AA1751" s="166" t="s">
        <v>2819</v>
      </c>
      <c r="AB1751" s="152"/>
      <c r="AC1751" s="153"/>
      <c r="AD1751" s="154"/>
      <c r="AE1751" s="153"/>
      <c r="AF1751" s="153"/>
      <c r="AG1751" s="153"/>
      <c r="AH1751" s="153"/>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c r="BF1751" s="153"/>
      <c r="BG1751" s="153"/>
      <c r="BH1751" s="153"/>
      <c r="BI1751" s="153"/>
      <c r="BJ1751" s="153"/>
      <c r="BK1751" s="153"/>
      <c r="BL1751" s="153"/>
      <c r="BM1751" s="153"/>
      <c r="BN1751" s="153"/>
      <c r="BO1751" s="153"/>
      <c r="BP1751" s="153"/>
      <c r="BQ1751" s="153"/>
      <c r="BR1751" s="153"/>
      <c r="BS1751" s="153"/>
      <c r="BT1751" s="153"/>
      <c r="BU1751" s="153"/>
      <c r="BV1751" s="153"/>
      <c r="BW1751" s="153"/>
      <c r="BX1751" s="153"/>
      <c r="BY1751" s="153"/>
      <c r="BZ1751" s="153"/>
      <c r="CA1751" s="153"/>
      <c r="CB1751" s="153"/>
      <c r="CC1751" s="153"/>
      <c r="CD1751" s="155"/>
      <c r="CE1751" s="156"/>
      <c r="CF1751" s="155"/>
      <c r="CG1751" s="156"/>
      <c r="CH1751" s="155"/>
      <c r="CI1751" s="156"/>
      <c r="CJ1751" s="157">
        <f t="shared" si="224"/>
        <v>0</v>
      </c>
      <c r="CK1751" s="158"/>
      <c r="CL1751" s="159"/>
      <c r="CM1751" s="160"/>
      <c r="CN1751" s="161"/>
      <c r="CO1751" s="162"/>
      <c r="CP1751" s="161"/>
      <c r="CQ1751" s="158"/>
      <c r="CR1751" s="159"/>
      <c r="CS1751" s="68"/>
      <c r="CT1751" s="163"/>
      <c r="EC1751" s="366" t="str">
        <f t="shared" si="227"/>
        <v>META_BARRANCA DE UPIA</v>
      </c>
      <c r="ED1751" s="367"/>
      <c r="EE1751" s="367"/>
      <c r="EF1751" s="368"/>
      <c r="EG1751" s="367"/>
      <c r="EH1751" s="367"/>
      <c r="EI1751" s="367"/>
    </row>
    <row r="1752" spans="1:139" s="164" customFormat="1" ht="72">
      <c r="A1752" s="228">
        <v>40499</v>
      </c>
      <c r="B1752" s="205" t="s">
        <v>396</v>
      </c>
      <c r="C1752" s="205" t="s">
        <v>1853</v>
      </c>
      <c r="D1752" s="207" t="s">
        <v>1201</v>
      </c>
      <c r="E1752" s="323" t="s">
        <v>3931</v>
      </c>
      <c r="F1752" s="323"/>
      <c r="G1752" s="204"/>
      <c r="H1752" s="151"/>
      <c r="I1752" s="151"/>
      <c r="J1752" s="151">
        <v>1110</v>
      </c>
      <c r="K1752" s="151">
        <v>242</v>
      </c>
      <c r="L1752" s="1"/>
      <c r="M1752" s="73">
        <f t="shared" si="222"/>
        <v>0</v>
      </c>
      <c r="N1752" s="73">
        <f t="shared" si="226"/>
        <v>0</v>
      </c>
      <c r="O1752" s="73">
        <f t="shared" si="221"/>
        <v>0</v>
      </c>
      <c r="P1752" s="73">
        <f t="shared" si="223"/>
        <v>0</v>
      </c>
      <c r="Q1752" s="73"/>
      <c r="R1752" s="73">
        <v>0</v>
      </c>
      <c r="S1752" s="75">
        <f t="shared" si="225"/>
        <v>0</v>
      </c>
      <c r="T1752" s="77">
        <v>0</v>
      </c>
      <c r="U1752" s="66">
        <v>40504</v>
      </c>
      <c r="V1752" s="79"/>
      <c r="W1752" s="66" t="s">
        <v>1585</v>
      </c>
      <c r="X1752" s="24" t="s">
        <v>1586</v>
      </c>
      <c r="Y1752" s="62"/>
      <c r="Z1752" s="169" t="s">
        <v>894</v>
      </c>
      <c r="AA1752" s="166" t="s">
        <v>2908</v>
      </c>
      <c r="AB1752" s="152"/>
      <c r="AC1752" s="153"/>
      <c r="AD1752" s="154"/>
      <c r="AE1752" s="153"/>
      <c r="AF1752" s="153"/>
      <c r="AG1752" s="153"/>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c r="BF1752" s="153"/>
      <c r="BG1752" s="153"/>
      <c r="BH1752" s="153"/>
      <c r="BI1752" s="153"/>
      <c r="BJ1752" s="153"/>
      <c r="BK1752" s="153"/>
      <c r="BL1752" s="153"/>
      <c r="BM1752" s="153"/>
      <c r="BN1752" s="153"/>
      <c r="BO1752" s="153"/>
      <c r="BP1752" s="153"/>
      <c r="BQ1752" s="153"/>
      <c r="BR1752" s="153"/>
      <c r="BS1752" s="153"/>
      <c r="BT1752" s="153"/>
      <c r="BU1752" s="153"/>
      <c r="BV1752" s="153"/>
      <c r="BW1752" s="153"/>
      <c r="BX1752" s="153"/>
      <c r="BY1752" s="153"/>
      <c r="BZ1752" s="153"/>
      <c r="CA1752" s="153"/>
      <c r="CB1752" s="153"/>
      <c r="CC1752" s="153"/>
      <c r="CD1752" s="155"/>
      <c r="CE1752" s="156"/>
      <c r="CF1752" s="155"/>
      <c r="CG1752" s="156"/>
      <c r="CH1752" s="155"/>
      <c r="CI1752" s="156"/>
      <c r="CJ1752" s="157">
        <f t="shared" si="224"/>
        <v>0</v>
      </c>
      <c r="CK1752" s="158"/>
      <c r="CL1752" s="159"/>
      <c r="CM1752" s="160"/>
      <c r="CN1752" s="161"/>
      <c r="CO1752" s="162"/>
      <c r="CP1752" s="161"/>
      <c r="CQ1752" s="158"/>
      <c r="CR1752" s="159"/>
      <c r="CS1752" s="68"/>
      <c r="CT1752" s="163"/>
      <c r="EC1752" s="366" t="str">
        <f t="shared" si="227"/>
        <v>META_SAN JUANITO</v>
      </c>
      <c r="ED1752" s="367"/>
      <c r="EE1752" s="367"/>
      <c r="EF1752" s="368"/>
      <c r="EG1752" s="367"/>
      <c r="EH1752" s="367"/>
      <c r="EI1752" s="367"/>
    </row>
    <row r="1753" spans="1:139" s="164" customFormat="1" ht="108">
      <c r="A1753" s="228">
        <v>40499</v>
      </c>
      <c r="B1753" s="205" t="s">
        <v>1824</v>
      </c>
      <c r="C1753" s="205" t="s">
        <v>2818</v>
      </c>
      <c r="D1753" s="206" t="s">
        <v>1878</v>
      </c>
      <c r="E1753" s="320" t="s">
        <v>3937</v>
      </c>
      <c r="F1753" s="320"/>
      <c r="G1753" s="204"/>
      <c r="H1753" s="151"/>
      <c r="I1753" s="151"/>
      <c r="J1753" s="151">
        <v>1004</v>
      </c>
      <c r="K1753" s="151">
        <v>291</v>
      </c>
      <c r="L1753" s="1"/>
      <c r="M1753" s="73">
        <f t="shared" si="222"/>
        <v>0</v>
      </c>
      <c r="N1753" s="73">
        <f t="shared" si="226"/>
        <v>0</v>
      </c>
      <c r="O1753" s="73">
        <f t="shared" si="221"/>
        <v>0</v>
      </c>
      <c r="P1753" s="73">
        <f t="shared" si="223"/>
        <v>0</v>
      </c>
      <c r="Q1753" s="73"/>
      <c r="R1753" s="73">
        <v>0</v>
      </c>
      <c r="S1753" s="75">
        <f t="shared" si="225"/>
        <v>0</v>
      </c>
      <c r="T1753" s="77">
        <v>0</v>
      </c>
      <c r="U1753" s="66">
        <v>40504</v>
      </c>
      <c r="V1753" s="79"/>
      <c r="W1753" s="66" t="s">
        <v>1585</v>
      </c>
      <c r="X1753" s="24" t="s">
        <v>1586</v>
      </c>
      <c r="Y1753" s="62"/>
      <c r="Z1753" s="169" t="s">
        <v>894</v>
      </c>
      <c r="AA1753" s="166" t="s">
        <v>3046</v>
      </c>
      <c r="AB1753" s="152"/>
      <c r="AC1753" s="153"/>
      <c r="AD1753" s="154"/>
      <c r="AE1753" s="153"/>
      <c r="AF1753" s="153"/>
      <c r="AG1753" s="153"/>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c r="BF1753" s="153"/>
      <c r="BG1753" s="153"/>
      <c r="BH1753" s="153"/>
      <c r="BI1753" s="153"/>
      <c r="BJ1753" s="153"/>
      <c r="BK1753" s="153"/>
      <c r="BL1753" s="153"/>
      <c r="BM1753" s="153"/>
      <c r="BN1753" s="153"/>
      <c r="BO1753" s="153"/>
      <c r="BP1753" s="153"/>
      <c r="BQ1753" s="153"/>
      <c r="BR1753" s="153"/>
      <c r="BS1753" s="153"/>
      <c r="BT1753" s="153"/>
      <c r="BU1753" s="153"/>
      <c r="BV1753" s="153"/>
      <c r="BW1753" s="153"/>
      <c r="BX1753" s="153"/>
      <c r="BY1753" s="153"/>
      <c r="BZ1753" s="153"/>
      <c r="CA1753" s="153"/>
      <c r="CB1753" s="153"/>
      <c r="CC1753" s="153"/>
      <c r="CD1753" s="155"/>
      <c r="CE1753" s="156"/>
      <c r="CF1753" s="155"/>
      <c r="CG1753" s="156"/>
      <c r="CH1753" s="155"/>
      <c r="CI1753" s="156"/>
      <c r="CJ1753" s="157">
        <f t="shared" si="224"/>
        <v>0</v>
      </c>
      <c r="CK1753" s="158"/>
      <c r="CL1753" s="159"/>
      <c r="CM1753" s="160"/>
      <c r="CN1753" s="161"/>
      <c r="CO1753" s="162"/>
      <c r="CP1753" s="161"/>
      <c r="CQ1753" s="158"/>
      <c r="CR1753" s="159"/>
      <c r="CS1753" s="68"/>
      <c r="CT1753" s="163"/>
      <c r="EC1753" s="366" t="str">
        <f t="shared" si="227"/>
        <v>NARIÑO_ANCUYA</v>
      </c>
      <c r="ED1753" s="367"/>
      <c r="EE1753" s="367"/>
      <c r="EF1753" s="368"/>
      <c r="EG1753" s="367"/>
      <c r="EH1753" s="367"/>
      <c r="EI1753" s="367"/>
    </row>
    <row r="1754" spans="1:139" s="164" customFormat="1" ht="36">
      <c r="A1754" s="228">
        <v>40499</v>
      </c>
      <c r="B1754" s="205" t="s">
        <v>1824</v>
      </c>
      <c r="C1754" s="205" t="s">
        <v>2832</v>
      </c>
      <c r="D1754" s="206" t="s">
        <v>1878</v>
      </c>
      <c r="E1754" s="320" t="s">
        <v>3947</v>
      </c>
      <c r="F1754" s="320"/>
      <c r="G1754" s="204"/>
      <c r="H1754" s="151"/>
      <c r="I1754" s="151"/>
      <c r="J1754" s="151"/>
      <c r="K1754" s="151"/>
      <c r="L1754" s="1"/>
      <c r="M1754" s="73">
        <f t="shared" si="222"/>
        <v>0</v>
      </c>
      <c r="N1754" s="73">
        <f t="shared" si="226"/>
        <v>0</v>
      </c>
      <c r="O1754" s="73">
        <f t="shared" si="221"/>
        <v>0</v>
      </c>
      <c r="P1754" s="73">
        <f t="shared" si="223"/>
        <v>0</v>
      </c>
      <c r="Q1754" s="73"/>
      <c r="R1754" s="73">
        <v>0</v>
      </c>
      <c r="S1754" s="75">
        <f t="shared" si="225"/>
        <v>0</v>
      </c>
      <c r="T1754" s="77">
        <v>0</v>
      </c>
      <c r="U1754" s="66">
        <v>40504</v>
      </c>
      <c r="V1754" s="79"/>
      <c r="W1754" s="66" t="s">
        <v>1585</v>
      </c>
      <c r="X1754" s="24" t="s">
        <v>1586</v>
      </c>
      <c r="Y1754" s="62"/>
      <c r="Z1754" s="169" t="s">
        <v>894</v>
      </c>
      <c r="AA1754" s="190" t="s">
        <v>2089</v>
      </c>
      <c r="AB1754" s="152"/>
      <c r="AC1754" s="153"/>
      <c r="AD1754" s="154"/>
      <c r="AE1754" s="153"/>
      <c r="AF1754" s="153"/>
      <c r="AG1754" s="153"/>
      <c r="AH1754" s="153"/>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c r="BF1754" s="153"/>
      <c r="BG1754" s="153"/>
      <c r="BH1754" s="153"/>
      <c r="BI1754" s="153"/>
      <c r="BJ1754" s="153"/>
      <c r="BK1754" s="153"/>
      <c r="BL1754" s="153"/>
      <c r="BM1754" s="153"/>
      <c r="BN1754" s="153"/>
      <c r="BO1754" s="153"/>
      <c r="BP1754" s="153"/>
      <c r="BQ1754" s="153"/>
      <c r="BR1754" s="153"/>
      <c r="BS1754" s="153"/>
      <c r="BT1754" s="153"/>
      <c r="BU1754" s="153"/>
      <c r="BV1754" s="153"/>
      <c r="BW1754" s="153"/>
      <c r="BX1754" s="153"/>
      <c r="BY1754" s="153"/>
      <c r="BZ1754" s="153"/>
      <c r="CA1754" s="153"/>
      <c r="CB1754" s="153"/>
      <c r="CC1754" s="153"/>
      <c r="CD1754" s="155"/>
      <c r="CE1754" s="156"/>
      <c r="CF1754" s="155"/>
      <c r="CG1754" s="156"/>
      <c r="CH1754" s="155"/>
      <c r="CI1754" s="156"/>
      <c r="CJ1754" s="157">
        <f t="shared" si="224"/>
        <v>0</v>
      </c>
      <c r="CK1754" s="158"/>
      <c r="CL1754" s="159"/>
      <c r="CM1754" s="160"/>
      <c r="CN1754" s="161"/>
      <c r="CO1754" s="162"/>
      <c r="CP1754" s="161"/>
      <c r="CQ1754" s="158"/>
      <c r="CR1754" s="159"/>
      <c r="CS1754" s="68"/>
      <c r="CT1754" s="163"/>
      <c r="EC1754" s="366" t="str">
        <f t="shared" si="227"/>
        <v>NARIÑO_CUMBAL</v>
      </c>
      <c r="ED1754" s="367"/>
      <c r="EE1754" s="367"/>
      <c r="EF1754" s="368"/>
      <c r="EG1754" s="367"/>
      <c r="EH1754" s="367"/>
      <c r="EI1754" s="367"/>
    </row>
    <row r="1755" spans="1:139" s="164" customFormat="1" ht="96">
      <c r="A1755" s="228">
        <v>40499</v>
      </c>
      <c r="B1755" s="205" t="s">
        <v>1824</v>
      </c>
      <c r="C1755" s="205" t="s">
        <v>2828</v>
      </c>
      <c r="D1755" s="206" t="s">
        <v>1878</v>
      </c>
      <c r="E1755" s="320" t="s">
        <v>3957</v>
      </c>
      <c r="F1755" s="320"/>
      <c r="G1755" s="204"/>
      <c r="H1755" s="151"/>
      <c r="I1755" s="151"/>
      <c r="J1755" s="151"/>
      <c r="K1755" s="151"/>
      <c r="L1755" s="1"/>
      <c r="M1755" s="73">
        <f t="shared" si="222"/>
        <v>0</v>
      </c>
      <c r="N1755" s="73">
        <f t="shared" si="226"/>
        <v>0</v>
      </c>
      <c r="O1755" s="73">
        <f t="shared" si="221"/>
        <v>0</v>
      </c>
      <c r="P1755" s="73">
        <f t="shared" si="223"/>
        <v>0</v>
      </c>
      <c r="Q1755" s="73"/>
      <c r="R1755" s="73">
        <v>0</v>
      </c>
      <c r="S1755" s="75">
        <f t="shared" si="225"/>
        <v>0</v>
      </c>
      <c r="T1755" s="77">
        <v>0</v>
      </c>
      <c r="U1755" s="66">
        <v>40504</v>
      </c>
      <c r="V1755" s="79"/>
      <c r="W1755" s="66" t="s">
        <v>1585</v>
      </c>
      <c r="X1755" s="24" t="s">
        <v>1586</v>
      </c>
      <c r="Y1755" s="62"/>
      <c r="Z1755" s="169" t="s">
        <v>894</v>
      </c>
      <c r="AA1755" s="166" t="s">
        <v>2829</v>
      </c>
      <c r="AB1755" s="152"/>
      <c r="AC1755" s="153"/>
      <c r="AD1755" s="154"/>
      <c r="AE1755" s="153"/>
      <c r="AF1755" s="153"/>
      <c r="AG1755" s="153"/>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c r="BF1755" s="153"/>
      <c r="BG1755" s="153"/>
      <c r="BH1755" s="153"/>
      <c r="BI1755" s="153"/>
      <c r="BJ1755" s="153"/>
      <c r="BK1755" s="153"/>
      <c r="BL1755" s="153"/>
      <c r="BM1755" s="153"/>
      <c r="BN1755" s="153"/>
      <c r="BO1755" s="153"/>
      <c r="BP1755" s="153"/>
      <c r="BQ1755" s="153"/>
      <c r="BR1755" s="153"/>
      <c r="BS1755" s="153"/>
      <c r="BT1755" s="153"/>
      <c r="BU1755" s="153"/>
      <c r="BV1755" s="153"/>
      <c r="BW1755" s="153"/>
      <c r="BX1755" s="153"/>
      <c r="BY1755" s="153"/>
      <c r="BZ1755" s="153"/>
      <c r="CA1755" s="153"/>
      <c r="CB1755" s="153"/>
      <c r="CC1755" s="153"/>
      <c r="CD1755" s="155"/>
      <c r="CE1755" s="156"/>
      <c r="CF1755" s="155"/>
      <c r="CG1755" s="156"/>
      <c r="CH1755" s="155"/>
      <c r="CI1755" s="156"/>
      <c r="CJ1755" s="157">
        <f t="shared" si="224"/>
        <v>0</v>
      </c>
      <c r="CK1755" s="158"/>
      <c r="CL1755" s="159"/>
      <c r="CM1755" s="160"/>
      <c r="CN1755" s="161"/>
      <c r="CO1755" s="162"/>
      <c r="CP1755" s="161"/>
      <c r="CQ1755" s="158"/>
      <c r="CR1755" s="159"/>
      <c r="CS1755" s="68"/>
      <c r="CT1755" s="163"/>
      <c r="EC1755" s="366" t="str">
        <f t="shared" si="227"/>
        <v>NARIÑO_GUAITARILLA</v>
      </c>
      <c r="ED1755" s="367"/>
      <c r="EE1755" s="367"/>
      <c r="EF1755" s="368"/>
      <c r="EG1755" s="367"/>
      <c r="EH1755" s="367"/>
      <c r="EI1755" s="367"/>
    </row>
    <row r="1756" spans="1:139" s="164" customFormat="1" ht="72">
      <c r="A1756" s="228">
        <v>40499</v>
      </c>
      <c r="B1756" s="205" t="s">
        <v>1824</v>
      </c>
      <c r="C1756" s="205" t="s">
        <v>2801</v>
      </c>
      <c r="D1756" s="207" t="s">
        <v>1201</v>
      </c>
      <c r="E1756" s="323" t="s">
        <v>3974</v>
      </c>
      <c r="F1756" s="323"/>
      <c r="G1756" s="204"/>
      <c r="H1756" s="151"/>
      <c r="I1756" s="151"/>
      <c r="J1756" s="151">
        <v>6200</v>
      </c>
      <c r="K1756" s="151">
        <v>1350</v>
      </c>
      <c r="L1756" s="1"/>
      <c r="M1756" s="73">
        <f t="shared" si="222"/>
        <v>0</v>
      </c>
      <c r="N1756" s="73">
        <f t="shared" si="226"/>
        <v>0</v>
      </c>
      <c r="O1756" s="73">
        <f t="shared" si="221"/>
        <v>0</v>
      </c>
      <c r="P1756" s="73">
        <f t="shared" si="223"/>
        <v>0</v>
      </c>
      <c r="Q1756" s="73"/>
      <c r="R1756" s="73">
        <v>0</v>
      </c>
      <c r="S1756" s="75">
        <f t="shared" si="225"/>
        <v>0</v>
      </c>
      <c r="T1756" s="77">
        <v>0</v>
      </c>
      <c r="U1756" s="66">
        <v>40504</v>
      </c>
      <c r="V1756" s="79"/>
      <c r="W1756" s="66" t="s">
        <v>1585</v>
      </c>
      <c r="X1756" s="24" t="s">
        <v>1586</v>
      </c>
      <c r="Y1756" s="62"/>
      <c r="Z1756" s="169" t="s">
        <v>894</v>
      </c>
      <c r="AA1756" s="166" t="s">
        <v>94</v>
      </c>
      <c r="AB1756" s="152"/>
      <c r="AC1756" s="153"/>
      <c r="AD1756" s="154"/>
      <c r="AE1756" s="153"/>
      <c r="AF1756" s="153"/>
      <c r="AG1756" s="153"/>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c r="BF1756" s="153"/>
      <c r="BG1756" s="153"/>
      <c r="BH1756" s="153"/>
      <c r="BI1756" s="153"/>
      <c r="BJ1756" s="153"/>
      <c r="BK1756" s="153"/>
      <c r="BL1756" s="153"/>
      <c r="BM1756" s="153"/>
      <c r="BN1756" s="153"/>
      <c r="BO1756" s="153"/>
      <c r="BP1756" s="153"/>
      <c r="BQ1756" s="153"/>
      <c r="BR1756" s="153"/>
      <c r="BS1756" s="153"/>
      <c r="BT1756" s="153"/>
      <c r="BU1756" s="153"/>
      <c r="BV1756" s="153"/>
      <c r="BW1756" s="153"/>
      <c r="BX1756" s="153"/>
      <c r="BY1756" s="153"/>
      <c r="BZ1756" s="153"/>
      <c r="CA1756" s="153"/>
      <c r="CB1756" s="153"/>
      <c r="CC1756" s="153"/>
      <c r="CD1756" s="155"/>
      <c r="CE1756" s="156"/>
      <c r="CF1756" s="155"/>
      <c r="CG1756" s="156"/>
      <c r="CH1756" s="155"/>
      <c r="CI1756" s="156"/>
      <c r="CJ1756" s="157">
        <f t="shared" si="224"/>
        <v>0</v>
      </c>
      <c r="CK1756" s="158"/>
      <c r="CL1756" s="159"/>
      <c r="CM1756" s="160"/>
      <c r="CN1756" s="161"/>
      <c r="CO1756" s="162"/>
      <c r="CP1756" s="161"/>
      <c r="CQ1756" s="158"/>
      <c r="CR1756" s="159"/>
      <c r="CS1756" s="68"/>
      <c r="CT1756" s="163"/>
      <c r="EC1756" s="366" t="str">
        <f t="shared" si="227"/>
        <v>NARIÑO_OLAYA HERRERA</v>
      </c>
      <c r="ED1756" s="367"/>
      <c r="EE1756" s="367"/>
      <c r="EF1756" s="368"/>
      <c r="EG1756" s="367"/>
      <c r="EH1756" s="367"/>
      <c r="EI1756" s="367"/>
    </row>
    <row r="1757" spans="1:139" s="164" customFormat="1" ht="25.5">
      <c r="A1757" s="228">
        <v>40499</v>
      </c>
      <c r="B1757" s="205" t="s">
        <v>1824</v>
      </c>
      <c r="C1757" s="205" t="s">
        <v>841</v>
      </c>
      <c r="D1757" s="207" t="s">
        <v>1201</v>
      </c>
      <c r="E1757" s="323" t="s">
        <v>3934</v>
      </c>
      <c r="F1757" s="323"/>
      <c r="G1757" s="204"/>
      <c r="H1757" s="151"/>
      <c r="I1757" s="151"/>
      <c r="J1757" s="151">
        <f>1299-10-15</f>
        <v>1274</v>
      </c>
      <c r="K1757" s="151">
        <f>323-6</f>
        <v>317</v>
      </c>
      <c r="L1757" s="1"/>
      <c r="M1757" s="73">
        <f t="shared" si="222"/>
        <v>0</v>
      </c>
      <c r="N1757" s="73">
        <f t="shared" si="226"/>
        <v>0</v>
      </c>
      <c r="O1757" s="73">
        <f t="shared" si="221"/>
        <v>0</v>
      </c>
      <c r="P1757" s="73">
        <f t="shared" si="223"/>
        <v>0</v>
      </c>
      <c r="Q1757" s="73"/>
      <c r="R1757" s="73">
        <v>0</v>
      </c>
      <c r="S1757" s="75">
        <f t="shared" si="225"/>
        <v>0</v>
      </c>
      <c r="T1757" s="77">
        <v>0</v>
      </c>
      <c r="U1757" s="66">
        <v>40508</v>
      </c>
      <c r="V1757" s="79"/>
      <c r="W1757" s="66" t="s">
        <v>1585</v>
      </c>
      <c r="X1757" s="24" t="s">
        <v>1586</v>
      </c>
      <c r="Y1757" s="62"/>
      <c r="Z1757" s="169" t="s">
        <v>894</v>
      </c>
      <c r="AA1757" s="166" t="s">
        <v>1501</v>
      </c>
      <c r="AB1757" s="152"/>
      <c r="AC1757" s="153"/>
      <c r="AD1757" s="154"/>
      <c r="AE1757" s="153"/>
      <c r="AF1757" s="153"/>
      <c r="AG1757" s="153"/>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c r="BF1757" s="153"/>
      <c r="BG1757" s="153"/>
      <c r="BH1757" s="153"/>
      <c r="BI1757" s="153"/>
      <c r="BJ1757" s="153"/>
      <c r="BK1757" s="153"/>
      <c r="BL1757" s="153"/>
      <c r="BM1757" s="153"/>
      <c r="BN1757" s="153"/>
      <c r="BO1757" s="153"/>
      <c r="BP1757" s="153"/>
      <c r="BQ1757" s="153"/>
      <c r="BR1757" s="153"/>
      <c r="BS1757" s="153"/>
      <c r="BT1757" s="153"/>
      <c r="BU1757" s="153"/>
      <c r="BV1757" s="153"/>
      <c r="BW1757" s="153"/>
      <c r="BX1757" s="153"/>
      <c r="BY1757" s="153"/>
      <c r="BZ1757" s="153"/>
      <c r="CA1757" s="153"/>
      <c r="CB1757" s="153"/>
      <c r="CC1757" s="153"/>
      <c r="CD1757" s="155"/>
      <c r="CE1757" s="156"/>
      <c r="CF1757" s="155"/>
      <c r="CG1757" s="156"/>
      <c r="CH1757" s="155"/>
      <c r="CI1757" s="156"/>
      <c r="CJ1757" s="157">
        <f t="shared" si="224"/>
        <v>0</v>
      </c>
      <c r="CK1757" s="158"/>
      <c r="CL1757" s="159"/>
      <c r="CM1757" s="160"/>
      <c r="CN1757" s="161"/>
      <c r="CO1757" s="162"/>
      <c r="CP1757" s="161"/>
      <c r="CQ1757" s="158"/>
      <c r="CR1757" s="159"/>
      <c r="CS1757" s="68"/>
      <c r="CT1757" s="163"/>
      <c r="EC1757" s="366" t="str">
        <f t="shared" si="227"/>
        <v>NARIÑO_PASTO</v>
      </c>
      <c r="ED1757" s="367"/>
      <c r="EE1757" s="367"/>
      <c r="EF1757" s="368"/>
      <c r="EG1757" s="367"/>
      <c r="EH1757" s="367"/>
      <c r="EI1757" s="367"/>
    </row>
    <row r="1758" spans="1:139" s="164" customFormat="1" ht="60">
      <c r="A1758" s="228">
        <v>40499</v>
      </c>
      <c r="B1758" s="205" t="s">
        <v>1824</v>
      </c>
      <c r="C1758" s="205" t="s">
        <v>384</v>
      </c>
      <c r="D1758" s="206" t="s">
        <v>1878</v>
      </c>
      <c r="E1758" s="320" t="s">
        <v>3987</v>
      </c>
      <c r="F1758" s="320"/>
      <c r="G1758" s="204"/>
      <c r="H1758" s="151"/>
      <c r="I1758" s="151"/>
      <c r="J1758" s="151">
        <f>466-87</f>
        <v>379</v>
      </c>
      <c r="K1758" s="151">
        <f>119-21</f>
        <v>98</v>
      </c>
      <c r="L1758" s="1"/>
      <c r="M1758" s="73">
        <f t="shared" si="222"/>
        <v>0</v>
      </c>
      <c r="N1758" s="73">
        <f t="shared" si="226"/>
        <v>0</v>
      </c>
      <c r="O1758" s="73">
        <f t="shared" si="221"/>
        <v>0</v>
      </c>
      <c r="P1758" s="73">
        <f t="shared" si="223"/>
        <v>0</v>
      </c>
      <c r="Q1758" s="73"/>
      <c r="R1758" s="73">
        <v>0</v>
      </c>
      <c r="S1758" s="75">
        <f t="shared" si="225"/>
        <v>0</v>
      </c>
      <c r="T1758" s="77">
        <v>0</v>
      </c>
      <c r="U1758" s="66">
        <v>40504</v>
      </c>
      <c r="V1758" s="79"/>
      <c r="W1758" s="66" t="s">
        <v>1585</v>
      </c>
      <c r="X1758" s="24" t="s">
        <v>1586</v>
      </c>
      <c r="Y1758" s="62"/>
      <c r="Z1758" s="169" t="s">
        <v>894</v>
      </c>
      <c r="AA1758" s="166" t="s">
        <v>254</v>
      </c>
      <c r="AB1758" s="152"/>
      <c r="AC1758" s="153"/>
      <c r="AD1758" s="154"/>
      <c r="AE1758" s="153"/>
      <c r="AF1758" s="153"/>
      <c r="AG1758" s="153"/>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c r="BF1758" s="153"/>
      <c r="BG1758" s="153"/>
      <c r="BH1758" s="153"/>
      <c r="BI1758" s="153"/>
      <c r="BJ1758" s="153"/>
      <c r="BK1758" s="153"/>
      <c r="BL1758" s="153"/>
      <c r="BM1758" s="153"/>
      <c r="BN1758" s="153"/>
      <c r="BO1758" s="153"/>
      <c r="BP1758" s="153"/>
      <c r="BQ1758" s="153"/>
      <c r="BR1758" s="153"/>
      <c r="BS1758" s="153"/>
      <c r="BT1758" s="153"/>
      <c r="BU1758" s="153"/>
      <c r="BV1758" s="153"/>
      <c r="BW1758" s="153"/>
      <c r="BX1758" s="153"/>
      <c r="BY1758" s="153"/>
      <c r="BZ1758" s="153"/>
      <c r="CA1758" s="153"/>
      <c r="CB1758" s="153"/>
      <c r="CC1758" s="153"/>
      <c r="CD1758" s="155"/>
      <c r="CE1758" s="156"/>
      <c r="CF1758" s="155"/>
      <c r="CG1758" s="156"/>
      <c r="CH1758" s="155"/>
      <c r="CI1758" s="156"/>
      <c r="CJ1758" s="157">
        <f t="shared" si="224"/>
        <v>0</v>
      </c>
      <c r="CK1758" s="158"/>
      <c r="CL1758" s="159"/>
      <c r="CM1758" s="160"/>
      <c r="CN1758" s="161"/>
      <c r="CO1758" s="162"/>
      <c r="CP1758" s="161"/>
      <c r="CQ1758" s="158"/>
      <c r="CR1758" s="159"/>
      <c r="CS1758" s="68"/>
      <c r="CT1758" s="163"/>
      <c r="EC1758" s="366" t="str">
        <f t="shared" si="227"/>
        <v>NARIÑO_SAN LORENZO</v>
      </c>
      <c r="ED1758" s="367"/>
      <c r="EE1758" s="367"/>
      <c r="EF1758" s="368"/>
      <c r="EG1758" s="367"/>
      <c r="EH1758" s="367"/>
      <c r="EI1758" s="367"/>
    </row>
    <row r="1759" spans="1:139" s="164" customFormat="1" ht="51">
      <c r="A1759" s="228">
        <v>40499</v>
      </c>
      <c r="B1759" s="205" t="s">
        <v>1824</v>
      </c>
      <c r="C1759" s="205" t="s">
        <v>2830</v>
      </c>
      <c r="D1759" s="206" t="s">
        <v>1878</v>
      </c>
      <c r="E1759" s="320" t="s">
        <v>3989</v>
      </c>
      <c r="F1759" s="320"/>
      <c r="G1759" s="204">
        <v>1</v>
      </c>
      <c r="H1759" s="151"/>
      <c r="I1759" s="151"/>
      <c r="J1759" s="151">
        <v>30</v>
      </c>
      <c r="K1759" s="151">
        <v>5</v>
      </c>
      <c r="L1759" s="1"/>
      <c r="M1759" s="73">
        <f t="shared" si="222"/>
        <v>0</v>
      </c>
      <c r="N1759" s="73">
        <f t="shared" si="226"/>
        <v>0</v>
      </c>
      <c r="O1759" s="73">
        <f t="shared" si="221"/>
        <v>0</v>
      </c>
      <c r="P1759" s="73">
        <f t="shared" si="223"/>
        <v>0</v>
      </c>
      <c r="Q1759" s="73"/>
      <c r="R1759" s="73">
        <v>0</v>
      </c>
      <c r="S1759" s="75">
        <f t="shared" si="225"/>
        <v>0</v>
      </c>
      <c r="T1759" s="77">
        <v>0</v>
      </c>
      <c r="U1759" s="66">
        <v>40504</v>
      </c>
      <c r="V1759" s="79"/>
      <c r="W1759" s="66" t="s">
        <v>1585</v>
      </c>
      <c r="X1759" s="24" t="s">
        <v>1586</v>
      </c>
      <c r="Y1759" s="62"/>
      <c r="Z1759" s="169" t="s">
        <v>894</v>
      </c>
      <c r="AA1759" s="166" t="s">
        <v>2831</v>
      </c>
      <c r="AB1759" s="152"/>
      <c r="AC1759" s="153"/>
      <c r="AD1759" s="154"/>
      <c r="AE1759" s="153"/>
      <c r="AF1759" s="153"/>
      <c r="AG1759" s="153"/>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c r="BF1759" s="153"/>
      <c r="BG1759" s="153"/>
      <c r="BH1759" s="153"/>
      <c r="BI1759" s="153"/>
      <c r="BJ1759" s="153"/>
      <c r="BK1759" s="153"/>
      <c r="BL1759" s="153"/>
      <c r="BM1759" s="153"/>
      <c r="BN1759" s="153"/>
      <c r="BO1759" s="153"/>
      <c r="BP1759" s="153"/>
      <c r="BQ1759" s="153"/>
      <c r="BR1759" s="153"/>
      <c r="BS1759" s="153"/>
      <c r="BT1759" s="153"/>
      <c r="BU1759" s="153"/>
      <c r="BV1759" s="153"/>
      <c r="BW1759" s="153"/>
      <c r="BX1759" s="153"/>
      <c r="BY1759" s="153"/>
      <c r="BZ1759" s="153"/>
      <c r="CA1759" s="153"/>
      <c r="CB1759" s="153"/>
      <c r="CC1759" s="153"/>
      <c r="CD1759" s="155"/>
      <c r="CE1759" s="156"/>
      <c r="CF1759" s="155"/>
      <c r="CG1759" s="156"/>
      <c r="CH1759" s="155"/>
      <c r="CI1759" s="156"/>
      <c r="CJ1759" s="157">
        <f t="shared" si="224"/>
        <v>0</v>
      </c>
      <c r="CK1759" s="158"/>
      <c r="CL1759" s="159"/>
      <c r="CM1759" s="160"/>
      <c r="CN1759" s="161"/>
      <c r="CO1759" s="162"/>
      <c r="CP1759" s="161"/>
      <c r="CQ1759" s="158"/>
      <c r="CR1759" s="159"/>
      <c r="CS1759" s="68"/>
      <c r="CT1759" s="163"/>
      <c r="EC1759" s="366" t="str">
        <f t="shared" si="227"/>
        <v>NARIÑO_SAN PEDRO DE CARTAGO</v>
      </c>
      <c r="ED1759" s="367"/>
      <c r="EE1759" s="367"/>
      <c r="EF1759" s="368"/>
      <c r="EG1759" s="367"/>
      <c r="EH1759" s="367"/>
      <c r="EI1759" s="367"/>
    </row>
    <row r="1760" spans="1:139" s="164" customFormat="1" ht="38.25">
      <c r="A1760" s="228">
        <v>40499</v>
      </c>
      <c r="B1760" s="205" t="s">
        <v>1609</v>
      </c>
      <c r="C1760" s="205" t="s">
        <v>2377</v>
      </c>
      <c r="D1760" s="207" t="s">
        <v>1878</v>
      </c>
      <c r="E1760" s="323"/>
      <c r="F1760" s="323"/>
      <c r="G1760" s="204"/>
      <c r="H1760" s="151"/>
      <c r="I1760" s="151"/>
      <c r="J1760" s="151">
        <v>75</v>
      </c>
      <c r="K1760" s="151">
        <v>15</v>
      </c>
      <c r="L1760" s="1"/>
      <c r="M1760" s="73">
        <f t="shared" si="222"/>
        <v>0</v>
      </c>
      <c r="N1760" s="73">
        <f t="shared" si="226"/>
        <v>0</v>
      </c>
      <c r="O1760" s="73">
        <f t="shared" si="221"/>
        <v>0</v>
      </c>
      <c r="P1760" s="73">
        <f t="shared" si="223"/>
        <v>0</v>
      </c>
      <c r="Q1760" s="73"/>
      <c r="R1760" s="73">
        <v>0</v>
      </c>
      <c r="S1760" s="75">
        <f t="shared" si="225"/>
        <v>0</v>
      </c>
      <c r="T1760" s="77">
        <v>0</v>
      </c>
      <c r="U1760" s="66">
        <v>40624</v>
      </c>
      <c r="V1760" s="79"/>
      <c r="W1760" s="66" t="s">
        <v>1585</v>
      </c>
      <c r="X1760" s="24" t="s">
        <v>1586</v>
      </c>
      <c r="Y1760" s="62"/>
      <c r="Z1760" s="66" t="s">
        <v>894</v>
      </c>
      <c r="AA1760" s="166" t="s">
        <v>155</v>
      </c>
      <c r="AB1760" s="152"/>
      <c r="AC1760" s="153"/>
      <c r="AD1760" s="154"/>
      <c r="AE1760" s="153"/>
      <c r="AF1760" s="153"/>
      <c r="AG1760" s="153"/>
      <c r="AH1760" s="153"/>
      <c r="AI1760" s="153"/>
      <c r="AJ1760" s="153"/>
      <c r="AK1760" s="153"/>
      <c r="AL1760" s="153"/>
      <c r="AM1760" s="153"/>
      <c r="AN1760" s="153"/>
      <c r="AO1760" s="153"/>
      <c r="AP1760" s="153"/>
      <c r="AQ1760" s="153"/>
      <c r="AR1760" s="153"/>
      <c r="AS1760" s="153"/>
      <c r="AT1760" s="153"/>
      <c r="AU1760" s="153"/>
      <c r="AV1760" s="153"/>
      <c r="AW1760" s="153"/>
      <c r="AX1760" s="153"/>
      <c r="AY1760" s="153"/>
      <c r="AZ1760" s="153"/>
      <c r="BA1760" s="153"/>
      <c r="BB1760" s="153"/>
      <c r="BC1760" s="153"/>
      <c r="BD1760" s="153"/>
      <c r="BE1760" s="153"/>
      <c r="BF1760" s="153"/>
      <c r="BG1760" s="153"/>
      <c r="BH1760" s="153"/>
      <c r="BI1760" s="153"/>
      <c r="BJ1760" s="153"/>
      <c r="BK1760" s="153"/>
      <c r="BL1760" s="153"/>
      <c r="BM1760" s="153"/>
      <c r="BN1760" s="153"/>
      <c r="BO1760" s="153"/>
      <c r="BP1760" s="153"/>
      <c r="BQ1760" s="153"/>
      <c r="BR1760" s="153"/>
      <c r="BS1760" s="153"/>
      <c r="BT1760" s="153"/>
      <c r="BU1760" s="153"/>
      <c r="BV1760" s="153"/>
      <c r="BW1760" s="153"/>
      <c r="BX1760" s="153"/>
      <c r="BY1760" s="153"/>
      <c r="BZ1760" s="153"/>
      <c r="CA1760" s="153"/>
      <c r="CB1760" s="153"/>
      <c r="CC1760" s="153"/>
      <c r="CD1760" s="155"/>
      <c r="CE1760" s="156"/>
      <c r="CF1760" s="155"/>
      <c r="CG1760" s="156"/>
      <c r="CH1760" s="155"/>
      <c r="CI1760" s="156"/>
      <c r="CJ1760" s="157">
        <f t="shared" si="224"/>
        <v>0</v>
      </c>
      <c r="CK1760" s="158"/>
      <c r="CL1760" s="159"/>
      <c r="CM1760" s="160"/>
      <c r="CN1760" s="161"/>
      <c r="CO1760" s="162"/>
      <c r="CP1760" s="161"/>
      <c r="CQ1760" s="158"/>
      <c r="CR1760" s="159"/>
      <c r="CS1760" s="68"/>
      <c r="CT1760" s="163"/>
      <c r="EC1760" s="366" t="str">
        <f t="shared" si="227"/>
        <v>RISARALDA_MARSELLA</v>
      </c>
      <c r="ED1760" s="367"/>
      <c r="EE1760" s="367"/>
      <c r="EF1760" s="368"/>
      <c r="EG1760" s="367"/>
      <c r="EH1760" s="367"/>
      <c r="EI1760" s="367"/>
    </row>
    <row r="1761" spans="1:139" s="164" customFormat="1" ht="38.25">
      <c r="A1761" s="228">
        <v>40499</v>
      </c>
      <c r="B1761" s="205" t="s">
        <v>1998</v>
      </c>
      <c r="C1761" s="205" t="s">
        <v>1011</v>
      </c>
      <c r="D1761" s="207" t="s">
        <v>1201</v>
      </c>
      <c r="E1761" s="323" t="s">
        <v>4064</v>
      </c>
      <c r="F1761" s="323"/>
      <c r="G1761" s="263"/>
      <c r="H1761" s="151"/>
      <c r="I1761" s="151"/>
      <c r="J1761" s="151">
        <v>5</v>
      </c>
      <c r="K1761" s="151">
        <v>1</v>
      </c>
      <c r="L1761" s="1"/>
      <c r="M1761" s="73">
        <f t="shared" si="222"/>
        <v>0</v>
      </c>
      <c r="N1761" s="73">
        <f t="shared" si="226"/>
        <v>0</v>
      </c>
      <c r="O1761" s="73">
        <f t="shared" si="221"/>
        <v>0</v>
      </c>
      <c r="P1761" s="73">
        <f t="shared" si="223"/>
        <v>0</v>
      </c>
      <c r="Q1761" s="73"/>
      <c r="R1761" s="73">
        <v>0</v>
      </c>
      <c r="S1761" s="75">
        <f t="shared" si="225"/>
        <v>0</v>
      </c>
      <c r="T1761" s="77">
        <v>0</v>
      </c>
      <c r="U1761" s="66">
        <v>40504</v>
      </c>
      <c r="V1761" s="79"/>
      <c r="W1761" s="66" t="s">
        <v>1585</v>
      </c>
      <c r="X1761" s="24" t="s">
        <v>1586</v>
      </c>
      <c r="Y1761" s="62"/>
      <c r="Z1761" s="169" t="s">
        <v>894</v>
      </c>
      <c r="AA1761" s="166" t="s">
        <v>2902</v>
      </c>
      <c r="AB1761" s="152"/>
      <c r="AC1761" s="153"/>
      <c r="AD1761" s="154"/>
      <c r="AE1761" s="153"/>
      <c r="AF1761" s="153"/>
      <c r="AG1761" s="153"/>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c r="BF1761" s="153"/>
      <c r="BG1761" s="153"/>
      <c r="BH1761" s="153"/>
      <c r="BI1761" s="153"/>
      <c r="BJ1761" s="153"/>
      <c r="BK1761" s="153"/>
      <c r="BL1761" s="153"/>
      <c r="BM1761" s="153"/>
      <c r="BN1761" s="153"/>
      <c r="BO1761" s="153"/>
      <c r="BP1761" s="153"/>
      <c r="BQ1761" s="153"/>
      <c r="BR1761" s="153"/>
      <c r="BS1761" s="153"/>
      <c r="BT1761" s="153"/>
      <c r="BU1761" s="153"/>
      <c r="BV1761" s="153"/>
      <c r="BW1761" s="153"/>
      <c r="BX1761" s="153"/>
      <c r="BY1761" s="153"/>
      <c r="BZ1761" s="153"/>
      <c r="CA1761" s="153"/>
      <c r="CB1761" s="153"/>
      <c r="CC1761" s="153"/>
      <c r="CD1761" s="155"/>
      <c r="CE1761" s="156"/>
      <c r="CF1761" s="155"/>
      <c r="CG1761" s="156"/>
      <c r="CH1761" s="155"/>
      <c r="CI1761" s="156"/>
      <c r="CJ1761" s="157">
        <f t="shared" si="224"/>
        <v>0</v>
      </c>
      <c r="CK1761" s="158"/>
      <c r="CL1761" s="159"/>
      <c r="CM1761" s="160"/>
      <c r="CN1761" s="161"/>
      <c r="CO1761" s="162"/>
      <c r="CP1761" s="161"/>
      <c r="CQ1761" s="158"/>
      <c r="CR1761" s="159"/>
      <c r="CS1761" s="68"/>
      <c r="CT1761" s="163"/>
      <c r="EC1761" s="366" t="str">
        <f t="shared" si="227"/>
        <v>SANTANDER_BUCARAMANGA</v>
      </c>
      <c r="ED1761" s="367"/>
      <c r="EE1761" s="367"/>
      <c r="EF1761" s="368"/>
      <c r="EG1761" s="367"/>
      <c r="EH1761" s="367"/>
      <c r="EI1761" s="367"/>
    </row>
    <row r="1762" spans="1:139" s="164" customFormat="1" ht="48">
      <c r="A1762" s="228">
        <v>40499</v>
      </c>
      <c r="B1762" s="205" t="s">
        <v>1998</v>
      </c>
      <c r="C1762" s="205" t="s">
        <v>2900</v>
      </c>
      <c r="D1762" s="207" t="s">
        <v>1201</v>
      </c>
      <c r="E1762" s="323" t="s">
        <v>4120</v>
      </c>
      <c r="F1762" s="323"/>
      <c r="G1762" s="263"/>
      <c r="H1762" s="151"/>
      <c r="I1762" s="151"/>
      <c r="J1762" s="151">
        <f>149*5</f>
        <v>745</v>
      </c>
      <c r="K1762" s="151">
        <v>149</v>
      </c>
      <c r="L1762" s="1"/>
      <c r="M1762" s="73">
        <f t="shared" si="222"/>
        <v>0</v>
      </c>
      <c r="N1762" s="73">
        <f t="shared" si="226"/>
        <v>0</v>
      </c>
      <c r="O1762" s="73">
        <f t="shared" si="221"/>
        <v>0</v>
      </c>
      <c r="P1762" s="73">
        <f t="shared" si="223"/>
        <v>0</v>
      </c>
      <c r="Q1762" s="73"/>
      <c r="R1762" s="73">
        <v>0</v>
      </c>
      <c r="S1762" s="75">
        <f t="shared" si="225"/>
        <v>0</v>
      </c>
      <c r="T1762" s="77">
        <v>0</v>
      </c>
      <c r="U1762" s="66">
        <v>40504</v>
      </c>
      <c r="V1762" s="79"/>
      <c r="W1762" s="66" t="s">
        <v>1585</v>
      </c>
      <c r="X1762" s="24" t="s">
        <v>1586</v>
      </c>
      <c r="Y1762" s="62"/>
      <c r="Z1762" s="169" t="s">
        <v>894</v>
      </c>
      <c r="AA1762" s="166" t="s">
        <v>2901</v>
      </c>
      <c r="AB1762" s="152"/>
      <c r="AC1762" s="153"/>
      <c r="AD1762" s="154"/>
      <c r="AE1762" s="153"/>
      <c r="AF1762" s="153"/>
      <c r="AG1762" s="153"/>
      <c r="AH1762" s="153"/>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c r="BF1762" s="153"/>
      <c r="BG1762" s="153"/>
      <c r="BH1762" s="153"/>
      <c r="BI1762" s="153"/>
      <c r="BJ1762" s="153"/>
      <c r="BK1762" s="153"/>
      <c r="BL1762" s="153"/>
      <c r="BM1762" s="153"/>
      <c r="BN1762" s="153"/>
      <c r="BO1762" s="153"/>
      <c r="BP1762" s="153"/>
      <c r="BQ1762" s="153"/>
      <c r="BR1762" s="153"/>
      <c r="BS1762" s="153"/>
      <c r="BT1762" s="153"/>
      <c r="BU1762" s="153"/>
      <c r="BV1762" s="153"/>
      <c r="BW1762" s="153"/>
      <c r="BX1762" s="153"/>
      <c r="BY1762" s="153"/>
      <c r="BZ1762" s="153"/>
      <c r="CA1762" s="153"/>
      <c r="CB1762" s="153"/>
      <c r="CC1762" s="153"/>
      <c r="CD1762" s="155"/>
      <c r="CE1762" s="156"/>
      <c r="CF1762" s="155"/>
      <c r="CG1762" s="156"/>
      <c r="CH1762" s="155"/>
      <c r="CI1762" s="156"/>
      <c r="CJ1762" s="157">
        <f t="shared" si="224"/>
        <v>0</v>
      </c>
      <c r="CK1762" s="158"/>
      <c r="CL1762" s="159"/>
      <c r="CM1762" s="160"/>
      <c r="CN1762" s="161"/>
      <c r="CO1762" s="162"/>
      <c r="CP1762" s="161"/>
      <c r="CQ1762" s="158"/>
      <c r="CR1762" s="159"/>
      <c r="CS1762" s="68"/>
      <c r="CT1762" s="163"/>
      <c r="EC1762" s="366" t="str">
        <f t="shared" si="227"/>
        <v>SANTANDER_ONZAGA</v>
      </c>
      <c r="ED1762" s="367"/>
      <c r="EE1762" s="367"/>
      <c r="EF1762" s="368"/>
      <c r="EG1762" s="367"/>
      <c r="EH1762" s="367"/>
      <c r="EI1762" s="367"/>
    </row>
    <row r="1763" spans="1:139" s="164" customFormat="1" ht="36">
      <c r="A1763" s="228">
        <v>40499</v>
      </c>
      <c r="B1763" s="205" t="s">
        <v>2400</v>
      </c>
      <c r="C1763" s="205" t="s">
        <v>1545</v>
      </c>
      <c r="D1763" s="206" t="s">
        <v>1878</v>
      </c>
      <c r="E1763" s="320" t="s">
        <v>4177</v>
      </c>
      <c r="F1763" s="320"/>
      <c r="G1763" s="204"/>
      <c r="H1763" s="151"/>
      <c r="I1763" s="151"/>
      <c r="J1763" s="151">
        <v>25</v>
      </c>
      <c r="K1763" s="151">
        <v>5</v>
      </c>
      <c r="L1763" s="1"/>
      <c r="M1763" s="73">
        <f t="shared" si="222"/>
        <v>0</v>
      </c>
      <c r="N1763" s="73">
        <f t="shared" si="226"/>
        <v>0</v>
      </c>
      <c r="O1763" s="73">
        <f t="shared" si="221"/>
        <v>0</v>
      </c>
      <c r="P1763" s="73">
        <f t="shared" si="223"/>
        <v>0</v>
      </c>
      <c r="Q1763" s="73"/>
      <c r="R1763" s="73">
        <v>0</v>
      </c>
      <c r="S1763" s="75">
        <f t="shared" si="225"/>
        <v>0</v>
      </c>
      <c r="T1763" s="77">
        <v>0</v>
      </c>
      <c r="U1763" s="66">
        <v>40504</v>
      </c>
      <c r="V1763" s="79"/>
      <c r="W1763" s="66" t="s">
        <v>1585</v>
      </c>
      <c r="X1763" s="24" t="s">
        <v>1586</v>
      </c>
      <c r="Y1763" s="62"/>
      <c r="Z1763" s="169" t="s">
        <v>894</v>
      </c>
      <c r="AA1763" s="166" t="s">
        <v>2807</v>
      </c>
      <c r="AB1763" s="152"/>
      <c r="AC1763" s="153"/>
      <c r="AD1763" s="154"/>
      <c r="AE1763" s="153"/>
      <c r="AF1763" s="153"/>
      <c r="AG1763" s="153"/>
      <c r="AH1763" s="153"/>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c r="BF1763" s="153"/>
      <c r="BG1763" s="153"/>
      <c r="BH1763" s="153"/>
      <c r="BI1763" s="153"/>
      <c r="BJ1763" s="153"/>
      <c r="BK1763" s="153"/>
      <c r="BL1763" s="153"/>
      <c r="BM1763" s="153"/>
      <c r="BN1763" s="153"/>
      <c r="BO1763" s="153"/>
      <c r="BP1763" s="153"/>
      <c r="BQ1763" s="153"/>
      <c r="BR1763" s="153"/>
      <c r="BS1763" s="153"/>
      <c r="BT1763" s="153"/>
      <c r="BU1763" s="153"/>
      <c r="BV1763" s="153"/>
      <c r="BW1763" s="153"/>
      <c r="BX1763" s="153"/>
      <c r="BY1763" s="153"/>
      <c r="BZ1763" s="153"/>
      <c r="CA1763" s="153"/>
      <c r="CB1763" s="153"/>
      <c r="CC1763" s="153"/>
      <c r="CD1763" s="155"/>
      <c r="CE1763" s="156"/>
      <c r="CF1763" s="155"/>
      <c r="CG1763" s="156"/>
      <c r="CH1763" s="155"/>
      <c r="CI1763" s="156"/>
      <c r="CJ1763" s="157">
        <f t="shared" si="224"/>
        <v>0</v>
      </c>
      <c r="CK1763" s="158"/>
      <c r="CL1763" s="159"/>
      <c r="CM1763" s="160"/>
      <c r="CN1763" s="161"/>
      <c r="CO1763" s="162"/>
      <c r="CP1763" s="161"/>
      <c r="CQ1763" s="158"/>
      <c r="CR1763" s="159"/>
      <c r="CS1763" s="68"/>
      <c r="CT1763" s="163"/>
      <c r="EC1763" s="366" t="str">
        <f t="shared" si="227"/>
        <v>TOLIMA_IBAGUE</v>
      </c>
      <c r="ED1763" s="367"/>
      <c r="EE1763" s="367"/>
      <c r="EF1763" s="368"/>
      <c r="EG1763" s="367"/>
      <c r="EH1763" s="367"/>
      <c r="EI1763" s="367"/>
    </row>
    <row r="1764" spans="1:139" s="164" customFormat="1" ht="25.5">
      <c r="A1764" s="228">
        <v>40499</v>
      </c>
      <c r="B1764" s="205" t="s">
        <v>2400</v>
      </c>
      <c r="C1764" s="205" t="s">
        <v>2362</v>
      </c>
      <c r="D1764" s="207" t="s">
        <v>1201</v>
      </c>
      <c r="E1764" s="323" t="s">
        <v>4203</v>
      </c>
      <c r="F1764" s="323"/>
      <c r="G1764" s="204"/>
      <c r="H1764" s="151"/>
      <c r="I1764" s="151"/>
      <c r="J1764" s="151">
        <v>25</v>
      </c>
      <c r="K1764" s="151">
        <v>5</v>
      </c>
      <c r="L1764" s="1"/>
      <c r="M1764" s="73">
        <f t="shared" si="222"/>
        <v>0</v>
      </c>
      <c r="N1764" s="73">
        <f t="shared" si="226"/>
        <v>0</v>
      </c>
      <c r="O1764" s="73">
        <f t="shared" si="221"/>
        <v>0</v>
      </c>
      <c r="P1764" s="73">
        <f t="shared" si="223"/>
        <v>0</v>
      </c>
      <c r="Q1764" s="73"/>
      <c r="R1764" s="73">
        <v>0</v>
      </c>
      <c r="S1764" s="75">
        <f t="shared" si="225"/>
        <v>0</v>
      </c>
      <c r="T1764" s="77">
        <v>0</v>
      </c>
      <c r="U1764" s="228">
        <v>40504</v>
      </c>
      <c r="V1764" s="79"/>
      <c r="W1764" s="66" t="s">
        <v>1585</v>
      </c>
      <c r="X1764" s="24" t="s">
        <v>1586</v>
      </c>
      <c r="Y1764" s="62"/>
      <c r="Z1764" s="169" t="s">
        <v>894</v>
      </c>
      <c r="AA1764" s="166" t="s">
        <v>2897</v>
      </c>
      <c r="AB1764" s="152"/>
      <c r="AC1764" s="153"/>
      <c r="AD1764" s="154"/>
      <c r="AE1764" s="153"/>
      <c r="AF1764" s="153"/>
      <c r="AG1764" s="153"/>
      <c r="AH1764" s="153"/>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c r="BF1764" s="153"/>
      <c r="BG1764" s="153"/>
      <c r="BH1764" s="153"/>
      <c r="BI1764" s="153"/>
      <c r="BJ1764" s="153"/>
      <c r="BK1764" s="153"/>
      <c r="BL1764" s="153"/>
      <c r="BM1764" s="153"/>
      <c r="BN1764" s="153"/>
      <c r="BO1764" s="153"/>
      <c r="BP1764" s="153"/>
      <c r="BQ1764" s="153"/>
      <c r="BR1764" s="153"/>
      <c r="BS1764" s="153"/>
      <c r="BT1764" s="153"/>
      <c r="BU1764" s="153"/>
      <c r="BV1764" s="153"/>
      <c r="BW1764" s="153"/>
      <c r="BX1764" s="153"/>
      <c r="BY1764" s="153"/>
      <c r="BZ1764" s="153"/>
      <c r="CA1764" s="153"/>
      <c r="CB1764" s="153"/>
      <c r="CC1764" s="153"/>
      <c r="CD1764" s="155"/>
      <c r="CE1764" s="156"/>
      <c r="CF1764" s="155"/>
      <c r="CG1764" s="156"/>
      <c r="CH1764" s="155"/>
      <c r="CI1764" s="156"/>
      <c r="CJ1764" s="157">
        <f t="shared" si="224"/>
        <v>0</v>
      </c>
      <c r="CK1764" s="158"/>
      <c r="CL1764" s="159"/>
      <c r="CM1764" s="160"/>
      <c r="CN1764" s="161"/>
      <c r="CO1764" s="162"/>
      <c r="CP1764" s="161"/>
      <c r="CQ1764" s="158"/>
      <c r="CR1764" s="159"/>
      <c r="CS1764" s="68"/>
      <c r="CT1764" s="163"/>
      <c r="EC1764" s="366" t="str">
        <f t="shared" si="227"/>
        <v>TOLIMA_MELGAR</v>
      </c>
      <c r="ED1764" s="367"/>
      <c r="EE1764" s="367"/>
      <c r="EF1764" s="368"/>
      <c r="EG1764" s="367"/>
      <c r="EH1764" s="367"/>
      <c r="EI1764" s="367"/>
    </row>
    <row r="1765" spans="1:139" s="164" customFormat="1" ht="25.5">
      <c r="A1765" s="228">
        <v>40499</v>
      </c>
      <c r="B1765" s="205" t="s">
        <v>2400</v>
      </c>
      <c r="C1765" s="205" t="s">
        <v>2286</v>
      </c>
      <c r="D1765" s="207" t="s">
        <v>1316</v>
      </c>
      <c r="E1765" s="323" t="s">
        <v>4217</v>
      </c>
      <c r="F1765" s="323"/>
      <c r="G1765" s="204"/>
      <c r="H1765" s="151"/>
      <c r="I1765" s="151"/>
      <c r="J1765" s="151">
        <v>15</v>
      </c>
      <c r="K1765" s="151">
        <v>3</v>
      </c>
      <c r="L1765" s="1"/>
      <c r="M1765" s="73">
        <f t="shared" si="222"/>
        <v>0</v>
      </c>
      <c r="N1765" s="73">
        <f t="shared" si="226"/>
        <v>0</v>
      </c>
      <c r="O1765" s="73">
        <f t="shared" si="221"/>
        <v>0</v>
      </c>
      <c r="P1765" s="73">
        <f t="shared" si="223"/>
        <v>0</v>
      </c>
      <c r="Q1765" s="73"/>
      <c r="R1765" s="73">
        <v>0</v>
      </c>
      <c r="S1765" s="75">
        <f t="shared" si="225"/>
        <v>0</v>
      </c>
      <c r="T1765" s="77">
        <v>0</v>
      </c>
      <c r="U1765" s="66">
        <v>40504</v>
      </c>
      <c r="V1765" s="79"/>
      <c r="W1765" s="66" t="s">
        <v>1585</v>
      </c>
      <c r="X1765" s="24" t="s">
        <v>1586</v>
      </c>
      <c r="Y1765" s="62"/>
      <c r="Z1765" s="169" t="s">
        <v>894</v>
      </c>
      <c r="AA1765" s="166" t="s">
        <v>2867</v>
      </c>
      <c r="AB1765" s="152"/>
      <c r="AC1765" s="153"/>
      <c r="AD1765" s="154"/>
      <c r="AE1765" s="153"/>
      <c r="AF1765" s="153"/>
      <c r="AG1765" s="153"/>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c r="BF1765" s="153"/>
      <c r="BG1765" s="153"/>
      <c r="BH1765" s="153"/>
      <c r="BI1765" s="153"/>
      <c r="BJ1765" s="153"/>
      <c r="BK1765" s="153"/>
      <c r="BL1765" s="153"/>
      <c r="BM1765" s="153"/>
      <c r="BN1765" s="153"/>
      <c r="BO1765" s="153"/>
      <c r="BP1765" s="153"/>
      <c r="BQ1765" s="153"/>
      <c r="BR1765" s="153"/>
      <c r="BS1765" s="153"/>
      <c r="BT1765" s="153"/>
      <c r="BU1765" s="153"/>
      <c r="BV1765" s="153"/>
      <c r="BW1765" s="153"/>
      <c r="BX1765" s="153"/>
      <c r="BY1765" s="153"/>
      <c r="BZ1765" s="153"/>
      <c r="CA1765" s="153"/>
      <c r="CB1765" s="153"/>
      <c r="CC1765" s="153"/>
      <c r="CD1765" s="155"/>
      <c r="CE1765" s="156"/>
      <c r="CF1765" s="155"/>
      <c r="CG1765" s="156"/>
      <c r="CH1765" s="155"/>
      <c r="CI1765" s="156"/>
      <c r="CJ1765" s="157">
        <f t="shared" si="224"/>
        <v>0</v>
      </c>
      <c r="CK1765" s="158"/>
      <c r="CL1765" s="159"/>
      <c r="CM1765" s="160"/>
      <c r="CN1765" s="161"/>
      <c r="CO1765" s="162"/>
      <c r="CP1765" s="161"/>
      <c r="CQ1765" s="158"/>
      <c r="CR1765" s="159"/>
      <c r="CS1765" s="68"/>
      <c r="CT1765" s="163"/>
      <c r="EC1765" s="366" t="str">
        <f t="shared" si="227"/>
        <v>TOLIMA_SAN LUIS</v>
      </c>
      <c r="ED1765" s="367"/>
      <c r="EE1765" s="367"/>
      <c r="EF1765" s="368"/>
      <c r="EG1765" s="367"/>
      <c r="EH1765" s="367"/>
      <c r="EI1765" s="367"/>
    </row>
    <row r="1766" spans="1:139" s="164" customFormat="1" ht="25.5">
      <c r="A1766" s="228">
        <v>40499</v>
      </c>
      <c r="B1766" s="205" t="s">
        <v>2400</v>
      </c>
      <c r="C1766" s="205" t="s">
        <v>3201</v>
      </c>
      <c r="D1766" s="206" t="s">
        <v>1878</v>
      </c>
      <c r="E1766" s="320" t="s">
        <v>4223</v>
      </c>
      <c r="F1766" s="320"/>
      <c r="G1766" s="204"/>
      <c r="H1766" s="151"/>
      <c r="I1766" s="151"/>
      <c r="J1766" s="151">
        <f>716-42</f>
        <v>674</v>
      </c>
      <c r="K1766" s="151">
        <f>159-15</f>
        <v>144</v>
      </c>
      <c r="L1766" s="1"/>
      <c r="M1766" s="73">
        <f t="shared" si="222"/>
        <v>0</v>
      </c>
      <c r="N1766" s="73">
        <f t="shared" si="226"/>
        <v>0</v>
      </c>
      <c r="O1766" s="73">
        <f t="shared" si="221"/>
        <v>0</v>
      </c>
      <c r="P1766" s="73">
        <f t="shared" si="223"/>
        <v>0</v>
      </c>
      <c r="Q1766" s="73"/>
      <c r="R1766" s="73">
        <v>0</v>
      </c>
      <c r="S1766" s="75">
        <f t="shared" si="225"/>
        <v>0</v>
      </c>
      <c r="T1766" s="77">
        <v>0</v>
      </c>
      <c r="U1766" s="66">
        <v>40504</v>
      </c>
      <c r="V1766" s="79"/>
      <c r="W1766" s="66" t="s">
        <v>1585</v>
      </c>
      <c r="X1766" s="24" t="s">
        <v>1586</v>
      </c>
      <c r="Y1766" s="62"/>
      <c r="Z1766" s="169" t="s">
        <v>894</v>
      </c>
      <c r="AA1766" s="166" t="s">
        <v>2909</v>
      </c>
      <c r="AB1766" s="152"/>
      <c r="AC1766" s="153"/>
      <c r="AD1766" s="154"/>
      <c r="AE1766" s="153"/>
      <c r="AF1766" s="153"/>
      <c r="AG1766" s="153"/>
      <c r="AH1766" s="153"/>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c r="BF1766" s="153"/>
      <c r="BG1766" s="153"/>
      <c r="BH1766" s="153"/>
      <c r="BI1766" s="153"/>
      <c r="BJ1766" s="153"/>
      <c r="BK1766" s="153"/>
      <c r="BL1766" s="153"/>
      <c r="BM1766" s="153"/>
      <c r="BN1766" s="153"/>
      <c r="BO1766" s="153"/>
      <c r="BP1766" s="153"/>
      <c r="BQ1766" s="153"/>
      <c r="BR1766" s="153"/>
      <c r="BS1766" s="153"/>
      <c r="BT1766" s="153"/>
      <c r="BU1766" s="153"/>
      <c r="BV1766" s="153"/>
      <c r="BW1766" s="153"/>
      <c r="BX1766" s="153"/>
      <c r="BY1766" s="153"/>
      <c r="BZ1766" s="153"/>
      <c r="CA1766" s="153"/>
      <c r="CB1766" s="153"/>
      <c r="CC1766" s="153"/>
      <c r="CD1766" s="155"/>
      <c r="CE1766" s="156"/>
      <c r="CF1766" s="155"/>
      <c r="CG1766" s="156"/>
      <c r="CH1766" s="155"/>
      <c r="CI1766" s="156"/>
      <c r="CJ1766" s="157">
        <f t="shared" si="224"/>
        <v>0</v>
      </c>
      <c r="CK1766" s="158"/>
      <c r="CL1766" s="159"/>
      <c r="CM1766" s="160"/>
      <c r="CN1766" s="161"/>
      <c r="CO1766" s="162"/>
      <c r="CP1766" s="161"/>
      <c r="CQ1766" s="158"/>
      <c r="CR1766" s="159"/>
      <c r="CS1766" s="68"/>
      <c r="CT1766" s="163"/>
      <c r="EC1766" s="366" t="str">
        <f t="shared" si="227"/>
        <v>TOLIMA_VILLARRICA</v>
      </c>
      <c r="ED1766" s="367"/>
      <c r="EE1766" s="367"/>
      <c r="EF1766" s="368"/>
      <c r="EG1766" s="367"/>
      <c r="EH1766" s="367"/>
      <c r="EI1766" s="367"/>
    </row>
    <row r="1767" spans="1:139" s="164" customFormat="1" ht="38.25">
      <c r="A1767" s="228">
        <v>40499</v>
      </c>
      <c r="B1767" s="205" t="s">
        <v>1088</v>
      </c>
      <c r="C1767" s="205" t="s">
        <v>1777</v>
      </c>
      <c r="D1767" s="206" t="s">
        <v>1878</v>
      </c>
      <c r="E1767" s="320" t="s">
        <v>4233</v>
      </c>
      <c r="F1767" s="320"/>
      <c r="G1767" s="204"/>
      <c r="H1767" s="151"/>
      <c r="I1767" s="151"/>
      <c r="J1767" s="151">
        <f>14*5</f>
        <v>70</v>
      </c>
      <c r="K1767" s="151">
        <v>14</v>
      </c>
      <c r="L1767" s="1"/>
      <c r="M1767" s="73">
        <f t="shared" si="222"/>
        <v>0</v>
      </c>
      <c r="N1767" s="73">
        <f t="shared" si="226"/>
        <v>0</v>
      </c>
      <c r="O1767" s="73">
        <f t="shared" si="221"/>
        <v>0</v>
      </c>
      <c r="P1767" s="73">
        <f t="shared" si="223"/>
        <v>0</v>
      </c>
      <c r="Q1767" s="73"/>
      <c r="R1767" s="73">
        <v>0</v>
      </c>
      <c r="S1767" s="75">
        <f t="shared" si="225"/>
        <v>0</v>
      </c>
      <c r="T1767" s="77">
        <v>0</v>
      </c>
      <c r="U1767" s="66">
        <v>40504</v>
      </c>
      <c r="V1767" s="79"/>
      <c r="W1767" s="66" t="s">
        <v>1585</v>
      </c>
      <c r="X1767" s="24" t="s">
        <v>1586</v>
      </c>
      <c r="Y1767" s="62"/>
      <c r="Z1767" s="169" t="s">
        <v>894</v>
      </c>
      <c r="AA1767" s="166" t="s">
        <v>2816</v>
      </c>
      <c r="AB1767" s="152"/>
      <c r="AC1767" s="153"/>
      <c r="AD1767" s="154"/>
      <c r="AE1767" s="153"/>
      <c r="AF1767" s="153"/>
      <c r="AG1767" s="153"/>
      <c r="AH1767" s="153"/>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c r="BF1767" s="153"/>
      <c r="BG1767" s="153"/>
      <c r="BH1767" s="153"/>
      <c r="BI1767" s="153"/>
      <c r="BJ1767" s="153"/>
      <c r="BK1767" s="153"/>
      <c r="BL1767" s="153"/>
      <c r="BM1767" s="153"/>
      <c r="BN1767" s="153"/>
      <c r="BO1767" s="153"/>
      <c r="BP1767" s="153"/>
      <c r="BQ1767" s="153"/>
      <c r="BR1767" s="153"/>
      <c r="BS1767" s="153"/>
      <c r="BT1767" s="153"/>
      <c r="BU1767" s="153"/>
      <c r="BV1767" s="153"/>
      <c r="BW1767" s="153"/>
      <c r="BX1767" s="153"/>
      <c r="BY1767" s="153"/>
      <c r="BZ1767" s="153"/>
      <c r="CA1767" s="153"/>
      <c r="CB1767" s="153"/>
      <c r="CC1767" s="153"/>
      <c r="CD1767" s="155"/>
      <c r="CE1767" s="156"/>
      <c r="CF1767" s="155"/>
      <c r="CG1767" s="156"/>
      <c r="CH1767" s="155"/>
      <c r="CI1767" s="156"/>
      <c r="CJ1767" s="157">
        <f t="shared" si="224"/>
        <v>0</v>
      </c>
      <c r="CK1767" s="158"/>
      <c r="CL1767" s="159"/>
      <c r="CM1767" s="160"/>
      <c r="CN1767" s="161"/>
      <c r="CO1767" s="162"/>
      <c r="CP1767" s="161"/>
      <c r="CQ1767" s="158"/>
      <c r="CR1767" s="159"/>
      <c r="CS1767" s="68"/>
      <c r="CT1767" s="163"/>
      <c r="EC1767" s="366" t="str">
        <f t="shared" si="227"/>
        <v>VALLE DEL CAUCA_CAICEDONIA</v>
      </c>
      <c r="ED1767" s="367"/>
      <c r="EE1767" s="367"/>
      <c r="EF1767" s="368"/>
      <c r="EG1767" s="367"/>
      <c r="EH1767" s="367"/>
      <c r="EI1767" s="367"/>
    </row>
    <row r="1768" spans="1:139" s="164" customFormat="1" ht="48">
      <c r="A1768" s="228">
        <v>40499</v>
      </c>
      <c r="B1768" s="205" t="s">
        <v>1088</v>
      </c>
      <c r="C1768" s="205" t="s">
        <v>2887</v>
      </c>
      <c r="D1768" s="207" t="s">
        <v>1201</v>
      </c>
      <c r="E1768" s="323" t="s">
        <v>4236</v>
      </c>
      <c r="F1768" s="323"/>
      <c r="G1768" s="204"/>
      <c r="H1768" s="151"/>
      <c r="I1768" s="151"/>
      <c r="J1768" s="151">
        <f>195*5</f>
        <v>975</v>
      </c>
      <c r="K1768" s="151">
        <v>195</v>
      </c>
      <c r="L1768" s="1"/>
      <c r="M1768" s="73">
        <f t="shared" si="222"/>
        <v>0</v>
      </c>
      <c r="N1768" s="73">
        <f t="shared" si="226"/>
        <v>0</v>
      </c>
      <c r="O1768" s="73">
        <f t="shared" si="221"/>
        <v>0</v>
      </c>
      <c r="P1768" s="73">
        <f t="shared" si="223"/>
        <v>0</v>
      </c>
      <c r="Q1768" s="73"/>
      <c r="R1768" s="73">
        <v>0</v>
      </c>
      <c r="S1768" s="75">
        <f t="shared" si="225"/>
        <v>0</v>
      </c>
      <c r="T1768" s="77">
        <v>0</v>
      </c>
      <c r="U1768" s="66">
        <v>40500</v>
      </c>
      <c r="V1768" s="79"/>
      <c r="W1768" s="66" t="s">
        <v>1585</v>
      </c>
      <c r="X1768" s="24" t="s">
        <v>1586</v>
      </c>
      <c r="Y1768" s="62"/>
      <c r="Z1768" s="169" t="s">
        <v>894</v>
      </c>
      <c r="AA1768" s="166" t="s">
        <v>2892</v>
      </c>
      <c r="AB1768" s="152"/>
      <c r="AC1768" s="153"/>
      <c r="AD1768" s="154"/>
      <c r="AE1768" s="153"/>
      <c r="AF1768" s="153"/>
      <c r="AG1768" s="153"/>
      <c r="AH1768" s="153"/>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c r="BF1768" s="153"/>
      <c r="BG1768" s="153"/>
      <c r="BH1768" s="153"/>
      <c r="BI1768" s="153"/>
      <c r="BJ1768" s="153"/>
      <c r="BK1768" s="153"/>
      <c r="BL1768" s="153"/>
      <c r="BM1768" s="153"/>
      <c r="BN1768" s="153"/>
      <c r="BO1768" s="153"/>
      <c r="BP1768" s="153"/>
      <c r="BQ1768" s="153"/>
      <c r="BR1768" s="153"/>
      <c r="BS1768" s="153"/>
      <c r="BT1768" s="153"/>
      <c r="BU1768" s="153"/>
      <c r="BV1768" s="153"/>
      <c r="BW1768" s="153"/>
      <c r="BX1768" s="153"/>
      <c r="BY1768" s="153"/>
      <c r="BZ1768" s="153"/>
      <c r="CA1768" s="153"/>
      <c r="CB1768" s="153"/>
      <c r="CC1768" s="153"/>
      <c r="CD1768" s="155"/>
      <c r="CE1768" s="156"/>
      <c r="CF1768" s="155"/>
      <c r="CG1768" s="156"/>
      <c r="CH1768" s="155"/>
      <c r="CI1768" s="156"/>
      <c r="CJ1768" s="157">
        <f t="shared" si="224"/>
        <v>0</v>
      </c>
      <c r="CK1768" s="158"/>
      <c r="CL1768" s="159"/>
      <c r="CM1768" s="160"/>
      <c r="CN1768" s="161"/>
      <c r="CO1768" s="162"/>
      <c r="CP1768" s="161"/>
      <c r="CQ1768" s="158"/>
      <c r="CR1768" s="159"/>
      <c r="CS1768" s="68"/>
      <c r="CT1768" s="163"/>
      <c r="EC1768" s="366" t="str">
        <f t="shared" si="227"/>
        <v>VALLE DEL CAUCA_CARTAGO</v>
      </c>
      <c r="ED1768" s="367"/>
      <c r="EE1768" s="367"/>
      <c r="EF1768" s="368"/>
      <c r="EG1768" s="367"/>
      <c r="EH1768" s="367"/>
      <c r="EI1768" s="367"/>
    </row>
    <row r="1769" spans="1:139" s="164" customFormat="1" ht="51">
      <c r="A1769" s="228">
        <v>40499</v>
      </c>
      <c r="B1769" s="205" t="s">
        <v>1088</v>
      </c>
      <c r="C1769" s="205" t="s">
        <v>1605</v>
      </c>
      <c r="D1769" s="207" t="s">
        <v>1201</v>
      </c>
      <c r="E1769" s="323" t="s">
        <v>3202</v>
      </c>
      <c r="F1769" s="323"/>
      <c r="G1769" s="204"/>
      <c r="H1769" s="151"/>
      <c r="I1769" s="151"/>
      <c r="J1769" s="151"/>
      <c r="K1769" s="151"/>
      <c r="L1769" s="1"/>
      <c r="M1769" s="73">
        <f t="shared" si="222"/>
        <v>0</v>
      </c>
      <c r="N1769" s="73">
        <f t="shared" si="226"/>
        <v>0</v>
      </c>
      <c r="O1769" s="73">
        <f t="shared" si="221"/>
        <v>0</v>
      </c>
      <c r="P1769" s="73">
        <f t="shared" si="223"/>
        <v>18003200</v>
      </c>
      <c r="Q1769" s="73"/>
      <c r="R1769" s="73">
        <v>0</v>
      </c>
      <c r="S1769" s="75">
        <f t="shared" si="225"/>
        <v>18003200</v>
      </c>
      <c r="T1769" s="77">
        <v>0</v>
      </c>
      <c r="U1769" s="66">
        <v>40500</v>
      </c>
      <c r="V1769" s="79"/>
      <c r="W1769" s="66" t="s">
        <v>1606</v>
      </c>
      <c r="X1769" s="24" t="s">
        <v>1607</v>
      </c>
      <c r="Y1769" s="62"/>
      <c r="Z1769" s="169" t="s">
        <v>1435</v>
      </c>
      <c r="AA1769" s="166" t="s">
        <v>2118</v>
      </c>
      <c r="AB1769" s="152"/>
      <c r="AC1769" s="153"/>
      <c r="AD1769" s="154"/>
      <c r="AE1769" s="153"/>
      <c r="AF1769" s="153"/>
      <c r="AG1769" s="153"/>
      <c r="AH1769" s="153"/>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c r="BF1769" s="153"/>
      <c r="BG1769" s="153"/>
      <c r="BH1769" s="153"/>
      <c r="BI1769" s="153"/>
      <c r="BJ1769" s="153"/>
      <c r="BK1769" s="153"/>
      <c r="BL1769" s="153"/>
      <c r="BM1769" s="153"/>
      <c r="BN1769" s="153"/>
      <c r="BO1769" s="153"/>
      <c r="BP1769" s="153"/>
      <c r="BQ1769" s="153"/>
      <c r="BR1769" s="153"/>
      <c r="BS1769" s="153"/>
      <c r="BT1769" s="153"/>
      <c r="BU1769" s="153"/>
      <c r="BV1769" s="153"/>
      <c r="BW1769" s="153"/>
      <c r="BX1769" s="153"/>
      <c r="BY1769" s="153"/>
      <c r="BZ1769" s="153"/>
      <c r="CA1769" s="153"/>
      <c r="CB1769" s="153"/>
      <c r="CC1769" s="153"/>
      <c r="CD1769" s="155"/>
      <c r="CE1769" s="156"/>
      <c r="CF1769" s="155"/>
      <c r="CG1769" s="156"/>
      <c r="CH1769" s="155"/>
      <c r="CI1769" s="156"/>
      <c r="CJ1769" s="157">
        <f t="shared" si="224"/>
        <v>0</v>
      </c>
      <c r="CK1769" s="158">
        <v>20000</v>
      </c>
      <c r="CL1769" s="159">
        <f>20000*900.16</f>
        <v>18003200</v>
      </c>
      <c r="CM1769" s="160"/>
      <c r="CN1769" s="161"/>
      <c r="CO1769" s="162"/>
      <c r="CP1769" s="161"/>
      <c r="CQ1769" s="158"/>
      <c r="CR1769" s="159"/>
      <c r="CS1769" s="68"/>
      <c r="CT1769" s="163"/>
      <c r="EC1769" s="366" t="str">
        <f t="shared" si="227"/>
        <v>VALLE DEL CAUCA_DEPARTAMENTO</v>
      </c>
      <c r="ED1769" s="367"/>
      <c r="EE1769" s="367"/>
      <c r="EF1769" s="368"/>
      <c r="EG1769" s="367"/>
      <c r="EH1769" s="367"/>
      <c r="EI1769" s="367"/>
    </row>
    <row r="1770" spans="1:139" s="164" customFormat="1" ht="96">
      <c r="A1770" s="228">
        <v>40499</v>
      </c>
      <c r="B1770" s="205" t="s">
        <v>1088</v>
      </c>
      <c r="C1770" s="205" t="s">
        <v>993</v>
      </c>
      <c r="D1770" s="207" t="s">
        <v>1201</v>
      </c>
      <c r="E1770" s="323" t="s">
        <v>4245</v>
      </c>
      <c r="F1770" s="323"/>
      <c r="G1770" s="204"/>
      <c r="H1770" s="151"/>
      <c r="I1770" s="151"/>
      <c r="J1770" s="151">
        <v>4230</v>
      </c>
      <c r="K1770" s="151">
        <v>851</v>
      </c>
      <c r="L1770" s="1"/>
      <c r="M1770" s="73">
        <f t="shared" si="222"/>
        <v>0</v>
      </c>
      <c r="N1770" s="73">
        <f t="shared" si="226"/>
        <v>0</v>
      </c>
      <c r="O1770" s="73">
        <f t="shared" si="221"/>
        <v>0</v>
      </c>
      <c r="P1770" s="73">
        <f t="shared" si="223"/>
        <v>0</v>
      </c>
      <c r="Q1770" s="73"/>
      <c r="R1770" s="73">
        <v>0</v>
      </c>
      <c r="S1770" s="75">
        <f t="shared" si="225"/>
        <v>0</v>
      </c>
      <c r="T1770" s="77">
        <v>0</v>
      </c>
      <c r="U1770" s="66">
        <v>40500</v>
      </c>
      <c r="V1770" s="79"/>
      <c r="W1770" s="66" t="s">
        <v>1585</v>
      </c>
      <c r="X1770" s="24" t="s">
        <v>1586</v>
      </c>
      <c r="Y1770" s="62"/>
      <c r="Z1770" s="169" t="s">
        <v>894</v>
      </c>
      <c r="AA1770" s="166" t="s">
        <v>290</v>
      </c>
      <c r="AB1770" s="152"/>
      <c r="AC1770" s="153"/>
      <c r="AD1770" s="154"/>
      <c r="AE1770" s="153"/>
      <c r="AF1770" s="153"/>
      <c r="AG1770" s="153"/>
      <c r="AH1770" s="153"/>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c r="BF1770" s="153"/>
      <c r="BG1770" s="153"/>
      <c r="BH1770" s="153"/>
      <c r="BI1770" s="153"/>
      <c r="BJ1770" s="153"/>
      <c r="BK1770" s="153"/>
      <c r="BL1770" s="153"/>
      <c r="BM1770" s="153"/>
      <c r="BN1770" s="153"/>
      <c r="BO1770" s="153"/>
      <c r="BP1770" s="153"/>
      <c r="BQ1770" s="153"/>
      <c r="BR1770" s="153"/>
      <c r="BS1770" s="153"/>
      <c r="BT1770" s="153"/>
      <c r="BU1770" s="153"/>
      <c r="BV1770" s="153"/>
      <c r="BW1770" s="153"/>
      <c r="BX1770" s="153"/>
      <c r="BY1770" s="153"/>
      <c r="BZ1770" s="153"/>
      <c r="CA1770" s="153"/>
      <c r="CB1770" s="153"/>
      <c r="CC1770" s="153"/>
      <c r="CD1770" s="155"/>
      <c r="CE1770" s="156"/>
      <c r="CF1770" s="155"/>
      <c r="CG1770" s="156"/>
      <c r="CH1770" s="155"/>
      <c r="CI1770" s="156"/>
      <c r="CJ1770" s="157">
        <f t="shared" si="224"/>
        <v>0</v>
      </c>
      <c r="CK1770" s="158"/>
      <c r="CL1770" s="159"/>
      <c r="CM1770" s="160"/>
      <c r="CN1770" s="161"/>
      <c r="CO1770" s="162"/>
      <c r="CP1770" s="161"/>
      <c r="CQ1770" s="158"/>
      <c r="CR1770" s="159"/>
      <c r="CS1770" s="68"/>
      <c r="CT1770" s="163"/>
      <c r="EC1770" s="366" t="str">
        <f t="shared" si="227"/>
        <v>VALLE DEL CAUCA_JAMUNDI</v>
      </c>
      <c r="ED1770" s="367"/>
      <c r="EE1770" s="367"/>
      <c r="EF1770" s="368"/>
      <c r="EG1770" s="367"/>
      <c r="EH1770" s="367"/>
      <c r="EI1770" s="367"/>
    </row>
    <row r="1771" spans="1:139" s="164" customFormat="1" ht="108">
      <c r="A1771" s="228">
        <v>40499</v>
      </c>
      <c r="B1771" s="205" t="s">
        <v>1088</v>
      </c>
      <c r="C1771" s="205" t="s">
        <v>1107</v>
      </c>
      <c r="D1771" s="207" t="s">
        <v>1201</v>
      </c>
      <c r="E1771" s="323" t="s">
        <v>4256</v>
      </c>
      <c r="F1771" s="323"/>
      <c r="G1771" s="204"/>
      <c r="H1771" s="151"/>
      <c r="I1771" s="151"/>
      <c r="J1771" s="151">
        <f>3311-270</f>
        <v>3041</v>
      </c>
      <c r="K1771" s="151">
        <f>1264-60</f>
        <v>1204</v>
      </c>
      <c r="L1771" s="1">
        <v>40500</v>
      </c>
      <c r="M1771" s="73">
        <f t="shared" si="222"/>
        <v>0</v>
      </c>
      <c r="N1771" s="73">
        <f t="shared" si="226"/>
        <v>0</v>
      </c>
      <c r="O1771" s="73">
        <f t="shared" si="221"/>
        <v>0</v>
      </c>
      <c r="P1771" s="73">
        <f t="shared" si="223"/>
        <v>0</v>
      </c>
      <c r="Q1771" s="73"/>
      <c r="R1771" s="73">
        <v>35000000</v>
      </c>
      <c r="S1771" s="75">
        <f t="shared" si="225"/>
        <v>35000000</v>
      </c>
      <c r="T1771" s="77">
        <v>0</v>
      </c>
      <c r="U1771" s="66">
        <v>40494</v>
      </c>
      <c r="V1771" s="79">
        <v>64317</v>
      </c>
      <c r="W1771" s="66" t="s">
        <v>1606</v>
      </c>
      <c r="X1771" s="24" t="s">
        <v>1607</v>
      </c>
      <c r="Y1771" s="62">
        <v>43264</v>
      </c>
      <c r="Z1771" s="169" t="s">
        <v>1435</v>
      </c>
      <c r="AA1771" s="166" t="s">
        <v>2888</v>
      </c>
      <c r="AB1771" s="152"/>
      <c r="AC1771" s="153"/>
      <c r="AD1771" s="154"/>
      <c r="AE1771" s="153"/>
      <c r="AF1771" s="153"/>
      <c r="AG1771" s="153"/>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c r="BF1771" s="153"/>
      <c r="BG1771" s="153"/>
      <c r="BH1771" s="153"/>
      <c r="BI1771" s="153"/>
      <c r="BJ1771" s="153"/>
      <c r="BK1771" s="153"/>
      <c r="BL1771" s="153"/>
      <c r="BM1771" s="153"/>
      <c r="BN1771" s="153"/>
      <c r="BO1771" s="153"/>
      <c r="BP1771" s="153"/>
      <c r="BQ1771" s="153"/>
      <c r="BR1771" s="153"/>
      <c r="BS1771" s="153"/>
      <c r="BT1771" s="153"/>
      <c r="BU1771" s="153"/>
      <c r="BV1771" s="153"/>
      <c r="BW1771" s="153"/>
      <c r="BX1771" s="153"/>
      <c r="BY1771" s="153"/>
      <c r="BZ1771" s="153"/>
      <c r="CA1771" s="153"/>
      <c r="CB1771" s="153"/>
      <c r="CC1771" s="153"/>
      <c r="CD1771" s="155"/>
      <c r="CE1771" s="156"/>
      <c r="CF1771" s="155"/>
      <c r="CG1771" s="156"/>
      <c r="CH1771" s="155"/>
      <c r="CI1771" s="156"/>
      <c r="CJ1771" s="157">
        <f t="shared" si="224"/>
        <v>0</v>
      </c>
      <c r="CK1771" s="158"/>
      <c r="CL1771" s="159"/>
      <c r="CM1771" s="160"/>
      <c r="CN1771" s="161"/>
      <c r="CO1771" s="162"/>
      <c r="CP1771" s="161"/>
      <c r="CQ1771" s="158"/>
      <c r="CR1771" s="159"/>
      <c r="CS1771" s="68">
        <v>2</v>
      </c>
      <c r="CT1771" s="163"/>
      <c r="EC1771" s="366" t="str">
        <f t="shared" si="227"/>
        <v>VALLE DEL CAUCA_SEVILLA</v>
      </c>
      <c r="ED1771" s="367"/>
      <c r="EE1771" s="367"/>
      <c r="EF1771" s="368"/>
      <c r="EG1771" s="367"/>
      <c r="EH1771" s="367"/>
      <c r="EI1771" s="367"/>
    </row>
    <row r="1772" spans="1:139" s="164" customFormat="1" ht="60">
      <c r="A1772" s="228">
        <v>40499</v>
      </c>
      <c r="B1772" s="205" t="s">
        <v>1088</v>
      </c>
      <c r="C1772" s="205" t="s">
        <v>1536</v>
      </c>
      <c r="D1772" s="207" t="s">
        <v>1201</v>
      </c>
      <c r="E1772" s="323" t="s">
        <v>4258</v>
      </c>
      <c r="F1772" s="323"/>
      <c r="G1772" s="204"/>
      <c r="H1772" s="151"/>
      <c r="I1772" s="151"/>
      <c r="J1772" s="151">
        <f>581*5</f>
        <v>2905</v>
      </c>
      <c r="K1772" s="151">
        <f>585-4</f>
        <v>581</v>
      </c>
      <c r="L1772" s="1">
        <v>40527</v>
      </c>
      <c r="M1772" s="73">
        <f t="shared" si="222"/>
        <v>0</v>
      </c>
      <c r="N1772" s="73">
        <f t="shared" si="226"/>
        <v>0</v>
      </c>
      <c r="O1772" s="73">
        <f t="shared" si="221"/>
        <v>0</v>
      </c>
      <c r="P1772" s="73">
        <f t="shared" si="223"/>
        <v>0</v>
      </c>
      <c r="Q1772" s="73"/>
      <c r="R1772" s="73">
        <v>80000000</v>
      </c>
      <c r="S1772" s="75">
        <f t="shared" si="225"/>
        <v>80000000</v>
      </c>
      <c r="T1772" s="77">
        <v>0</v>
      </c>
      <c r="U1772" s="66">
        <v>40500</v>
      </c>
      <c r="V1772" s="79">
        <v>70991</v>
      </c>
      <c r="W1772" s="66" t="s">
        <v>1606</v>
      </c>
      <c r="X1772" s="24" t="s">
        <v>1607</v>
      </c>
      <c r="Y1772" s="62">
        <v>47375</v>
      </c>
      <c r="Z1772" s="169" t="s">
        <v>1452</v>
      </c>
      <c r="AA1772" s="166" t="s">
        <v>525</v>
      </c>
      <c r="AB1772" s="152"/>
      <c r="AC1772" s="153"/>
      <c r="AD1772" s="154"/>
      <c r="AE1772" s="153"/>
      <c r="AF1772" s="153"/>
      <c r="AG1772" s="153"/>
      <c r="AH1772" s="153"/>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c r="BF1772" s="153"/>
      <c r="BG1772" s="153"/>
      <c r="BH1772" s="153"/>
      <c r="BI1772" s="153"/>
      <c r="BJ1772" s="153"/>
      <c r="BK1772" s="153"/>
      <c r="BL1772" s="153"/>
      <c r="BM1772" s="153"/>
      <c r="BN1772" s="153"/>
      <c r="BO1772" s="153"/>
      <c r="BP1772" s="153"/>
      <c r="BQ1772" s="153"/>
      <c r="BR1772" s="153"/>
      <c r="BS1772" s="153"/>
      <c r="BT1772" s="153"/>
      <c r="BU1772" s="153"/>
      <c r="BV1772" s="153"/>
      <c r="BW1772" s="153"/>
      <c r="BX1772" s="153"/>
      <c r="BY1772" s="153"/>
      <c r="BZ1772" s="153"/>
      <c r="CA1772" s="153"/>
      <c r="CB1772" s="153"/>
      <c r="CC1772" s="153"/>
      <c r="CD1772" s="155"/>
      <c r="CE1772" s="156"/>
      <c r="CF1772" s="155"/>
      <c r="CG1772" s="156"/>
      <c r="CH1772" s="155"/>
      <c r="CI1772" s="156"/>
      <c r="CJ1772" s="157">
        <f t="shared" si="224"/>
        <v>0</v>
      </c>
      <c r="CK1772" s="158"/>
      <c r="CL1772" s="159"/>
      <c r="CM1772" s="160"/>
      <c r="CN1772" s="161"/>
      <c r="CO1772" s="162"/>
      <c r="CP1772" s="161"/>
      <c r="CQ1772" s="158"/>
      <c r="CR1772" s="159"/>
      <c r="CS1772" s="68">
        <v>2</v>
      </c>
      <c r="CT1772" s="163"/>
      <c r="EC1772" s="366" t="str">
        <f t="shared" si="227"/>
        <v>VALLE DEL CAUCA_TRUJILLO</v>
      </c>
      <c r="ED1772" s="367"/>
      <c r="EE1772" s="367"/>
      <c r="EF1772" s="368"/>
      <c r="EG1772" s="367"/>
      <c r="EH1772" s="367"/>
      <c r="EI1772" s="367"/>
    </row>
    <row r="1773" spans="1:139" s="164" customFormat="1" ht="38.25">
      <c r="A1773" s="228">
        <v>40499</v>
      </c>
      <c r="B1773" s="205" t="s">
        <v>1088</v>
      </c>
      <c r="C1773" s="205" t="s">
        <v>1751</v>
      </c>
      <c r="D1773" s="207" t="s">
        <v>1201</v>
      </c>
      <c r="E1773" s="323" t="s">
        <v>4265</v>
      </c>
      <c r="F1773" s="323"/>
      <c r="G1773" s="204"/>
      <c r="H1773" s="151"/>
      <c r="I1773" s="151"/>
      <c r="J1773" s="151">
        <f>557*5</f>
        <v>2785</v>
      </c>
      <c r="K1773" s="151">
        <f>564-7</f>
        <v>557</v>
      </c>
      <c r="L1773" s="1"/>
      <c r="M1773" s="73">
        <f t="shared" si="222"/>
        <v>0</v>
      </c>
      <c r="N1773" s="73">
        <f t="shared" si="226"/>
        <v>0</v>
      </c>
      <c r="O1773" s="73">
        <f t="shared" si="221"/>
        <v>0</v>
      </c>
      <c r="P1773" s="73">
        <f t="shared" si="223"/>
        <v>0</v>
      </c>
      <c r="Q1773" s="73"/>
      <c r="R1773" s="73">
        <v>0</v>
      </c>
      <c r="S1773" s="75">
        <f t="shared" si="225"/>
        <v>0</v>
      </c>
      <c r="T1773" s="77">
        <v>0</v>
      </c>
      <c r="U1773" s="66">
        <v>40504</v>
      </c>
      <c r="V1773" s="79"/>
      <c r="W1773" s="66" t="s">
        <v>1585</v>
      </c>
      <c r="X1773" s="24" t="s">
        <v>1586</v>
      </c>
      <c r="Y1773" s="62"/>
      <c r="Z1773" s="169" t="s">
        <v>894</v>
      </c>
      <c r="AA1773" s="166" t="s">
        <v>2893</v>
      </c>
      <c r="AB1773" s="152"/>
      <c r="AC1773" s="153"/>
      <c r="AD1773" s="154"/>
      <c r="AE1773" s="153"/>
      <c r="AF1773" s="153"/>
      <c r="AG1773" s="153"/>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c r="BF1773" s="153"/>
      <c r="BG1773" s="153"/>
      <c r="BH1773" s="153"/>
      <c r="BI1773" s="153"/>
      <c r="BJ1773" s="153"/>
      <c r="BK1773" s="153"/>
      <c r="BL1773" s="153"/>
      <c r="BM1773" s="153"/>
      <c r="BN1773" s="153"/>
      <c r="BO1773" s="153"/>
      <c r="BP1773" s="153"/>
      <c r="BQ1773" s="153"/>
      <c r="BR1773" s="153"/>
      <c r="BS1773" s="153"/>
      <c r="BT1773" s="153"/>
      <c r="BU1773" s="153"/>
      <c r="BV1773" s="153"/>
      <c r="BW1773" s="153"/>
      <c r="BX1773" s="153"/>
      <c r="BY1773" s="153"/>
      <c r="BZ1773" s="153"/>
      <c r="CA1773" s="153"/>
      <c r="CB1773" s="153"/>
      <c r="CC1773" s="153"/>
      <c r="CD1773" s="155"/>
      <c r="CE1773" s="156"/>
      <c r="CF1773" s="155"/>
      <c r="CG1773" s="156"/>
      <c r="CH1773" s="155"/>
      <c r="CI1773" s="156"/>
      <c r="CJ1773" s="157">
        <f t="shared" si="224"/>
        <v>0</v>
      </c>
      <c r="CK1773" s="158"/>
      <c r="CL1773" s="159"/>
      <c r="CM1773" s="160"/>
      <c r="CN1773" s="161"/>
      <c r="CO1773" s="162"/>
      <c r="CP1773" s="161"/>
      <c r="CQ1773" s="158"/>
      <c r="CR1773" s="159"/>
      <c r="CS1773" s="68"/>
      <c r="CT1773" s="163"/>
      <c r="EC1773" s="366" t="str">
        <f t="shared" si="227"/>
        <v>VALLE DEL CAUCA_ZARZAL</v>
      </c>
      <c r="ED1773" s="367"/>
      <c r="EE1773" s="367"/>
      <c r="EF1773" s="368"/>
      <c r="EG1773" s="367"/>
      <c r="EH1773" s="367"/>
      <c r="EI1773" s="367"/>
    </row>
    <row r="1774" spans="1:139" s="164" customFormat="1" ht="38.25">
      <c r="A1774" s="228">
        <v>40499.051388888889</v>
      </c>
      <c r="B1774" s="205" t="s">
        <v>2298</v>
      </c>
      <c r="C1774" s="205" t="s">
        <v>1610</v>
      </c>
      <c r="D1774" s="207" t="s">
        <v>1878</v>
      </c>
      <c r="E1774" s="323"/>
      <c r="F1774" s="323"/>
      <c r="G1774" s="204"/>
      <c r="H1774" s="151"/>
      <c r="I1774" s="151"/>
      <c r="J1774" s="151">
        <v>883</v>
      </c>
      <c r="K1774" s="409">
        <v>213</v>
      </c>
      <c r="L1774" s="1"/>
      <c r="M1774" s="73">
        <f t="shared" si="222"/>
        <v>0</v>
      </c>
      <c r="N1774" s="73">
        <f t="shared" si="226"/>
        <v>0</v>
      </c>
      <c r="O1774" s="73">
        <f t="shared" si="221"/>
        <v>0</v>
      </c>
      <c r="P1774" s="73">
        <f t="shared" si="223"/>
        <v>0</v>
      </c>
      <c r="Q1774" s="73"/>
      <c r="R1774" s="73">
        <v>0</v>
      </c>
      <c r="S1774" s="75">
        <f t="shared" si="225"/>
        <v>0</v>
      </c>
      <c r="T1774" s="77">
        <v>0</v>
      </c>
      <c r="U1774" s="296">
        <v>40624</v>
      </c>
      <c r="V1774" s="297"/>
      <c r="W1774" s="296" t="s">
        <v>1585</v>
      </c>
      <c r="X1774" s="298" t="s">
        <v>1586</v>
      </c>
      <c r="Y1774" s="299"/>
      <c r="Z1774" s="300" t="s">
        <v>894</v>
      </c>
      <c r="AA1774" s="414" t="s">
        <v>5423</v>
      </c>
      <c r="AB1774" s="152"/>
      <c r="AC1774" s="153"/>
      <c r="AD1774" s="154"/>
      <c r="AE1774" s="153"/>
      <c r="AF1774" s="153"/>
      <c r="AG1774" s="153"/>
      <c r="AH1774" s="153"/>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c r="BF1774" s="153"/>
      <c r="BG1774" s="153"/>
      <c r="BH1774" s="153"/>
      <c r="BI1774" s="153"/>
      <c r="BJ1774" s="153"/>
      <c r="BK1774" s="153"/>
      <c r="BL1774" s="153"/>
      <c r="BM1774" s="153"/>
      <c r="BN1774" s="153"/>
      <c r="BO1774" s="153"/>
      <c r="BP1774" s="153"/>
      <c r="BQ1774" s="153"/>
      <c r="BR1774" s="153"/>
      <c r="BS1774" s="153"/>
      <c r="BT1774" s="153"/>
      <c r="BU1774" s="153"/>
      <c r="BV1774" s="153"/>
      <c r="BW1774" s="153"/>
      <c r="BX1774" s="153"/>
      <c r="BY1774" s="153"/>
      <c r="BZ1774" s="153"/>
      <c r="CA1774" s="153"/>
      <c r="CB1774" s="153"/>
      <c r="CC1774" s="153"/>
      <c r="CD1774" s="155"/>
      <c r="CE1774" s="156"/>
      <c r="CF1774" s="155"/>
      <c r="CG1774" s="156"/>
      <c r="CH1774" s="155"/>
      <c r="CI1774" s="156"/>
      <c r="CJ1774" s="157">
        <f t="shared" si="224"/>
        <v>0</v>
      </c>
      <c r="CK1774" s="158"/>
      <c r="CL1774" s="159"/>
      <c r="CM1774" s="160"/>
      <c r="CN1774" s="161"/>
      <c r="CO1774" s="162"/>
      <c r="CP1774" s="161"/>
      <c r="CQ1774" s="158"/>
      <c r="CR1774" s="159"/>
      <c r="CS1774" s="68"/>
      <c r="CT1774" s="163"/>
      <c r="EC1774" s="366" t="str">
        <f t="shared" si="227"/>
        <v>BOGOTA D.C._BOGOTA</v>
      </c>
      <c r="ED1774" s="367"/>
      <c r="EE1774" s="367"/>
      <c r="EF1774" s="368"/>
      <c r="EG1774" s="367"/>
      <c r="EH1774" s="367"/>
      <c r="EI1774" s="367"/>
    </row>
    <row r="1775" spans="1:139" s="164" customFormat="1" ht="38.25">
      <c r="A1775" s="228">
        <v>40499.149305555555</v>
      </c>
      <c r="B1775" s="205" t="s">
        <v>2298</v>
      </c>
      <c r="C1775" s="205" t="s">
        <v>1610</v>
      </c>
      <c r="D1775" s="207" t="s">
        <v>1878</v>
      </c>
      <c r="E1775" s="323"/>
      <c r="F1775" s="323"/>
      <c r="G1775" s="204"/>
      <c r="H1775" s="151"/>
      <c r="I1775" s="151"/>
      <c r="J1775" s="151"/>
      <c r="K1775" s="409"/>
      <c r="L1775" s="1"/>
      <c r="M1775" s="73">
        <f t="shared" si="222"/>
        <v>0</v>
      </c>
      <c r="N1775" s="73">
        <f t="shared" si="226"/>
        <v>0</v>
      </c>
      <c r="O1775" s="73">
        <f t="shared" si="221"/>
        <v>0</v>
      </c>
      <c r="P1775" s="73">
        <f t="shared" si="223"/>
        <v>0</v>
      </c>
      <c r="Q1775" s="73"/>
      <c r="R1775" s="73">
        <v>0</v>
      </c>
      <c r="S1775" s="75">
        <f t="shared" si="225"/>
        <v>0</v>
      </c>
      <c r="T1775" s="77">
        <v>0</v>
      </c>
      <c r="U1775" s="296">
        <v>40624</v>
      </c>
      <c r="V1775" s="297"/>
      <c r="W1775" s="296" t="s">
        <v>1585</v>
      </c>
      <c r="X1775" s="298" t="s">
        <v>1586</v>
      </c>
      <c r="Y1775" s="299"/>
      <c r="Z1775" s="300" t="s">
        <v>894</v>
      </c>
      <c r="AA1775" s="414" t="s">
        <v>5424</v>
      </c>
      <c r="AB1775" s="152"/>
      <c r="AC1775" s="153"/>
      <c r="AD1775" s="154"/>
      <c r="AE1775" s="153"/>
      <c r="AF1775" s="153"/>
      <c r="AG1775" s="153"/>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c r="BF1775" s="153"/>
      <c r="BG1775" s="153"/>
      <c r="BH1775" s="153"/>
      <c r="BI1775" s="153"/>
      <c r="BJ1775" s="153"/>
      <c r="BK1775" s="153"/>
      <c r="BL1775" s="153"/>
      <c r="BM1775" s="153"/>
      <c r="BN1775" s="153"/>
      <c r="BO1775" s="153"/>
      <c r="BP1775" s="153"/>
      <c r="BQ1775" s="153"/>
      <c r="BR1775" s="153"/>
      <c r="BS1775" s="153"/>
      <c r="BT1775" s="153"/>
      <c r="BU1775" s="153"/>
      <c r="BV1775" s="153"/>
      <c r="BW1775" s="153"/>
      <c r="BX1775" s="153"/>
      <c r="BY1775" s="153"/>
      <c r="BZ1775" s="153"/>
      <c r="CA1775" s="153"/>
      <c r="CB1775" s="153"/>
      <c r="CC1775" s="153"/>
      <c r="CD1775" s="155"/>
      <c r="CE1775" s="156"/>
      <c r="CF1775" s="155"/>
      <c r="CG1775" s="156"/>
      <c r="CH1775" s="155"/>
      <c r="CI1775" s="156"/>
      <c r="CJ1775" s="157">
        <f t="shared" si="224"/>
        <v>0</v>
      </c>
      <c r="CK1775" s="158"/>
      <c r="CL1775" s="159"/>
      <c r="CM1775" s="160"/>
      <c r="CN1775" s="161"/>
      <c r="CO1775" s="162"/>
      <c r="CP1775" s="161"/>
      <c r="CQ1775" s="158"/>
      <c r="CR1775" s="159"/>
      <c r="CS1775" s="68"/>
      <c r="CT1775" s="163"/>
      <c r="EC1775" s="366" t="str">
        <f t="shared" si="227"/>
        <v>BOGOTA D.C._BOGOTA</v>
      </c>
      <c r="ED1775" s="367"/>
      <c r="EE1775" s="367"/>
      <c r="EF1775" s="368"/>
      <c r="EG1775" s="367"/>
      <c r="EH1775" s="367"/>
      <c r="EI1775" s="367"/>
    </row>
    <row r="1776" spans="1:139" s="164" customFormat="1" ht="38.25">
      <c r="A1776" s="228">
        <v>40499.227083333331</v>
      </c>
      <c r="B1776" s="205" t="s">
        <v>2298</v>
      </c>
      <c r="C1776" s="205" t="s">
        <v>1610</v>
      </c>
      <c r="D1776" s="207" t="s">
        <v>1878</v>
      </c>
      <c r="E1776" s="323"/>
      <c r="F1776" s="323"/>
      <c r="G1776" s="204"/>
      <c r="H1776" s="151">
        <v>6</v>
      </c>
      <c r="I1776" s="151"/>
      <c r="J1776" s="151"/>
      <c r="K1776" s="409">
        <v>2</v>
      </c>
      <c r="L1776" s="1"/>
      <c r="M1776" s="73">
        <f t="shared" si="222"/>
        <v>0</v>
      </c>
      <c r="N1776" s="73">
        <f t="shared" si="226"/>
        <v>0</v>
      </c>
      <c r="O1776" s="73">
        <f t="shared" si="221"/>
        <v>0</v>
      </c>
      <c r="P1776" s="73">
        <f t="shared" si="223"/>
        <v>0</v>
      </c>
      <c r="Q1776" s="73"/>
      <c r="R1776" s="73">
        <v>0</v>
      </c>
      <c r="S1776" s="75">
        <f t="shared" si="225"/>
        <v>0</v>
      </c>
      <c r="T1776" s="77">
        <v>0</v>
      </c>
      <c r="U1776" s="296">
        <v>40624</v>
      </c>
      <c r="V1776" s="297"/>
      <c r="W1776" s="296" t="s">
        <v>1585</v>
      </c>
      <c r="X1776" s="298" t="s">
        <v>1586</v>
      </c>
      <c r="Y1776" s="299"/>
      <c r="Z1776" s="300" t="s">
        <v>894</v>
      </c>
      <c r="AA1776" s="414" t="s">
        <v>5425</v>
      </c>
      <c r="AB1776" s="152"/>
      <c r="AC1776" s="153"/>
      <c r="AD1776" s="154"/>
      <c r="AE1776" s="153"/>
      <c r="AF1776" s="153"/>
      <c r="AG1776" s="153"/>
      <c r="AH1776" s="153"/>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c r="BF1776" s="153"/>
      <c r="BG1776" s="153"/>
      <c r="BH1776" s="153"/>
      <c r="BI1776" s="153"/>
      <c r="BJ1776" s="153"/>
      <c r="BK1776" s="153"/>
      <c r="BL1776" s="153"/>
      <c r="BM1776" s="153"/>
      <c r="BN1776" s="153"/>
      <c r="BO1776" s="153"/>
      <c r="BP1776" s="153"/>
      <c r="BQ1776" s="153"/>
      <c r="BR1776" s="153"/>
      <c r="BS1776" s="153"/>
      <c r="BT1776" s="153"/>
      <c r="BU1776" s="153"/>
      <c r="BV1776" s="153"/>
      <c r="BW1776" s="153"/>
      <c r="BX1776" s="153"/>
      <c r="BY1776" s="153"/>
      <c r="BZ1776" s="153"/>
      <c r="CA1776" s="153"/>
      <c r="CB1776" s="153"/>
      <c r="CC1776" s="153"/>
      <c r="CD1776" s="155"/>
      <c r="CE1776" s="156"/>
      <c r="CF1776" s="155"/>
      <c r="CG1776" s="156"/>
      <c r="CH1776" s="155"/>
      <c r="CI1776" s="156"/>
      <c r="CJ1776" s="157">
        <f t="shared" si="224"/>
        <v>0</v>
      </c>
      <c r="CK1776" s="158"/>
      <c r="CL1776" s="159"/>
      <c r="CM1776" s="160"/>
      <c r="CN1776" s="161"/>
      <c r="CO1776" s="162"/>
      <c r="CP1776" s="161"/>
      <c r="CQ1776" s="158"/>
      <c r="CR1776" s="159"/>
      <c r="CS1776" s="68"/>
      <c r="CT1776" s="163"/>
      <c r="EC1776" s="366" t="str">
        <f t="shared" si="227"/>
        <v>BOGOTA D.C._BOGOTA</v>
      </c>
      <c r="ED1776" s="367"/>
      <c r="EE1776" s="367"/>
      <c r="EF1776" s="368"/>
      <c r="EG1776" s="367"/>
      <c r="EH1776" s="367"/>
      <c r="EI1776" s="367"/>
    </row>
    <row r="1777" spans="1:139" s="164" customFormat="1" ht="38.25">
      <c r="A1777" s="228">
        <v>40499.383333333331</v>
      </c>
      <c r="B1777" s="205" t="s">
        <v>2298</v>
      </c>
      <c r="C1777" s="205" t="s">
        <v>1610</v>
      </c>
      <c r="D1777" s="207" t="s">
        <v>1878</v>
      </c>
      <c r="E1777" s="323"/>
      <c r="F1777" s="323"/>
      <c r="G1777" s="204"/>
      <c r="H1777" s="151"/>
      <c r="I1777" s="151"/>
      <c r="J1777" s="151">
        <v>7</v>
      </c>
      <c r="K1777" s="409">
        <v>3</v>
      </c>
      <c r="L1777" s="1"/>
      <c r="M1777" s="73">
        <f t="shared" si="222"/>
        <v>0</v>
      </c>
      <c r="N1777" s="73">
        <f t="shared" si="226"/>
        <v>0</v>
      </c>
      <c r="O1777" s="73">
        <f t="shared" si="221"/>
        <v>0</v>
      </c>
      <c r="P1777" s="73">
        <f t="shared" si="223"/>
        <v>0</v>
      </c>
      <c r="Q1777" s="73"/>
      <c r="R1777" s="73">
        <v>0</v>
      </c>
      <c r="S1777" s="75">
        <f t="shared" si="225"/>
        <v>0</v>
      </c>
      <c r="T1777" s="77">
        <v>0</v>
      </c>
      <c r="U1777" s="296">
        <v>40624</v>
      </c>
      <c r="V1777" s="297"/>
      <c r="W1777" s="296" t="s">
        <v>1585</v>
      </c>
      <c r="X1777" s="412" t="s">
        <v>1586</v>
      </c>
      <c r="Y1777" s="299"/>
      <c r="Z1777" s="300" t="s">
        <v>894</v>
      </c>
      <c r="AA1777" s="414" t="s">
        <v>5426</v>
      </c>
      <c r="AB1777" s="152"/>
      <c r="AC1777" s="153"/>
      <c r="AD1777" s="154"/>
      <c r="AE1777" s="153"/>
      <c r="AF1777" s="153"/>
      <c r="AG1777" s="153"/>
      <c r="AH1777" s="153"/>
      <c r="AI1777" s="153"/>
      <c r="AJ1777" s="153"/>
      <c r="AK1777" s="153"/>
      <c r="AL1777" s="153"/>
      <c r="AM1777" s="153"/>
      <c r="AN1777" s="153"/>
      <c r="AO1777" s="153"/>
      <c r="AP1777" s="153"/>
      <c r="AQ1777" s="153"/>
      <c r="AR1777" s="153"/>
      <c r="AS1777" s="153"/>
      <c r="AT1777" s="153"/>
      <c r="AU1777" s="153"/>
      <c r="AV1777" s="153"/>
      <c r="AW1777" s="153"/>
      <c r="AX1777" s="153"/>
      <c r="AY1777" s="153"/>
      <c r="AZ1777" s="153"/>
      <c r="BA1777" s="153"/>
      <c r="BB1777" s="153"/>
      <c r="BC1777" s="153"/>
      <c r="BD1777" s="153"/>
      <c r="BE1777" s="153"/>
      <c r="BF1777" s="153"/>
      <c r="BG1777" s="153"/>
      <c r="BH1777" s="153"/>
      <c r="BI1777" s="153"/>
      <c r="BJ1777" s="153"/>
      <c r="BK1777" s="153"/>
      <c r="BL1777" s="153"/>
      <c r="BM1777" s="153"/>
      <c r="BN1777" s="153"/>
      <c r="BO1777" s="153"/>
      <c r="BP1777" s="153"/>
      <c r="BQ1777" s="153"/>
      <c r="BR1777" s="153"/>
      <c r="BS1777" s="153"/>
      <c r="BT1777" s="153"/>
      <c r="BU1777" s="153"/>
      <c r="BV1777" s="153"/>
      <c r="BW1777" s="153"/>
      <c r="BX1777" s="153"/>
      <c r="BY1777" s="153"/>
      <c r="BZ1777" s="153"/>
      <c r="CA1777" s="153"/>
      <c r="CB1777" s="153"/>
      <c r="CC1777" s="153"/>
      <c r="CD1777" s="155"/>
      <c r="CE1777" s="156"/>
      <c r="CF1777" s="155"/>
      <c r="CG1777" s="156"/>
      <c r="CH1777" s="155"/>
      <c r="CI1777" s="156"/>
      <c r="CJ1777" s="157">
        <f t="shared" si="224"/>
        <v>0</v>
      </c>
      <c r="CK1777" s="158"/>
      <c r="CL1777" s="159"/>
      <c r="CM1777" s="160"/>
      <c r="CN1777" s="161"/>
      <c r="CO1777" s="162"/>
      <c r="CP1777" s="161"/>
      <c r="CQ1777" s="158"/>
      <c r="CR1777" s="159"/>
      <c r="CS1777" s="68"/>
      <c r="CT1777" s="163"/>
      <c r="EC1777" s="366" t="str">
        <f t="shared" si="227"/>
        <v>BOGOTA D.C._BOGOTA</v>
      </c>
      <c r="ED1777" s="367"/>
      <c r="EE1777" s="367"/>
      <c r="EF1777" s="368"/>
      <c r="EG1777" s="367"/>
      <c r="EH1777" s="367"/>
      <c r="EI1777" s="367"/>
    </row>
    <row r="1778" spans="1:139" s="164" customFormat="1" ht="38.25">
      <c r="A1778" s="228">
        <v>40499.388888888891</v>
      </c>
      <c r="B1778" s="205" t="s">
        <v>2298</v>
      </c>
      <c r="C1778" s="205" t="s">
        <v>1610</v>
      </c>
      <c r="D1778" s="207" t="s">
        <v>1201</v>
      </c>
      <c r="E1778" s="323"/>
      <c r="F1778" s="323"/>
      <c r="G1778" s="204"/>
      <c r="H1778" s="151">
        <v>124</v>
      </c>
      <c r="I1778" s="151"/>
      <c r="J1778" s="151"/>
      <c r="K1778" s="409"/>
      <c r="L1778" s="1"/>
      <c r="M1778" s="73">
        <f t="shared" si="222"/>
        <v>0</v>
      </c>
      <c r="N1778" s="73">
        <f t="shared" si="226"/>
        <v>0</v>
      </c>
      <c r="O1778" s="73">
        <f t="shared" si="221"/>
        <v>0</v>
      </c>
      <c r="P1778" s="73">
        <f t="shared" si="223"/>
        <v>0</v>
      </c>
      <c r="Q1778" s="73"/>
      <c r="R1778" s="73">
        <v>0</v>
      </c>
      <c r="S1778" s="75">
        <f t="shared" si="225"/>
        <v>0</v>
      </c>
      <c r="T1778" s="77">
        <v>0</v>
      </c>
      <c r="U1778" s="296">
        <v>40624</v>
      </c>
      <c r="V1778" s="297"/>
      <c r="W1778" s="296" t="s">
        <v>1585</v>
      </c>
      <c r="X1778" s="298" t="s">
        <v>1586</v>
      </c>
      <c r="Y1778" s="299"/>
      <c r="Z1778" s="300" t="s">
        <v>894</v>
      </c>
      <c r="AA1778" s="414" t="s">
        <v>5427</v>
      </c>
      <c r="AB1778" s="152"/>
      <c r="AC1778" s="153"/>
      <c r="AD1778" s="154"/>
      <c r="AE1778" s="153"/>
      <c r="AF1778" s="153"/>
      <c r="AG1778" s="153"/>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c r="BF1778" s="153"/>
      <c r="BG1778" s="153"/>
      <c r="BH1778" s="153"/>
      <c r="BI1778" s="153"/>
      <c r="BJ1778" s="153"/>
      <c r="BK1778" s="153"/>
      <c r="BL1778" s="153"/>
      <c r="BM1778" s="153"/>
      <c r="BN1778" s="153"/>
      <c r="BO1778" s="153"/>
      <c r="BP1778" s="153"/>
      <c r="BQ1778" s="153"/>
      <c r="BR1778" s="153"/>
      <c r="BS1778" s="153"/>
      <c r="BT1778" s="153"/>
      <c r="BU1778" s="153"/>
      <c r="BV1778" s="153"/>
      <c r="BW1778" s="153"/>
      <c r="BX1778" s="153"/>
      <c r="BY1778" s="153"/>
      <c r="BZ1778" s="153"/>
      <c r="CA1778" s="153"/>
      <c r="CB1778" s="153"/>
      <c r="CC1778" s="153"/>
      <c r="CD1778" s="155"/>
      <c r="CE1778" s="156"/>
      <c r="CF1778" s="155"/>
      <c r="CG1778" s="156"/>
      <c r="CH1778" s="155"/>
      <c r="CI1778" s="156"/>
      <c r="CJ1778" s="157">
        <f t="shared" si="224"/>
        <v>0</v>
      </c>
      <c r="CK1778" s="158"/>
      <c r="CL1778" s="159"/>
      <c r="CM1778" s="160"/>
      <c r="CN1778" s="161"/>
      <c r="CO1778" s="162"/>
      <c r="CP1778" s="161"/>
      <c r="CQ1778" s="158"/>
      <c r="CR1778" s="159"/>
      <c r="CS1778" s="68"/>
      <c r="CT1778" s="163"/>
      <c r="EC1778" s="366" t="str">
        <f t="shared" si="227"/>
        <v>BOGOTA D.C._BOGOTA</v>
      </c>
      <c r="ED1778" s="367"/>
      <c r="EE1778" s="367"/>
      <c r="EF1778" s="368"/>
      <c r="EG1778" s="367"/>
      <c r="EH1778" s="367"/>
      <c r="EI1778" s="367"/>
    </row>
    <row r="1779" spans="1:139" s="164" customFormat="1" ht="38.25">
      <c r="A1779" s="228">
        <v>40499.559027777781</v>
      </c>
      <c r="B1779" s="205" t="s">
        <v>2298</v>
      </c>
      <c r="C1779" s="205" t="s">
        <v>1610</v>
      </c>
      <c r="D1779" s="207" t="s">
        <v>1201</v>
      </c>
      <c r="E1779" s="323"/>
      <c r="F1779" s="323"/>
      <c r="G1779" s="204"/>
      <c r="H1779" s="151"/>
      <c r="I1779" s="151"/>
      <c r="J1779" s="151"/>
      <c r="K1779" s="409"/>
      <c r="L1779" s="1"/>
      <c r="M1779" s="73">
        <f t="shared" si="222"/>
        <v>0</v>
      </c>
      <c r="N1779" s="73">
        <f t="shared" si="226"/>
        <v>0</v>
      </c>
      <c r="O1779" s="73">
        <f t="shared" si="221"/>
        <v>0</v>
      </c>
      <c r="P1779" s="73">
        <f t="shared" si="223"/>
        <v>0</v>
      </c>
      <c r="Q1779" s="73"/>
      <c r="R1779" s="73">
        <v>0</v>
      </c>
      <c r="S1779" s="75">
        <f t="shared" si="225"/>
        <v>0</v>
      </c>
      <c r="T1779" s="77">
        <v>0</v>
      </c>
      <c r="U1779" s="296">
        <v>40624</v>
      </c>
      <c r="V1779" s="297"/>
      <c r="W1779" s="296" t="s">
        <v>1585</v>
      </c>
      <c r="X1779" s="412" t="s">
        <v>1586</v>
      </c>
      <c r="Y1779" s="299"/>
      <c r="Z1779" s="300" t="s">
        <v>894</v>
      </c>
      <c r="AA1779" s="414" t="s">
        <v>5428</v>
      </c>
      <c r="AB1779" s="152"/>
      <c r="AC1779" s="153"/>
      <c r="AD1779" s="154"/>
      <c r="AE1779" s="153"/>
      <c r="AF1779" s="153"/>
      <c r="AG1779" s="153"/>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53"/>
      <c r="BB1779" s="153"/>
      <c r="BC1779" s="153"/>
      <c r="BD1779" s="153"/>
      <c r="BE1779" s="153"/>
      <c r="BF1779" s="153"/>
      <c r="BG1779" s="153"/>
      <c r="BH1779" s="153"/>
      <c r="BI1779" s="153"/>
      <c r="BJ1779" s="153"/>
      <c r="BK1779" s="153"/>
      <c r="BL1779" s="153"/>
      <c r="BM1779" s="153"/>
      <c r="BN1779" s="153"/>
      <c r="BO1779" s="153"/>
      <c r="BP1779" s="153"/>
      <c r="BQ1779" s="153"/>
      <c r="BR1779" s="153"/>
      <c r="BS1779" s="153"/>
      <c r="BT1779" s="153"/>
      <c r="BU1779" s="153"/>
      <c r="BV1779" s="153"/>
      <c r="BW1779" s="153"/>
      <c r="BX1779" s="153"/>
      <c r="BY1779" s="153"/>
      <c r="BZ1779" s="153"/>
      <c r="CA1779" s="153"/>
      <c r="CB1779" s="153"/>
      <c r="CC1779" s="153"/>
      <c r="CD1779" s="155"/>
      <c r="CE1779" s="156"/>
      <c r="CF1779" s="155"/>
      <c r="CG1779" s="156"/>
      <c r="CH1779" s="155"/>
      <c r="CI1779" s="156"/>
      <c r="CJ1779" s="157">
        <f t="shared" si="224"/>
        <v>0</v>
      </c>
      <c r="CK1779" s="158"/>
      <c r="CL1779" s="159"/>
      <c r="CM1779" s="160"/>
      <c r="CN1779" s="161"/>
      <c r="CO1779" s="162"/>
      <c r="CP1779" s="161"/>
      <c r="CQ1779" s="158"/>
      <c r="CR1779" s="159"/>
      <c r="CS1779" s="68"/>
      <c r="CT1779" s="163"/>
      <c r="EC1779" s="366" t="str">
        <f t="shared" si="227"/>
        <v>BOGOTA D.C._BOGOTA</v>
      </c>
      <c r="ED1779" s="367"/>
      <c r="EE1779" s="367"/>
      <c r="EF1779" s="368"/>
      <c r="EG1779" s="367"/>
      <c r="EH1779" s="367"/>
      <c r="EI1779" s="367"/>
    </row>
    <row r="1780" spans="1:139" s="164" customFormat="1" ht="48">
      <c r="A1780" s="235">
        <v>40500</v>
      </c>
      <c r="B1780" s="269" t="s">
        <v>1972</v>
      </c>
      <c r="C1780" s="269" t="s">
        <v>1522</v>
      </c>
      <c r="D1780" s="236" t="s">
        <v>1878</v>
      </c>
      <c r="E1780" s="324" t="s">
        <v>3266</v>
      </c>
      <c r="F1780" s="324"/>
      <c r="G1780" s="204"/>
      <c r="H1780" s="151">
        <v>6</v>
      </c>
      <c r="I1780" s="151"/>
      <c r="J1780" s="151">
        <f>759-50</f>
        <v>709</v>
      </c>
      <c r="K1780" s="151">
        <v>208</v>
      </c>
      <c r="L1780" s="1"/>
      <c r="M1780" s="73">
        <f t="shared" si="222"/>
        <v>0</v>
      </c>
      <c r="N1780" s="73">
        <f t="shared" si="226"/>
        <v>0</v>
      </c>
      <c r="O1780" s="73">
        <f t="shared" ref="O1780:O1843" si="228">CP1780+CR1780</f>
        <v>0</v>
      </c>
      <c r="P1780" s="73">
        <f t="shared" si="223"/>
        <v>0</v>
      </c>
      <c r="Q1780" s="73"/>
      <c r="R1780" s="73">
        <v>0</v>
      </c>
      <c r="S1780" s="75">
        <f t="shared" si="225"/>
        <v>0</v>
      </c>
      <c r="T1780" s="77">
        <v>0</v>
      </c>
      <c r="U1780" s="66">
        <v>40504</v>
      </c>
      <c r="V1780" s="79"/>
      <c r="W1780" s="66" t="s">
        <v>1585</v>
      </c>
      <c r="X1780" s="24" t="s">
        <v>1586</v>
      </c>
      <c r="Y1780" s="62"/>
      <c r="Z1780" s="169" t="s">
        <v>894</v>
      </c>
      <c r="AA1780" s="166" t="s">
        <v>2809</v>
      </c>
      <c r="AB1780" s="152"/>
      <c r="AC1780" s="153"/>
      <c r="AD1780" s="154"/>
      <c r="AE1780" s="153"/>
      <c r="AF1780" s="153"/>
      <c r="AG1780" s="153"/>
      <c r="AH1780" s="153"/>
      <c r="AI1780" s="153"/>
      <c r="AJ1780" s="153"/>
      <c r="AK1780" s="153"/>
      <c r="AL1780" s="153"/>
      <c r="AM1780" s="153"/>
      <c r="AN1780" s="153"/>
      <c r="AO1780" s="153"/>
      <c r="AP1780" s="153"/>
      <c r="AQ1780" s="153"/>
      <c r="AR1780" s="153"/>
      <c r="AS1780" s="153"/>
      <c r="AT1780" s="153"/>
      <c r="AU1780" s="153"/>
      <c r="AV1780" s="153"/>
      <c r="AW1780" s="153"/>
      <c r="AX1780" s="153"/>
      <c r="AY1780" s="153"/>
      <c r="AZ1780" s="153"/>
      <c r="BA1780" s="153"/>
      <c r="BB1780" s="153"/>
      <c r="BC1780" s="153"/>
      <c r="BD1780" s="153"/>
      <c r="BE1780" s="153"/>
      <c r="BF1780" s="153"/>
      <c r="BG1780" s="153"/>
      <c r="BH1780" s="153"/>
      <c r="BI1780" s="153"/>
      <c r="BJ1780" s="153"/>
      <c r="BK1780" s="153"/>
      <c r="BL1780" s="153"/>
      <c r="BM1780" s="153"/>
      <c r="BN1780" s="153"/>
      <c r="BO1780" s="153"/>
      <c r="BP1780" s="153"/>
      <c r="BQ1780" s="153"/>
      <c r="BR1780" s="153"/>
      <c r="BS1780" s="153"/>
      <c r="BT1780" s="153"/>
      <c r="BU1780" s="153"/>
      <c r="BV1780" s="153"/>
      <c r="BW1780" s="153"/>
      <c r="BX1780" s="153"/>
      <c r="BY1780" s="153"/>
      <c r="BZ1780" s="153"/>
      <c r="CA1780" s="153"/>
      <c r="CB1780" s="153"/>
      <c r="CC1780" s="153"/>
      <c r="CD1780" s="155"/>
      <c r="CE1780" s="156"/>
      <c r="CF1780" s="155"/>
      <c r="CG1780" s="156"/>
      <c r="CH1780" s="155"/>
      <c r="CI1780" s="156"/>
      <c r="CJ1780" s="157">
        <f t="shared" si="224"/>
        <v>0</v>
      </c>
      <c r="CK1780" s="158"/>
      <c r="CL1780" s="159"/>
      <c r="CM1780" s="160"/>
      <c r="CN1780" s="161"/>
      <c r="CO1780" s="162"/>
      <c r="CP1780" s="161"/>
      <c r="CQ1780" s="158"/>
      <c r="CR1780" s="159"/>
      <c r="CS1780" s="68"/>
      <c r="CT1780" s="163"/>
      <c r="EC1780" s="366" t="str">
        <f t="shared" si="227"/>
        <v>ANTIOQUIA_CONCORDIA</v>
      </c>
      <c r="ED1780" s="367"/>
      <c r="EE1780" s="367"/>
      <c r="EF1780" s="368"/>
      <c r="EG1780" s="367"/>
      <c r="EH1780" s="367"/>
      <c r="EI1780" s="367"/>
    </row>
    <row r="1781" spans="1:139" s="164" customFormat="1" ht="25.5">
      <c r="A1781" s="228">
        <v>40500</v>
      </c>
      <c r="B1781" s="205" t="s">
        <v>2367</v>
      </c>
      <c r="C1781" s="205" t="s">
        <v>2229</v>
      </c>
      <c r="D1781" s="207" t="s">
        <v>1201</v>
      </c>
      <c r="E1781" s="323" t="s">
        <v>4267</v>
      </c>
      <c r="F1781" s="323"/>
      <c r="G1781" s="204"/>
      <c r="H1781" s="151"/>
      <c r="I1781" s="151"/>
      <c r="J1781" s="151">
        <v>61</v>
      </c>
      <c r="K1781" s="151">
        <v>13</v>
      </c>
      <c r="L1781" s="1"/>
      <c r="M1781" s="73">
        <f t="shared" si="222"/>
        <v>0</v>
      </c>
      <c r="N1781" s="73">
        <f t="shared" si="226"/>
        <v>0</v>
      </c>
      <c r="O1781" s="73">
        <f t="shared" si="228"/>
        <v>0</v>
      </c>
      <c r="P1781" s="73">
        <f t="shared" si="223"/>
        <v>0</v>
      </c>
      <c r="Q1781" s="73"/>
      <c r="R1781" s="73">
        <v>0</v>
      </c>
      <c r="S1781" s="75">
        <f t="shared" si="225"/>
        <v>0</v>
      </c>
      <c r="T1781" s="77">
        <v>0</v>
      </c>
      <c r="U1781" s="228">
        <v>40504</v>
      </c>
      <c r="V1781" s="79"/>
      <c r="W1781" s="66" t="s">
        <v>1585</v>
      </c>
      <c r="X1781" s="24" t="s">
        <v>1586</v>
      </c>
      <c r="Y1781" s="62"/>
      <c r="Z1781" s="169" t="s">
        <v>894</v>
      </c>
      <c r="AA1781" s="166" t="s">
        <v>843</v>
      </c>
      <c r="AB1781" s="152"/>
      <c r="AC1781" s="153"/>
      <c r="AD1781" s="154"/>
      <c r="AE1781" s="153"/>
      <c r="AF1781" s="153"/>
      <c r="AG1781" s="153"/>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c r="BF1781" s="153"/>
      <c r="BG1781" s="153"/>
      <c r="BH1781" s="153"/>
      <c r="BI1781" s="153"/>
      <c r="BJ1781" s="153"/>
      <c r="BK1781" s="153"/>
      <c r="BL1781" s="153"/>
      <c r="BM1781" s="153"/>
      <c r="BN1781" s="153"/>
      <c r="BO1781" s="153"/>
      <c r="BP1781" s="153"/>
      <c r="BQ1781" s="153"/>
      <c r="BR1781" s="153"/>
      <c r="BS1781" s="153"/>
      <c r="BT1781" s="153"/>
      <c r="BU1781" s="153"/>
      <c r="BV1781" s="153"/>
      <c r="BW1781" s="153"/>
      <c r="BX1781" s="153"/>
      <c r="BY1781" s="153"/>
      <c r="BZ1781" s="153"/>
      <c r="CA1781" s="153"/>
      <c r="CB1781" s="153"/>
      <c r="CC1781" s="153"/>
      <c r="CD1781" s="155"/>
      <c r="CE1781" s="156"/>
      <c r="CF1781" s="155"/>
      <c r="CG1781" s="156"/>
      <c r="CH1781" s="155"/>
      <c r="CI1781" s="156"/>
      <c r="CJ1781" s="157">
        <f t="shared" si="224"/>
        <v>0</v>
      </c>
      <c r="CK1781" s="158"/>
      <c r="CL1781" s="159"/>
      <c r="CM1781" s="160"/>
      <c r="CN1781" s="161"/>
      <c r="CO1781" s="162"/>
      <c r="CP1781" s="161"/>
      <c r="CQ1781" s="158"/>
      <c r="CR1781" s="159"/>
      <c r="CS1781" s="68"/>
      <c r="CT1781" s="163"/>
      <c r="EC1781" s="366" t="str">
        <f t="shared" si="227"/>
        <v>ARAUCA_ARAUQUITA</v>
      </c>
      <c r="ED1781" s="367"/>
      <c r="EE1781" s="367"/>
      <c r="EF1781" s="368"/>
      <c r="EG1781" s="367"/>
      <c r="EH1781" s="367"/>
      <c r="EI1781" s="367"/>
    </row>
    <row r="1782" spans="1:139" s="164" customFormat="1" ht="38.25">
      <c r="A1782" s="228">
        <v>40500</v>
      </c>
      <c r="B1782" s="205" t="s">
        <v>1551</v>
      </c>
      <c r="C1782" s="205" t="s">
        <v>319</v>
      </c>
      <c r="D1782" s="206" t="s">
        <v>1878</v>
      </c>
      <c r="E1782" s="320" t="s">
        <v>3365</v>
      </c>
      <c r="F1782" s="320"/>
      <c r="G1782" s="204"/>
      <c r="H1782" s="151"/>
      <c r="I1782" s="151"/>
      <c r="J1782" s="151"/>
      <c r="K1782" s="151"/>
      <c r="L1782" s="1"/>
      <c r="M1782" s="73">
        <f t="shared" si="222"/>
        <v>0</v>
      </c>
      <c r="N1782" s="73">
        <f t="shared" si="226"/>
        <v>0</v>
      </c>
      <c r="O1782" s="73">
        <f t="shared" si="228"/>
        <v>0</v>
      </c>
      <c r="P1782" s="73">
        <f t="shared" si="223"/>
        <v>0</v>
      </c>
      <c r="Q1782" s="73"/>
      <c r="R1782" s="73">
        <v>0</v>
      </c>
      <c r="S1782" s="75">
        <f t="shared" si="225"/>
        <v>0</v>
      </c>
      <c r="T1782" s="77">
        <v>0</v>
      </c>
      <c r="U1782" s="228">
        <v>40504</v>
      </c>
      <c r="V1782" s="79"/>
      <c r="W1782" s="66" t="s">
        <v>1585</v>
      </c>
      <c r="X1782" s="24" t="s">
        <v>1586</v>
      </c>
      <c r="Y1782" s="62"/>
      <c r="Z1782" s="169" t="s">
        <v>894</v>
      </c>
      <c r="AA1782" s="166" t="s">
        <v>2091</v>
      </c>
      <c r="AB1782" s="152"/>
      <c r="AC1782" s="153"/>
      <c r="AD1782" s="154"/>
      <c r="AE1782" s="153"/>
      <c r="AF1782" s="153"/>
      <c r="AG1782" s="153"/>
      <c r="AH1782" s="153"/>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c r="BF1782" s="153"/>
      <c r="BG1782" s="153"/>
      <c r="BH1782" s="153"/>
      <c r="BI1782" s="153"/>
      <c r="BJ1782" s="153"/>
      <c r="BK1782" s="153"/>
      <c r="BL1782" s="153"/>
      <c r="BM1782" s="153"/>
      <c r="BN1782" s="153"/>
      <c r="BO1782" s="153"/>
      <c r="BP1782" s="153"/>
      <c r="BQ1782" s="153"/>
      <c r="BR1782" s="153"/>
      <c r="BS1782" s="153"/>
      <c r="BT1782" s="153"/>
      <c r="BU1782" s="153"/>
      <c r="BV1782" s="153"/>
      <c r="BW1782" s="153"/>
      <c r="BX1782" s="153"/>
      <c r="BY1782" s="153"/>
      <c r="BZ1782" s="153"/>
      <c r="CA1782" s="153"/>
      <c r="CB1782" s="153"/>
      <c r="CC1782" s="153"/>
      <c r="CD1782" s="155"/>
      <c r="CE1782" s="156"/>
      <c r="CF1782" s="155"/>
      <c r="CG1782" s="156"/>
      <c r="CH1782" s="155"/>
      <c r="CI1782" s="156"/>
      <c r="CJ1782" s="157">
        <f t="shared" si="224"/>
        <v>0</v>
      </c>
      <c r="CK1782" s="158"/>
      <c r="CL1782" s="159"/>
      <c r="CM1782" s="160"/>
      <c r="CN1782" s="161"/>
      <c r="CO1782" s="162"/>
      <c r="CP1782" s="161"/>
      <c r="CQ1782" s="158"/>
      <c r="CR1782" s="159"/>
      <c r="CS1782" s="68"/>
      <c r="CT1782" s="163"/>
      <c r="EC1782" s="366" t="str">
        <f t="shared" si="227"/>
        <v>ATLANTICO_PUERTO COLOMBIA</v>
      </c>
      <c r="ED1782" s="367"/>
      <c r="EE1782" s="367"/>
      <c r="EF1782" s="368"/>
      <c r="EG1782" s="367"/>
      <c r="EH1782" s="367"/>
      <c r="EI1782" s="367"/>
    </row>
    <row r="1783" spans="1:139" s="164" customFormat="1" ht="84">
      <c r="A1783" s="228">
        <v>40500</v>
      </c>
      <c r="B1783" s="205" t="s">
        <v>1192</v>
      </c>
      <c r="C1783" s="205" t="s">
        <v>71</v>
      </c>
      <c r="D1783" s="207" t="s">
        <v>1201</v>
      </c>
      <c r="E1783" s="323" t="s">
        <v>3447</v>
      </c>
      <c r="F1783" s="323"/>
      <c r="G1783" s="204"/>
      <c r="H1783" s="151"/>
      <c r="I1783" s="151"/>
      <c r="J1783" s="151">
        <v>510</v>
      </c>
      <c r="K1783" s="151">
        <v>102</v>
      </c>
      <c r="L1783" s="1"/>
      <c r="M1783" s="73">
        <f t="shared" si="222"/>
        <v>0</v>
      </c>
      <c r="N1783" s="73">
        <f t="shared" si="226"/>
        <v>0</v>
      </c>
      <c r="O1783" s="73">
        <f t="shared" si="228"/>
        <v>0</v>
      </c>
      <c r="P1783" s="73">
        <f t="shared" si="223"/>
        <v>0</v>
      </c>
      <c r="Q1783" s="73"/>
      <c r="R1783" s="73">
        <v>0</v>
      </c>
      <c r="S1783" s="75">
        <f t="shared" si="225"/>
        <v>0</v>
      </c>
      <c r="T1783" s="77">
        <v>0</v>
      </c>
      <c r="U1783" s="66">
        <v>40581</v>
      </c>
      <c r="V1783" s="79"/>
      <c r="W1783" s="66" t="s">
        <v>1585</v>
      </c>
      <c r="X1783" s="24" t="s">
        <v>1586</v>
      </c>
      <c r="Y1783" s="62"/>
      <c r="Z1783" s="169" t="s">
        <v>894</v>
      </c>
      <c r="AA1783" s="166" t="s">
        <v>72</v>
      </c>
      <c r="AB1783" s="152"/>
      <c r="AC1783" s="153"/>
      <c r="AD1783" s="154"/>
      <c r="AE1783" s="153"/>
      <c r="AF1783" s="153"/>
      <c r="AG1783" s="153"/>
      <c r="AH1783" s="153"/>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c r="BF1783" s="153"/>
      <c r="BG1783" s="153"/>
      <c r="BH1783" s="153"/>
      <c r="BI1783" s="153"/>
      <c r="BJ1783" s="153"/>
      <c r="BK1783" s="153"/>
      <c r="BL1783" s="153"/>
      <c r="BM1783" s="153"/>
      <c r="BN1783" s="153"/>
      <c r="BO1783" s="153"/>
      <c r="BP1783" s="153"/>
      <c r="BQ1783" s="153"/>
      <c r="BR1783" s="153"/>
      <c r="BS1783" s="153"/>
      <c r="BT1783" s="153"/>
      <c r="BU1783" s="153"/>
      <c r="BV1783" s="153"/>
      <c r="BW1783" s="153"/>
      <c r="BX1783" s="153"/>
      <c r="BY1783" s="153"/>
      <c r="BZ1783" s="153"/>
      <c r="CA1783" s="153"/>
      <c r="CB1783" s="153"/>
      <c r="CC1783" s="153"/>
      <c r="CD1783" s="155"/>
      <c r="CE1783" s="156"/>
      <c r="CF1783" s="155"/>
      <c r="CG1783" s="156"/>
      <c r="CH1783" s="155"/>
      <c r="CI1783" s="156"/>
      <c r="CJ1783" s="157">
        <f t="shared" si="224"/>
        <v>0</v>
      </c>
      <c r="CK1783" s="158"/>
      <c r="CL1783" s="159"/>
      <c r="CM1783" s="160"/>
      <c r="CN1783" s="161"/>
      <c r="CO1783" s="162"/>
      <c r="CP1783" s="161"/>
      <c r="CQ1783" s="158"/>
      <c r="CR1783" s="159"/>
      <c r="CS1783" s="68"/>
      <c r="CT1783" s="163"/>
      <c r="EC1783" s="366" t="str">
        <f t="shared" si="227"/>
        <v>BOYACA_CUBARA</v>
      </c>
      <c r="ED1783" s="367"/>
      <c r="EE1783" s="367"/>
      <c r="EF1783" s="368"/>
      <c r="EG1783" s="367"/>
      <c r="EH1783" s="367"/>
      <c r="EI1783" s="367"/>
    </row>
    <row r="1784" spans="1:139" s="164" customFormat="1" ht="25.5">
      <c r="A1784" s="228">
        <v>40500</v>
      </c>
      <c r="B1784" s="205" t="s">
        <v>1192</v>
      </c>
      <c r="C1784" s="205" t="s">
        <v>2092</v>
      </c>
      <c r="D1784" s="207" t="s">
        <v>1201</v>
      </c>
      <c r="E1784" s="323" t="s">
        <v>3473</v>
      </c>
      <c r="F1784" s="323"/>
      <c r="G1784" s="204"/>
      <c r="H1784" s="151"/>
      <c r="I1784" s="151"/>
      <c r="J1784" s="151">
        <f>116*5</f>
        <v>580</v>
      </c>
      <c r="K1784" s="151">
        <v>116</v>
      </c>
      <c r="L1784" s="1"/>
      <c r="M1784" s="73">
        <f t="shared" si="222"/>
        <v>0</v>
      </c>
      <c r="N1784" s="73">
        <f t="shared" si="226"/>
        <v>0</v>
      </c>
      <c r="O1784" s="73">
        <f t="shared" si="228"/>
        <v>0</v>
      </c>
      <c r="P1784" s="73">
        <f t="shared" si="223"/>
        <v>0</v>
      </c>
      <c r="Q1784" s="73"/>
      <c r="R1784" s="73">
        <v>0</v>
      </c>
      <c r="S1784" s="75">
        <f t="shared" si="225"/>
        <v>0</v>
      </c>
      <c r="T1784" s="77">
        <v>0</v>
      </c>
      <c r="U1784" s="66">
        <v>40504</v>
      </c>
      <c r="V1784" s="79"/>
      <c r="W1784" s="66" t="s">
        <v>1585</v>
      </c>
      <c r="X1784" s="24" t="s">
        <v>1586</v>
      </c>
      <c r="Y1784" s="62"/>
      <c r="Z1784" s="176" t="s">
        <v>894</v>
      </c>
      <c r="AA1784" s="166" t="s">
        <v>2093</v>
      </c>
      <c r="AB1784" s="152"/>
      <c r="AC1784" s="153"/>
      <c r="AD1784" s="154"/>
      <c r="AE1784" s="153"/>
      <c r="AF1784" s="153"/>
      <c r="AG1784" s="153"/>
      <c r="AH1784" s="153"/>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c r="BF1784" s="153"/>
      <c r="BG1784" s="153"/>
      <c r="BH1784" s="153"/>
      <c r="BI1784" s="153"/>
      <c r="BJ1784" s="153"/>
      <c r="BK1784" s="153"/>
      <c r="BL1784" s="153"/>
      <c r="BM1784" s="153"/>
      <c r="BN1784" s="153"/>
      <c r="BO1784" s="153"/>
      <c r="BP1784" s="153"/>
      <c r="BQ1784" s="153"/>
      <c r="BR1784" s="153"/>
      <c r="BS1784" s="153"/>
      <c r="BT1784" s="153"/>
      <c r="BU1784" s="153"/>
      <c r="BV1784" s="153"/>
      <c r="BW1784" s="153"/>
      <c r="BX1784" s="153"/>
      <c r="BY1784" s="153"/>
      <c r="BZ1784" s="153"/>
      <c r="CA1784" s="153"/>
      <c r="CB1784" s="153"/>
      <c r="CC1784" s="153"/>
      <c r="CD1784" s="155"/>
      <c r="CE1784" s="156"/>
      <c r="CF1784" s="155"/>
      <c r="CG1784" s="156"/>
      <c r="CH1784" s="155"/>
      <c r="CI1784" s="156"/>
      <c r="CJ1784" s="157">
        <f t="shared" si="224"/>
        <v>0</v>
      </c>
      <c r="CK1784" s="158"/>
      <c r="CL1784" s="159"/>
      <c r="CM1784" s="160"/>
      <c r="CN1784" s="161"/>
      <c r="CO1784" s="162"/>
      <c r="CP1784" s="161"/>
      <c r="CQ1784" s="158"/>
      <c r="CR1784" s="159"/>
      <c r="CS1784" s="68"/>
      <c r="CT1784" s="163"/>
      <c r="EC1784" s="366" t="str">
        <f t="shared" si="227"/>
        <v>BOYACA_MARIPI</v>
      </c>
      <c r="ED1784" s="367"/>
      <c r="EE1784" s="367"/>
      <c r="EF1784" s="368"/>
      <c r="EG1784" s="367"/>
      <c r="EH1784" s="367"/>
      <c r="EI1784" s="367"/>
    </row>
    <row r="1785" spans="1:139" s="164" customFormat="1" ht="48">
      <c r="A1785" s="228">
        <v>40500</v>
      </c>
      <c r="B1785" s="205" t="s">
        <v>1192</v>
      </c>
      <c r="C1785" s="205" t="s">
        <v>1004</v>
      </c>
      <c r="D1785" s="207" t="s">
        <v>1201</v>
      </c>
      <c r="E1785" s="323" t="s">
        <v>3421</v>
      </c>
      <c r="F1785" s="323"/>
      <c r="G1785" s="204"/>
      <c r="H1785" s="151"/>
      <c r="I1785" s="151"/>
      <c r="J1785" s="151"/>
      <c r="K1785" s="151"/>
      <c r="L1785" s="1"/>
      <c r="M1785" s="73">
        <f t="shared" si="222"/>
        <v>0</v>
      </c>
      <c r="N1785" s="73">
        <f t="shared" si="226"/>
        <v>0</v>
      </c>
      <c r="O1785" s="73">
        <f t="shared" si="228"/>
        <v>0</v>
      </c>
      <c r="P1785" s="73">
        <f t="shared" si="223"/>
        <v>0</v>
      </c>
      <c r="Q1785" s="73"/>
      <c r="R1785" s="73">
        <v>0</v>
      </c>
      <c r="S1785" s="75">
        <f t="shared" si="225"/>
        <v>0</v>
      </c>
      <c r="T1785" s="77">
        <v>0</v>
      </c>
      <c r="U1785" s="66">
        <v>40504</v>
      </c>
      <c r="V1785" s="79"/>
      <c r="W1785" s="66" t="s">
        <v>1585</v>
      </c>
      <c r="X1785" s="24" t="s">
        <v>1586</v>
      </c>
      <c r="Y1785" s="62"/>
      <c r="Z1785" s="176" t="s">
        <v>894</v>
      </c>
      <c r="AA1785" s="166" t="s">
        <v>2094</v>
      </c>
      <c r="AB1785" s="152"/>
      <c r="AC1785" s="153"/>
      <c r="AD1785" s="154"/>
      <c r="AE1785" s="153"/>
      <c r="AF1785" s="153"/>
      <c r="AG1785" s="153"/>
      <c r="AH1785" s="153"/>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c r="BF1785" s="153"/>
      <c r="BG1785" s="153"/>
      <c r="BH1785" s="153"/>
      <c r="BI1785" s="153"/>
      <c r="BJ1785" s="153"/>
      <c r="BK1785" s="153"/>
      <c r="BL1785" s="153"/>
      <c r="BM1785" s="153"/>
      <c r="BN1785" s="153"/>
      <c r="BO1785" s="153"/>
      <c r="BP1785" s="153"/>
      <c r="BQ1785" s="153"/>
      <c r="BR1785" s="153"/>
      <c r="BS1785" s="153"/>
      <c r="BT1785" s="153"/>
      <c r="BU1785" s="153"/>
      <c r="BV1785" s="153"/>
      <c r="BW1785" s="153"/>
      <c r="BX1785" s="153"/>
      <c r="BY1785" s="153"/>
      <c r="BZ1785" s="153"/>
      <c r="CA1785" s="153"/>
      <c r="CB1785" s="153"/>
      <c r="CC1785" s="153"/>
      <c r="CD1785" s="155"/>
      <c r="CE1785" s="156"/>
      <c r="CF1785" s="155"/>
      <c r="CG1785" s="156"/>
      <c r="CH1785" s="155"/>
      <c r="CI1785" s="156"/>
      <c r="CJ1785" s="157">
        <f t="shared" si="224"/>
        <v>0</v>
      </c>
      <c r="CK1785" s="158"/>
      <c r="CL1785" s="159"/>
      <c r="CM1785" s="160"/>
      <c r="CN1785" s="161"/>
      <c r="CO1785" s="162"/>
      <c r="CP1785" s="161"/>
      <c r="CQ1785" s="158"/>
      <c r="CR1785" s="159"/>
      <c r="CS1785" s="68"/>
      <c r="CT1785" s="163"/>
      <c r="EC1785" s="366" t="str">
        <f t="shared" si="227"/>
        <v>BOYACA_TUNJA</v>
      </c>
      <c r="ED1785" s="367"/>
      <c r="EE1785" s="367"/>
      <c r="EF1785" s="368"/>
      <c r="EG1785" s="367"/>
      <c r="EH1785" s="367"/>
      <c r="EI1785" s="367"/>
    </row>
    <row r="1786" spans="1:139" s="164" customFormat="1" ht="60">
      <c r="A1786" s="228">
        <v>40500</v>
      </c>
      <c r="B1786" s="205" t="s">
        <v>1617</v>
      </c>
      <c r="C1786" s="205" t="s">
        <v>1057</v>
      </c>
      <c r="D1786" s="207" t="s">
        <v>1201</v>
      </c>
      <c r="E1786" s="323" t="s">
        <v>4285</v>
      </c>
      <c r="F1786" s="323"/>
      <c r="G1786" s="204"/>
      <c r="H1786" s="151"/>
      <c r="I1786" s="151"/>
      <c r="J1786" s="151">
        <v>249</v>
      </c>
      <c r="K1786" s="151">
        <v>69</v>
      </c>
      <c r="L1786" s="1"/>
      <c r="M1786" s="73">
        <f t="shared" si="222"/>
        <v>0</v>
      </c>
      <c r="N1786" s="73">
        <f t="shared" si="226"/>
        <v>0</v>
      </c>
      <c r="O1786" s="73">
        <f t="shared" si="228"/>
        <v>0</v>
      </c>
      <c r="P1786" s="73">
        <f t="shared" si="223"/>
        <v>0</v>
      </c>
      <c r="Q1786" s="73"/>
      <c r="R1786" s="73">
        <v>0</v>
      </c>
      <c r="S1786" s="75">
        <f t="shared" si="225"/>
        <v>0</v>
      </c>
      <c r="T1786" s="77">
        <v>0</v>
      </c>
      <c r="U1786" s="66">
        <v>40504</v>
      </c>
      <c r="V1786" s="79"/>
      <c r="W1786" s="66" t="s">
        <v>1585</v>
      </c>
      <c r="X1786" s="24" t="s">
        <v>1586</v>
      </c>
      <c r="Y1786" s="62"/>
      <c r="Z1786" s="169" t="s">
        <v>894</v>
      </c>
      <c r="AA1786" s="166" t="s">
        <v>2096</v>
      </c>
      <c r="AB1786" s="152"/>
      <c r="AC1786" s="153"/>
      <c r="AD1786" s="154"/>
      <c r="AE1786" s="153"/>
      <c r="AF1786" s="153"/>
      <c r="AG1786" s="153"/>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c r="BF1786" s="153"/>
      <c r="BG1786" s="153"/>
      <c r="BH1786" s="153"/>
      <c r="BI1786" s="153"/>
      <c r="BJ1786" s="153"/>
      <c r="BK1786" s="153"/>
      <c r="BL1786" s="153"/>
      <c r="BM1786" s="153"/>
      <c r="BN1786" s="153"/>
      <c r="BO1786" s="153"/>
      <c r="BP1786" s="153"/>
      <c r="BQ1786" s="153"/>
      <c r="BR1786" s="153"/>
      <c r="BS1786" s="153"/>
      <c r="BT1786" s="153"/>
      <c r="BU1786" s="153"/>
      <c r="BV1786" s="153"/>
      <c r="BW1786" s="153"/>
      <c r="BX1786" s="153"/>
      <c r="BY1786" s="153"/>
      <c r="BZ1786" s="153"/>
      <c r="CA1786" s="153"/>
      <c r="CB1786" s="153"/>
      <c r="CC1786" s="153"/>
      <c r="CD1786" s="155"/>
      <c r="CE1786" s="156"/>
      <c r="CF1786" s="155"/>
      <c r="CG1786" s="156"/>
      <c r="CH1786" s="155"/>
      <c r="CI1786" s="156"/>
      <c r="CJ1786" s="157">
        <f t="shared" si="224"/>
        <v>0</v>
      </c>
      <c r="CK1786" s="158"/>
      <c r="CL1786" s="159"/>
      <c r="CM1786" s="160"/>
      <c r="CN1786" s="161"/>
      <c r="CO1786" s="162"/>
      <c r="CP1786" s="161"/>
      <c r="CQ1786" s="158"/>
      <c r="CR1786" s="159"/>
      <c r="CS1786" s="68"/>
      <c r="CT1786" s="163"/>
      <c r="EC1786" s="366" t="str">
        <f t="shared" si="227"/>
        <v>CASANARE_SABANALARGA</v>
      </c>
      <c r="ED1786" s="367"/>
      <c r="EE1786" s="367"/>
      <c r="EF1786" s="368"/>
      <c r="EG1786" s="367"/>
      <c r="EH1786" s="367"/>
      <c r="EI1786" s="367"/>
    </row>
    <row r="1787" spans="1:139" s="164" customFormat="1" ht="48">
      <c r="A1787" s="228">
        <v>40500</v>
      </c>
      <c r="B1787" s="205" t="s">
        <v>1821</v>
      </c>
      <c r="C1787" s="205" t="s">
        <v>425</v>
      </c>
      <c r="D1787" s="206" t="s">
        <v>1878</v>
      </c>
      <c r="E1787" s="320" t="s">
        <v>3633</v>
      </c>
      <c r="F1787" s="320"/>
      <c r="G1787" s="204"/>
      <c r="H1787" s="151"/>
      <c r="I1787" s="151"/>
      <c r="J1787" s="151"/>
      <c r="K1787" s="151"/>
      <c r="L1787" s="1"/>
      <c r="M1787" s="73">
        <f t="shared" si="222"/>
        <v>0</v>
      </c>
      <c r="N1787" s="73">
        <f t="shared" si="226"/>
        <v>0</v>
      </c>
      <c r="O1787" s="73">
        <f t="shared" si="228"/>
        <v>0</v>
      </c>
      <c r="P1787" s="73">
        <f t="shared" si="223"/>
        <v>0</v>
      </c>
      <c r="Q1787" s="73"/>
      <c r="R1787" s="73">
        <v>0</v>
      </c>
      <c r="S1787" s="75">
        <f t="shared" si="225"/>
        <v>0</v>
      </c>
      <c r="T1787" s="77">
        <v>0</v>
      </c>
      <c r="U1787" s="66">
        <v>40504</v>
      </c>
      <c r="V1787" s="79"/>
      <c r="W1787" s="66" t="s">
        <v>1585</v>
      </c>
      <c r="X1787" s="24" t="s">
        <v>1586</v>
      </c>
      <c r="Y1787" s="62"/>
      <c r="Z1787" s="169" t="s">
        <v>894</v>
      </c>
      <c r="AA1787" s="166" t="s">
        <v>2808</v>
      </c>
      <c r="AB1787" s="152"/>
      <c r="AC1787" s="153"/>
      <c r="AD1787" s="154"/>
      <c r="AE1787" s="153"/>
      <c r="AF1787" s="153"/>
      <c r="AG1787" s="153"/>
      <c r="AH1787" s="153"/>
      <c r="AI1787" s="153"/>
      <c r="AJ1787" s="153"/>
      <c r="AK1787" s="153"/>
      <c r="AL1787" s="153"/>
      <c r="AM1787" s="153"/>
      <c r="AN1787" s="153"/>
      <c r="AO1787" s="153"/>
      <c r="AP1787" s="153"/>
      <c r="AQ1787" s="153"/>
      <c r="AR1787" s="153"/>
      <c r="AS1787" s="153"/>
      <c r="AT1787" s="153"/>
      <c r="AU1787" s="153"/>
      <c r="AV1787" s="153"/>
      <c r="AW1787" s="153"/>
      <c r="AX1787" s="153"/>
      <c r="AY1787" s="153"/>
      <c r="AZ1787" s="153"/>
      <c r="BA1787" s="153"/>
      <c r="BB1787" s="153"/>
      <c r="BC1787" s="153"/>
      <c r="BD1787" s="153"/>
      <c r="BE1787" s="153"/>
      <c r="BF1787" s="153"/>
      <c r="BG1787" s="153"/>
      <c r="BH1787" s="153"/>
      <c r="BI1787" s="153"/>
      <c r="BJ1787" s="153"/>
      <c r="BK1787" s="153"/>
      <c r="BL1787" s="153"/>
      <c r="BM1787" s="153"/>
      <c r="BN1787" s="153"/>
      <c r="BO1787" s="153"/>
      <c r="BP1787" s="153"/>
      <c r="BQ1787" s="153"/>
      <c r="BR1787" s="153"/>
      <c r="BS1787" s="153"/>
      <c r="BT1787" s="153"/>
      <c r="BU1787" s="153"/>
      <c r="BV1787" s="153"/>
      <c r="BW1787" s="153"/>
      <c r="BX1787" s="153"/>
      <c r="BY1787" s="153"/>
      <c r="BZ1787" s="153"/>
      <c r="CA1787" s="153"/>
      <c r="CB1787" s="153"/>
      <c r="CC1787" s="153"/>
      <c r="CD1787" s="155"/>
      <c r="CE1787" s="156"/>
      <c r="CF1787" s="155"/>
      <c r="CG1787" s="156"/>
      <c r="CH1787" s="155"/>
      <c r="CI1787" s="156"/>
      <c r="CJ1787" s="157">
        <f t="shared" si="224"/>
        <v>0</v>
      </c>
      <c r="CK1787" s="158"/>
      <c r="CL1787" s="159"/>
      <c r="CM1787" s="160"/>
      <c r="CN1787" s="161"/>
      <c r="CO1787" s="162"/>
      <c r="CP1787" s="161"/>
      <c r="CQ1787" s="158"/>
      <c r="CR1787" s="159"/>
      <c r="CS1787" s="68"/>
      <c r="CT1787" s="163"/>
      <c r="EC1787" s="366" t="str">
        <f t="shared" si="227"/>
        <v>CESAR_BOSCONIA</v>
      </c>
      <c r="ED1787" s="367"/>
      <c r="EE1787" s="367"/>
      <c r="EF1787" s="368"/>
      <c r="EG1787" s="367"/>
      <c r="EH1787" s="367"/>
      <c r="EI1787" s="367"/>
    </row>
    <row r="1788" spans="1:139" s="164" customFormat="1" ht="72">
      <c r="A1788" s="228">
        <v>40500</v>
      </c>
      <c r="B1788" s="205" t="s">
        <v>1821</v>
      </c>
      <c r="C1788" s="205" t="s">
        <v>1770</v>
      </c>
      <c r="D1788" s="207" t="s">
        <v>1201</v>
      </c>
      <c r="E1788" s="323" t="s">
        <v>3639</v>
      </c>
      <c r="F1788" s="323"/>
      <c r="G1788" s="204"/>
      <c r="H1788" s="151"/>
      <c r="I1788" s="151"/>
      <c r="J1788" s="151">
        <v>10000</v>
      </c>
      <c r="K1788" s="151">
        <v>2000</v>
      </c>
      <c r="L1788" s="1"/>
      <c r="M1788" s="73">
        <f t="shared" si="222"/>
        <v>0</v>
      </c>
      <c r="N1788" s="73">
        <f t="shared" si="226"/>
        <v>0</v>
      </c>
      <c r="O1788" s="73">
        <f t="shared" si="228"/>
        <v>0</v>
      </c>
      <c r="P1788" s="73">
        <f t="shared" si="223"/>
        <v>0</v>
      </c>
      <c r="Q1788" s="73"/>
      <c r="R1788" s="73">
        <v>0</v>
      </c>
      <c r="S1788" s="75">
        <f t="shared" si="225"/>
        <v>0</v>
      </c>
      <c r="T1788" s="77">
        <v>0</v>
      </c>
      <c r="U1788" s="66">
        <v>40504</v>
      </c>
      <c r="V1788" s="79"/>
      <c r="W1788" s="66" t="s">
        <v>1585</v>
      </c>
      <c r="X1788" s="67" t="s">
        <v>1586</v>
      </c>
      <c r="Y1788" s="62"/>
      <c r="Z1788" s="169" t="s">
        <v>894</v>
      </c>
      <c r="AA1788" s="166" t="s">
        <v>2111</v>
      </c>
      <c r="AB1788" s="152"/>
      <c r="AC1788" s="153"/>
      <c r="AD1788" s="154"/>
      <c r="AE1788" s="153"/>
      <c r="AF1788" s="153"/>
      <c r="AG1788" s="153"/>
      <c r="AH1788" s="153"/>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c r="BF1788" s="153"/>
      <c r="BG1788" s="153"/>
      <c r="BH1788" s="153"/>
      <c r="BI1788" s="153"/>
      <c r="BJ1788" s="153"/>
      <c r="BK1788" s="153"/>
      <c r="BL1788" s="153"/>
      <c r="BM1788" s="153"/>
      <c r="BN1788" s="153"/>
      <c r="BO1788" s="153"/>
      <c r="BP1788" s="153"/>
      <c r="BQ1788" s="153"/>
      <c r="BR1788" s="153"/>
      <c r="BS1788" s="153"/>
      <c r="BT1788" s="153"/>
      <c r="BU1788" s="153"/>
      <c r="BV1788" s="153"/>
      <c r="BW1788" s="153"/>
      <c r="BX1788" s="153"/>
      <c r="BY1788" s="153"/>
      <c r="BZ1788" s="153"/>
      <c r="CA1788" s="153"/>
      <c r="CB1788" s="153"/>
      <c r="CC1788" s="153"/>
      <c r="CD1788" s="155"/>
      <c r="CE1788" s="156"/>
      <c r="CF1788" s="155"/>
      <c r="CG1788" s="156"/>
      <c r="CH1788" s="155"/>
      <c r="CI1788" s="156"/>
      <c r="CJ1788" s="157">
        <f t="shared" si="224"/>
        <v>0</v>
      </c>
      <c r="CK1788" s="158"/>
      <c r="CL1788" s="159"/>
      <c r="CM1788" s="160"/>
      <c r="CN1788" s="161"/>
      <c r="CO1788" s="162"/>
      <c r="CP1788" s="161"/>
      <c r="CQ1788" s="158"/>
      <c r="CR1788" s="159"/>
      <c r="CS1788" s="68"/>
      <c r="CT1788" s="163"/>
      <c r="EC1788" s="366" t="str">
        <f t="shared" si="227"/>
        <v>CESAR_GAMARRA</v>
      </c>
      <c r="ED1788" s="367"/>
      <c r="EE1788" s="367"/>
      <c r="EF1788" s="368"/>
      <c r="EG1788" s="367"/>
      <c r="EH1788" s="367"/>
      <c r="EI1788" s="367"/>
    </row>
    <row r="1789" spans="1:139" s="164" customFormat="1" ht="51">
      <c r="A1789" s="228">
        <v>40500</v>
      </c>
      <c r="B1789" s="205" t="s">
        <v>1996</v>
      </c>
      <c r="C1789" s="205" t="s">
        <v>3152</v>
      </c>
      <c r="D1789" s="207" t="s">
        <v>1201</v>
      </c>
      <c r="E1789" s="323" t="s">
        <v>3801</v>
      </c>
      <c r="F1789" s="323"/>
      <c r="G1789" s="204"/>
      <c r="H1789" s="151"/>
      <c r="I1789" s="151"/>
      <c r="J1789" s="151">
        <v>2830</v>
      </c>
      <c r="K1789" s="151">
        <v>573</v>
      </c>
      <c r="L1789" s="1"/>
      <c r="M1789" s="73">
        <f t="shared" si="222"/>
        <v>27114000</v>
      </c>
      <c r="N1789" s="73">
        <f t="shared" si="226"/>
        <v>48705000</v>
      </c>
      <c r="O1789" s="73">
        <f t="shared" si="228"/>
        <v>0</v>
      </c>
      <c r="P1789" s="73">
        <f t="shared" si="223"/>
        <v>0</v>
      </c>
      <c r="Q1789" s="73"/>
      <c r="R1789" s="73">
        <v>0</v>
      </c>
      <c r="S1789" s="75">
        <f t="shared" si="225"/>
        <v>75819000</v>
      </c>
      <c r="T1789" s="77">
        <v>0</v>
      </c>
      <c r="U1789" s="228">
        <v>40512</v>
      </c>
      <c r="V1789" s="79"/>
      <c r="W1789" s="66" t="s">
        <v>1606</v>
      </c>
      <c r="X1789" s="24" t="s">
        <v>1607</v>
      </c>
      <c r="Y1789" s="62"/>
      <c r="Z1789" s="169" t="s">
        <v>894</v>
      </c>
      <c r="AA1789" s="166"/>
      <c r="AB1789" s="152"/>
      <c r="AC1789" s="153"/>
      <c r="AD1789" s="154"/>
      <c r="AE1789" s="153"/>
      <c r="AF1789" s="153"/>
      <c r="AG1789" s="153"/>
      <c r="AH1789" s="153"/>
      <c r="AI1789" s="153"/>
      <c r="AJ1789" s="153"/>
      <c r="AK1789" s="153"/>
      <c r="AL1789" s="153"/>
      <c r="AM1789" s="153"/>
      <c r="AN1789" s="153"/>
      <c r="AO1789" s="153"/>
      <c r="AP1789" s="153">
        <v>300</v>
      </c>
      <c r="AQ1789" s="153">
        <f>300*56000</f>
        <v>16800000</v>
      </c>
      <c r="AR1789" s="153"/>
      <c r="AS1789" s="153"/>
      <c r="AT1789" s="153"/>
      <c r="AU1789" s="153"/>
      <c r="AV1789" s="153"/>
      <c r="AW1789" s="153"/>
      <c r="AX1789" s="153"/>
      <c r="AY1789" s="153"/>
      <c r="AZ1789" s="153"/>
      <c r="BA1789" s="153"/>
      <c r="BB1789" s="153"/>
      <c r="BC1789" s="153"/>
      <c r="BD1789" s="153"/>
      <c r="BE1789" s="153"/>
      <c r="BF1789" s="153"/>
      <c r="BG1789" s="153"/>
      <c r="BH1789" s="153"/>
      <c r="BI1789" s="153"/>
      <c r="BJ1789" s="153"/>
      <c r="BK1789" s="153"/>
      <c r="BL1789" s="153"/>
      <c r="BM1789" s="153"/>
      <c r="BN1789" s="153"/>
      <c r="BO1789" s="153"/>
      <c r="BP1789" s="153"/>
      <c r="BQ1789" s="153"/>
      <c r="BR1789" s="153"/>
      <c r="BS1789" s="153"/>
      <c r="BT1789" s="153"/>
      <c r="BU1789" s="153"/>
      <c r="BV1789" s="153"/>
      <c r="BW1789" s="153"/>
      <c r="BX1789" s="153"/>
      <c r="BY1789" s="153"/>
      <c r="BZ1789" s="153"/>
      <c r="CA1789" s="153"/>
      <c r="CB1789" s="153">
        <v>573</v>
      </c>
      <c r="CC1789" s="153">
        <f>573*18000</f>
        <v>10314000</v>
      </c>
      <c r="CD1789" s="155"/>
      <c r="CE1789" s="156"/>
      <c r="CF1789" s="155"/>
      <c r="CG1789" s="156"/>
      <c r="CH1789" s="155"/>
      <c r="CI1789" s="156"/>
      <c r="CJ1789" s="157">
        <f t="shared" si="224"/>
        <v>27114000</v>
      </c>
      <c r="CK1789" s="158"/>
      <c r="CL1789" s="159"/>
      <c r="CM1789" s="160">
        <v>573</v>
      </c>
      <c r="CN1789" s="161">
        <f>573*85000</f>
        <v>48705000</v>
      </c>
      <c r="CO1789" s="162"/>
      <c r="CP1789" s="161"/>
      <c r="CQ1789" s="158"/>
      <c r="CR1789" s="159"/>
      <c r="CS1789" s="68"/>
      <c r="CT1789" s="163"/>
      <c r="EC1789" s="366" t="str">
        <f t="shared" si="227"/>
        <v>CHOCO_EL CANTON DEL SAN PABLO</v>
      </c>
      <c r="ED1789" s="367"/>
      <c r="EE1789" s="367"/>
      <c r="EF1789" s="368"/>
      <c r="EG1789" s="367"/>
      <c r="EH1789" s="367"/>
      <c r="EI1789" s="367"/>
    </row>
    <row r="1790" spans="1:139" s="164" customFormat="1" ht="51">
      <c r="A1790" s="228">
        <v>40500</v>
      </c>
      <c r="B1790" s="205" t="s">
        <v>1996</v>
      </c>
      <c r="C1790" s="205" t="s">
        <v>1081</v>
      </c>
      <c r="D1790" s="207" t="s">
        <v>1201</v>
      </c>
      <c r="E1790" s="323" t="s">
        <v>3818</v>
      </c>
      <c r="F1790" s="323"/>
      <c r="G1790" s="204"/>
      <c r="H1790" s="151"/>
      <c r="I1790" s="151"/>
      <c r="J1790" s="151">
        <v>1438</v>
      </c>
      <c r="K1790" s="151">
        <v>297</v>
      </c>
      <c r="L1790" s="1"/>
      <c r="M1790" s="73">
        <f t="shared" si="222"/>
        <v>12600000</v>
      </c>
      <c r="N1790" s="73">
        <f t="shared" si="226"/>
        <v>59500000</v>
      </c>
      <c r="O1790" s="73">
        <f t="shared" si="228"/>
        <v>0</v>
      </c>
      <c r="P1790" s="73">
        <f t="shared" si="223"/>
        <v>0</v>
      </c>
      <c r="Q1790" s="73"/>
      <c r="R1790" s="73">
        <v>0</v>
      </c>
      <c r="S1790" s="75">
        <f t="shared" si="225"/>
        <v>72100000</v>
      </c>
      <c r="T1790" s="77">
        <v>0</v>
      </c>
      <c r="U1790" s="228">
        <v>40512</v>
      </c>
      <c r="V1790" s="79"/>
      <c r="W1790" s="66" t="s">
        <v>1606</v>
      </c>
      <c r="X1790" s="24" t="s">
        <v>1607</v>
      </c>
      <c r="Y1790" s="62"/>
      <c r="Z1790" s="169" t="s">
        <v>894</v>
      </c>
      <c r="AA1790" s="166"/>
      <c r="AB1790" s="152"/>
      <c r="AC1790" s="153"/>
      <c r="AD1790" s="154"/>
      <c r="AE1790" s="153"/>
      <c r="AF1790" s="153"/>
      <c r="AG1790" s="153"/>
      <c r="AH1790" s="153"/>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c r="BF1790" s="153"/>
      <c r="BG1790" s="153"/>
      <c r="BH1790" s="153"/>
      <c r="BI1790" s="153"/>
      <c r="BJ1790" s="153"/>
      <c r="BK1790" s="153"/>
      <c r="BL1790" s="153"/>
      <c r="BM1790" s="153"/>
      <c r="BN1790" s="153"/>
      <c r="BO1790" s="153"/>
      <c r="BP1790" s="153"/>
      <c r="BQ1790" s="153"/>
      <c r="BR1790" s="153"/>
      <c r="BS1790" s="153"/>
      <c r="BT1790" s="153"/>
      <c r="BU1790" s="153"/>
      <c r="BV1790" s="153"/>
      <c r="BW1790" s="153"/>
      <c r="BX1790" s="153"/>
      <c r="BY1790" s="153"/>
      <c r="BZ1790" s="153"/>
      <c r="CA1790" s="153"/>
      <c r="CB1790" s="153">
        <v>700</v>
      </c>
      <c r="CC1790" s="153">
        <f>700*18000</f>
        <v>12600000</v>
      </c>
      <c r="CD1790" s="155"/>
      <c r="CE1790" s="156"/>
      <c r="CF1790" s="155"/>
      <c r="CG1790" s="156"/>
      <c r="CH1790" s="155"/>
      <c r="CI1790" s="156"/>
      <c r="CJ1790" s="157">
        <f t="shared" si="224"/>
        <v>12600000</v>
      </c>
      <c r="CK1790" s="158"/>
      <c r="CL1790" s="159"/>
      <c r="CM1790" s="160">
        <v>700</v>
      </c>
      <c r="CN1790" s="161">
        <f>700*85000</f>
        <v>59500000</v>
      </c>
      <c r="CO1790" s="162"/>
      <c r="CP1790" s="161"/>
      <c r="CQ1790" s="158"/>
      <c r="CR1790" s="159"/>
      <c r="CS1790" s="68"/>
      <c r="CT1790" s="163"/>
      <c r="EC1790" s="366" t="str">
        <f t="shared" si="227"/>
        <v>CHOCO_SAN JOSE DEL PALMAR</v>
      </c>
      <c r="ED1790" s="367"/>
      <c r="EE1790" s="367"/>
      <c r="EF1790" s="368"/>
      <c r="EG1790" s="367"/>
      <c r="EH1790" s="367"/>
      <c r="EI1790" s="367"/>
    </row>
    <row r="1791" spans="1:139" s="164" customFormat="1" ht="38.25">
      <c r="A1791" s="228">
        <v>40500</v>
      </c>
      <c r="B1791" s="205" t="s">
        <v>1604</v>
      </c>
      <c r="C1791" s="205" t="s">
        <v>2498</v>
      </c>
      <c r="D1791" s="207" t="s">
        <v>1878</v>
      </c>
      <c r="E1791" s="323" t="s">
        <v>3692</v>
      </c>
      <c r="F1791" s="323"/>
      <c r="G1791" s="204"/>
      <c r="H1791" s="151"/>
      <c r="I1791" s="151"/>
      <c r="J1791" s="151">
        <v>65</v>
      </c>
      <c r="K1791" s="151">
        <v>13</v>
      </c>
      <c r="L1791" s="1"/>
      <c r="M1791" s="73">
        <f t="shared" si="222"/>
        <v>0</v>
      </c>
      <c r="N1791" s="73">
        <f t="shared" si="226"/>
        <v>0</v>
      </c>
      <c r="O1791" s="73">
        <f t="shared" si="228"/>
        <v>0</v>
      </c>
      <c r="P1791" s="73">
        <f t="shared" si="223"/>
        <v>0</v>
      </c>
      <c r="Q1791" s="73"/>
      <c r="R1791" s="73">
        <v>0</v>
      </c>
      <c r="S1791" s="75">
        <f t="shared" si="225"/>
        <v>0</v>
      </c>
      <c r="T1791" s="77">
        <v>0</v>
      </c>
      <c r="U1791" s="228">
        <v>40508</v>
      </c>
      <c r="V1791" s="79"/>
      <c r="W1791" s="66" t="s">
        <v>1585</v>
      </c>
      <c r="X1791" s="24" t="s">
        <v>1586</v>
      </c>
      <c r="Y1791" s="62"/>
      <c r="Z1791" s="169" t="s">
        <v>894</v>
      </c>
      <c r="AA1791" s="166" t="s">
        <v>2499</v>
      </c>
      <c r="AB1791" s="152"/>
      <c r="AC1791" s="153"/>
      <c r="AD1791" s="154"/>
      <c r="AE1791" s="153"/>
      <c r="AF1791" s="153"/>
      <c r="AG1791" s="153"/>
      <c r="AH1791" s="153"/>
      <c r="AI1791" s="153"/>
      <c r="AJ1791" s="153"/>
      <c r="AK1791" s="153"/>
      <c r="AL1791" s="153"/>
      <c r="AM1791" s="153"/>
      <c r="AN1791" s="153"/>
      <c r="AO1791" s="153"/>
      <c r="AP1791" s="153"/>
      <c r="AQ1791" s="153"/>
      <c r="AR1791" s="153"/>
      <c r="AS1791" s="153"/>
      <c r="AT1791" s="153"/>
      <c r="AU1791" s="153"/>
      <c r="AV1791" s="153"/>
      <c r="AW1791" s="153"/>
      <c r="AX1791" s="153"/>
      <c r="AY1791" s="153"/>
      <c r="AZ1791" s="153"/>
      <c r="BA1791" s="153"/>
      <c r="BB1791" s="153"/>
      <c r="BC1791" s="153"/>
      <c r="BD1791" s="153"/>
      <c r="BE1791" s="153"/>
      <c r="BF1791" s="153"/>
      <c r="BG1791" s="153"/>
      <c r="BH1791" s="153"/>
      <c r="BI1791" s="153"/>
      <c r="BJ1791" s="153"/>
      <c r="BK1791" s="153"/>
      <c r="BL1791" s="153"/>
      <c r="BM1791" s="153"/>
      <c r="BN1791" s="153"/>
      <c r="BO1791" s="153"/>
      <c r="BP1791" s="153"/>
      <c r="BQ1791" s="153"/>
      <c r="BR1791" s="153"/>
      <c r="BS1791" s="153"/>
      <c r="BT1791" s="153"/>
      <c r="BU1791" s="153"/>
      <c r="BV1791" s="153"/>
      <c r="BW1791" s="153"/>
      <c r="BX1791" s="153"/>
      <c r="BY1791" s="153"/>
      <c r="BZ1791" s="153"/>
      <c r="CA1791" s="153"/>
      <c r="CB1791" s="153"/>
      <c r="CC1791" s="153"/>
      <c r="CD1791" s="155"/>
      <c r="CE1791" s="156"/>
      <c r="CF1791" s="155"/>
      <c r="CG1791" s="156"/>
      <c r="CH1791" s="155"/>
      <c r="CI1791" s="156"/>
      <c r="CJ1791" s="157">
        <f t="shared" si="224"/>
        <v>0</v>
      </c>
      <c r="CK1791" s="158"/>
      <c r="CL1791" s="159"/>
      <c r="CM1791" s="160"/>
      <c r="CN1791" s="161"/>
      <c r="CO1791" s="162"/>
      <c r="CP1791" s="161"/>
      <c r="CQ1791" s="158"/>
      <c r="CR1791" s="159"/>
      <c r="CS1791" s="68"/>
      <c r="CT1791" s="163"/>
      <c r="EC1791" s="366" t="str">
        <f t="shared" si="227"/>
        <v>CUNDINAMARCA_CAQUEZA</v>
      </c>
      <c r="ED1791" s="367"/>
      <c r="EE1791" s="367"/>
      <c r="EF1791" s="368"/>
      <c r="EG1791" s="367"/>
      <c r="EH1791" s="367"/>
      <c r="EI1791" s="367"/>
    </row>
    <row r="1792" spans="1:139" s="164" customFormat="1" ht="38.25">
      <c r="A1792" s="228">
        <v>40500</v>
      </c>
      <c r="B1792" s="205" t="s">
        <v>1604</v>
      </c>
      <c r="C1792" s="205" t="s">
        <v>2478</v>
      </c>
      <c r="D1792" s="206" t="s">
        <v>1878</v>
      </c>
      <c r="E1792" s="320" t="s">
        <v>3706</v>
      </c>
      <c r="F1792" s="320"/>
      <c r="G1792" s="204"/>
      <c r="H1792" s="151"/>
      <c r="I1792" s="151"/>
      <c r="J1792" s="151">
        <v>210</v>
      </c>
      <c r="K1792" s="151">
        <v>42</v>
      </c>
      <c r="L1792" s="1"/>
      <c r="M1792" s="73">
        <f t="shared" si="222"/>
        <v>0</v>
      </c>
      <c r="N1792" s="73">
        <f t="shared" si="226"/>
        <v>0</v>
      </c>
      <c r="O1792" s="73">
        <f t="shared" si="228"/>
        <v>0</v>
      </c>
      <c r="P1792" s="73">
        <f t="shared" si="223"/>
        <v>0</v>
      </c>
      <c r="Q1792" s="73"/>
      <c r="R1792" s="73">
        <v>0</v>
      </c>
      <c r="S1792" s="75">
        <f t="shared" si="225"/>
        <v>0</v>
      </c>
      <c r="T1792" s="77">
        <v>0</v>
      </c>
      <c r="U1792" s="228">
        <v>40506</v>
      </c>
      <c r="V1792" s="79"/>
      <c r="W1792" s="66" t="s">
        <v>1585</v>
      </c>
      <c r="X1792" s="24" t="s">
        <v>1586</v>
      </c>
      <c r="Y1792" s="62"/>
      <c r="Z1792" s="169" t="s">
        <v>894</v>
      </c>
      <c r="AA1792" s="166" t="s">
        <v>2479</v>
      </c>
      <c r="AB1792" s="152"/>
      <c r="AC1792" s="153"/>
      <c r="AD1792" s="154"/>
      <c r="AE1792" s="153"/>
      <c r="AF1792" s="153"/>
      <c r="AG1792" s="153"/>
      <c r="AH1792" s="153"/>
      <c r="AI1792" s="153"/>
      <c r="AJ1792" s="153"/>
      <c r="AK1792" s="153"/>
      <c r="AL1792" s="153"/>
      <c r="AM1792" s="153"/>
      <c r="AN1792" s="153"/>
      <c r="AO1792" s="153"/>
      <c r="AP1792" s="153"/>
      <c r="AQ1792" s="153"/>
      <c r="AR1792" s="153"/>
      <c r="AS1792" s="153"/>
      <c r="AT1792" s="153"/>
      <c r="AU1792" s="153"/>
      <c r="AV1792" s="153"/>
      <c r="AW1792" s="153"/>
      <c r="AX1792" s="153"/>
      <c r="AY1792" s="153"/>
      <c r="AZ1792" s="153"/>
      <c r="BA1792" s="153"/>
      <c r="BB1792" s="153"/>
      <c r="BC1792" s="153"/>
      <c r="BD1792" s="153"/>
      <c r="BE1792" s="153"/>
      <c r="BF1792" s="153"/>
      <c r="BG1792" s="153"/>
      <c r="BH1792" s="153"/>
      <c r="BI1792" s="153"/>
      <c r="BJ1792" s="153"/>
      <c r="BK1792" s="153"/>
      <c r="BL1792" s="153"/>
      <c r="BM1792" s="153"/>
      <c r="BN1792" s="153"/>
      <c r="BO1792" s="153"/>
      <c r="BP1792" s="153"/>
      <c r="BQ1792" s="153"/>
      <c r="BR1792" s="153"/>
      <c r="BS1792" s="153"/>
      <c r="BT1792" s="153"/>
      <c r="BU1792" s="153"/>
      <c r="BV1792" s="153"/>
      <c r="BW1792" s="153"/>
      <c r="BX1792" s="153"/>
      <c r="BY1792" s="153"/>
      <c r="BZ1792" s="153"/>
      <c r="CA1792" s="153"/>
      <c r="CB1792" s="153"/>
      <c r="CC1792" s="153"/>
      <c r="CD1792" s="155"/>
      <c r="CE1792" s="156"/>
      <c r="CF1792" s="155"/>
      <c r="CG1792" s="156"/>
      <c r="CH1792" s="155"/>
      <c r="CI1792" s="156"/>
      <c r="CJ1792" s="157">
        <f t="shared" si="224"/>
        <v>0</v>
      </c>
      <c r="CK1792" s="158"/>
      <c r="CL1792" s="159"/>
      <c r="CM1792" s="160"/>
      <c r="CN1792" s="161"/>
      <c r="CO1792" s="162"/>
      <c r="CP1792" s="161"/>
      <c r="CQ1792" s="158"/>
      <c r="CR1792" s="159"/>
      <c r="CS1792" s="68"/>
      <c r="CT1792" s="163"/>
      <c r="EC1792" s="366" t="str">
        <f t="shared" si="227"/>
        <v>CUNDINAMARCA_FOSCA</v>
      </c>
      <c r="ED1792" s="367"/>
      <c r="EE1792" s="367"/>
      <c r="EF1792" s="368"/>
      <c r="EG1792" s="367"/>
      <c r="EH1792" s="367"/>
      <c r="EI1792" s="367"/>
    </row>
    <row r="1793" spans="1:139" s="164" customFormat="1" ht="38.25">
      <c r="A1793" s="228">
        <v>40500</v>
      </c>
      <c r="B1793" s="205" t="s">
        <v>1604</v>
      </c>
      <c r="C1793" s="205" t="s">
        <v>1182</v>
      </c>
      <c r="D1793" s="206" t="s">
        <v>1878</v>
      </c>
      <c r="E1793" s="320" t="s">
        <v>3722</v>
      </c>
      <c r="F1793" s="320"/>
      <c r="G1793" s="204"/>
      <c r="H1793" s="151"/>
      <c r="I1793" s="151"/>
      <c r="J1793" s="151"/>
      <c r="K1793" s="151"/>
      <c r="L1793" s="1"/>
      <c r="M1793" s="73">
        <f t="shared" si="222"/>
        <v>0</v>
      </c>
      <c r="N1793" s="73">
        <f t="shared" si="226"/>
        <v>0</v>
      </c>
      <c r="O1793" s="73">
        <f t="shared" si="228"/>
        <v>0</v>
      </c>
      <c r="P1793" s="73">
        <f t="shared" si="223"/>
        <v>0</v>
      </c>
      <c r="Q1793" s="73"/>
      <c r="R1793" s="73">
        <v>0</v>
      </c>
      <c r="S1793" s="75">
        <f t="shared" si="225"/>
        <v>0</v>
      </c>
      <c r="T1793" s="77">
        <v>0</v>
      </c>
      <c r="U1793" s="66">
        <v>40506</v>
      </c>
      <c r="V1793" s="79"/>
      <c r="W1793" s="66" t="s">
        <v>1585</v>
      </c>
      <c r="X1793" s="24" t="s">
        <v>1586</v>
      </c>
      <c r="Y1793" s="62"/>
      <c r="Z1793" s="169" t="s">
        <v>894</v>
      </c>
      <c r="AA1793" s="166" t="s">
        <v>1501</v>
      </c>
      <c r="AB1793" s="152"/>
      <c r="AC1793" s="153"/>
      <c r="AD1793" s="154"/>
      <c r="AE1793" s="153"/>
      <c r="AF1793" s="153"/>
      <c r="AG1793" s="153"/>
      <c r="AH1793" s="153"/>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c r="BF1793" s="153"/>
      <c r="BG1793" s="153"/>
      <c r="BH1793" s="153"/>
      <c r="BI1793" s="153"/>
      <c r="BJ1793" s="153"/>
      <c r="BK1793" s="153"/>
      <c r="BL1793" s="153"/>
      <c r="BM1793" s="153"/>
      <c r="BN1793" s="153"/>
      <c r="BO1793" s="153"/>
      <c r="BP1793" s="153"/>
      <c r="BQ1793" s="153"/>
      <c r="BR1793" s="153"/>
      <c r="BS1793" s="153"/>
      <c r="BT1793" s="153"/>
      <c r="BU1793" s="153"/>
      <c r="BV1793" s="153"/>
      <c r="BW1793" s="153"/>
      <c r="BX1793" s="153"/>
      <c r="BY1793" s="153"/>
      <c r="BZ1793" s="153"/>
      <c r="CA1793" s="153"/>
      <c r="CB1793" s="153"/>
      <c r="CC1793" s="153"/>
      <c r="CD1793" s="155"/>
      <c r="CE1793" s="156"/>
      <c r="CF1793" s="155"/>
      <c r="CG1793" s="156"/>
      <c r="CH1793" s="155"/>
      <c r="CI1793" s="156"/>
      <c r="CJ1793" s="157">
        <f t="shared" si="224"/>
        <v>0</v>
      </c>
      <c r="CK1793" s="158"/>
      <c r="CL1793" s="159"/>
      <c r="CM1793" s="160"/>
      <c r="CN1793" s="161"/>
      <c r="CO1793" s="162"/>
      <c r="CP1793" s="161"/>
      <c r="CQ1793" s="158"/>
      <c r="CR1793" s="159"/>
      <c r="CS1793" s="68"/>
      <c r="CT1793" s="163"/>
      <c r="EC1793" s="366" t="str">
        <f t="shared" si="227"/>
        <v>CUNDINAMARCA_GUTIERREZ</v>
      </c>
      <c r="ED1793" s="367"/>
      <c r="EE1793" s="367"/>
      <c r="EF1793" s="368"/>
      <c r="EG1793" s="367"/>
      <c r="EH1793" s="367"/>
      <c r="EI1793" s="367"/>
    </row>
    <row r="1794" spans="1:139" s="164" customFormat="1" ht="38.25">
      <c r="A1794" s="228">
        <v>40500</v>
      </c>
      <c r="B1794" s="205" t="s">
        <v>1604</v>
      </c>
      <c r="C1794" s="205" t="s">
        <v>185</v>
      </c>
      <c r="D1794" s="207" t="s">
        <v>1878</v>
      </c>
      <c r="E1794" s="323" t="s">
        <v>3746</v>
      </c>
      <c r="F1794" s="323"/>
      <c r="G1794" s="204"/>
      <c r="H1794" s="151"/>
      <c r="I1794" s="151"/>
      <c r="J1794" s="151"/>
      <c r="K1794" s="151"/>
      <c r="L1794" s="1"/>
      <c r="M1794" s="73">
        <f t="shared" si="222"/>
        <v>0</v>
      </c>
      <c r="N1794" s="73">
        <f t="shared" si="226"/>
        <v>0</v>
      </c>
      <c r="O1794" s="73">
        <f t="shared" si="228"/>
        <v>0</v>
      </c>
      <c r="P1794" s="73">
        <f t="shared" si="223"/>
        <v>0</v>
      </c>
      <c r="Q1794" s="73"/>
      <c r="R1794" s="73">
        <v>0</v>
      </c>
      <c r="S1794" s="75">
        <f t="shared" si="225"/>
        <v>0</v>
      </c>
      <c r="T1794" s="77">
        <v>0</v>
      </c>
      <c r="U1794" s="66">
        <v>40612</v>
      </c>
      <c r="V1794" s="79"/>
      <c r="W1794" s="66" t="s">
        <v>1585</v>
      </c>
      <c r="X1794" s="24" t="s">
        <v>1586</v>
      </c>
      <c r="Y1794" s="62"/>
      <c r="Z1794" s="169" t="s">
        <v>894</v>
      </c>
      <c r="AA1794" s="166" t="s">
        <v>155</v>
      </c>
      <c r="AB1794" s="152"/>
      <c r="AC1794" s="153"/>
      <c r="AD1794" s="154"/>
      <c r="AE1794" s="153"/>
      <c r="AF1794" s="153"/>
      <c r="AG1794" s="153"/>
      <c r="AH1794" s="153"/>
      <c r="AI1794" s="153"/>
      <c r="AJ1794" s="153"/>
      <c r="AK1794" s="153"/>
      <c r="AL1794" s="153"/>
      <c r="AM1794" s="153"/>
      <c r="AN1794" s="153"/>
      <c r="AO1794" s="153"/>
      <c r="AP1794" s="153"/>
      <c r="AQ1794" s="153"/>
      <c r="AR1794" s="153"/>
      <c r="AS1794" s="153"/>
      <c r="AT1794" s="153"/>
      <c r="AU1794" s="153"/>
      <c r="AV1794" s="153"/>
      <c r="AW1794" s="153"/>
      <c r="AX1794" s="153"/>
      <c r="AY1794" s="153"/>
      <c r="AZ1794" s="153"/>
      <c r="BA1794" s="153"/>
      <c r="BB1794" s="153"/>
      <c r="BC1794" s="153"/>
      <c r="BD1794" s="153"/>
      <c r="BE1794" s="153"/>
      <c r="BF1794" s="153"/>
      <c r="BG1794" s="153"/>
      <c r="BH1794" s="153"/>
      <c r="BI1794" s="153"/>
      <c r="BJ1794" s="153"/>
      <c r="BK1794" s="153"/>
      <c r="BL1794" s="153"/>
      <c r="BM1794" s="153"/>
      <c r="BN1794" s="153"/>
      <c r="BO1794" s="153"/>
      <c r="BP1794" s="153"/>
      <c r="BQ1794" s="153"/>
      <c r="BR1794" s="153"/>
      <c r="BS1794" s="153"/>
      <c r="BT1794" s="153"/>
      <c r="BU1794" s="153"/>
      <c r="BV1794" s="153"/>
      <c r="BW1794" s="153"/>
      <c r="BX1794" s="153"/>
      <c r="BY1794" s="153"/>
      <c r="BZ1794" s="153"/>
      <c r="CA1794" s="153"/>
      <c r="CB1794" s="153"/>
      <c r="CC1794" s="153"/>
      <c r="CD1794" s="155"/>
      <c r="CE1794" s="156"/>
      <c r="CF1794" s="155"/>
      <c r="CG1794" s="156"/>
      <c r="CH1794" s="155"/>
      <c r="CI1794" s="156"/>
      <c r="CJ1794" s="157">
        <f t="shared" si="224"/>
        <v>0</v>
      </c>
      <c r="CK1794" s="158"/>
      <c r="CL1794" s="159"/>
      <c r="CM1794" s="160"/>
      <c r="CN1794" s="161"/>
      <c r="CO1794" s="162"/>
      <c r="CP1794" s="161"/>
      <c r="CQ1794" s="158"/>
      <c r="CR1794" s="159"/>
      <c r="CS1794" s="68"/>
      <c r="CT1794" s="163"/>
      <c r="EC1794" s="366" t="str">
        <f t="shared" si="227"/>
        <v>CUNDINAMARCA_PASCA</v>
      </c>
      <c r="ED1794" s="367"/>
      <c r="EE1794" s="367"/>
      <c r="EF1794" s="368"/>
      <c r="EG1794" s="367"/>
      <c r="EH1794" s="367"/>
      <c r="EI1794" s="367"/>
    </row>
    <row r="1795" spans="1:139" s="164" customFormat="1" ht="38.25">
      <c r="A1795" s="228">
        <v>40500</v>
      </c>
      <c r="B1795" s="205" t="s">
        <v>1604</v>
      </c>
      <c r="C1795" s="205" t="s">
        <v>953</v>
      </c>
      <c r="D1795" s="206" t="s">
        <v>1878</v>
      </c>
      <c r="E1795" s="320" t="s">
        <v>3750</v>
      </c>
      <c r="F1795" s="320"/>
      <c r="G1795" s="204"/>
      <c r="H1795" s="151"/>
      <c r="I1795" s="151"/>
      <c r="J1795" s="151"/>
      <c r="K1795" s="151"/>
      <c r="L1795" s="1"/>
      <c r="M1795" s="73">
        <f t="shared" ref="M1795:M1858" si="229">CJ1795</f>
        <v>0</v>
      </c>
      <c r="N1795" s="73">
        <f t="shared" si="226"/>
        <v>0</v>
      </c>
      <c r="O1795" s="73">
        <f t="shared" si="228"/>
        <v>0</v>
      </c>
      <c r="P1795" s="73">
        <f t="shared" ref="P1795:P1858" si="230">CL1795</f>
        <v>0</v>
      </c>
      <c r="Q1795" s="73"/>
      <c r="R1795" s="73">
        <v>0</v>
      </c>
      <c r="S1795" s="75">
        <f t="shared" si="225"/>
        <v>0</v>
      </c>
      <c r="T1795" s="77">
        <v>0</v>
      </c>
      <c r="U1795" s="66">
        <v>40506</v>
      </c>
      <c r="V1795" s="79"/>
      <c r="W1795" s="66" t="s">
        <v>1585</v>
      </c>
      <c r="X1795" s="24" t="s">
        <v>1586</v>
      </c>
      <c r="Y1795" s="62"/>
      <c r="Z1795" s="169" t="s">
        <v>894</v>
      </c>
      <c r="AA1795" s="166" t="s">
        <v>2477</v>
      </c>
      <c r="AB1795" s="152"/>
      <c r="AC1795" s="153"/>
      <c r="AD1795" s="154"/>
      <c r="AE1795" s="153"/>
      <c r="AF1795" s="153"/>
      <c r="AG1795" s="153"/>
      <c r="AH1795" s="153"/>
      <c r="AI1795" s="153"/>
      <c r="AJ1795" s="153"/>
      <c r="AK1795" s="153"/>
      <c r="AL1795" s="153"/>
      <c r="AM1795" s="153"/>
      <c r="AN1795" s="153"/>
      <c r="AO1795" s="153"/>
      <c r="AP1795" s="153"/>
      <c r="AQ1795" s="153"/>
      <c r="AR1795" s="153"/>
      <c r="AS1795" s="153"/>
      <c r="AT1795" s="153"/>
      <c r="AU1795" s="153"/>
      <c r="AV1795" s="153"/>
      <c r="AW1795" s="153"/>
      <c r="AX1795" s="153"/>
      <c r="AY1795" s="153"/>
      <c r="AZ1795" s="153"/>
      <c r="BA1795" s="153"/>
      <c r="BB1795" s="153"/>
      <c r="BC1795" s="153"/>
      <c r="BD1795" s="153"/>
      <c r="BE1795" s="153"/>
      <c r="BF1795" s="153"/>
      <c r="BG1795" s="153"/>
      <c r="BH1795" s="153"/>
      <c r="BI1795" s="153"/>
      <c r="BJ1795" s="153"/>
      <c r="BK1795" s="153"/>
      <c r="BL1795" s="153"/>
      <c r="BM1795" s="153"/>
      <c r="BN1795" s="153"/>
      <c r="BO1795" s="153"/>
      <c r="BP1795" s="153"/>
      <c r="BQ1795" s="153"/>
      <c r="BR1795" s="153"/>
      <c r="BS1795" s="153"/>
      <c r="BT1795" s="153"/>
      <c r="BU1795" s="153"/>
      <c r="BV1795" s="153"/>
      <c r="BW1795" s="153"/>
      <c r="BX1795" s="153"/>
      <c r="BY1795" s="153"/>
      <c r="BZ1795" s="153"/>
      <c r="CA1795" s="153"/>
      <c r="CB1795" s="153"/>
      <c r="CC1795" s="153"/>
      <c r="CD1795" s="155"/>
      <c r="CE1795" s="156"/>
      <c r="CF1795" s="155"/>
      <c r="CG1795" s="156"/>
      <c r="CH1795" s="155"/>
      <c r="CI1795" s="156"/>
      <c r="CJ1795" s="157">
        <f t="shared" ref="CJ1795:CJ1858" si="231">AC1795+AE1795+AG1795+AI1795+AK1795+AM1795+AO1795+AQ1795+AS1795+AU1795+AW1795+AY1795+BA1795+BC1795+BE1795+BG1795+BI1795+BK1795+BM1795+BO1795+BQ1795+BS1795+BU1795+BW1795+BY1795+CA1795+CC1795+CE1795+CG1795+CI1795</f>
        <v>0</v>
      </c>
      <c r="CK1795" s="158"/>
      <c r="CL1795" s="159"/>
      <c r="CM1795" s="160"/>
      <c r="CN1795" s="161"/>
      <c r="CO1795" s="162"/>
      <c r="CP1795" s="161"/>
      <c r="CQ1795" s="158"/>
      <c r="CR1795" s="159"/>
      <c r="CS1795" s="68"/>
      <c r="CT1795" s="163"/>
      <c r="EC1795" s="366" t="str">
        <f t="shared" si="227"/>
        <v>CUNDINAMARCA_QUETAME</v>
      </c>
      <c r="ED1795" s="367"/>
      <c r="EE1795" s="367"/>
      <c r="EF1795" s="368"/>
      <c r="EG1795" s="367"/>
      <c r="EH1795" s="367"/>
      <c r="EI1795" s="367"/>
    </row>
    <row r="1796" spans="1:139" s="164" customFormat="1" ht="51">
      <c r="A1796" s="228">
        <v>40500</v>
      </c>
      <c r="B1796" s="205" t="s">
        <v>1604</v>
      </c>
      <c r="C1796" s="205" t="s">
        <v>2293</v>
      </c>
      <c r="D1796" s="206" t="s">
        <v>1878</v>
      </c>
      <c r="E1796" s="320" t="s">
        <v>3757</v>
      </c>
      <c r="F1796" s="320"/>
      <c r="G1796" s="204"/>
      <c r="H1796" s="151"/>
      <c r="I1796" s="151"/>
      <c r="J1796" s="151">
        <f>238-108</f>
        <v>130</v>
      </c>
      <c r="K1796" s="151">
        <f>60-36</f>
        <v>24</v>
      </c>
      <c r="L1796" s="1"/>
      <c r="M1796" s="73">
        <f t="shared" si="229"/>
        <v>0</v>
      </c>
      <c r="N1796" s="73">
        <f t="shared" si="226"/>
        <v>0</v>
      </c>
      <c r="O1796" s="73">
        <f t="shared" si="228"/>
        <v>0</v>
      </c>
      <c r="P1796" s="73">
        <f t="shared" si="230"/>
        <v>0</v>
      </c>
      <c r="Q1796" s="73"/>
      <c r="R1796" s="73">
        <v>0</v>
      </c>
      <c r="S1796" s="75">
        <f t="shared" si="225"/>
        <v>0</v>
      </c>
      <c r="T1796" s="77">
        <v>0</v>
      </c>
      <c r="U1796" s="66">
        <v>40504</v>
      </c>
      <c r="V1796" s="79"/>
      <c r="W1796" s="66" t="s">
        <v>1585</v>
      </c>
      <c r="X1796" s="24" t="s">
        <v>1586</v>
      </c>
      <c r="Y1796" s="62"/>
      <c r="Z1796" s="169" t="s">
        <v>894</v>
      </c>
      <c r="AA1796" s="166" t="s">
        <v>2815</v>
      </c>
      <c r="AB1796" s="152"/>
      <c r="AC1796" s="153"/>
      <c r="AD1796" s="154"/>
      <c r="AE1796" s="153"/>
      <c r="AF1796" s="153"/>
      <c r="AG1796" s="153"/>
      <c r="AH1796" s="153"/>
      <c r="AI1796" s="153"/>
      <c r="AJ1796" s="153"/>
      <c r="AK1796" s="153"/>
      <c r="AL1796" s="153"/>
      <c r="AM1796" s="153"/>
      <c r="AN1796" s="153"/>
      <c r="AO1796" s="153"/>
      <c r="AP1796" s="153"/>
      <c r="AQ1796" s="153"/>
      <c r="AR1796" s="153"/>
      <c r="AS1796" s="153"/>
      <c r="AT1796" s="153"/>
      <c r="AU1796" s="153"/>
      <c r="AV1796" s="153"/>
      <c r="AW1796" s="153"/>
      <c r="AX1796" s="153"/>
      <c r="AY1796" s="153"/>
      <c r="AZ1796" s="153"/>
      <c r="BA1796" s="153"/>
      <c r="BB1796" s="153"/>
      <c r="BC1796" s="153"/>
      <c r="BD1796" s="153"/>
      <c r="BE1796" s="153"/>
      <c r="BF1796" s="153"/>
      <c r="BG1796" s="153"/>
      <c r="BH1796" s="153"/>
      <c r="BI1796" s="153"/>
      <c r="BJ1796" s="153"/>
      <c r="BK1796" s="153"/>
      <c r="BL1796" s="153"/>
      <c r="BM1796" s="153"/>
      <c r="BN1796" s="153"/>
      <c r="BO1796" s="153"/>
      <c r="BP1796" s="153"/>
      <c r="BQ1796" s="153"/>
      <c r="BR1796" s="153"/>
      <c r="BS1796" s="153"/>
      <c r="BT1796" s="153"/>
      <c r="BU1796" s="153"/>
      <c r="BV1796" s="153"/>
      <c r="BW1796" s="153"/>
      <c r="BX1796" s="153"/>
      <c r="BY1796" s="153"/>
      <c r="BZ1796" s="153"/>
      <c r="CA1796" s="153"/>
      <c r="CB1796" s="153"/>
      <c r="CC1796" s="153"/>
      <c r="CD1796" s="155"/>
      <c r="CE1796" s="156"/>
      <c r="CF1796" s="155"/>
      <c r="CG1796" s="156"/>
      <c r="CH1796" s="155"/>
      <c r="CI1796" s="156"/>
      <c r="CJ1796" s="157">
        <f t="shared" si="231"/>
        <v>0</v>
      </c>
      <c r="CK1796" s="158"/>
      <c r="CL1796" s="159"/>
      <c r="CM1796" s="160"/>
      <c r="CN1796" s="161"/>
      <c r="CO1796" s="162"/>
      <c r="CP1796" s="161"/>
      <c r="CQ1796" s="158"/>
      <c r="CR1796" s="159"/>
      <c r="CS1796" s="68"/>
      <c r="CT1796" s="163"/>
      <c r="EC1796" s="366" t="str">
        <f t="shared" si="227"/>
        <v>CUNDINAMARCA_SAN FRANCISCO</v>
      </c>
      <c r="ED1796" s="367"/>
      <c r="EE1796" s="367"/>
      <c r="EF1796" s="368"/>
      <c r="EG1796" s="367"/>
      <c r="EH1796" s="367"/>
      <c r="EI1796" s="367"/>
    </row>
    <row r="1797" spans="1:139" s="164" customFormat="1" ht="38.25">
      <c r="A1797" s="228">
        <v>40500</v>
      </c>
      <c r="B1797" s="205" t="s">
        <v>1604</v>
      </c>
      <c r="C1797" s="205" t="s">
        <v>2502</v>
      </c>
      <c r="D1797" s="207" t="s">
        <v>1878</v>
      </c>
      <c r="E1797" s="323" t="s">
        <v>3765</v>
      </c>
      <c r="F1797" s="323"/>
      <c r="G1797" s="204"/>
      <c r="H1797" s="151"/>
      <c r="I1797" s="151"/>
      <c r="J1797" s="151">
        <v>6</v>
      </c>
      <c r="K1797" s="151">
        <v>1</v>
      </c>
      <c r="L1797" s="1"/>
      <c r="M1797" s="73">
        <f t="shared" si="229"/>
        <v>0</v>
      </c>
      <c r="N1797" s="73">
        <f t="shared" si="226"/>
        <v>0</v>
      </c>
      <c r="O1797" s="73">
        <f t="shared" si="228"/>
        <v>0</v>
      </c>
      <c r="P1797" s="73">
        <f t="shared" si="230"/>
        <v>0</v>
      </c>
      <c r="Q1797" s="73"/>
      <c r="R1797" s="73">
        <v>0</v>
      </c>
      <c r="S1797" s="75">
        <f t="shared" si="225"/>
        <v>0</v>
      </c>
      <c r="T1797" s="77">
        <v>0</v>
      </c>
      <c r="U1797" s="66">
        <v>40508</v>
      </c>
      <c r="V1797" s="79"/>
      <c r="W1797" s="66" t="s">
        <v>1585</v>
      </c>
      <c r="X1797" s="24" t="s">
        <v>1586</v>
      </c>
      <c r="Y1797" s="62"/>
      <c r="Z1797" s="169" t="s">
        <v>894</v>
      </c>
      <c r="AA1797" s="166" t="s">
        <v>2503</v>
      </c>
      <c r="AB1797" s="152"/>
      <c r="AC1797" s="153"/>
      <c r="AD1797" s="154"/>
      <c r="AE1797" s="153"/>
      <c r="AF1797" s="153"/>
      <c r="AG1797" s="153"/>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c r="BF1797" s="153"/>
      <c r="BG1797" s="153"/>
      <c r="BH1797" s="153"/>
      <c r="BI1797" s="153"/>
      <c r="BJ1797" s="153"/>
      <c r="BK1797" s="153"/>
      <c r="BL1797" s="153"/>
      <c r="BM1797" s="153"/>
      <c r="BN1797" s="153"/>
      <c r="BO1797" s="153"/>
      <c r="BP1797" s="153"/>
      <c r="BQ1797" s="153"/>
      <c r="BR1797" s="153"/>
      <c r="BS1797" s="153"/>
      <c r="BT1797" s="153"/>
      <c r="BU1797" s="153"/>
      <c r="BV1797" s="153"/>
      <c r="BW1797" s="153"/>
      <c r="BX1797" s="153"/>
      <c r="BY1797" s="153"/>
      <c r="BZ1797" s="153"/>
      <c r="CA1797" s="153"/>
      <c r="CB1797" s="153"/>
      <c r="CC1797" s="153"/>
      <c r="CD1797" s="155"/>
      <c r="CE1797" s="156"/>
      <c r="CF1797" s="155"/>
      <c r="CG1797" s="156"/>
      <c r="CH1797" s="155"/>
      <c r="CI1797" s="156"/>
      <c r="CJ1797" s="157">
        <f t="shared" si="231"/>
        <v>0</v>
      </c>
      <c r="CK1797" s="158"/>
      <c r="CL1797" s="159"/>
      <c r="CM1797" s="160"/>
      <c r="CN1797" s="161"/>
      <c r="CO1797" s="162"/>
      <c r="CP1797" s="161"/>
      <c r="CQ1797" s="158"/>
      <c r="CR1797" s="159"/>
      <c r="CS1797" s="68"/>
      <c r="CT1797" s="163"/>
      <c r="EC1797" s="366" t="str">
        <f t="shared" si="227"/>
        <v>CUNDINAMARCA_SOPO</v>
      </c>
      <c r="ED1797" s="367"/>
      <c r="EE1797" s="367"/>
      <c r="EF1797" s="368"/>
      <c r="EG1797" s="367"/>
      <c r="EH1797" s="367"/>
      <c r="EI1797" s="367"/>
    </row>
    <row r="1798" spans="1:139" s="164" customFormat="1" ht="36">
      <c r="A1798" s="228">
        <v>40500</v>
      </c>
      <c r="B1798" s="205" t="s">
        <v>1604</v>
      </c>
      <c r="C1798" s="205" t="s">
        <v>2500</v>
      </c>
      <c r="D1798" s="207" t="s">
        <v>1878</v>
      </c>
      <c r="E1798" s="323" t="s">
        <v>3783</v>
      </c>
      <c r="F1798" s="323"/>
      <c r="G1798" s="204"/>
      <c r="H1798" s="151"/>
      <c r="I1798" s="151"/>
      <c r="J1798" s="151">
        <v>105</v>
      </c>
      <c r="K1798" s="151">
        <v>35</v>
      </c>
      <c r="L1798" s="1"/>
      <c r="M1798" s="73">
        <f t="shared" si="229"/>
        <v>0</v>
      </c>
      <c r="N1798" s="73">
        <f t="shared" si="226"/>
        <v>0</v>
      </c>
      <c r="O1798" s="73">
        <f t="shared" si="228"/>
        <v>0</v>
      </c>
      <c r="P1798" s="73">
        <f t="shared" si="230"/>
        <v>0</v>
      </c>
      <c r="Q1798" s="73"/>
      <c r="R1798" s="73">
        <v>0</v>
      </c>
      <c r="S1798" s="75">
        <f t="shared" si="225"/>
        <v>0</v>
      </c>
      <c r="T1798" s="77">
        <v>0</v>
      </c>
      <c r="U1798" s="66">
        <v>40508</v>
      </c>
      <c r="V1798" s="79"/>
      <c r="W1798" s="66" t="s">
        <v>1585</v>
      </c>
      <c r="X1798" s="24" t="s">
        <v>1586</v>
      </c>
      <c r="Y1798" s="62"/>
      <c r="Z1798" s="169" t="s">
        <v>894</v>
      </c>
      <c r="AA1798" s="166" t="s">
        <v>2501</v>
      </c>
      <c r="AB1798" s="152"/>
      <c r="AC1798" s="153"/>
      <c r="AD1798" s="154"/>
      <c r="AE1798" s="153"/>
      <c r="AF1798" s="153"/>
      <c r="AG1798" s="153"/>
      <c r="AH1798" s="153"/>
      <c r="AI1798" s="153"/>
      <c r="AJ1798" s="153"/>
      <c r="AK1798" s="153"/>
      <c r="AL1798" s="153"/>
      <c r="AM1798" s="153"/>
      <c r="AN1798" s="153"/>
      <c r="AO1798" s="153"/>
      <c r="AP1798" s="153"/>
      <c r="AQ1798" s="153"/>
      <c r="AR1798" s="153"/>
      <c r="AS1798" s="153"/>
      <c r="AT1798" s="153"/>
      <c r="AU1798" s="153"/>
      <c r="AV1798" s="153"/>
      <c r="AW1798" s="153"/>
      <c r="AX1798" s="153"/>
      <c r="AY1798" s="153"/>
      <c r="AZ1798" s="153"/>
      <c r="BA1798" s="153"/>
      <c r="BB1798" s="153"/>
      <c r="BC1798" s="153"/>
      <c r="BD1798" s="153"/>
      <c r="BE1798" s="153"/>
      <c r="BF1798" s="153"/>
      <c r="BG1798" s="153"/>
      <c r="BH1798" s="153"/>
      <c r="BI1798" s="153"/>
      <c r="BJ1798" s="153"/>
      <c r="BK1798" s="153"/>
      <c r="BL1798" s="153"/>
      <c r="BM1798" s="153"/>
      <c r="BN1798" s="153"/>
      <c r="BO1798" s="153"/>
      <c r="BP1798" s="153"/>
      <c r="BQ1798" s="153"/>
      <c r="BR1798" s="153"/>
      <c r="BS1798" s="153"/>
      <c r="BT1798" s="153"/>
      <c r="BU1798" s="153"/>
      <c r="BV1798" s="153"/>
      <c r="BW1798" s="153"/>
      <c r="BX1798" s="153"/>
      <c r="BY1798" s="153"/>
      <c r="BZ1798" s="153"/>
      <c r="CA1798" s="153"/>
      <c r="CB1798" s="153"/>
      <c r="CC1798" s="153"/>
      <c r="CD1798" s="155"/>
      <c r="CE1798" s="156"/>
      <c r="CF1798" s="155"/>
      <c r="CG1798" s="156"/>
      <c r="CH1798" s="155"/>
      <c r="CI1798" s="156"/>
      <c r="CJ1798" s="157">
        <f t="shared" si="231"/>
        <v>0</v>
      </c>
      <c r="CK1798" s="158"/>
      <c r="CL1798" s="159"/>
      <c r="CM1798" s="160"/>
      <c r="CN1798" s="161"/>
      <c r="CO1798" s="162"/>
      <c r="CP1798" s="161"/>
      <c r="CQ1798" s="158"/>
      <c r="CR1798" s="159"/>
      <c r="CS1798" s="68"/>
      <c r="CT1798" s="163"/>
      <c r="EC1798" s="366" t="str">
        <f t="shared" si="227"/>
        <v>CUNDINAMARCA_UNE</v>
      </c>
      <c r="ED1798" s="367"/>
      <c r="EE1798" s="367"/>
      <c r="EF1798" s="368"/>
      <c r="EG1798" s="367"/>
      <c r="EH1798" s="367"/>
      <c r="EI1798" s="367"/>
    </row>
    <row r="1799" spans="1:139" s="164" customFormat="1" ht="38.25">
      <c r="A1799" s="228">
        <v>40500</v>
      </c>
      <c r="B1799" s="205" t="s">
        <v>1604</v>
      </c>
      <c r="C1799" s="205" t="s">
        <v>960</v>
      </c>
      <c r="D1799" s="206" t="s">
        <v>1878</v>
      </c>
      <c r="E1799" s="320" t="s">
        <v>3792</v>
      </c>
      <c r="F1799" s="320"/>
      <c r="G1799" s="204"/>
      <c r="H1799" s="151"/>
      <c r="I1799" s="151"/>
      <c r="J1799" s="151"/>
      <c r="K1799" s="151"/>
      <c r="L1799" s="1"/>
      <c r="M1799" s="73">
        <f t="shared" si="229"/>
        <v>0</v>
      </c>
      <c r="N1799" s="73">
        <f t="shared" si="226"/>
        <v>0</v>
      </c>
      <c r="O1799" s="73">
        <f t="shared" si="228"/>
        <v>0</v>
      </c>
      <c r="P1799" s="73">
        <f t="shared" si="230"/>
        <v>0</v>
      </c>
      <c r="Q1799" s="73"/>
      <c r="R1799" s="73">
        <v>0</v>
      </c>
      <c r="S1799" s="75">
        <f t="shared" si="225"/>
        <v>0</v>
      </c>
      <c r="T1799" s="77">
        <v>0</v>
      </c>
      <c r="U1799" s="66">
        <v>40504</v>
      </c>
      <c r="V1799" s="79"/>
      <c r="W1799" s="66" t="s">
        <v>1585</v>
      </c>
      <c r="X1799" s="24" t="s">
        <v>1586</v>
      </c>
      <c r="Y1799" s="62"/>
      <c r="Z1799" s="169" t="s">
        <v>894</v>
      </c>
      <c r="AA1799" s="166" t="s">
        <v>2813</v>
      </c>
      <c r="AB1799" s="152"/>
      <c r="AC1799" s="153"/>
      <c r="AD1799" s="154"/>
      <c r="AE1799" s="153"/>
      <c r="AF1799" s="153"/>
      <c r="AG1799" s="153"/>
      <c r="AH1799" s="153"/>
      <c r="AI1799" s="153"/>
      <c r="AJ1799" s="153"/>
      <c r="AK1799" s="153"/>
      <c r="AL1799" s="153"/>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c r="BI1799" s="153"/>
      <c r="BJ1799" s="153"/>
      <c r="BK1799" s="153"/>
      <c r="BL1799" s="153"/>
      <c r="BM1799" s="153"/>
      <c r="BN1799" s="153"/>
      <c r="BO1799" s="153"/>
      <c r="BP1799" s="153"/>
      <c r="BQ1799" s="153"/>
      <c r="BR1799" s="153"/>
      <c r="BS1799" s="153"/>
      <c r="BT1799" s="153"/>
      <c r="BU1799" s="153"/>
      <c r="BV1799" s="153"/>
      <c r="BW1799" s="153"/>
      <c r="BX1799" s="153"/>
      <c r="BY1799" s="153"/>
      <c r="BZ1799" s="153"/>
      <c r="CA1799" s="153"/>
      <c r="CB1799" s="153"/>
      <c r="CC1799" s="153"/>
      <c r="CD1799" s="155"/>
      <c r="CE1799" s="156"/>
      <c r="CF1799" s="155"/>
      <c r="CG1799" s="156"/>
      <c r="CH1799" s="155"/>
      <c r="CI1799" s="156"/>
      <c r="CJ1799" s="157">
        <f t="shared" si="231"/>
        <v>0</v>
      </c>
      <c r="CK1799" s="158"/>
      <c r="CL1799" s="159"/>
      <c r="CM1799" s="160"/>
      <c r="CN1799" s="161"/>
      <c r="CO1799" s="162"/>
      <c r="CP1799" s="161"/>
      <c r="CQ1799" s="158"/>
      <c r="CR1799" s="159"/>
      <c r="CS1799" s="68"/>
      <c r="CT1799" s="163"/>
      <c r="EC1799" s="366" t="str">
        <f t="shared" si="227"/>
        <v>CUNDINAMARCA_ZIPAQUIRA</v>
      </c>
      <c r="ED1799" s="367"/>
      <c r="EE1799" s="367"/>
      <c r="EF1799" s="368"/>
      <c r="EG1799" s="367"/>
      <c r="EH1799" s="367"/>
      <c r="EI1799" s="367"/>
    </row>
    <row r="1800" spans="1:139" s="164" customFormat="1" ht="36">
      <c r="A1800" s="228">
        <v>40500</v>
      </c>
      <c r="B1800" s="205" t="s">
        <v>962</v>
      </c>
      <c r="C1800" s="205" t="s">
        <v>599</v>
      </c>
      <c r="D1800" s="206" t="s">
        <v>1878</v>
      </c>
      <c r="E1800" s="320" t="s">
        <v>3823</v>
      </c>
      <c r="F1800" s="320"/>
      <c r="G1800" s="204"/>
      <c r="H1800" s="151">
        <v>1</v>
      </c>
      <c r="I1800" s="151"/>
      <c r="J1800" s="151">
        <v>13</v>
      </c>
      <c r="K1800" s="151">
        <v>3</v>
      </c>
      <c r="L1800" s="1"/>
      <c r="M1800" s="73">
        <f t="shared" si="229"/>
        <v>0</v>
      </c>
      <c r="N1800" s="73">
        <f t="shared" si="226"/>
        <v>0</v>
      </c>
      <c r="O1800" s="73">
        <f t="shared" si="228"/>
        <v>0</v>
      </c>
      <c r="P1800" s="73">
        <f t="shared" si="230"/>
        <v>0</v>
      </c>
      <c r="Q1800" s="73"/>
      <c r="R1800" s="73">
        <v>0</v>
      </c>
      <c r="S1800" s="75">
        <f t="shared" si="225"/>
        <v>0</v>
      </c>
      <c r="T1800" s="77">
        <v>0</v>
      </c>
      <c r="U1800" s="228">
        <v>40504</v>
      </c>
      <c r="V1800" s="79"/>
      <c r="W1800" s="66" t="s">
        <v>1585</v>
      </c>
      <c r="X1800" s="24" t="s">
        <v>1586</v>
      </c>
      <c r="Y1800" s="62"/>
      <c r="Z1800" s="169" t="s">
        <v>894</v>
      </c>
      <c r="AA1800" s="166" t="s">
        <v>2951</v>
      </c>
      <c r="AB1800" s="152"/>
      <c r="AC1800" s="153"/>
      <c r="AD1800" s="154"/>
      <c r="AE1800" s="153"/>
      <c r="AF1800" s="153"/>
      <c r="AG1800" s="153"/>
      <c r="AH1800" s="153"/>
      <c r="AI1800" s="153"/>
      <c r="AJ1800" s="153"/>
      <c r="AK1800" s="153"/>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c r="BI1800" s="153"/>
      <c r="BJ1800" s="153"/>
      <c r="BK1800" s="153"/>
      <c r="BL1800" s="153"/>
      <c r="BM1800" s="153"/>
      <c r="BN1800" s="153"/>
      <c r="BO1800" s="153"/>
      <c r="BP1800" s="153"/>
      <c r="BQ1800" s="153"/>
      <c r="BR1800" s="153"/>
      <c r="BS1800" s="153"/>
      <c r="BT1800" s="153"/>
      <c r="BU1800" s="153"/>
      <c r="BV1800" s="153"/>
      <c r="BW1800" s="153"/>
      <c r="BX1800" s="153"/>
      <c r="BY1800" s="153"/>
      <c r="BZ1800" s="153"/>
      <c r="CA1800" s="153"/>
      <c r="CB1800" s="153"/>
      <c r="CC1800" s="153"/>
      <c r="CD1800" s="155"/>
      <c r="CE1800" s="156"/>
      <c r="CF1800" s="155"/>
      <c r="CG1800" s="156"/>
      <c r="CH1800" s="155"/>
      <c r="CI1800" s="156"/>
      <c r="CJ1800" s="157">
        <f t="shared" si="231"/>
        <v>0</v>
      </c>
      <c r="CK1800" s="158"/>
      <c r="CL1800" s="159"/>
      <c r="CM1800" s="160"/>
      <c r="CN1800" s="161"/>
      <c r="CO1800" s="162"/>
      <c r="CP1800" s="161"/>
      <c r="CQ1800" s="158"/>
      <c r="CR1800" s="159"/>
      <c r="CS1800" s="68"/>
      <c r="CT1800" s="163"/>
      <c r="EC1800" s="366" t="str">
        <f t="shared" si="227"/>
        <v>HUILA_NEIVA</v>
      </c>
      <c r="ED1800" s="367"/>
      <c r="EE1800" s="367"/>
      <c r="EF1800" s="368"/>
      <c r="EG1800" s="367"/>
      <c r="EH1800" s="367"/>
      <c r="EI1800" s="367"/>
    </row>
    <row r="1801" spans="1:139" s="164" customFormat="1" ht="25.5">
      <c r="A1801" s="228">
        <v>40500</v>
      </c>
      <c r="B1801" s="205" t="s">
        <v>396</v>
      </c>
      <c r="C1801" s="205" t="s">
        <v>2822</v>
      </c>
      <c r="D1801" s="207" t="s">
        <v>1201</v>
      </c>
      <c r="E1801" s="323" t="s">
        <v>3908</v>
      </c>
      <c r="F1801" s="323"/>
      <c r="G1801" s="204"/>
      <c r="H1801" s="151"/>
      <c r="I1801" s="151"/>
      <c r="J1801" s="151">
        <v>565</v>
      </c>
      <c r="K1801" s="151">
        <v>113</v>
      </c>
      <c r="L1801" s="1"/>
      <c r="M1801" s="73">
        <f t="shared" si="229"/>
        <v>0</v>
      </c>
      <c r="N1801" s="73">
        <f t="shared" si="226"/>
        <v>0</v>
      </c>
      <c r="O1801" s="73">
        <f t="shared" si="228"/>
        <v>0</v>
      </c>
      <c r="P1801" s="73">
        <f t="shared" si="230"/>
        <v>0</v>
      </c>
      <c r="Q1801" s="73"/>
      <c r="R1801" s="73">
        <v>0</v>
      </c>
      <c r="S1801" s="75">
        <f t="shared" ref="S1801:S1864" si="232">M1801+N1801+O1801+P1801+Q1801+R1801</f>
        <v>0</v>
      </c>
      <c r="T1801" s="77">
        <v>0</v>
      </c>
      <c r="U1801" s="228">
        <v>40504</v>
      </c>
      <c r="V1801" s="79"/>
      <c r="W1801" s="66" t="s">
        <v>1585</v>
      </c>
      <c r="X1801" s="24" t="s">
        <v>1586</v>
      </c>
      <c r="Y1801" s="62"/>
      <c r="Z1801" s="169" t="s">
        <v>894</v>
      </c>
      <c r="AA1801" s="166"/>
      <c r="AB1801" s="152"/>
      <c r="AC1801" s="153"/>
      <c r="AD1801" s="154"/>
      <c r="AE1801" s="153"/>
      <c r="AF1801" s="153"/>
      <c r="AG1801" s="153"/>
      <c r="AH1801" s="153"/>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c r="BI1801" s="153"/>
      <c r="BJ1801" s="153"/>
      <c r="BK1801" s="153"/>
      <c r="BL1801" s="153"/>
      <c r="BM1801" s="153"/>
      <c r="BN1801" s="153"/>
      <c r="BO1801" s="153"/>
      <c r="BP1801" s="153"/>
      <c r="BQ1801" s="153"/>
      <c r="BR1801" s="153"/>
      <c r="BS1801" s="153"/>
      <c r="BT1801" s="153"/>
      <c r="BU1801" s="153"/>
      <c r="BV1801" s="153"/>
      <c r="BW1801" s="153"/>
      <c r="BX1801" s="153"/>
      <c r="BY1801" s="153"/>
      <c r="BZ1801" s="153"/>
      <c r="CA1801" s="153"/>
      <c r="CB1801" s="153"/>
      <c r="CC1801" s="153"/>
      <c r="CD1801" s="155"/>
      <c r="CE1801" s="156"/>
      <c r="CF1801" s="155"/>
      <c r="CG1801" s="156"/>
      <c r="CH1801" s="155"/>
      <c r="CI1801" s="156"/>
      <c r="CJ1801" s="157">
        <f t="shared" si="231"/>
        <v>0</v>
      </c>
      <c r="CK1801" s="158"/>
      <c r="CL1801" s="159"/>
      <c r="CM1801" s="160"/>
      <c r="CN1801" s="161"/>
      <c r="CO1801" s="162"/>
      <c r="CP1801" s="161"/>
      <c r="CQ1801" s="158"/>
      <c r="CR1801" s="159"/>
      <c r="CS1801" s="68"/>
      <c r="CT1801" s="163"/>
      <c r="EC1801" s="366" t="str">
        <f t="shared" si="227"/>
        <v>META_CABUYARO</v>
      </c>
      <c r="ED1801" s="367"/>
      <c r="EE1801" s="367"/>
      <c r="EF1801" s="368"/>
      <c r="EG1801" s="367"/>
      <c r="EH1801" s="367"/>
      <c r="EI1801" s="367"/>
    </row>
    <row r="1802" spans="1:139" s="164" customFormat="1" ht="48">
      <c r="A1802" s="228">
        <v>40500</v>
      </c>
      <c r="B1802" s="205" t="s">
        <v>1611</v>
      </c>
      <c r="C1802" s="205" t="s">
        <v>1611</v>
      </c>
      <c r="D1802" s="207" t="s">
        <v>1201</v>
      </c>
      <c r="E1802" s="323" t="e">
        <v>#N/A</v>
      </c>
      <c r="F1802" s="323"/>
      <c r="G1802" s="204"/>
      <c r="H1802" s="151"/>
      <c r="I1802" s="151"/>
      <c r="J1802" s="151"/>
      <c r="K1802" s="151"/>
      <c r="L1802" s="1"/>
      <c r="M1802" s="73">
        <f t="shared" si="229"/>
        <v>0</v>
      </c>
      <c r="N1802" s="73">
        <f t="shared" si="226"/>
        <v>0</v>
      </c>
      <c r="O1802" s="73">
        <f t="shared" si="228"/>
        <v>0</v>
      </c>
      <c r="P1802" s="73">
        <f t="shared" si="230"/>
        <v>171000000</v>
      </c>
      <c r="Q1802" s="73">
        <f>500*21000</f>
        <v>10500000</v>
      </c>
      <c r="R1802" s="73">
        <v>0</v>
      </c>
      <c r="S1802" s="75">
        <f t="shared" si="232"/>
        <v>181500000</v>
      </c>
      <c r="T1802" s="77">
        <v>0</v>
      </c>
      <c r="U1802" s="228">
        <v>40500</v>
      </c>
      <c r="V1802" s="79"/>
      <c r="W1802" s="66" t="s">
        <v>1606</v>
      </c>
      <c r="X1802" s="24" t="s">
        <v>1607</v>
      </c>
      <c r="Y1802" s="62"/>
      <c r="Z1802" s="169" t="s">
        <v>1435</v>
      </c>
      <c r="AA1802" s="165" t="s">
        <v>3095</v>
      </c>
      <c r="AB1802" s="152"/>
      <c r="AC1802" s="153"/>
      <c r="AD1802" s="154"/>
      <c r="AE1802" s="153"/>
      <c r="AF1802" s="153"/>
      <c r="AG1802" s="153"/>
      <c r="AH1802" s="153"/>
      <c r="AI1802" s="153"/>
      <c r="AJ1802" s="153"/>
      <c r="AK1802" s="153"/>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c r="BI1802" s="153"/>
      <c r="BJ1802" s="153"/>
      <c r="BK1802" s="153"/>
      <c r="BL1802" s="153"/>
      <c r="BM1802" s="153"/>
      <c r="BN1802" s="153"/>
      <c r="BO1802" s="153"/>
      <c r="BP1802" s="153"/>
      <c r="BQ1802" s="153"/>
      <c r="BR1802" s="153"/>
      <c r="BS1802" s="153"/>
      <c r="BT1802" s="153"/>
      <c r="BU1802" s="153"/>
      <c r="BV1802" s="153"/>
      <c r="BW1802" s="153"/>
      <c r="BX1802" s="153"/>
      <c r="BY1802" s="153"/>
      <c r="BZ1802" s="153"/>
      <c r="CA1802" s="153"/>
      <c r="CB1802" s="153"/>
      <c r="CC1802" s="153"/>
      <c r="CD1802" s="155"/>
      <c r="CE1802" s="156"/>
      <c r="CF1802" s="155"/>
      <c r="CG1802" s="156"/>
      <c r="CH1802" s="155"/>
      <c r="CI1802" s="156"/>
      <c r="CJ1802" s="157">
        <f t="shared" si="231"/>
        <v>0</v>
      </c>
      <c r="CK1802" s="158">
        <f>100000+80000</f>
        <v>180000</v>
      </c>
      <c r="CL1802" s="159">
        <f>100000*950+80000*950</f>
        <v>171000000</v>
      </c>
      <c r="CM1802" s="160"/>
      <c r="CN1802" s="161"/>
      <c r="CO1802" s="162"/>
      <c r="CP1802" s="161"/>
      <c r="CQ1802" s="158"/>
      <c r="CR1802" s="159"/>
      <c r="CS1802" s="68"/>
      <c r="CT1802" s="163"/>
      <c r="EC1802" s="366" t="str">
        <f t="shared" si="227"/>
        <v>NACION_NACION</v>
      </c>
      <c r="ED1802" s="367"/>
      <c r="EE1802" s="367"/>
      <c r="EF1802" s="368"/>
      <c r="EG1802" s="367"/>
      <c r="EH1802" s="367"/>
      <c r="EI1802" s="367"/>
    </row>
    <row r="1803" spans="1:139" s="164" customFormat="1" ht="25.5">
      <c r="A1803" s="228">
        <v>40500</v>
      </c>
      <c r="B1803" s="205" t="s">
        <v>1824</v>
      </c>
      <c r="C1803" s="205" t="s">
        <v>2982</v>
      </c>
      <c r="D1803" s="207" t="s">
        <v>1878</v>
      </c>
      <c r="E1803" s="323" t="s">
        <v>3946</v>
      </c>
      <c r="F1803" s="323"/>
      <c r="G1803" s="204"/>
      <c r="H1803" s="151"/>
      <c r="I1803" s="151"/>
      <c r="J1803" s="151"/>
      <c r="K1803" s="151"/>
      <c r="L1803" s="1"/>
      <c r="M1803" s="73">
        <f t="shared" si="229"/>
        <v>0</v>
      </c>
      <c r="N1803" s="73">
        <f t="shared" si="226"/>
        <v>0</v>
      </c>
      <c r="O1803" s="73">
        <f t="shared" si="228"/>
        <v>0</v>
      </c>
      <c r="P1803" s="73">
        <f t="shared" si="230"/>
        <v>0</v>
      </c>
      <c r="Q1803" s="73"/>
      <c r="R1803" s="73">
        <v>0</v>
      </c>
      <c r="S1803" s="75">
        <f t="shared" si="232"/>
        <v>0</v>
      </c>
      <c r="T1803" s="77">
        <v>0</v>
      </c>
      <c r="U1803" s="66">
        <v>40500</v>
      </c>
      <c r="V1803" s="79"/>
      <c r="W1803" s="66" t="s">
        <v>1585</v>
      </c>
      <c r="X1803" s="24" t="s">
        <v>1586</v>
      </c>
      <c r="Y1803" s="62"/>
      <c r="Z1803" s="169" t="s">
        <v>894</v>
      </c>
      <c r="AA1803" s="166" t="s">
        <v>2983</v>
      </c>
      <c r="AB1803" s="152"/>
      <c r="AC1803" s="153"/>
      <c r="AD1803" s="154"/>
      <c r="AE1803" s="153"/>
      <c r="AF1803" s="153"/>
      <c r="AG1803" s="153"/>
      <c r="AH1803" s="153"/>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c r="BI1803" s="153"/>
      <c r="BJ1803" s="153"/>
      <c r="BK1803" s="153"/>
      <c r="BL1803" s="153"/>
      <c r="BM1803" s="153"/>
      <c r="BN1803" s="153"/>
      <c r="BO1803" s="153"/>
      <c r="BP1803" s="153"/>
      <c r="BQ1803" s="153"/>
      <c r="BR1803" s="153"/>
      <c r="BS1803" s="153"/>
      <c r="BT1803" s="153"/>
      <c r="BU1803" s="153"/>
      <c r="BV1803" s="153"/>
      <c r="BW1803" s="153"/>
      <c r="BX1803" s="153"/>
      <c r="BY1803" s="153"/>
      <c r="BZ1803" s="153"/>
      <c r="CA1803" s="153"/>
      <c r="CB1803" s="153"/>
      <c r="CC1803" s="153"/>
      <c r="CD1803" s="155"/>
      <c r="CE1803" s="156"/>
      <c r="CF1803" s="155"/>
      <c r="CG1803" s="156"/>
      <c r="CH1803" s="155"/>
      <c r="CI1803" s="156"/>
      <c r="CJ1803" s="157">
        <f t="shared" si="231"/>
        <v>0</v>
      </c>
      <c r="CK1803" s="158"/>
      <c r="CL1803" s="159"/>
      <c r="CM1803" s="160"/>
      <c r="CN1803" s="161"/>
      <c r="CO1803" s="162"/>
      <c r="CP1803" s="161"/>
      <c r="CQ1803" s="158"/>
      <c r="CR1803" s="159"/>
      <c r="CS1803" s="68"/>
      <c r="CT1803" s="163"/>
      <c r="EC1803" s="366" t="str">
        <f t="shared" si="227"/>
        <v>NARIÑO_CUASPUD</v>
      </c>
      <c r="ED1803" s="367"/>
      <c r="EE1803" s="367"/>
      <c r="EF1803" s="368"/>
      <c r="EG1803" s="367"/>
      <c r="EH1803" s="367"/>
      <c r="EI1803" s="367"/>
    </row>
    <row r="1804" spans="1:139" s="164" customFormat="1" ht="25.5">
      <c r="A1804" s="235">
        <v>40501</v>
      </c>
      <c r="B1804" s="269" t="s">
        <v>1972</v>
      </c>
      <c r="C1804" s="269" t="s">
        <v>2716</v>
      </c>
      <c r="D1804" s="236" t="s">
        <v>1878</v>
      </c>
      <c r="E1804" s="324" t="s">
        <v>3338</v>
      </c>
      <c r="F1804" s="324"/>
      <c r="G1804" s="204"/>
      <c r="H1804" s="151">
        <v>1</v>
      </c>
      <c r="I1804" s="151"/>
      <c r="J1804" s="151">
        <v>12</v>
      </c>
      <c r="K1804" s="151">
        <v>1</v>
      </c>
      <c r="L1804" s="1"/>
      <c r="M1804" s="73">
        <f t="shared" si="229"/>
        <v>0</v>
      </c>
      <c r="N1804" s="73">
        <f t="shared" si="226"/>
        <v>0</v>
      </c>
      <c r="O1804" s="73">
        <f t="shared" si="228"/>
        <v>0</v>
      </c>
      <c r="P1804" s="73">
        <f t="shared" si="230"/>
        <v>0</v>
      </c>
      <c r="Q1804" s="73"/>
      <c r="R1804" s="73">
        <v>0</v>
      </c>
      <c r="S1804" s="75">
        <f t="shared" si="232"/>
        <v>0</v>
      </c>
      <c r="T1804" s="77">
        <v>0</v>
      </c>
      <c r="U1804" s="66">
        <v>40504</v>
      </c>
      <c r="V1804" s="79"/>
      <c r="W1804" s="66" t="s">
        <v>1585</v>
      </c>
      <c r="X1804" s="24" t="s">
        <v>1586</v>
      </c>
      <c r="Y1804" s="62"/>
      <c r="Z1804" s="169" t="s">
        <v>894</v>
      </c>
      <c r="AA1804" s="166" t="s">
        <v>2090</v>
      </c>
      <c r="AB1804" s="152"/>
      <c r="AC1804" s="153"/>
      <c r="AD1804" s="154"/>
      <c r="AE1804" s="153"/>
      <c r="AF1804" s="153"/>
      <c r="AG1804" s="153"/>
      <c r="AH1804" s="153"/>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c r="BI1804" s="153"/>
      <c r="BJ1804" s="153"/>
      <c r="BK1804" s="153"/>
      <c r="BL1804" s="153"/>
      <c r="BM1804" s="153"/>
      <c r="BN1804" s="153"/>
      <c r="BO1804" s="153"/>
      <c r="BP1804" s="153"/>
      <c r="BQ1804" s="153"/>
      <c r="BR1804" s="153"/>
      <c r="BS1804" s="153"/>
      <c r="BT1804" s="153"/>
      <c r="BU1804" s="153"/>
      <c r="BV1804" s="153"/>
      <c r="BW1804" s="153"/>
      <c r="BX1804" s="153"/>
      <c r="BY1804" s="153"/>
      <c r="BZ1804" s="153"/>
      <c r="CA1804" s="153"/>
      <c r="CB1804" s="153"/>
      <c r="CC1804" s="153"/>
      <c r="CD1804" s="155"/>
      <c r="CE1804" s="156"/>
      <c r="CF1804" s="155"/>
      <c r="CG1804" s="156"/>
      <c r="CH1804" s="155"/>
      <c r="CI1804" s="156"/>
      <c r="CJ1804" s="157">
        <f t="shared" si="231"/>
        <v>0</v>
      </c>
      <c r="CK1804" s="158"/>
      <c r="CL1804" s="159"/>
      <c r="CM1804" s="160"/>
      <c r="CN1804" s="161"/>
      <c r="CO1804" s="162"/>
      <c r="CP1804" s="161"/>
      <c r="CQ1804" s="158"/>
      <c r="CR1804" s="159"/>
      <c r="CS1804" s="68"/>
      <c r="CT1804" s="163"/>
      <c r="EC1804" s="366" t="str">
        <f t="shared" si="227"/>
        <v>ANTIOQUIA_TOLEDO</v>
      </c>
      <c r="ED1804" s="367"/>
      <c r="EE1804" s="367"/>
      <c r="EF1804" s="368"/>
      <c r="EG1804" s="367"/>
      <c r="EH1804" s="367"/>
      <c r="EI1804" s="367"/>
    </row>
    <row r="1805" spans="1:139" s="164" customFormat="1" ht="25.5">
      <c r="A1805" s="228">
        <v>40501</v>
      </c>
      <c r="B1805" s="205" t="s">
        <v>962</v>
      </c>
      <c r="C1805" s="205" t="s">
        <v>87</v>
      </c>
      <c r="D1805" s="207" t="s">
        <v>1201</v>
      </c>
      <c r="E1805" s="323" t="s">
        <v>3828</v>
      </c>
      <c r="F1805" s="323"/>
      <c r="G1805" s="204"/>
      <c r="H1805" s="151"/>
      <c r="I1805" s="151"/>
      <c r="J1805" s="151">
        <v>15</v>
      </c>
      <c r="K1805" s="151">
        <v>3</v>
      </c>
      <c r="L1805" s="1"/>
      <c r="M1805" s="73">
        <f t="shared" si="229"/>
        <v>0</v>
      </c>
      <c r="N1805" s="73">
        <f t="shared" si="226"/>
        <v>0</v>
      </c>
      <c r="O1805" s="73">
        <f t="shared" si="228"/>
        <v>0</v>
      </c>
      <c r="P1805" s="73">
        <f t="shared" si="230"/>
        <v>0</v>
      </c>
      <c r="Q1805" s="73"/>
      <c r="R1805" s="73">
        <v>0</v>
      </c>
      <c r="S1805" s="75">
        <f t="shared" si="232"/>
        <v>0</v>
      </c>
      <c r="T1805" s="77">
        <v>0</v>
      </c>
      <c r="U1805" s="66">
        <v>40581</v>
      </c>
      <c r="V1805" s="79"/>
      <c r="W1805" s="66" t="s">
        <v>1585</v>
      </c>
      <c r="X1805" s="24" t="s">
        <v>1586</v>
      </c>
      <c r="Y1805" s="62"/>
      <c r="Z1805" s="169" t="s">
        <v>894</v>
      </c>
      <c r="AA1805" s="166" t="s">
        <v>54</v>
      </c>
      <c r="AB1805" s="152"/>
      <c r="AC1805" s="153"/>
      <c r="AD1805" s="154"/>
      <c r="AE1805" s="153"/>
      <c r="AF1805" s="153"/>
      <c r="AG1805" s="153"/>
      <c r="AH1805" s="153"/>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c r="BI1805" s="153"/>
      <c r="BJ1805" s="153"/>
      <c r="BK1805" s="153"/>
      <c r="BL1805" s="153"/>
      <c r="BM1805" s="153"/>
      <c r="BN1805" s="153"/>
      <c r="BO1805" s="153"/>
      <c r="BP1805" s="153"/>
      <c r="BQ1805" s="153"/>
      <c r="BR1805" s="153"/>
      <c r="BS1805" s="153"/>
      <c r="BT1805" s="153"/>
      <c r="BU1805" s="153"/>
      <c r="BV1805" s="153"/>
      <c r="BW1805" s="153"/>
      <c r="BX1805" s="153"/>
      <c r="BY1805" s="153"/>
      <c r="BZ1805" s="153"/>
      <c r="CA1805" s="153"/>
      <c r="CB1805" s="153"/>
      <c r="CC1805" s="153"/>
      <c r="CD1805" s="155"/>
      <c r="CE1805" s="156"/>
      <c r="CF1805" s="155"/>
      <c r="CG1805" s="156"/>
      <c r="CH1805" s="155"/>
      <c r="CI1805" s="156"/>
      <c r="CJ1805" s="157">
        <f t="shared" si="231"/>
        <v>0</v>
      </c>
      <c r="CK1805" s="158"/>
      <c r="CL1805" s="159"/>
      <c r="CM1805" s="160"/>
      <c r="CN1805" s="161"/>
      <c r="CO1805" s="162"/>
      <c r="CP1805" s="161"/>
      <c r="CQ1805" s="158"/>
      <c r="CR1805" s="159"/>
      <c r="CS1805" s="68"/>
      <c r="CT1805" s="163"/>
      <c r="EC1805" s="366" t="str">
        <f t="shared" si="227"/>
        <v>HUILA_ALTAMIRA</v>
      </c>
      <c r="ED1805" s="367"/>
      <c r="EE1805" s="367"/>
      <c r="EF1805" s="368"/>
      <c r="EG1805" s="367"/>
      <c r="EH1805" s="367"/>
      <c r="EI1805" s="367"/>
    </row>
    <row r="1806" spans="1:139" s="164" customFormat="1" ht="25.5">
      <c r="A1806" s="228">
        <v>40501</v>
      </c>
      <c r="B1806" s="205" t="s">
        <v>1824</v>
      </c>
      <c r="C1806" s="205" t="s">
        <v>275</v>
      </c>
      <c r="D1806" s="207" t="s">
        <v>1878</v>
      </c>
      <c r="E1806" s="323" t="s">
        <v>3948</v>
      </c>
      <c r="F1806" s="323"/>
      <c r="G1806" s="204">
        <v>1</v>
      </c>
      <c r="H1806" s="151"/>
      <c r="I1806" s="151"/>
      <c r="J1806" s="151"/>
      <c r="K1806" s="151"/>
      <c r="L1806" s="1"/>
      <c r="M1806" s="73">
        <f t="shared" si="229"/>
        <v>0</v>
      </c>
      <c r="N1806" s="73">
        <f t="shared" ref="N1806:N1869" si="233">CN1806</f>
        <v>0</v>
      </c>
      <c r="O1806" s="73">
        <f t="shared" si="228"/>
        <v>0</v>
      </c>
      <c r="P1806" s="73">
        <f t="shared" si="230"/>
        <v>0</v>
      </c>
      <c r="Q1806" s="73"/>
      <c r="R1806" s="73">
        <v>0</v>
      </c>
      <c r="S1806" s="75">
        <f t="shared" si="232"/>
        <v>0</v>
      </c>
      <c r="T1806" s="77">
        <v>0</v>
      </c>
      <c r="U1806" s="66">
        <v>40501</v>
      </c>
      <c r="V1806" s="79"/>
      <c r="W1806" s="66" t="s">
        <v>1585</v>
      </c>
      <c r="X1806" s="24" t="s">
        <v>1586</v>
      </c>
      <c r="Y1806" s="62"/>
      <c r="Z1806" s="169" t="s">
        <v>894</v>
      </c>
      <c r="AA1806" s="166" t="s">
        <v>1707</v>
      </c>
      <c r="AB1806" s="152"/>
      <c r="AC1806" s="153"/>
      <c r="AD1806" s="154"/>
      <c r="AE1806" s="153"/>
      <c r="AF1806" s="153"/>
      <c r="AG1806" s="153"/>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c r="BI1806" s="153"/>
      <c r="BJ1806" s="153"/>
      <c r="BK1806" s="153"/>
      <c r="BL1806" s="153"/>
      <c r="BM1806" s="153"/>
      <c r="BN1806" s="153"/>
      <c r="BO1806" s="153"/>
      <c r="BP1806" s="153"/>
      <c r="BQ1806" s="153"/>
      <c r="BR1806" s="153"/>
      <c r="BS1806" s="153"/>
      <c r="BT1806" s="153"/>
      <c r="BU1806" s="153"/>
      <c r="BV1806" s="153"/>
      <c r="BW1806" s="153"/>
      <c r="BX1806" s="153"/>
      <c r="BY1806" s="153"/>
      <c r="BZ1806" s="153"/>
      <c r="CA1806" s="153"/>
      <c r="CB1806" s="153"/>
      <c r="CC1806" s="153"/>
      <c r="CD1806" s="155"/>
      <c r="CE1806" s="156"/>
      <c r="CF1806" s="155"/>
      <c r="CG1806" s="156"/>
      <c r="CH1806" s="155"/>
      <c r="CI1806" s="156"/>
      <c r="CJ1806" s="157">
        <f t="shared" si="231"/>
        <v>0</v>
      </c>
      <c r="CK1806" s="158"/>
      <c r="CL1806" s="159"/>
      <c r="CM1806" s="160"/>
      <c r="CN1806" s="161"/>
      <c r="CO1806" s="162"/>
      <c r="CP1806" s="161"/>
      <c r="CQ1806" s="158"/>
      <c r="CR1806" s="159"/>
      <c r="CS1806" s="68"/>
      <c r="CT1806" s="163"/>
      <c r="EC1806" s="366" t="str">
        <f t="shared" si="227"/>
        <v>NARIÑO_CUMBITARA</v>
      </c>
      <c r="ED1806" s="367"/>
      <c r="EE1806" s="367"/>
      <c r="EF1806" s="368"/>
      <c r="EG1806" s="367"/>
      <c r="EH1806" s="367"/>
      <c r="EI1806" s="367"/>
    </row>
    <row r="1807" spans="1:139" s="164" customFormat="1" ht="38.25">
      <c r="A1807" s="228">
        <v>40501</v>
      </c>
      <c r="B1807" s="102" t="s">
        <v>1609</v>
      </c>
      <c r="C1807" s="205" t="s">
        <v>1538</v>
      </c>
      <c r="D1807" s="206" t="s">
        <v>1878</v>
      </c>
      <c r="E1807" s="320" t="s">
        <v>4063</v>
      </c>
      <c r="F1807" s="320"/>
      <c r="G1807" s="204"/>
      <c r="H1807" s="151"/>
      <c r="I1807" s="151"/>
      <c r="J1807" s="151">
        <v>40</v>
      </c>
      <c r="K1807" s="151">
        <v>8</v>
      </c>
      <c r="L1807" s="1"/>
      <c r="M1807" s="73">
        <f t="shared" si="229"/>
        <v>0</v>
      </c>
      <c r="N1807" s="73">
        <f t="shared" si="233"/>
        <v>0</v>
      </c>
      <c r="O1807" s="73">
        <f t="shared" si="228"/>
        <v>0</v>
      </c>
      <c r="P1807" s="73">
        <f t="shared" si="230"/>
        <v>0</v>
      </c>
      <c r="Q1807" s="73"/>
      <c r="R1807" s="73">
        <v>0</v>
      </c>
      <c r="S1807" s="75">
        <f t="shared" si="232"/>
        <v>0</v>
      </c>
      <c r="T1807" s="77">
        <v>0</v>
      </c>
      <c r="U1807" s="66">
        <v>40502</v>
      </c>
      <c r="V1807" s="79"/>
      <c r="W1807" s="66" t="s">
        <v>1606</v>
      </c>
      <c r="X1807" s="24" t="s">
        <v>1607</v>
      </c>
      <c r="Y1807" s="62"/>
      <c r="Z1807" s="176" t="s">
        <v>2759</v>
      </c>
      <c r="AA1807" s="166" t="s">
        <v>2100</v>
      </c>
      <c r="AB1807" s="152"/>
      <c r="AC1807" s="153"/>
      <c r="AD1807" s="154"/>
      <c r="AE1807" s="153"/>
      <c r="AF1807" s="153"/>
      <c r="AG1807" s="153"/>
      <c r="AH1807" s="153"/>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c r="BI1807" s="153"/>
      <c r="BJ1807" s="153"/>
      <c r="BK1807" s="153"/>
      <c r="BL1807" s="153"/>
      <c r="BM1807" s="153"/>
      <c r="BN1807" s="153"/>
      <c r="BO1807" s="153"/>
      <c r="BP1807" s="153"/>
      <c r="BQ1807" s="153"/>
      <c r="BR1807" s="153"/>
      <c r="BS1807" s="153"/>
      <c r="BT1807" s="153"/>
      <c r="BU1807" s="153"/>
      <c r="BV1807" s="153"/>
      <c r="BW1807" s="153"/>
      <c r="BX1807" s="153"/>
      <c r="BY1807" s="153"/>
      <c r="BZ1807" s="153"/>
      <c r="CA1807" s="153"/>
      <c r="CB1807" s="153"/>
      <c r="CC1807" s="153"/>
      <c r="CD1807" s="155"/>
      <c r="CE1807" s="156"/>
      <c r="CF1807" s="155"/>
      <c r="CG1807" s="156"/>
      <c r="CH1807" s="155"/>
      <c r="CI1807" s="156"/>
      <c r="CJ1807" s="157">
        <f t="shared" si="231"/>
        <v>0</v>
      </c>
      <c r="CK1807" s="158"/>
      <c r="CL1807" s="159"/>
      <c r="CM1807" s="160"/>
      <c r="CN1807" s="161"/>
      <c r="CO1807" s="162"/>
      <c r="CP1807" s="161"/>
      <c r="CQ1807" s="158"/>
      <c r="CR1807" s="159"/>
      <c r="CS1807" s="68"/>
      <c r="CT1807" s="163"/>
      <c r="EC1807" s="366" t="str">
        <f t="shared" ref="EC1807:EC1867" si="234">B1807&amp;"_"&amp;C1807</f>
        <v>RISARALDA_SANTUARIO</v>
      </c>
      <c r="ED1807" s="367"/>
      <c r="EE1807" s="367"/>
      <c r="EF1807" s="368"/>
      <c r="EG1807" s="367"/>
      <c r="EH1807" s="367"/>
      <c r="EI1807" s="367"/>
    </row>
    <row r="1808" spans="1:139" s="164" customFormat="1" ht="25.5">
      <c r="A1808" s="228">
        <v>40501</v>
      </c>
      <c r="B1808" s="205" t="s">
        <v>1943</v>
      </c>
      <c r="C1808" s="205" t="s">
        <v>1943</v>
      </c>
      <c r="D1808" s="207" t="s">
        <v>2606</v>
      </c>
      <c r="E1808" s="323" t="s">
        <v>4174</v>
      </c>
      <c r="F1808" s="323"/>
      <c r="G1808" s="204"/>
      <c r="H1808" s="151"/>
      <c r="I1808" s="151"/>
      <c r="J1808" s="151">
        <v>25</v>
      </c>
      <c r="K1808" s="151">
        <v>3</v>
      </c>
      <c r="L1808" s="1"/>
      <c r="M1808" s="73">
        <f t="shared" si="229"/>
        <v>271152000</v>
      </c>
      <c r="N1808" s="73">
        <f t="shared" si="233"/>
        <v>640220000</v>
      </c>
      <c r="O1808" s="73">
        <f t="shared" si="228"/>
        <v>0</v>
      </c>
      <c r="P1808" s="73">
        <f t="shared" si="230"/>
        <v>0</v>
      </c>
      <c r="Q1808" s="73"/>
      <c r="R1808" s="73">
        <v>0</v>
      </c>
      <c r="S1808" s="75">
        <f t="shared" si="232"/>
        <v>911372000</v>
      </c>
      <c r="T1808" s="77">
        <v>0</v>
      </c>
      <c r="U1808" s="66">
        <v>40504</v>
      </c>
      <c r="V1808" s="79"/>
      <c r="W1808" s="66" t="s">
        <v>1606</v>
      </c>
      <c r="X1808" s="24" t="s">
        <v>1607</v>
      </c>
      <c r="Y1808" s="62"/>
      <c r="Z1808" s="169" t="s">
        <v>894</v>
      </c>
      <c r="AA1808" s="166" t="s">
        <v>2610</v>
      </c>
      <c r="AB1808" s="152"/>
      <c r="AC1808" s="153"/>
      <c r="AD1808" s="154"/>
      <c r="AE1808" s="153"/>
      <c r="AF1808" s="153"/>
      <c r="AG1808" s="153"/>
      <c r="AH1808" s="153"/>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c r="BI1808" s="153"/>
      <c r="BJ1808" s="153"/>
      <c r="BK1808" s="153"/>
      <c r="BL1808" s="153"/>
      <c r="BM1808" s="153"/>
      <c r="BN1808" s="153"/>
      <c r="BO1808" s="153"/>
      <c r="BP1808" s="153"/>
      <c r="BQ1808" s="153"/>
      <c r="BR1808" s="153"/>
      <c r="BS1808" s="153"/>
      <c r="BT1808" s="153"/>
      <c r="BU1808" s="153"/>
      <c r="BV1808" s="153"/>
      <c r="BW1808" s="153"/>
      <c r="BX1808" s="153"/>
      <c r="BY1808" s="153"/>
      <c r="BZ1808" s="153"/>
      <c r="CA1808" s="153"/>
      <c r="CB1808" s="153">
        <v>15064</v>
      </c>
      <c r="CC1808" s="153">
        <f>15064*18000</f>
        <v>271152000</v>
      </c>
      <c r="CD1808" s="155"/>
      <c r="CE1808" s="156"/>
      <c r="CF1808" s="155"/>
      <c r="CG1808" s="156"/>
      <c r="CH1808" s="155"/>
      <c r="CI1808" s="156"/>
      <c r="CJ1808" s="157">
        <f t="shared" si="231"/>
        <v>271152000</v>
      </c>
      <c r="CK1808" s="158"/>
      <c r="CL1808" s="159"/>
      <c r="CM1808" s="160">
        <v>7532</v>
      </c>
      <c r="CN1808" s="161">
        <f>7532*85000</f>
        <v>640220000</v>
      </c>
      <c r="CO1808" s="162"/>
      <c r="CP1808" s="161"/>
      <c r="CQ1808" s="158"/>
      <c r="CR1808" s="159"/>
      <c r="CS1808" s="68"/>
      <c r="CT1808" s="163"/>
      <c r="EC1808" s="366" t="str">
        <f t="shared" si="234"/>
        <v>SUCRE_SUCRE</v>
      </c>
      <c r="ED1808" s="367"/>
      <c r="EE1808" s="367"/>
      <c r="EF1808" s="368"/>
      <c r="EG1808" s="367"/>
      <c r="EH1808" s="367"/>
      <c r="EI1808" s="367"/>
    </row>
    <row r="1809" spans="1:139" s="164" customFormat="1" ht="25.5">
      <c r="A1809" s="228">
        <v>40502</v>
      </c>
      <c r="B1809" s="205" t="s">
        <v>1551</v>
      </c>
      <c r="C1809" s="205" t="s">
        <v>1422</v>
      </c>
      <c r="D1809" s="206" t="s">
        <v>1878</v>
      </c>
      <c r="E1809" s="320" t="s">
        <v>3374</v>
      </c>
      <c r="F1809" s="320"/>
      <c r="G1809" s="204"/>
      <c r="H1809" s="151"/>
      <c r="I1809" s="151"/>
      <c r="J1809" s="151">
        <v>50</v>
      </c>
      <c r="K1809" s="151">
        <v>10</v>
      </c>
      <c r="L1809" s="1">
        <v>40536</v>
      </c>
      <c r="M1809" s="73">
        <f t="shared" si="229"/>
        <v>0</v>
      </c>
      <c r="N1809" s="73">
        <f t="shared" si="233"/>
        <v>2550000</v>
      </c>
      <c r="O1809" s="73">
        <f t="shared" si="228"/>
        <v>0</v>
      </c>
      <c r="P1809" s="73">
        <f t="shared" si="230"/>
        <v>0</v>
      </c>
      <c r="Q1809" s="73"/>
      <c r="R1809" s="73">
        <v>0</v>
      </c>
      <c r="S1809" s="75">
        <f t="shared" si="232"/>
        <v>2550000</v>
      </c>
      <c r="T1809" s="77">
        <v>0</v>
      </c>
      <c r="U1809" s="66">
        <v>40504</v>
      </c>
      <c r="V1809" s="79"/>
      <c r="W1809" s="66" t="s">
        <v>1606</v>
      </c>
      <c r="X1809" s="24" t="s">
        <v>1607</v>
      </c>
      <c r="Y1809" s="62">
        <v>27459</v>
      </c>
      <c r="Z1809" s="169" t="s">
        <v>894</v>
      </c>
      <c r="AA1809" s="190" t="s">
        <v>2610</v>
      </c>
      <c r="AB1809" s="152"/>
      <c r="AC1809" s="153"/>
      <c r="AD1809" s="154"/>
      <c r="AE1809" s="153"/>
      <c r="AF1809" s="153"/>
      <c r="AG1809" s="153"/>
      <c r="AH1809" s="153"/>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c r="BI1809" s="153"/>
      <c r="BJ1809" s="153"/>
      <c r="BK1809" s="153"/>
      <c r="BL1809" s="153"/>
      <c r="BM1809" s="153"/>
      <c r="BN1809" s="153"/>
      <c r="BO1809" s="153"/>
      <c r="BP1809" s="153"/>
      <c r="BQ1809" s="153"/>
      <c r="BR1809" s="153"/>
      <c r="BS1809" s="153"/>
      <c r="BT1809" s="153"/>
      <c r="BU1809" s="153"/>
      <c r="BV1809" s="153"/>
      <c r="BW1809" s="153"/>
      <c r="BX1809" s="153"/>
      <c r="BY1809" s="153"/>
      <c r="BZ1809" s="153"/>
      <c r="CA1809" s="153"/>
      <c r="CB1809" s="153"/>
      <c r="CC1809" s="153"/>
      <c r="CD1809" s="155"/>
      <c r="CE1809" s="156"/>
      <c r="CF1809" s="155"/>
      <c r="CG1809" s="156"/>
      <c r="CH1809" s="155"/>
      <c r="CI1809" s="156"/>
      <c r="CJ1809" s="157">
        <f t="shared" si="231"/>
        <v>0</v>
      </c>
      <c r="CK1809" s="158"/>
      <c r="CL1809" s="159"/>
      <c r="CM1809" s="160">
        <v>30</v>
      </c>
      <c r="CN1809" s="161">
        <f>30*85000</f>
        <v>2550000</v>
      </c>
      <c r="CO1809" s="162"/>
      <c r="CP1809" s="161"/>
      <c r="CQ1809" s="158"/>
      <c r="CR1809" s="159"/>
      <c r="CS1809" s="68"/>
      <c r="CT1809" s="163"/>
      <c r="EC1809" s="366" t="str">
        <f t="shared" si="234"/>
        <v>ATLANTICO_USIACURI</v>
      </c>
      <c r="ED1809" s="367"/>
      <c r="EE1809" s="367"/>
      <c r="EF1809" s="368"/>
      <c r="EG1809" s="367"/>
      <c r="EH1809" s="367"/>
      <c r="EI1809" s="367"/>
    </row>
    <row r="1810" spans="1:139" s="164" customFormat="1" ht="25.5">
      <c r="A1810" s="228">
        <v>40502</v>
      </c>
      <c r="B1810" s="205" t="s">
        <v>653</v>
      </c>
      <c r="C1810" s="205" t="s">
        <v>2109</v>
      </c>
      <c r="D1810" s="206" t="s">
        <v>1878</v>
      </c>
      <c r="E1810" s="320" t="s">
        <v>3555</v>
      </c>
      <c r="F1810" s="320"/>
      <c r="G1810" s="204">
        <v>2</v>
      </c>
      <c r="H1810" s="151"/>
      <c r="I1810" s="151"/>
      <c r="J1810" s="151">
        <f>25*5</f>
        <v>125</v>
      </c>
      <c r="K1810" s="151">
        <v>25</v>
      </c>
      <c r="L1810" s="1"/>
      <c r="M1810" s="73">
        <f t="shared" si="229"/>
        <v>0</v>
      </c>
      <c r="N1810" s="73">
        <f t="shared" si="233"/>
        <v>0</v>
      </c>
      <c r="O1810" s="73">
        <f t="shared" si="228"/>
        <v>0</v>
      </c>
      <c r="P1810" s="73">
        <f t="shared" si="230"/>
        <v>0</v>
      </c>
      <c r="Q1810" s="73"/>
      <c r="R1810" s="73">
        <v>0</v>
      </c>
      <c r="S1810" s="75">
        <f t="shared" si="232"/>
        <v>0</v>
      </c>
      <c r="T1810" s="77">
        <v>0</v>
      </c>
      <c r="U1810" s="66">
        <v>40504</v>
      </c>
      <c r="V1810" s="79"/>
      <c r="W1810" s="66" t="s">
        <v>1606</v>
      </c>
      <c r="X1810" s="24" t="s">
        <v>1607</v>
      </c>
      <c r="Y1810" s="62"/>
      <c r="Z1810" s="176" t="s">
        <v>3056</v>
      </c>
      <c r="AA1810" s="166" t="s">
        <v>2110</v>
      </c>
      <c r="AB1810" s="152"/>
      <c r="AC1810" s="153"/>
      <c r="AD1810" s="154"/>
      <c r="AE1810" s="153"/>
      <c r="AF1810" s="153"/>
      <c r="AG1810" s="153"/>
      <c r="AH1810" s="153"/>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c r="BI1810" s="153"/>
      <c r="BJ1810" s="153"/>
      <c r="BK1810" s="153"/>
      <c r="BL1810" s="153"/>
      <c r="BM1810" s="153"/>
      <c r="BN1810" s="153"/>
      <c r="BO1810" s="153"/>
      <c r="BP1810" s="153"/>
      <c r="BQ1810" s="153"/>
      <c r="BR1810" s="153"/>
      <c r="BS1810" s="153"/>
      <c r="BT1810" s="153"/>
      <c r="BU1810" s="153"/>
      <c r="BV1810" s="153"/>
      <c r="BW1810" s="153"/>
      <c r="BX1810" s="153"/>
      <c r="BY1810" s="153"/>
      <c r="BZ1810" s="153"/>
      <c r="CA1810" s="153"/>
      <c r="CB1810" s="153"/>
      <c r="CC1810" s="153"/>
      <c r="CD1810" s="155"/>
      <c r="CE1810" s="156"/>
      <c r="CF1810" s="155"/>
      <c r="CG1810" s="156"/>
      <c r="CH1810" s="155"/>
      <c r="CI1810" s="156"/>
      <c r="CJ1810" s="157">
        <f t="shared" si="231"/>
        <v>0</v>
      </c>
      <c r="CK1810" s="158"/>
      <c r="CL1810" s="159"/>
      <c r="CM1810" s="160"/>
      <c r="CN1810" s="161"/>
      <c r="CO1810" s="162"/>
      <c r="CP1810" s="161"/>
      <c r="CQ1810" s="158"/>
      <c r="CR1810" s="159"/>
      <c r="CS1810" s="68"/>
      <c r="CT1810" s="163"/>
      <c r="EC1810" s="366" t="str">
        <f t="shared" si="234"/>
        <v>CALDAS_MARULANDA</v>
      </c>
      <c r="ED1810" s="367"/>
      <c r="EE1810" s="367"/>
      <c r="EF1810" s="368"/>
      <c r="EG1810" s="367"/>
      <c r="EH1810" s="367"/>
      <c r="EI1810" s="367"/>
    </row>
    <row r="1811" spans="1:139" s="164" customFormat="1" ht="67.5">
      <c r="A1811" s="228">
        <v>40502</v>
      </c>
      <c r="B1811" s="205" t="s">
        <v>2704</v>
      </c>
      <c r="C1811" s="205" t="s">
        <v>3061</v>
      </c>
      <c r="D1811" s="207" t="s">
        <v>2606</v>
      </c>
      <c r="E1811" s="323" t="s">
        <v>3581</v>
      </c>
      <c r="F1811" s="323"/>
      <c r="G1811" s="204"/>
      <c r="H1811" s="151"/>
      <c r="I1811" s="151"/>
      <c r="J1811" s="151">
        <f>75*5</f>
        <v>375</v>
      </c>
      <c r="K1811" s="151">
        <v>75</v>
      </c>
      <c r="L1811" s="1"/>
      <c r="M1811" s="73">
        <f t="shared" si="229"/>
        <v>0</v>
      </c>
      <c r="N1811" s="73">
        <f t="shared" si="233"/>
        <v>0</v>
      </c>
      <c r="O1811" s="73">
        <f t="shared" si="228"/>
        <v>0</v>
      </c>
      <c r="P1811" s="73">
        <f t="shared" si="230"/>
        <v>0</v>
      </c>
      <c r="Q1811" s="73"/>
      <c r="R1811" s="73">
        <v>0</v>
      </c>
      <c r="S1811" s="75">
        <f t="shared" si="232"/>
        <v>0</v>
      </c>
      <c r="T1811" s="77">
        <v>0</v>
      </c>
      <c r="U1811" s="66">
        <v>40515</v>
      </c>
      <c r="V1811" s="79">
        <v>69284</v>
      </c>
      <c r="W1811" s="66" t="s">
        <v>1606</v>
      </c>
      <c r="X1811" s="24" t="s">
        <v>1586</v>
      </c>
      <c r="Y1811" s="62"/>
      <c r="Z1811" s="169" t="s">
        <v>55</v>
      </c>
      <c r="AA1811" s="166" t="s">
        <v>647</v>
      </c>
      <c r="AB1811" s="152"/>
      <c r="AC1811" s="153"/>
      <c r="AD1811" s="154"/>
      <c r="AE1811" s="153"/>
      <c r="AF1811" s="153"/>
      <c r="AG1811" s="153"/>
      <c r="AH1811" s="153"/>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c r="BI1811" s="153"/>
      <c r="BJ1811" s="153"/>
      <c r="BK1811" s="153"/>
      <c r="BL1811" s="153"/>
      <c r="BM1811" s="153"/>
      <c r="BN1811" s="153"/>
      <c r="BO1811" s="153"/>
      <c r="BP1811" s="153"/>
      <c r="BQ1811" s="153"/>
      <c r="BR1811" s="153"/>
      <c r="BS1811" s="153"/>
      <c r="BT1811" s="153"/>
      <c r="BU1811" s="153"/>
      <c r="BV1811" s="153"/>
      <c r="BW1811" s="153"/>
      <c r="BX1811" s="153"/>
      <c r="BY1811" s="153"/>
      <c r="BZ1811" s="153"/>
      <c r="CA1811" s="153"/>
      <c r="CB1811" s="153"/>
      <c r="CC1811" s="153"/>
      <c r="CD1811" s="155"/>
      <c r="CE1811" s="156"/>
      <c r="CF1811" s="155"/>
      <c r="CG1811" s="156"/>
      <c r="CH1811" s="155"/>
      <c r="CI1811" s="156"/>
      <c r="CJ1811" s="157">
        <f t="shared" si="231"/>
        <v>0</v>
      </c>
      <c r="CK1811" s="158"/>
      <c r="CL1811" s="159"/>
      <c r="CM1811" s="160"/>
      <c r="CN1811" s="161"/>
      <c r="CO1811" s="162"/>
      <c r="CP1811" s="161"/>
      <c r="CQ1811" s="158"/>
      <c r="CR1811" s="159"/>
      <c r="CS1811" s="68"/>
      <c r="CT1811" s="163"/>
      <c r="EC1811" s="366" t="str">
        <f t="shared" si="234"/>
        <v>CAQUETA_SAN JOSE DEL FRAGUA</v>
      </c>
      <c r="ED1811" s="367"/>
      <c r="EE1811" s="367"/>
      <c r="EF1811" s="368"/>
      <c r="EG1811" s="367"/>
      <c r="EH1811" s="367"/>
      <c r="EI1811" s="367"/>
    </row>
    <row r="1812" spans="1:139" s="164" customFormat="1" ht="25.5">
      <c r="A1812" s="228">
        <v>40502</v>
      </c>
      <c r="B1812" s="205" t="s">
        <v>1314</v>
      </c>
      <c r="C1812" s="205" t="s">
        <v>2107</v>
      </c>
      <c r="D1812" s="207" t="s">
        <v>2346</v>
      </c>
      <c r="E1812" s="323" t="s">
        <v>3601</v>
      </c>
      <c r="F1812" s="323"/>
      <c r="G1812" s="204">
        <v>17</v>
      </c>
      <c r="H1812" s="151">
        <v>22</v>
      </c>
      <c r="I1812" s="151"/>
      <c r="J1812" s="151"/>
      <c r="K1812" s="151"/>
      <c r="L1812" s="1"/>
      <c r="M1812" s="73">
        <f t="shared" si="229"/>
        <v>0</v>
      </c>
      <c r="N1812" s="73">
        <f t="shared" si="233"/>
        <v>0</v>
      </c>
      <c r="O1812" s="73">
        <f t="shared" si="228"/>
        <v>0</v>
      </c>
      <c r="P1812" s="73">
        <f t="shared" si="230"/>
        <v>0</v>
      </c>
      <c r="Q1812" s="73"/>
      <c r="R1812" s="73">
        <v>0</v>
      </c>
      <c r="S1812" s="75">
        <f t="shared" si="232"/>
        <v>0</v>
      </c>
      <c r="T1812" s="77">
        <v>0</v>
      </c>
      <c r="U1812" s="66">
        <v>40504</v>
      </c>
      <c r="V1812" s="79"/>
      <c r="W1812" s="66" t="s">
        <v>1585</v>
      </c>
      <c r="X1812" s="24" t="s">
        <v>1586</v>
      </c>
      <c r="Y1812" s="62"/>
      <c r="Z1812" s="169" t="s">
        <v>894</v>
      </c>
      <c r="AA1812" s="166" t="s">
        <v>2108</v>
      </c>
      <c r="AB1812" s="152"/>
      <c r="AC1812" s="153"/>
      <c r="AD1812" s="154"/>
      <c r="AE1812" s="153"/>
      <c r="AF1812" s="153"/>
      <c r="AG1812" s="153"/>
      <c r="AH1812" s="153"/>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c r="BF1812" s="153"/>
      <c r="BG1812" s="153"/>
      <c r="BH1812" s="153"/>
      <c r="BI1812" s="153"/>
      <c r="BJ1812" s="153"/>
      <c r="BK1812" s="153"/>
      <c r="BL1812" s="153"/>
      <c r="BM1812" s="153"/>
      <c r="BN1812" s="153"/>
      <c r="BO1812" s="153"/>
      <c r="BP1812" s="153"/>
      <c r="BQ1812" s="153"/>
      <c r="BR1812" s="153"/>
      <c r="BS1812" s="153"/>
      <c r="BT1812" s="153"/>
      <c r="BU1812" s="153"/>
      <c r="BV1812" s="153"/>
      <c r="BW1812" s="153"/>
      <c r="BX1812" s="153"/>
      <c r="BY1812" s="153"/>
      <c r="BZ1812" s="153"/>
      <c r="CA1812" s="153"/>
      <c r="CB1812" s="153"/>
      <c r="CC1812" s="153"/>
      <c r="CD1812" s="155"/>
      <c r="CE1812" s="156"/>
      <c r="CF1812" s="155"/>
      <c r="CG1812" s="156"/>
      <c r="CH1812" s="155"/>
      <c r="CI1812" s="156"/>
      <c r="CJ1812" s="157">
        <f t="shared" si="231"/>
        <v>0</v>
      </c>
      <c r="CK1812" s="158"/>
      <c r="CL1812" s="159"/>
      <c r="CM1812" s="160"/>
      <c r="CN1812" s="161"/>
      <c r="CO1812" s="162"/>
      <c r="CP1812" s="161"/>
      <c r="CQ1812" s="158"/>
      <c r="CR1812" s="159"/>
      <c r="CS1812" s="68"/>
      <c r="CT1812" s="163"/>
      <c r="EC1812" s="366" t="str">
        <f t="shared" si="234"/>
        <v>CAUCA_JAMBALO</v>
      </c>
      <c r="ED1812" s="367"/>
      <c r="EE1812" s="367"/>
      <c r="EF1812" s="368"/>
      <c r="EG1812" s="367"/>
      <c r="EH1812" s="367"/>
      <c r="EI1812" s="367"/>
    </row>
    <row r="1813" spans="1:139" s="164" customFormat="1" ht="48">
      <c r="A1813" s="228">
        <v>40502</v>
      </c>
      <c r="B1813" s="205" t="s">
        <v>1314</v>
      </c>
      <c r="C1813" s="205" t="s">
        <v>1223</v>
      </c>
      <c r="D1813" s="207" t="s">
        <v>2346</v>
      </c>
      <c r="E1813" s="323" t="s">
        <v>3619</v>
      </c>
      <c r="F1813" s="323"/>
      <c r="G1813" s="204">
        <v>17</v>
      </c>
      <c r="H1813" s="151">
        <v>29</v>
      </c>
      <c r="I1813" s="151"/>
      <c r="J1813" s="151"/>
      <c r="K1813" s="151"/>
      <c r="L1813" s="1"/>
      <c r="M1813" s="73">
        <f t="shared" si="229"/>
        <v>0</v>
      </c>
      <c r="N1813" s="73">
        <f t="shared" si="233"/>
        <v>0</v>
      </c>
      <c r="O1813" s="73">
        <f t="shared" si="228"/>
        <v>0</v>
      </c>
      <c r="P1813" s="73">
        <f t="shared" si="230"/>
        <v>0</v>
      </c>
      <c r="Q1813" s="73"/>
      <c r="R1813" s="73">
        <v>0</v>
      </c>
      <c r="S1813" s="75">
        <f t="shared" si="232"/>
        <v>0</v>
      </c>
      <c r="T1813" s="77">
        <v>0</v>
      </c>
      <c r="U1813" s="66">
        <v>40502</v>
      </c>
      <c r="V1813" s="79"/>
      <c r="W1813" s="66" t="s">
        <v>1585</v>
      </c>
      <c r="X1813" s="24" t="s">
        <v>1586</v>
      </c>
      <c r="Y1813" s="62"/>
      <c r="Z1813" s="169" t="s">
        <v>894</v>
      </c>
      <c r="AA1813" s="166" t="s">
        <v>483</v>
      </c>
      <c r="AB1813" s="152"/>
      <c r="AC1813" s="153"/>
      <c r="AD1813" s="154"/>
      <c r="AE1813" s="153"/>
      <c r="AF1813" s="153"/>
      <c r="AG1813" s="153"/>
      <c r="AH1813" s="153"/>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c r="BF1813" s="153"/>
      <c r="BG1813" s="153"/>
      <c r="BH1813" s="153"/>
      <c r="BI1813" s="153"/>
      <c r="BJ1813" s="153"/>
      <c r="BK1813" s="153"/>
      <c r="BL1813" s="153"/>
      <c r="BM1813" s="153"/>
      <c r="BN1813" s="153"/>
      <c r="BO1813" s="153"/>
      <c r="BP1813" s="153"/>
      <c r="BQ1813" s="153"/>
      <c r="BR1813" s="153"/>
      <c r="BS1813" s="153"/>
      <c r="BT1813" s="153"/>
      <c r="BU1813" s="153"/>
      <c r="BV1813" s="153"/>
      <c r="BW1813" s="153"/>
      <c r="BX1813" s="153"/>
      <c r="BY1813" s="153"/>
      <c r="BZ1813" s="153"/>
      <c r="CA1813" s="153"/>
      <c r="CB1813" s="153"/>
      <c r="CC1813" s="153"/>
      <c r="CD1813" s="155"/>
      <c r="CE1813" s="156"/>
      <c r="CF1813" s="155"/>
      <c r="CG1813" s="156"/>
      <c r="CH1813" s="155"/>
      <c r="CI1813" s="156"/>
      <c r="CJ1813" s="157">
        <f t="shared" si="231"/>
        <v>0</v>
      </c>
      <c r="CK1813" s="158"/>
      <c r="CL1813" s="159"/>
      <c r="CM1813" s="160"/>
      <c r="CN1813" s="161"/>
      <c r="CO1813" s="162"/>
      <c r="CP1813" s="161"/>
      <c r="CQ1813" s="158"/>
      <c r="CR1813" s="159"/>
      <c r="CS1813" s="68"/>
      <c r="CT1813" s="163">
        <v>1518</v>
      </c>
      <c r="EC1813" s="366" t="str">
        <f t="shared" si="234"/>
        <v>CAUCA_SILVIA</v>
      </c>
      <c r="ED1813" s="367"/>
      <c r="EE1813" s="367"/>
      <c r="EF1813" s="368"/>
      <c r="EG1813" s="367"/>
      <c r="EH1813" s="367"/>
      <c r="EI1813" s="367"/>
    </row>
    <row r="1814" spans="1:139" s="164" customFormat="1" ht="25.5">
      <c r="A1814" s="228">
        <v>40502</v>
      </c>
      <c r="B1814" s="205" t="s">
        <v>1996</v>
      </c>
      <c r="C1814" s="205" t="s">
        <v>938</v>
      </c>
      <c r="D1814" s="207" t="s">
        <v>1201</v>
      </c>
      <c r="E1814" s="323" t="s">
        <v>3821</v>
      </c>
      <c r="F1814" s="323"/>
      <c r="G1814" s="204"/>
      <c r="H1814" s="151"/>
      <c r="I1814" s="151"/>
      <c r="J1814" s="151">
        <f>7679-5075</f>
        <v>2604</v>
      </c>
      <c r="K1814" s="151">
        <v>763</v>
      </c>
      <c r="L1814" s="1"/>
      <c r="M1814" s="73">
        <f t="shared" si="229"/>
        <v>43204000</v>
      </c>
      <c r="N1814" s="73">
        <f t="shared" si="233"/>
        <v>151130000</v>
      </c>
      <c r="O1814" s="73">
        <f t="shared" si="228"/>
        <v>0</v>
      </c>
      <c r="P1814" s="73">
        <f t="shared" si="230"/>
        <v>0</v>
      </c>
      <c r="Q1814" s="73"/>
      <c r="R1814" s="73">
        <v>0</v>
      </c>
      <c r="S1814" s="75">
        <f t="shared" si="232"/>
        <v>194334000</v>
      </c>
      <c r="T1814" s="77">
        <v>0</v>
      </c>
      <c r="U1814" s="66">
        <v>40505</v>
      </c>
      <c r="V1814" s="79"/>
      <c r="W1814" s="66" t="s">
        <v>1606</v>
      </c>
      <c r="X1814" s="24" t="s">
        <v>1607</v>
      </c>
      <c r="Y1814" s="62"/>
      <c r="Z1814" s="169" t="s">
        <v>894</v>
      </c>
      <c r="AA1814" s="166" t="s">
        <v>2150</v>
      </c>
      <c r="AB1814" s="152"/>
      <c r="AC1814" s="153"/>
      <c r="AD1814" s="154"/>
      <c r="AE1814" s="153"/>
      <c r="AF1814" s="153"/>
      <c r="AG1814" s="153"/>
      <c r="AH1814" s="153"/>
      <c r="AI1814" s="153"/>
      <c r="AJ1814" s="153"/>
      <c r="AK1814" s="153"/>
      <c r="AL1814" s="153"/>
      <c r="AM1814" s="153"/>
      <c r="AN1814" s="153"/>
      <c r="AO1814" s="153"/>
      <c r="AP1814" s="153">
        <v>200</v>
      </c>
      <c r="AQ1814" s="153">
        <f>200*56000</f>
        <v>11200000</v>
      </c>
      <c r="AR1814" s="153"/>
      <c r="AS1814" s="153"/>
      <c r="AT1814" s="153"/>
      <c r="AU1814" s="153"/>
      <c r="AV1814" s="153"/>
      <c r="AW1814" s="153"/>
      <c r="AX1814" s="153"/>
      <c r="AY1814" s="153"/>
      <c r="AZ1814" s="153"/>
      <c r="BA1814" s="153"/>
      <c r="BB1814" s="153"/>
      <c r="BC1814" s="153"/>
      <c r="BD1814" s="153"/>
      <c r="BE1814" s="153"/>
      <c r="BF1814" s="153"/>
      <c r="BG1814" s="153"/>
      <c r="BH1814" s="153"/>
      <c r="BI1814" s="153"/>
      <c r="BJ1814" s="153"/>
      <c r="BK1814" s="153"/>
      <c r="BL1814" s="153"/>
      <c r="BM1814" s="153"/>
      <c r="BN1814" s="153"/>
      <c r="BO1814" s="153"/>
      <c r="BP1814" s="153"/>
      <c r="BQ1814" s="153"/>
      <c r="BR1814" s="153"/>
      <c r="BS1814" s="153"/>
      <c r="BT1814" s="153"/>
      <c r="BU1814" s="153"/>
      <c r="BV1814" s="153"/>
      <c r="BW1814" s="153"/>
      <c r="BX1814" s="153"/>
      <c r="BY1814" s="153"/>
      <c r="BZ1814" s="153"/>
      <c r="CA1814" s="153"/>
      <c r="CB1814" s="153">
        <v>1778</v>
      </c>
      <c r="CC1814" s="153">
        <f>1778*18000</f>
        <v>32004000</v>
      </c>
      <c r="CD1814" s="155"/>
      <c r="CE1814" s="156"/>
      <c r="CF1814" s="155"/>
      <c r="CG1814" s="156"/>
      <c r="CH1814" s="155"/>
      <c r="CI1814" s="156"/>
      <c r="CJ1814" s="157">
        <f t="shared" si="231"/>
        <v>43204000</v>
      </c>
      <c r="CK1814" s="158"/>
      <c r="CL1814" s="159"/>
      <c r="CM1814" s="160">
        <v>1778</v>
      </c>
      <c r="CN1814" s="161">
        <f>1778*85000</f>
        <v>151130000</v>
      </c>
      <c r="CO1814" s="162"/>
      <c r="CP1814" s="161"/>
      <c r="CQ1814" s="158"/>
      <c r="CR1814" s="159"/>
      <c r="CS1814" s="68"/>
      <c r="CT1814" s="163"/>
      <c r="EC1814" s="366" t="str">
        <f t="shared" si="234"/>
        <v>CHOCO_UNGUIA</v>
      </c>
      <c r="ED1814" s="367"/>
      <c r="EE1814" s="367"/>
      <c r="EF1814" s="368"/>
      <c r="EG1814" s="367"/>
      <c r="EH1814" s="367"/>
      <c r="EI1814" s="367"/>
    </row>
    <row r="1815" spans="1:139" s="164" customFormat="1" ht="38.25">
      <c r="A1815" s="228">
        <v>40502</v>
      </c>
      <c r="B1815" s="205" t="s">
        <v>965</v>
      </c>
      <c r="C1815" s="205" t="s">
        <v>1327</v>
      </c>
      <c r="D1815" s="206" t="s">
        <v>1878</v>
      </c>
      <c r="E1815" s="320" t="s">
        <v>3998</v>
      </c>
      <c r="F1815" s="320"/>
      <c r="G1815" s="204"/>
      <c r="H1815" s="151"/>
      <c r="I1815" s="151"/>
      <c r="J1815" s="151"/>
      <c r="K1815" s="151"/>
      <c r="L1815" s="1"/>
      <c r="M1815" s="73">
        <f t="shared" si="229"/>
        <v>0</v>
      </c>
      <c r="N1815" s="73">
        <f t="shared" si="233"/>
        <v>0</v>
      </c>
      <c r="O1815" s="73">
        <f t="shared" si="228"/>
        <v>0</v>
      </c>
      <c r="P1815" s="73">
        <f t="shared" si="230"/>
        <v>0</v>
      </c>
      <c r="Q1815" s="73"/>
      <c r="R1815" s="73">
        <v>0</v>
      </c>
      <c r="S1815" s="75">
        <f t="shared" si="232"/>
        <v>0</v>
      </c>
      <c r="T1815" s="77">
        <v>0</v>
      </c>
      <c r="U1815" s="66">
        <v>40504</v>
      </c>
      <c r="V1815" s="79"/>
      <c r="W1815" s="66" t="s">
        <v>1585</v>
      </c>
      <c r="X1815" s="24" t="s">
        <v>1586</v>
      </c>
      <c r="Y1815" s="62"/>
      <c r="Z1815" s="169" t="s">
        <v>894</v>
      </c>
      <c r="AA1815" s="166" t="s">
        <v>2112</v>
      </c>
      <c r="AB1815" s="152"/>
      <c r="AC1815" s="153"/>
      <c r="AD1815" s="154"/>
      <c r="AE1815" s="153"/>
      <c r="AF1815" s="153"/>
      <c r="AG1815" s="153"/>
      <c r="AH1815" s="153"/>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c r="BF1815" s="153"/>
      <c r="BG1815" s="153"/>
      <c r="BH1815" s="153"/>
      <c r="BI1815" s="153"/>
      <c r="BJ1815" s="153"/>
      <c r="BK1815" s="153"/>
      <c r="BL1815" s="153"/>
      <c r="BM1815" s="153"/>
      <c r="BN1815" s="153"/>
      <c r="BO1815" s="153"/>
      <c r="BP1815" s="153"/>
      <c r="BQ1815" s="153"/>
      <c r="BR1815" s="153"/>
      <c r="BS1815" s="153"/>
      <c r="BT1815" s="153"/>
      <c r="BU1815" s="153"/>
      <c r="BV1815" s="153"/>
      <c r="BW1815" s="153"/>
      <c r="BX1815" s="153"/>
      <c r="BY1815" s="153"/>
      <c r="BZ1815" s="153"/>
      <c r="CA1815" s="153"/>
      <c r="CB1815" s="153"/>
      <c r="CC1815" s="153"/>
      <c r="CD1815" s="155"/>
      <c r="CE1815" s="156"/>
      <c r="CF1815" s="155"/>
      <c r="CG1815" s="156"/>
      <c r="CH1815" s="155"/>
      <c r="CI1815" s="156"/>
      <c r="CJ1815" s="157">
        <f t="shared" si="231"/>
        <v>0</v>
      </c>
      <c r="CK1815" s="158"/>
      <c r="CL1815" s="159"/>
      <c r="CM1815" s="160"/>
      <c r="CN1815" s="161"/>
      <c r="CO1815" s="162"/>
      <c r="CP1815" s="161"/>
      <c r="CQ1815" s="158"/>
      <c r="CR1815" s="159"/>
      <c r="CS1815" s="68"/>
      <c r="CT1815" s="163"/>
      <c r="EC1815" s="366" t="str">
        <f t="shared" si="234"/>
        <v>NORTE DE SANTANDER_CUCUTA</v>
      </c>
      <c r="ED1815" s="367"/>
      <c r="EE1815" s="367"/>
      <c r="EF1815" s="368"/>
      <c r="EG1815" s="367"/>
      <c r="EH1815" s="367"/>
      <c r="EI1815" s="367"/>
    </row>
    <row r="1816" spans="1:139" s="164" customFormat="1" ht="48">
      <c r="A1816" s="228">
        <v>40502</v>
      </c>
      <c r="B1816" s="205" t="s">
        <v>1612</v>
      </c>
      <c r="C1816" s="205" t="s">
        <v>1613</v>
      </c>
      <c r="D1816" s="206" t="s">
        <v>1878</v>
      </c>
      <c r="E1816" s="320" t="s">
        <v>4038</v>
      </c>
      <c r="F1816" s="320"/>
      <c r="G1816" s="204"/>
      <c r="H1816" s="151"/>
      <c r="I1816" s="151"/>
      <c r="J1816" s="151">
        <v>70</v>
      </c>
      <c r="K1816" s="151">
        <v>14</v>
      </c>
      <c r="L1816" s="1"/>
      <c r="M1816" s="73">
        <f t="shared" si="229"/>
        <v>0</v>
      </c>
      <c r="N1816" s="73">
        <f t="shared" si="233"/>
        <v>0</v>
      </c>
      <c r="O1816" s="73">
        <f t="shared" si="228"/>
        <v>0</v>
      </c>
      <c r="P1816" s="73">
        <f t="shared" si="230"/>
        <v>0</v>
      </c>
      <c r="Q1816" s="73"/>
      <c r="R1816" s="73">
        <v>0</v>
      </c>
      <c r="S1816" s="75">
        <f t="shared" si="232"/>
        <v>0</v>
      </c>
      <c r="T1816" s="77">
        <v>0</v>
      </c>
      <c r="U1816" s="66">
        <v>40505</v>
      </c>
      <c r="V1816" s="79"/>
      <c r="W1816" s="66" t="s">
        <v>1585</v>
      </c>
      <c r="X1816" s="24" t="s">
        <v>1586</v>
      </c>
      <c r="Y1816" s="62"/>
      <c r="Z1816" s="169" t="s">
        <v>894</v>
      </c>
      <c r="AA1816" s="166" t="s">
        <v>2138</v>
      </c>
      <c r="AB1816" s="152"/>
      <c r="AC1816" s="153"/>
      <c r="AD1816" s="154"/>
      <c r="AE1816" s="153"/>
      <c r="AF1816" s="153"/>
      <c r="AG1816" s="153"/>
      <c r="AH1816" s="153"/>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c r="BF1816" s="153"/>
      <c r="BG1816" s="153"/>
      <c r="BH1816" s="153"/>
      <c r="BI1816" s="153"/>
      <c r="BJ1816" s="153"/>
      <c r="BK1816" s="153"/>
      <c r="BL1816" s="153"/>
      <c r="BM1816" s="153"/>
      <c r="BN1816" s="153"/>
      <c r="BO1816" s="153"/>
      <c r="BP1816" s="153"/>
      <c r="BQ1816" s="153"/>
      <c r="BR1816" s="153"/>
      <c r="BS1816" s="153"/>
      <c r="BT1816" s="153"/>
      <c r="BU1816" s="153"/>
      <c r="BV1816" s="153"/>
      <c r="BW1816" s="153"/>
      <c r="BX1816" s="153"/>
      <c r="BY1816" s="153"/>
      <c r="BZ1816" s="153"/>
      <c r="CA1816" s="153"/>
      <c r="CB1816" s="153"/>
      <c r="CC1816" s="153"/>
      <c r="CD1816" s="155"/>
      <c r="CE1816" s="156"/>
      <c r="CF1816" s="155"/>
      <c r="CG1816" s="156"/>
      <c r="CH1816" s="155"/>
      <c r="CI1816" s="156"/>
      <c r="CJ1816" s="157">
        <f t="shared" si="231"/>
        <v>0</v>
      </c>
      <c r="CK1816" s="158"/>
      <c r="CL1816" s="159"/>
      <c r="CM1816" s="160"/>
      <c r="CN1816" s="161"/>
      <c r="CO1816" s="162"/>
      <c r="CP1816" s="161"/>
      <c r="CQ1816" s="158"/>
      <c r="CR1816" s="159"/>
      <c r="CS1816" s="68"/>
      <c r="CT1816" s="163"/>
      <c r="EC1816" s="366" t="str">
        <f t="shared" si="234"/>
        <v>QUINDIO_ARMENIA</v>
      </c>
      <c r="ED1816" s="367"/>
      <c r="EE1816" s="367"/>
      <c r="EF1816" s="368"/>
      <c r="EG1816" s="367"/>
      <c r="EH1816" s="367"/>
      <c r="EI1816" s="367"/>
    </row>
    <row r="1817" spans="1:139" s="164" customFormat="1" ht="25.5">
      <c r="A1817" s="228">
        <v>40502</v>
      </c>
      <c r="B1817" s="102" t="s">
        <v>1609</v>
      </c>
      <c r="C1817" s="205" t="s">
        <v>2373</v>
      </c>
      <c r="D1817" s="207" t="s">
        <v>1201</v>
      </c>
      <c r="E1817" s="323" t="s">
        <v>4059</v>
      </c>
      <c r="F1817" s="323"/>
      <c r="G1817" s="204">
        <v>1</v>
      </c>
      <c r="H1817" s="151"/>
      <c r="I1817" s="151"/>
      <c r="J1817" s="151"/>
      <c r="K1817" s="151"/>
      <c r="L1817" s="1"/>
      <c r="M1817" s="73">
        <f t="shared" si="229"/>
        <v>0</v>
      </c>
      <c r="N1817" s="73">
        <f t="shared" si="233"/>
        <v>0</v>
      </c>
      <c r="O1817" s="73">
        <f t="shared" si="228"/>
        <v>0</v>
      </c>
      <c r="P1817" s="73">
        <f t="shared" si="230"/>
        <v>0</v>
      </c>
      <c r="Q1817" s="73"/>
      <c r="R1817" s="73">
        <v>0</v>
      </c>
      <c r="S1817" s="75">
        <f t="shared" si="232"/>
        <v>0</v>
      </c>
      <c r="T1817" s="77">
        <v>0</v>
      </c>
      <c r="U1817" s="66">
        <v>40504</v>
      </c>
      <c r="V1817" s="79"/>
      <c r="W1817" s="66" t="s">
        <v>1585</v>
      </c>
      <c r="X1817" s="24" t="s">
        <v>1586</v>
      </c>
      <c r="Y1817" s="62"/>
      <c r="Z1817" s="169" t="s">
        <v>894</v>
      </c>
      <c r="AA1817" s="166" t="s">
        <v>2099</v>
      </c>
      <c r="AB1817" s="152"/>
      <c r="AC1817" s="153"/>
      <c r="AD1817" s="154"/>
      <c r="AE1817" s="153"/>
      <c r="AF1817" s="153"/>
      <c r="AG1817" s="153"/>
      <c r="AH1817" s="153"/>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c r="BF1817" s="153"/>
      <c r="BG1817" s="153"/>
      <c r="BH1817" s="153"/>
      <c r="BI1817" s="153"/>
      <c r="BJ1817" s="153"/>
      <c r="BK1817" s="153"/>
      <c r="BL1817" s="153"/>
      <c r="BM1817" s="153"/>
      <c r="BN1817" s="153"/>
      <c r="BO1817" s="153"/>
      <c r="BP1817" s="153"/>
      <c r="BQ1817" s="153"/>
      <c r="BR1817" s="153"/>
      <c r="BS1817" s="153"/>
      <c r="BT1817" s="153"/>
      <c r="BU1817" s="153"/>
      <c r="BV1817" s="153"/>
      <c r="BW1817" s="153"/>
      <c r="BX1817" s="153"/>
      <c r="BY1817" s="153"/>
      <c r="BZ1817" s="153"/>
      <c r="CA1817" s="153"/>
      <c r="CB1817" s="153"/>
      <c r="CC1817" s="153"/>
      <c r="CD1817" s="155"/>
      <c r="CE1817" s="156"/>
      <c r="CF1817" s="155"/>
      <c r="CG1817" s="156"/>
      <c r="CH1817" s="155"/>
      <c r="CI1817" s="156"/>
      <c r="CJ1817" s="157">
        <f t="shared" si="231"/>
        <v>0</v>
      </c>
      <c r="CK1817" s="158"/>
      <c r="CL1817" s="159"/>
      <c r="CM1817" s="160"/>
      <c r="CN1817" s="161"/>
      <c r="CO1817" s="162"/>
      <c r="CP1817" s="161"/>
      <c r="CQ1817" s="158"/>
      <c r="CR1817" s="159"/>
      <c r="CS1817" s="68"/>
      <c r="CT1817" s="163"/>
      <c r="EC1817" s="366" t="str">
        <f t="shared" si="234"/>
        <v>RISARALDA_MISTRATO</v>
      </c>
      <c r="ED1817" s="367"/>
      <c r="EE1817" s="367"/>
      <c r="EF1817" s="368"/>
      <c r="EG1817" s="367"/>
      <c r="EH1817" s="367"/>
      <c r="EI1817" s="367"/>
    </row>
    <row r="1818" spans="1:139" s="164" customFormat="1" ht="38.25">
      <c r="A1818" s="228">
        <v>40502</v>
      </c>
      <c r="B1818" s="205" t="s">
        <v>1088</v>
      </c>
      <c r="C1818" s="205" t="s">
        <v>2003</v>
      </c>
      <c r="D1818" s="206" t="s">
        <v>1878</v>
      </c>
      <c r="E1818" s="320" t="s">
        <v>4228</v>
      </c>
      <c r="F1818" s="320"/>
      <c r="G1818" s="204"/>
      <c r="H1818" s="151"/>
      <c r="I1818" s="151"/>
      <c r="J1818" s="151">
        <v>500</v>
      </c>
      <c r="K1818" s="151">
        <v>100</v>
      </c>
      <c r="L1818" s="1"/>
      <c r="M1818" s="73">
        <f t="shared" si="229"/>
        <v>13000000</v>
      </c>
      <c r="N1818" s="73">
        <f t="shared" si="233"/>
        <v>17000000</v>
      </c>
      <c r="O1818" s="73">
        <f t="shared" si="228"/>
        <v>0</v>
      </c>
      <c r="P1818" s="73">
        <f t="shared" si="230"/>
        <v>0</v>
      </c>
      <c r="Q1818" s="73"/>
      <c r="R1818" s="73">
        <v>0</v>
      </c>
      <c r="S1818" s="75">
        <f t="shared" si="232"/>
        <v>30000000</v>
      </c>
      <c r="T1818" s="77">
        <v>0</v>
      </c>
      <c r="U1818" s="66">
        <v>40504</v>
      </c>
      <c r="V1818" s="79"/>
      <c r="W1818" s="66" t="s">
        <v>1606</v>
      </c>
      <c r="X1818" s="24" t="s">
        <v>1607</v>
      </c>
      <c r="Y1818" s="62"/>
      <c r="Z1818" s="169" t="s">
        <v>894</v>
      </c>
      <c r="AA1818" s="166" t="s">
        <v>2097</v>
      </c>
      <c r="AB1818" s="152"/>
      <c r="AC1818" s="153"/>
      <c r="AD1818" s="154"/>
      <c r="AE1818" s="153"/>
      <c r="AF1818" s="153"/>
      <c r="AG1818" s="153"/>
      <c r="AH1818" s="153"/>
      <c r="AI1818" s="153"/>
      <c r="AJ1818" s="153"/>
      <c r="AK1818" s="153"/>
      <c r="AL1818" s="153"/>
      <c r="AM1818" s="153"/>
      <c r="AN1818" s="153">
        <v>100</v>
      </c>
      <c r="AO1818" s="153">
        <f>100*56000</f>
        <v>5600000</v>
      </c>
      <c r="AP1818" s="153"/>
      <c r="AQ1818" s="153"/>
      <c r="AR1818" s="153"/>
      <c r="AS1818" s="153"/>
      <c r="AT1818" s="153"/>
      <c r="AU1818" s="153"/>
      <c r="AV1818" s="153"/>
      <c r="AW1818" s="153"/>
      <c r="AX1818" s="153"/>
      <c r="AY1818" s="153"/>
      <c r="AZ1818" s="153"/>
      <c r="BA1818" s="153"/>
      <c r="BB1818" s="153"/>
      <c r="BC1818" s="153"/>
      <c r="BD1818" s="153"/>
      <c r="BE1818" s="153"/>
      <c r="BF1818" s="153"/>
      <c r="BG1818" s="153"/>
      <c r="BH1818" s="153"/>
      <c r="BI1818" s="153"/>
      <c r="BJ1818" s="153"/>
      <c r="BK1818" s="153"/>
      <c r="BL1818" s="153"/>
      <c r="BM1818" s="153"/>
      <c r="BN1818" s="153"/>
      <c r="BO1818" s="153"/>
      <c r="BP1818" s="153"/>
      <c r="BQ1818" s="153"/>
      <c r="BR1818" s="153"/>
      <c r="BS1818" s="153"/>
      <c r="BT1818" s="153"/>
      <c r="BU1818" s="153"/>
      <c r="BV1818" s="153"/>
      <c r="BW1818" s="153"/>
      <c r="BX1818" s="153"/>
      <c r="BY1818" s="153"/>
      <c r="BZ1818" s="153"/>
      <c r="CA1818" s="153"/>
      <c r="CB1818" s="153"/>
      <c r="CC1818" s="153"/>
      <c r="CD1818" s="155">
        <f>100+100</f>
        <v>200</v>
      </c>
      <c r="CE1818" s="156">
        <f>100*37000+100*37000</f>
        <v>7400000</v>
      </c>
      <c r="CF1818" s="155"/>
      <c r="CG1818" s="156"/>
      <c r="CH1818" s="155"/>
      <c r="CI1818" s="156"/>
      <c r="CJ1818" s="157">
        <f t="shared" si="231"/>
        <v>13000000</v>
      </c>
      <c r="CK1818" s="158"/>
      <c r="CL1818" s="159"/>
      <c r="CM1818" s="160">
        <f>100+100</f>
        <v>200</v>
      </c>
      <c r="CN1818" s="161">
        <f>100*85000+100*85000</f>
        <v>17000000</v>
      </c>
      <c r="CO1818" s="162"/>
      <c r="CP1818" s="161"/>
      <c r="CQ1818" s="158"/>
      <c r="CR1818" s="159"/>
      <c r="CS1818" s="68"/>
      <c r="CT1818" s="163"/>
      <c r="EC1818" s="366" t="str">
        <f t="shared" si="234"/>
        <v>VALLE DEL CAUCA_ARGELIA</v>
      </c>
      <c r="ED1818" s="367"/>
      <c r="EE1818" s="367"/>
      <c r="EF1818" s="368"/>
      <c r="EG1818" s="367"/>
      <c r="EH1818" s="367"/>
      <c r="EI1818" s="367"/>
    </row>
    <row r="1819" spans="1:139" s="164" customFormat="1" ht="38.25">
      <c r="A1819" s="228">
        <v>40502</v>
      </c>
      <c r="B1819" s="205" t="s">
        <v>1088</v>
      </c>
      <c r="C1819" s="102" t="s">
        <v>3205</v>
      </c>
      <c r="D1819" s="206" t="s">
        <v>1878</v>
      </c>
      <c r="E1819" s="320" t="s">
        <v>4234</v>
      </c>
      <c r="F1819" s="320"/>
      <c r="G1819" s="204"/>
      <c r="H1819" s="151"/>
      <c r="I1819" s="151"/>
      <c r="J1819" s="151">
        <f>27*5</f>
        <v>135</v>
      </c>
      <c r="K1819" s="151">
        <f>150-123</f>
        <v>27</v>
      </c>
      <c r="L1819" s="1"/>
      <c r="M1819" s="73">
        <f t="shared" si="229"/>
        <v>0</v>
      </c>
      <c r="N1819" s="73">
        <f t="shared" si="233"/>
        <v>0</v>
      </c>
      <c r="O1819" s="73">
        <f t="shared" si="228"/>
        <v>0</v>
      </c>
      <c r="P1819" s="73">
        <f t="shared" si="230"/>
        <v>0</v>
      </c>
      <c r="Q1819" s="73"/>
      <c r="R1819" s="73">
        <v>0</v>
      </c>
      <c r="S1819" s="75">
        <f t="shared" si="232"/>
        <v>0</v>
      </c>
      <c r="T1819" s="77">
        <v>0</v>
      </c>
      <c r="U1819" s="66">
        <v>40505</v>
      </c>
      <c r="V1819" s="79"/>
      <c r="W1819" s="66" t="s">
        <v>1585</v>
      </c>
      <c r="X1819" s="24" t="s">
        <v>1586</v>
      </c>
      <c r="Y1819" s="62"/>
      <c r="Z1819" s="169" t="s">
        <v>894</v>
      </c>
      <c r="AA1819" s="166" t="s">
        <v>291</v>
      </c>
      <c r="AB1819" s="152"/>
      <c r="AC1819" s="153"/>
      <c r="AD1819" s="154"/>
      <c r="AE1819" s="153"/>
      <c r="AF1819" s="153"/>
      <c r="AG1819" s="153"/>
      <c r="AH1819" s="153"/>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c r="BF1819" s="153"/>
      <c r="BG1819" s="153"/>
      <c r="BH1819" s="153"/>
      <c r="BI1819" s="153"/>
      <c r="BJ1819" s="153"/>
      <c r="BK1819" s="153"/>
      <c r="BL1819" s="153"/>
      <c r="BM1819" s="153"/>
      <c r="BN1819" s="153"/>
      <c r="BO1819" s="153"/>
      <c r="BP1819" s="153"/>
      <c r="BQ1819" s="153"/>
      <c r="BR1819" s="153"/>
      <c r="BS1819" s="153"/>
      <c r="BT1819" s="153"/>
      <c r="BU1819" s="153"/>
      <c r="BV1819" s="153"/>
      <c r="BW1819" s="153"/>
      <c r="BX1819" s="153"/>
      <c r="BY1819" s="153"/>
      <c r="BZ1819" s="153"/>
      <c r="CA1819" s="153"/>
      <c r="CB1819" s="153"/>
      <c r="CC1819" s="153"/>
      <c r="CD1819" s="155"/>
      <c r="CE1819" s="156"/>
      <c r="CF1819" s="155"/>
      <c r="CG1819" s="156"/>
      <c r="CH1819" s="155"/>
      <c r="CI1819" s="156"/>
      <c r="CJ1819" s="157">
        <f t="shared" si="231"/>
        <v>0</v>
      </c>
      <c r="CK1819" s="158"/>
      <c r="CL1819" s="159"/>
      <c r="CM1819" s="160"/>
      <c r="CN1819" s="161"/>
      <c r="CO1819" s="162"/>
      <c r="CP1819" s="161"/>
      <c r="CQ1819" s="158"/>
      <c r="CR1819" s="159"/>
      <c r="CS1819" s="68"/>
      <c r="CT1819" s="163"/>
      <c r="EC1819" s="366" t="str">
        <f t="shared" si="234"/>
        <v>VALLE DEL CAUCA_CALIMA</v>
      </c>
      <c r="ED1819" s="367"/>
      <c r="EE1819" s="367"/>
      <c r="EF1819" s="368"/>
      <c r="EG1819" s="367"/>
      <c r="EH1819" s="367"/>
      <c r="EI1819" s="367"/>
    </row>
    <row r="1820" spans="1:139" s="164" customFormat="1" ht="38.25">
      <c r="A1820" s="228">
        <v>40502</v>
      </c>
      <c r="B1820" s="205" t="s">
        <v>1088</v>
      </c>
      <c r="C1820" s="205" t="s">
        <v>2134</v>
      </c>
      <c r="D1820" s="207" t="s">
        <v>1201</v>
      </c>
      <c r="E1820" s="323" t="s">
        <v>4246</v>
      </c>
      <c r="F1820" s="323"/>
      <c r="G1820" s="204"/>
      <c r="H1820" s="151"/>
      <c r="I1820" s="151"/>
      <c r="J1820" s="151">
        <f>31*5</f>
        <v>155</v>
      </c>
      <c r="K1820" s="151">
        <v>31</v>
      </c>
      <c r="L1820" s="1"/>
      <c r="M1820" s="73">
        <f t="shared" si="229"/>
        <v>0</v>
      </c>
      <c r="N1820" s="73">
        <f t="shared" si="233"/>
        <v>0</v>
      </c>
      <c r="O1820" s="73">
        <f t="shared" si="228"/>
        <v>0</v>
      </c>
      <c r="P1820" s="73">
        <f t="shared" si="230"/>
        <v>0</v>
      </c>
      <c r="Q1820" s="73"/>
      <c r="R1820" s="73">
        <v>0</v>
      </c>
      <c r="S1820" s="75">
        <f t="shared" si="232"/>
        <v>0</v>
      </c>
      <c r="T1820" s="77">
        <v>0</v>
      </c>
      <c r="U1820" s="228">
        <v>40505</v>
      </c>
      <c r="V1820" s="79"/>
      <c r="W1820" s="66" t="s">
        <v>1585</v>
      </c>
      <c r="X1820" s="24" t="s">
        <v>1586</v>
      </c>
      <c r="Y1820" s="62"/>
      <c r="Z1820" s="169" t="s">
        <v>894</v>
      </c>
      <c r="AA1820" s="166" t="s">
        <v>902</v>
      </c>
      <c r="AB1820" s="152"/>
      <c r="AC1820" s="153"/>
      <c r="AD1820" s="154"/>
      <c r="AE1820" s="153"/>
      <c r="AF1820" s="153"/>
      <c r="AG1820" s="153"/>
      <c r="AH1820" s="153"/>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c r="BF1820" s="153"/>
      <c r="BG1820" s="153"/>
      <c r="BH1820" s="153"/>
      <c r="BI1820" s="153"/>
      <c r="BJ1820" s="153"/>
      <c r="BK1820" s="153"/>
      <c r="BL1820" s="153"/>
      <c r="BM1820" s="153"/>
      <c r="BN1820" s="153"/>
      <c r="BO1820" s="153"/>
      <c r="BP1820" s="153"/>
      <c r="BQ1820" s="153"/>
      <c r="BR1820" s="153"/>
      <c r="BS1820" s="153"/>
      <c r="BT1820" s="153"/>
      <c r="BU1820" s="153"/>
      <c r="BV1820" s="153"/>
      <c r="BW1820" s="153"/>
      <c r="BX1820" s="153"/>
      <c r="BY1820" s="153"/>
      <c r="BZ1820" s="153"/>
      <c r="CA1820" s="153"/>
      <c r="CB1820" s="153"/>
      <c r="CC1820" s="153"/>
      <c r="CD1820" s="155"/>
      <c r="CE1820" s="156"/>
      <c r="CF1820" s="155"/>
      <c r="CG1820" s="156"/>
      <c r="CH1820" s="155"/>
      <c r="CI1820" s="156"/>
      <c r="CJ1820" s="157">
        <f t="shared" si="231"/>
        <v>0</v>
      </c>
      <c r="CK1820" s="158"/>
      <c r="CL1820" s="159"/>
      <c r="CM1820" s="160"/>
      <c r="CN1820" s="161"/>
      <c r="CO1820" s="162"/>
      <c r="CP1820" s="161"/>
      <c r="CQ1820" s="158"/>
      <c r="CR1820" s="159"/>
      <c r="CS1820" s="68"/>
      <c r="CT1820" s="163"/>
      <c r="EC1820" s="366" t="str">
        <f t="shared" si="234"/>
        <v>VALLE DEL CAUCA_LA CUMBRE</v>
      </c>
      <c r="ED1820" s="367"/>
      <c r="EE1820" s="367"/>
      <c r="EF1820" s="368"/>
      <c r="EG1820" s="367"/>
      <c r="EH1820" s="367"/>
      <c r="EI1820" s="367"/>
    </row>
    <row r="1821" spans="1:139" s="164" customFormat="1" ht="38.25">
      <c r="A1821" s="228">
        <v>40502</v>
      </c>
      <c r="B1821" s="205" t="s">
        <v>1088</v>
      </c>
      <c r="C1821" s="205" t="s">
        <v>689</v>
      </c>
      <c r="D1821" s="206" t="s">
        <v>1878</v>
      </c>
      <c r="E1821" s="320" t="s">
        <v>4261</v>
      </c>
      <c r="F1821" s="320"/>
      <c r="G1821" s="204"/>
      <c r="H1821" s="151"/>
      <c r="I1821" s="151"/>
      <c r="J1821" s="151">
        <v>50</v>
      </c>
      <c r="K1821" s="151">
        <v>10</v>
      </c>
      <c r="L1821" s="1"/>
      <c r="M1821" s="73">
        <f t="shared" si="229"/>
        <v>0</v>
      </c>
      <c r="N1821" s="73">
        <f t="shared" si="233"/>
        <v>0</v>
      </c>
      <c r="O1821" s="73">
        <f t="shared" si="228"/>
        <v>0</v>
      </c>
      <c r="P1821" s="73">
        <f t="shared" si="230"/>
        <v>0</v>
      </c>
      <c r="Q1821" s="73"/>
      <c r="R1821" s="73">
        <v>0</v>
      </c>
      <c r="S1821" s="75">
        <f t="shared" si="232"/>
        <v>0</v>
      </c>
      <c r="T1821" s="77">
        <v>0</v>
      </c>
      <c r="U1821" s="66">
        <v>40505</v>
      </c>
      <c r="V1821" s="79"/>
      <c r="W1821" s="66" t="s">
        <v>1585</v>
      </c>
      <c r="X1821" s="24" t="s">
        <v>1586</v>
      </c>
      <c r="Y1821" s="62"/>
      <c r="Z1821" s="169" t="s">
        <v>894</v>
      </c>
      <c r="AA1821" s="166" t="s">
        <v>494</v>
      </c>
      <c r="AB1821" s="152"/>
      <c r="AC1821" s="153"/>
      <c r="AD1821" s="154"/>
      <c r="AE1821" s="153"/>
      <c r="AF1821" s="153"/>
      <c r="AG1821" s="153"/>
      <c r="AH1821" s="153"/>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c r="BF1821" s="153"/>
      <c r="BG1821" s="153"/>
      <c r="BH1821" s="153"/>
      <c r="BI1821" s="153"/>
      <c r="BJ1821" s="153"/>
      <c r="BK1821" s="153"/>
      <c r="BL1821" s="153"/>
      <c r="BM1821" s="153"/>
      <c r="BN1821" s="153"/>
      <c r="BO1821" s="153"/>
      <c r="BP1821" s="153"/>
      <c r="BQ1821" s="153"/>
      <c r="BR1821" s="153"/>
      <c r="BS1821" s="153"/>
      <c r="BT1821" s="153"/>
      <c r="BU1821" s="153"/>
      <c r="BV1821" s="153"/>
      <c r="BW1821" s="153"/>
      <c r="BX1821" s="153"/>
      <c r="BY1821" s="153"/>
      <c r="BZ1821" s="153"/>
      <c r="CA1821" s="153"/>
      <c r="CB1821" s="153"/>
      <c r="CC1821" s="153"/>
      <c r="CD1821" s="155"/>
      <c r="CE1821" s="156"/>
      <c r="CF1821" s="155"/>
      <c r="CG1821" s="156"/>
      <c r="CH1821" s="155"/>
      <c r="CI1821" s="156"/>
      <c r="CJ1821" s="157">
        <f t="shared" si="231"/>
        <v>0</v>
      </c>
      <c r="CK1821" s="158"/>
      <c r="CL1821" s="159"/>
      <c r="CM1821" s="160"/>
      <c r="CN1821" s="161"/>
      <c r="CO1821" s="162"/>
      <c r="CP1821" s="161"/>
      <c r="CQ1821" s="158"/>
      <c r="CR1821" s="159"/>
      <c r="CS1821" s="68"/>
      <c r="CT1821" s="163"/>
      <c r="EC1821" s="366" t="str">
        <f t="shared" si="234"/>
        <v>VALLE DEL CAUCA_VERSALLES</v>
      </c>
      <c r="ED1821" s="367"/>
      <c r="EE1821" s="367"/>
      <c r="EF1821" s="368"/>
      <c r="EG1821" s="367"/>
      <c r="EH1821" s="367"/>
      <c r="EI1821" s="367"/>
    </row>
    <row r="1822" spans="1:139" s="164" customFormat="1" ht="26.25" customHeight="1">
      <c r="A1822" s="228">
        <v>40502</v>
      </c>
      <c r="B1822" s="205" t="s">
        <v>1088</v>
      </c>
      <c r="C1822" s="205" t="s">
        <v>2098</v>
      </c>
      <c r="D1822" s="207" t="s">
        <v>1201</v>
      </c>
      <c r="E1822" s="323" t="s">
        <v>4263</v>
      </c>
      <c r="F1822" s="323"/>
      <c r="G1822" s="204"/>
      <c r="H1822" s="151"/>
      <c r="I1822" s="151"/>
      <c r="J1822" s="151">
        <v>925</v>
      </c>
      <c r="K1822" s="151">
        <v>185</v>
      </c>
      <c r="L1822" s="1"/>
      <c r="M1822" s="73">
        <f t="shared" si="229"/>
        <v>0</v>
      </c>
      <c r="N1822" s="73">
        <f t="shared" si="233"/>
        <v>0</v>
      </c>
      <c r="O1822" s="73">
        <f t="shared" si="228"/>
        <v>0</v>
      </c>
      <c r="P1822" s="73">
        <f t="shared" si="230"/>
        <v>0</v>
      </c>
      <c r="Q1822" s="73"/>
      <c r="R1822" s="73">
        <v>0</v>
      </c>
      <c r="S1822" s="75">
        <f t="shared" si="232"/>
        <v>0</v>
      </c>
      <c r="T1822" s="77">
        <v>0</v>
      </c>
      <c r="U1822" s="66">
        <v>40504</v>
      </c>
      <c r="V1822" s="79"/>
      <c r="W1822" s="66" t="s">
        <v>1585</v>
      </c>
      <c r="X1822" s="24" t="s">
        <v>1586</v>
      </c>
      <c r="Y1822" s="62"/>
      <c r="Z1822" s="169" t="s">
        <v>894</v>
      </c>
      <c r="AA1822" s="166" t="s">
        <v>1473</v>
      </c>
      <c r="AB1822" s="152"/>
      <c r="AC1822" s="153"/>
      <c r="AD1822" s="154"/>
      <c r="AE1822" s="153"/>
      <c r="AF1822" s="153"/>
      <c r="AG1822" s="153"/>
      <c r="AH1822" s="153"/>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c r="BF1822" s="153"/>
      <c r="BG1822" s="153"/>
      <c r="BH1822" s="153"/>
      <c r="BI1822" s="153"/>
      <c r="BJ1822" s="153"/>
      <c r="BK1822" s="153"/>
      <c r="BL1822" s="153"/>
      <c r="BM1822" s="153"/>
      <c r="BN1822" s="153"/>
      <c r="BO1822" s="153"/>
      <c r="BP1822" s="153"/>
      <c r="BQ1822" s="153"/>
      <c r="BR1822" s="153"/>
      <c r="BS1822" s="153"/>
      <c r="BT1822" s="153"/>
      <c r="BU1822" s="153"/>
      <c r="BV1822" s="153"/>
      <c r="BW1822" s="153"/>
      <c r="BX1822" s="153"/>
      <c r="BY1822" s="153"/>
      <c r="BZ1822" s="153"/>
      <c r="CA1822" s="153"/>
      <c r="CB1822" s="153"/>
      <c r="CC1822" s="153"/>
      <c r="CD1822" s="155"/>
      <c r="CE1822" s="156"/>
      <c r="CF1822" s="155"/>
      <c r="CG1822" s="156"/>
      <c r="CH1822" s="155"/>
      <c r="CI1822" s="156"/>
      <c r="CJ1822" s="157">
        <f t="shared" si="231"/>
        <v>0</v>
      </c>
      <c r="CK1822" s="158"/>
      <c r="CL1822" s="159"/>
      <c r="CM1822" s="160"/>
      <c r="CN1822" s="161"/>
      <c r="CO1822" s="162"/>
      <c r="CP1822" s="161"/>
      <c r="CQ1822" s="158"/>
      <c r="CR1822" s="159"/>
      <c r="CS1822" s="68"/>
      <c r="CT1822" s="163"/>
      <c r="EC1822" s="366" t="str">
        <f t="shared" si="234"/>
        <v>VALLE DEL CAUCA_YOTOCO</v>
      </c>
      <c r="ED1822" s="367"/>
      <c r="EE1822" s="367"/>
      <c r="EF1822" s="368"/>
      <c r="EG1822" s="367"/>
      <c r="EH1822" s="367"/>
      <c r="EI1822" s="367"/>
    </row>
    <row r="1823" spans="1:139" s="164" customFormat="1" ht="48">
      <c r="A1823" s="235">
        <v>40503</v>
      </c>
      <c r="B1823" s="269" t="s">
        <v>1972</v>
      </c>
      <c r="C1823" s="269" t="s">
        <v>2826</v>
      </c>
      <c r="D1823" s="236" t="s">
        <v>1878</v>
      </c>
      <c r="E1823" s="324" t="s">
        <v>3233</v>
      </c>
      <c r="F1823" s="324"/>
      <c r="G1823" s="204">
        <v>4</v>
      </c>
      <c r="H1823" s="151"/>
      <c r="I1823" s="151"/>
      <c r="J1823" s="151">
        <v>523</v>
      </c>
      <c r="K1823" s="151">
        <v>156</v>
      </c>
      <c r="L1823" s="1">
        <v>40535</v>
      </c>
      <c r="M1823" s="73">
        <f t="shared" si="229"/>
        <v>0</v>
      </c>
      <c r="N1823" s="73">
        <f t="shared" si="233"/>
        <v>0</v>
      </c>
      <c r="O1823" s="73">
        <f t="shared" si="228"/>
        <v>0</v>
      </c>
      <c r="P1823" s="73">
        <f t="shared" si="230"/>
        <v>0</v>
      </c>
      <c r="Q1823" s="73"/>
      <c r="R1823" s="73">
        <v>37027800</v>
      </c>
      <c r="S1823" s="75">
        <f t="shared" si="232"/>
        <v>37027800</v>
      </c>
      <c r="T1823" s="77">
        <v>0</v>
      </c>
      <c r="U1823" s="228">
        <v>40504</v>
      </c>
      <c r="V1823" s="79">
        <v>71899</v>
      </c>
      <c r="W1823" s="66" t="s">
        <v>1606</v>
      </c>
      <c r="X1823" s="24" t="s">
        <v>1607</v>
      </c>
      <c r="Y1823" s="62">
        <v>520</v>
      </c>
      <c r="Z1823" s="169" t="s">
        <v>894</v>
      </c>
      <c r="AA1823" s="166" t="s">
        <v>3062</v>
      </c>
      <c r="AB1823" s="152"/>
      <c r="AC1823" s="153"/>
      <c r="AD1823" s="154"/>
      <c r="AE1823" s="153"/>
      <c r="AF1823" s="153"/>
      <c r="AG1823" s="153"/>
      <c r="AH1823" s="153"/>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c r="BF1823" s="153"/>
      <c r="BG1823" s="153"/>
      <c r="BH1823" s="153"/>
      <c r="BI1823" s="153"/>
      <c r="BJ1823" s="153"/>
      <c r="BK1823" s="153"/>
      <c r="BL1823" s="153"/>
      <c r="BM1823" s="153"/>
      <c r="BN1823" s="153"/>
      <c r="BO1823" s="153"/>
      <c r="BP1823" s="153"/>
      <c r="BQ1823" s="153"/>
      <c r="BR1823" s="153"/>
      <c r="BS1823" s="153"/>
      <c r="BT1823" s="153"/>
      <c r="BU1823" s="153"/>
      <c r="BV1823" s="153"/>
      <c r="BW1823" s="153"/>
      <c r="BX1823" s="153"/>
      <c r="BY1823" s="153"/>
      <c r="BZ1823" s="153"/>
      <c r="CA1823" s="153"/>
      <c r="CB1823" s="153"/>
      <c r="CC1823" s="153"/>
      <c r="CD1823" s="155"/>
      <c r="CE1823" s="156"/>
      <c r="CF1823" s="155"/>
      <c r="CG1823" s="156"/>
      <c r="CH1823" s="155"/>
      <c r="CI1823" s="156"/>
      <c r="CJ1823" s="157">
        <f t="shared" si="231"/>
        <v>0</v>
      </c>
      <c r="CK1823" s="158"/>
      <c r="CL1823" s="159"/>
      <c r="CM1823" s="160"/>
      <c r="CN1823" s="161"/>
      <c r="CO1823" s="162"/>
      <c r="CP1823" s="161"/>
      <c r="CQ1823" s="158"/>
      <c r="CR1823" s="159"/>
      <c r="CS1823" s="68">
        <v>2</v>
      </c>
      <c r="CT1823" s="163"/>
      <c r="EC1823" s="366" t="str">
        <f t="shared" si="234"/>
        <v>ANTIOQUIA_ANDES</v>
      </c>
      <c r="ED1823" s="367"/>
      <c r="EE1823" s="367"/>
      <c r="EF1823" s="368"/>
      <c r="EG1823" s="367"/>
      <c r="EH1823" s="367"/>
      <c r="EI1823" s="367"/>
    </row>
    <row r="1824" spans="1:139" s="164" customFormat="1" ht="38.25">
      <c r="A1824" s="235">
        <v>40503</v>
      </c>
      <c r="B1824" s="269" t="s">
        <v>1972</v>
      </c>
      <c r="C1824" s="269" t="s">
        <v>2866</v>
      </c>
      <c r="D1824" s="236" t="s">
        <v>1878</v>
      </c>
      <c r="E1824" s="324" t="s">
        <v>3290</v>
      </c>
      <c r="F1824" s="324"/>
      <c r="G1824" s="204">
        <v>1</v>
      </c>
      <c r="H1824" s="151"/>
      <c r="I1824" s="151"/>
      <c r="J1824" s="151"/>
      <c r="K1824" s="151"/>
      <c r="L1824" s="1"/>
      <c r="M1824" s="73">
        <f t="shared" si="229"/>
        <v>0</v>
      </c>
      <c r="N1824" s="73">
        <f t="shared" si="233"/>
        <v>0</v>
      </c>
      <c r="O1824" s="73">
        <f t="shared" si="228"/>
        <v>0</v>
      </c>
      <c r="P1824" s="73">
        <f t="shared" si="230"/>
        <v>0</v>
      </c>
      <c r="Q1824" s="73"/>
      <c r="R1824" s="73">
        <v>0</v>
      </c>
      <c r="S1824" s="75">
        <f t="shared" si="232"/>
        <v>0</v>
      </c>
      <c r="T1824" s="77">
        <v>0</v>
      </c>
      <c r="U1824" s="66">
        <v>40504</v>
      </c>
      <c r="V1824" s="79"/>
      <c r="W1824" s="66" t="s">
        <v>1585</v>
      </c>
      <c r="X1824" s="24" t="s">
        <v>1586</v>
      </c>
      <c r="Y1824" s="62"/>
      <c r="Z1824" s="169" t="s">
        <v>894</v>
      </c>
      <c r="AA1824" s="166" t="s">
        <v>2126</v>
      </c>
      <c r="AB1824" s="152"/>
      <c r="AC1824" s="153"/>
      <c r="AD1824" s="154"/>
      <c r="AE1824" s="153"/>
      <c r="AF1824" s="153"/>
      <c r="AG1824" s="153"/>
      <c r="AH1824" s="153"/>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c r="BF1824" s="153"/>
      <c r="BG1824" s="153"/>
      <c r="BH1824" s="153"/>
      <c r="BI1824" s="153"/>
      <c r="BJ1824" s="153"/>
      <c r="BK1824" s="153"/>
      <c r="BL1824" s="153"/>
      <c r="BM1824" s="153"/>
      <c r="BN1824" s="153"/>
      <c r="BO1824" s="153"/>
      <c r="BP1824" s="153"/>
      <c r="BQ1824" s="153"/>
      <c r="BR1824" s="153"/>
      <c r="BS1824" s="153"/>
      <c r="BT1824" s="153"/>
      <c r="BU1824" s="153"/>
      <c r="BV1824" s="153"/>
      <c r="BW1824" s="153"/>
      <c r="BX1824" s="153"/>
      <c r="BY1824" s="153"/>
      <c r="BZ1824" s="153"/>
      <c r="CA1824" s="153"/>
      <c r="CB1824" s="153"/>
      <c r="CC1824" s="153"/>
      <c r="CD1824" s="155"/>
      <c r="CE1824" s="156"/>
      <c r="CF1824" s="155"/>
      <c r="CG1824" s="156"/>
      <c r="CH1824" s="155"/>
      <c r="CI1824" s="156"/>
      <c r="CJ1824" s="157">
        <f t="shared" si="231"/>
        <v>0</v>
      </c>
      <c r="CK1824" s="158"/>
      <c r="CL1824" s="159"/>
      <c r="CM1824" s="160"/>
      <c r="CN1824" s="161"/>
      <c r="CO1824" s="162"/>
      <c r="CP1824" s="161"/>
      <c r="CQ1824" s="158"/>
      <c r="CR1824" s="159"/>
      <c r="CS1824" s="68"/>
      <c r="CT1824" s="163"/>
      <c r="EC1824" s="366" t="str">
        <f t="shared" si="234"/>
        <v>ANTIOQUIA_LA ESTRELLA</v>
      </c>
      <c r="ED1824" s="367"/>
      <c r="EE1824" s="367"/>
      <c r="EF1824" s="368"/>
      <c r="EG1824" s="367"/>
      <c r="EH1824" s="367"/>
      <c r="EI1824" s="367"/>
    </row>
    <row r="1825" spans="1:139" s="164" customFormat="1" ht="38.25">
      <c r="A1825" s="235">
        <v>40503</v>
      </c>
      <c r="B1825" s="269" t="s">
        <v>1972</v>
      </c>
      <c r="C1825" s="269" t="s">
        <v>1159</v>
      </c>
      <c r="D1825" s="236" t="s">
        <v>1878</v>
      </c>
      <c r="E1825" s="324" t="s">
        <v>3327</v>
      </c>
      <c r="F1825" s="324"/>
      <c r="G1825" s="204"/>
      <c r="H1825" s="151"/>
      <c r="I1825" s="151"/>
      <c r="J1825" s="151">
        <v>50</v>
      </c>
      <c r="K1825" s="151">
        <v>10</v>
      </c>
      <c r="L1825" s="1"/>
      <c r="M1825" s="73">
        <f t="shared" si="229"/>
        <v>0</v>
      </c>
      <c r="N1825" s="73">
        <f t="shared" si="233"/>
        <v>0</v>
      </c>
      <c r="O1825" s="73">
        <f t="shared" si="228"/>
        <v>0</v>
      </c>
      <c r="P1825" s="73">
        <f t="shared" si="230"/>
        <v>0</v>
      </c>
      <c r="Q1825" s="73"/>
      <c r="R1825" s="73">
        <v>0</v>
      </c>
      <c r="S1825" s="75">
        <f t="shared" si="232"/>
        <v>0</v>
      </c>
      <c r="T1825" s="77">
        <v>0</v>
      </c>
      <c r="U1825" s="66">
        <v>40505</v>
      </c>
      <c r="V1825" s="79"/>
      <c r="W1825" s="66" t="s">
        <v>1585</v>
      </c>
      <c r="X1825" s="24" t="s">
        <v>1586</v>
      </c>
      <c r="Y1825" s="62"/>
      <c r="Z1825" s="169" t="s">
        <v>894</v>
      </c>
      <c r="AA1825" s="166" t="s">
        <v>2147</v>
      </c>
      <c r="AB1825" s="152"/>
      <c r="AC1825" s="153"/>
      <c r="AD1825" s="154"/>
      <c r="AE1825" s="153"/>
      <c r="AF1825" s="153"/>
      <c r="AG1825" s="153"/>
      <c r="AH1825" s="153"/>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c r="BF1825" s="153"/>
      <c r="BG1825" s="153"/>
      <c r="BH1825" s="153"/>
      <c r="BI1825" s="153"/>
      <c r="BJ1825" s="153"/>
      <c r="BK1825" s="153"/>
      <c r="BL1825" s="153"/>
      <c r="BM1825" s="153"/>
      <c r="BN1825" s="153"/>
      <c r="BO1825" s="153"/>
      <c r="BP1825" s="153"/>
      <c r="BQ1825" s="153"/>
      <c r="BR1825" s="153"/>
      <c r="BS1825" s="153"/>
      <c r="BT1825" s="153"/>
      <c r="BU1825" s="153"/>
      <c r="BV1825" s="153"/>
      <c r="BW1825" s="153"/>
      <c r="BX1825" s="153"/>
      <c r="BY1825" s="153"/>
      <c r="BZ1825" s="153"/>
      <c r="CA1825" s="153"/>
      <c r="CB1825" s="153"/>
      <c r="CC1825" s="153"/>
      <c r="CD1825" s="155"/>
      <c r="CE1825" s="156"/>
      <c r="CF1825" s="155"/>
      <c r="CG1825" s="156"/>
      <c r="CH1825" s="155"/>
      <c r="CI1825" s="156"/>
      <c r="CJ1825" s="157">
        <f t="shared" si="231"/>
        <v>0</v>
      </c>
      <c r="CK1825" s="158"/>
      <c r="CL1825" s="159"/>
      <c r="CM1825" s="160"/>
      <c r="CN1825" s="161"/>
      <c r="CO1825" s="162"/>
      <c r="CP1825" s="161"/>
      <c r="CQ1825" s="158"/>
      <c r="CR1825" s="159"/>
      <c r="CS1825" s="68"/>
      <c r="CT1825" s="163"/>
      <c r="EC1825" s="366" t="str">
        <f t="shared" si="234"/>
        <v>ANTIOQUIA_SANTA BARBARA</v>
      </c>
      <c r="ED1825" s="367"/>
      <c r="EE1825" s="367"/>
      <c r="EF1825" s="368"/>
      <c r="EG1825" s="367"/>
      <c r="EH1825" s="367"/>
      <c r="EI1825" s="367"/>
    </row>
    <row r="1826" spans="1:139" s="164" customFormat="1" ht="156">
      <c r="A1826" s="228">
        <v>40503</v>
      </c>
      <c r="B1826" s="205" t="s">
        <v>1824</v>
      </c>
      <c r="C1826" s="205" t="s">
        <v>2511</v>
      </c>
      <c r="D1826" s="207" t="s">
        <v>1878</v>
      </c>
      <c r="E1826" s="323" t="s">
        <v>3984</v>
      </c>
      <c r="F1826" s="323"/>
      <c r="G1826" s="204"/>
      <c r="H1826" s="151"/>
      <c r="I1826" s="151"/>
      <c r="J1826" s="151">
        <v>100</v>
      </c>
      <c r="K1826" s="151">
        <v>25</v>
      </c>
      <c r="L1826" s="1"/>
      <c r="M1826" s="73">
        <f t="shared" si="229"/>
        <v>0</v>
      </c>
      <c r="N1826" s="73">
        <f t="shared" si="233"/>
        <v>0</v>
      </c>
      <c r="O1826" s="73">
        <f t="shared" si="228"/>
        <v>0</v>
      </c>
      <c r="P1826" s="73">
        <f t="shared" si="230"/>
        <v>0</v>
      </c>
      <c r="Q1826" s="73"/>
      <c r="R1826" s="73">
        <v>0</v>
      </c>
      <c r="S1826" s="75">
        <f t="shared" si="232"/>
        <v>0</v>
      </c>
      <c r="T1826" s="77">
        <v>0</v>
      </c>
      <c r="U1826" s="66">
        <v>40508</v>
      </c>
      <c r="V1826" s="79"/>
      <c r="W1826" s="66" t="s">
        <v>1585</v>
      </c>
      <c r="X1826" s="24" t="s">
        <v>1586</v>
      </c>
      <c r="Y1826" s="62"/>
      <c r="Z1826" s="169" t="s">
        <v>894</v>
      </c>
      <c r="AA1826" s="166" t="s">
        <v>2512</v>
      </c>
      <c r="AB1826" s="152"/>
      <c r="AC1826" s="153"/>
      <c r="AD1826" s="154"/>
      <c r="AE1826" s="153"/>
      <c r="AF1826" s="153"/>
      <c r="AG1826" s="153"/>
      <c r="AH1826" s="153"/>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c r="BF1826" s="153"/>
      <c r="BG1826" s="153"/>
      <c r="BH1826" s="153"/>
      <c r="BI1826" s="153"/>
      <c r="BJ1826" s="153"/>
      <c r="BK1826" s="153"/>
      <c r="BL1826" s="153"/>
      <c r="BM1826" s="153"/>
      <c r="BN1826" s="153"/>
      <c r="BO1826" s="153"/>
      <c r="BP1826" s="153"/>
      <c r="BQ1826" s="153"/>
      <c r="BR1826" s="153"/>
      <c r="BS1826" s="153"/>
      <c r="BT1826" s="153"/>
      <c r="BU1826" s="153"/>
      <c r="BV1826" s="153"/>
      <c r="BW1826" s="153"/>
      <c r="BX1826" s="153"/>
      <c r="BY1826" s="153"/>
      <c r="BZ1826" s="153"/>
      <c r="CA1826" s="153"/>
      <c r="CB1826" s="153"/>
      <c r="CC1826" s="153"/>
      <c r="CD1826" s="155"/>
      <c r="CE1826" s="156"/>
      <c r="CF1826" s="155"/>
      <c r="CG1826" s="156"/>
      <c r="CH1826" s="155"/>
      <c r="CI1826" s="156"/>
      <c r="CJ1826" s="157">
        <f t="shared" si="231"/>
        <v>0</v>
      </c>
      <c r="CK1826" s="158"/>
      <c r="CL1826" s="159"/>
      <c r="CM1826" s="160"/>
      <c r="CN1826" s="161"/>
      <c r="CO1826" s="162"/>
      <c r="CP1826" s="161"/>
      <c r="CQ1826" s="158"/>
      <c r="CR1826" s="159"/>
      <c r="CS1826" s="68"/>
      <c r="CT1826" s="163"/>
      <c r="EC1826" s="366" t="str">
        <f t="shared" si="234"/>
        <v>NARIÑO_SAMANIEGO</v>
      </c>
      <c r="ED1826" s="367"/>
      <c r="EE1826" s="367"/>
      <c r="EF1826" s="368"/>
      <c r="EG1826" s="367"/>
      <c r="EH1826" s="367"/>
      <c r="EI1826" s="367"/>
    </row>
    <row r="1827" spans="1:139" s="164" customFormat="1" ht="48">
      <c r="A1827" s="228">
        <v>40503</v>
      </c>
      <c r="B1827" s="205" t="s">
        <v>1612</v>
      </c>
      <c r="C1827" s="205" t="s">
        <v>673</v>
      </c>
      <c r="D1827" s="207" t="s">
        <v>1201</v>
      </c>
      <c r="E1827" s="323" t="s">
        <v>4040</v>
      </c>
      <c r="F1827" s="323"/>
      <c r="G1827" s="204"/>
      <c r="H1827" s="151"/>
      <c r="I1827" s="151"/>
      <c r="J1827" s="151"/>
      <c r="K1827" s="151"/>
      <c r="L1827" s="1"/>
      <c r="M1827" s="73">
        <f t="shared" si="229"/>
        <v>0</v>
      </c>
      <c r="N1827" s="73">
        <f t="shared" si="233"/>
        <v>0</v>
      </c>
      <c r="O1827" s="73">
        <f t="shared" si="228"/>
        <v>0</v>
      </c>
      <c r="P1827" s="73">
        <f t="shared" si="230"/>
        <v>0</v>
      </c>
      <c r="Q1827" s="73"/>
      <c r="R1827" s="73">
        <v>0</v>
      </c>
      <c r="S1827" s="75">
        <f t="shared" si="232"/>
        <v>0</v>
      </c>
      <c r="T1827" s="77">
        <v>0</v>
      </c>
      <c r="U1827" s="66">
        <v>40505</v>
      </c>
      <c r="V1827" s="79"/>
      <c r="W1827" s="66" t="s">
        <v>1585</v>
      </c>
      <c r="X1827" s="24" t="s">
        <v>1586</v>
      </c>
      <c r="Y1827" s="62"/>
      <c r="Z1827" s="169" t="s">
        <v>894</v>
      </c>
      <c r="AA1827" s="166" t="s">
        <v>2152</v>
      </c>
      <c r="AB1827" s="152"/>
      <c r="AC1827" s="153"/>
      <c r="AD1827" s="154"/>
      <c r="AE1827" s="153"/>
      <c r="AF1827" s="153"/>
      <c r="AG1827" s="153"/>
      <c r="AH1827" s="153"/>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c r="BF1827" s="153"/>
      <c r="BG1827" s="153"/>
      <c r="BH1827" s="153"/>
      <c r="BI1827" s="153"/>
      <c r="BJ1827" s="153"/>
      <c r="BK1827" s="153"/>
      <c r="BL1827" s="153"/>
      <c r="BM1827" s="153"/>
      <c r="BN1827" s="153"/>
      <c r="BO1827" s="153"/>
      <c r="BP1827" s="153"/>
      <c r="BQ1827" s="153"/>
      <c r="BR1827" s="153"/>
      <c r="BS1827" s="153"/>
      <c r="BT1827" s="153"/>
      <c r="BU1827" s="153"/>
      <c r="BV1827" s="153"/>
      <c r="BW1827" s="153"/>
      <c r="BX1827" s="153"/>
      <c r="BY1827" s="153"/>
      <c r="BZ1827" s="153"/>
      <c r="CA1827" s="153"/>
      <c r="CB1827" s="153"/>
      <c r="CC1827" s="153"/>
      <c r="CD1827" s="155"/>
      <c r="CE1827" s="156"/>
      <c r="CF1827" s="155"/>
      <c r="CG1827" s="156"/>
      <c r="CH1827" s="155"/>
      <c r="CI1827" s="156"/>
      <c r="CJ1827" s="157">
        <f t="shared" si="231"/>
        <v>0</v>
      </c>
      <c r="CK1827" s="158"/>
      <c r="CL1827" s="159"/>
      <c r="CM1827" s="160"/>
      <c r="CN1827" s="161"/>
      <c r="CO1827" s="162"/>
      <c r="CP1827" s="161"/>
      <c r="CQ1827" s="158"/>
      <c r="CR1827" s="159"/>
      <c r="CS1827" s="68"/>
      <c r="CT1827" s="163"/>
      <c r="EC1827" s="366" t="str">
        <f t="shared" si="234"/>
        <v>QUINDIO_CALARCA</v>
      </c>
      <c r="ED1827" s="367"/>
      <c r="EE1827" s="367"/>
      <c r="EF1827" s="368"/>
      <c r="EG1827" s="367"/>
      <c r="EH1827" s="367"/>
      <c r="EI1827" s="367"/>
    </row>
    <row r="1828" spans="1:139" s="164" customFormat="1" ht="25.5">
      <c r="A1828" s="228">
        <v>40503</v>
      </c>
      <c r="B1828" s="205" t="s">
        <v>1612</v>
      </c>
      <c r="C1828" s="205" t="s">
        <v>367</v>
      </c>
      <c r="D1828" s="207" t="s">
        <v>1316</v>
      </c>
      <c r="E1828" s="323" t="s">
        <v>4044</v>
      </c>
      <c r="F1828" s="323"/>
      <c r="G1828" s="204"/>
      <c r="H1828" s="151"/>
      <c r="I1828" s="151"/>
      <c r="J1828" s="151">
        <v>5</v>
      </c>
      <c r="K1828" s="151">
        <v>1</v>
      </c>
      <c r="L1828" s="1"/>
      <c r="M1828" s="73">
        <f t="shared" si="229"/>
        <v>0</v>
      </c>
      <c r="N1828" s="73">
        <f t="shared" si="233"/>
        <v>0</v>
      </c>
      <c r="O1828" s="73">
        <f t="shared" si="228"/>
        <v>0</v>
      </c>
      <c r="P1828" s="73">
        <f t="shared" si="230"/>
        <v>0</v>
      </c>
      <c r="Q1828" s="73"/>
      <c r="R1828" s="73">
        <v>0</v>
      </c>
      <c r="S1828" s="75">
        <f t="shared" si="232"/>
        <v>0</v>
      </c>
      <c r="T1828" s="77">
        <v>0</v>
      </c>
      <c r="U1828" s="66">
        <v>40505</v>
      </c>
      <c r="V1828" s="79"/>
      <c r="W1828" s="66" t="s">
        <v>1585</v>
      </c>
      <c r="X1828" s="24" t="s">
        <v>1586</v>
      </c>
      <c r="Y1828" s="62"/>
      <c r="Z1828" s="169" t="s">
        <v>894</v>
      </c>
      <c r="AA1828" s="166" t="s">
        <v>2136</v>
      </c>
      <c r="AB1828" s="152"/>
      <c r="AC1828" s="153"/>
      <c r="AD1828" s="154"/>
      <c r="AE1828" s="153"/>
      <c r="AF1828" s="153"/>
      <c r="AG1828" s="153"/>
      <c r="AH1828" s="153"/>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c r="BF1828" s="153"/>
      <c r="BG1828" s="153"/>
      <c r="BH1828" s="153"/>
      <c r="BI1828" s="153"/>
      <c r="BJ1828" s="153"/>
      <c r="BK1828" s="153"/>
      <c r="BL1828" s="153"/>
      <c r="BM1828" s="153"/>
      <c r="BN1828" s="153"/>
      <c r="BO1828" s="153"/>
      <c r="BP1828" s="153"/>
      <c r="BQ1828" s="153"/>
      <c r="BR1828" s="153"/>
      <c r="BS1828" s="153"/>
      <c r="BT1828" s="153"/>
      <c r="BU1828" s="153"/>
      <c r="BV1828" s="153"/>
      <c r="BW1828" s="153"/>
      <c r="BX1828" s="153"/>
      <c r="BY1828" s="153"/>
      <c r="BZ1828" s="153"/>
      <c r="CA1828" s="153"/>
      <c r="CB1828" s="153"/>
      <c r="CC1828" s="153"/>
      <c r="CD1828" s="155"/>
      <c r="CE1828" s="156"/>
      <c r="CF1828" s="155"/>
      <c r="CG1828" s="156"/>
      <c r="CH1828" s="155"/>
      <c r="CI1828" s="156"/>
      <c r="CJ1828" s="157">
        <f t="shared" si="231"/>
        <v>0</v>
      </c>
      <c r="CK1828" s="158"/>
      <c r="CL1828" s="159"/>
      <c r="CM1828" s="160"/>
      <c r="CN1828" s="161"/>
      <c r="CO1828" s="162"/>
      <c r="CP1828" s="161"/>
      <c r="CQ1828" s="158"/>
      <c r="CR1828" s="159"/>
      <c r="CS1828" s="68"/>
      <c r="CT1828" s="163"/>
      <c r="EC1828" s="366" t="str">
        <f t="shared" si="234"/>
        <v>QUINDIO_GENOVA</v>
      </c>
      <c r="ED1828" s="367"/>
      <c r="EE1828" s="367"/>
      <c r="EF1828" s="368"/>
      <c r="EG1828" s="367"/>
      <c r="EH1828" s="367"/>
      <c r="EI1828" s="367"/>
    </row>
    <row r="1829" spans="1:139" s="164" customFormat="1" ht="36">
      <c r="A1829" s="228">
        <v>40503</v>
      </c>
      <c r="B1829" s="205" t="s">
        <v>1612</v>
      </c>
      <c r="C1829" s="205" t="s">
        <v>1593</v>
      </c>
      <c r="D1829" s="206" t="s">
        <v>1878</v>
      </c>
      <c r="E1829" s="320" t="s">
        <v>4045</v>
      </c>
      <c r="F1829" s="320"/>
      <c r="G1829" s="204"/>
      <c r="H1829" s="151"/>
      <c r="I1829" s="151"/>
      <c r="J1829" s="151">
        <f>126*5</f>
        <v>630</v>
      </c>
      <c r="K1829" s="151">
        <v>126</v>
      </c>
      <c r="L1829" s="1"/>
      <c r="M1829" s="73">
        <f t="shared" si="229"/>
        <v>0</v>
      </c>
      <c r="N1829" s="73">
        <f t="shared" si="233"/>
        <v>0</v>
      </c>
      <c r="O1829" s="73">
        <f t="shared" si="228"/>
        <v>0</v>
      </c>
      <c r="P1829" s="73">
        <f t="shared" si="230"/>
        <v>0</v>
      </c>
      <c r="Q1829" s="73"/>
      <c r="R1829" s="73">
        <v>0</v>
      </c>
      <c r="S1829" s="75">
        <f t="shared" si="232"/>
        <v>0</v>
      </c>
      <c r="T1829" s="77">
        <v>0</v>
      </c>
      <c r="U1829" s="66">
        <v>40505</v>
      </c>
      <c r="V1829" s="79"/>
      <c r="W1829" s="66" t="s">
        <v>1585</v>
      </c>
      <c r="X1829" s="24" t="s">
        <v>1586</v>
      </c>
      <c r="Y1829" s="62"/>
      <c r="Z1829" s="169" t="s">
        <v>894</v>
      </c>
      <c r="AA1829" s="166" t="s">
        <v>2137</v>
      </c>
      <c r="AB1829" s="152"/>
      <c r="AC1829" s="153"/>
      <c r="AD1829" s="154"/>
      <c r="AE1829" s="153"/>
      <c r="AF1829" s="153"/>
      <c r="AG1829" s="153"/>
      <c r="AH1829" s="153"/>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c r="BF1829" s="153"/>
      <c r="BG1829" s="153"/>
      <c r="BH1829" s="153"/>
      <c r="BI1829" s="153"/>
      <c r="BJ1829" s="153"/>
      <c r="BK1829" s="153"/>
      <c r="BL1829" s="153"/>
      <c r="BM1829" s="153"/>
      <c r="BN1829" s="153"/>
      <c r="BO1829" s="153"/>
      <c r="BP1829" s="153"/>
      <c r="BQ1829" s="153"/>
      <c r="BR1829" s="153"/>
      <c r="BS1829" s="153"/>
      <c r="BT1829" s="153"/>
      <c r="BU1829" s="153"/>
      <c r="BV1829" s="153"/>
      <c r="BW1829" s="153"/>
      <c r="BX1829" s="153"/>
      <c r="BY1829" s="153"/>
      <c r="BZ1829" s="153"/>
      <c r="CA1829" s="153"/>
      <c r="CB1829" s="153"/>
      <c r="CC1829" s="153"/>
      <c r="CD1829" s="155"/>
      <c r="CE1829" s="156"/>
      <c r="CF1829" s="155"/>
      <c r="CG1829" s="156"/>
      <c r="CH1829" s="155"/>
      <c r="CI1829" s="156"/>
      <c r="CJ1829" s="157">
        <f t="shared" si="231"/>
        <v>0</v>
      </c>
      <c r="CK1829" s="158"/>
      <c r="CL1829" s="159"/>
      <c r="CM1829" s="160"/>
      <c r="CN1829" s="161"/>
      <c r="CO1829" s="162"/>
      <c r="CP1829" s="161"/>
      <c r="CQ1829" s="158"/>
      <c r="CR1829" s="159"/>
      <c r="CS1829" s="68"/>
      <c r="CT1829" s="163"/>
      <c r="EC1829" s="366" t="str">
        <f t="shared" si="234"/>
        <v>QUINDIO_LA TEBAIDA</v>
      </c>
      <c r="ED1829" s="367"/>
      <c r="EE1829" s="367"/>
      <c r="EF1829" s="368"/>
      <c r="EG1829" s="367"/>
      <c r="EH1829" s="367"/>
      <c r="EI1829" s="367"/>
    </row>
    <row r="1830" spans="1:139" s="164" customFormat="1" ht="48">
      <c r="A1830" s="228">
        <v>40503</v>
      </c>
      <c r="B1830" s="205" t="s">
        <v>1612</v>
      </c>
      <c r="C1830" s="205" t="s">
        <v>2713</v>
      </c>
      <c r="D1830" s="207" t="s">
        <v>1201</v>
      </c>
      <c r="E1830" s="323" t="s">
        <v>4047</v>
      </c>
      <c r="F1830" s="323"/>
      <c r="G1830" s="204"/>
      <c r="H1830" s="151"/>
      <c r="I1830" s="151"/>
      <c r="J1830" s="151">
        <f>276*5</f>
        <v>1380</v>
      </c>
      <c r="K1830" s="151">
        <f>282-6</f>
        <v>276</v>
      </c>
      <c r="L1830" s="1"/>
      <c r="M1830" s="73">
        <f t="shared" si="229"/>
        <v>0</v>
      </c>
      <c r="N1830" s="73">
        <f t="shared" si="233"/>
        <v>0</v>
      </c>
      <c r="O1830" s="73">
        <f t="shared" si="228"/>
        <v>0</v>
      </c>
      <c r="P1830" s="73">
        <f t="shared" si="230"/>
        <v>0</v>
      </c>
      <c r="Q1830" s="73"/>
      <c r="R1830" s="73">
        <v>0</v>
      </c>
      <c r="S1830" s="75">
        <f t="shared" si="232"/>
        <v>0</v>
      </c>
      <c r="T1830" s="77">
        <v>0</v>
      </c>
      <c r="U1830" s="228">
        <v>40505</v>
      </c>
      <c r="V1830" s="79"/>
      <c r="W1830" s="66" t="s">
        <v>1585</v>
      </c>
      <c r="X1830" s="24" t="s">
        <v>1586</v>
      </c>
      <c r="Y1830" s="62"/>
      <c r="Z1830" s="169" t="s">
        <v>894</v>
      </c>
      <c r="AA1830" s="166" t="s">
        <v>2135</v>
      </c>
      <c r="AB1830" s="152"/>
      <c r="AC1830" s="153"/>
      <c r="AD1830" s="154"/>
      <c r="AE1830" s="153"/>
      <c r="AF1830" s="153"/>
      <c r="AG1830" s="153"/>
      <c r="AH1830" s="153"/>
      <c r="AI1830" s="153"/>
      <c r="AJ1830" s="153"/>
      <c r="AK1830" s="153"/>
      <c r="AL1830" s="153"/>
      <c r="AM1830" s="153"/>
      <c r="AN1830" s="153"/>
      <c r="AO1830" s="153"/>
      <c r="AP1830" s="153"/>
      <c r="AQ1830" s="153"/>
      <c r="AR1830" s="153"/>
      <c r="AS1830" s="153"/>
      <c r="AT1830" s="153"/>
      <c r="AU1830" s="153"/>
      <c r="AV1830" s="153"/>
      <c r="AW1830" s="153"/>
      <c r="AX1830" s="153"/>
      <c r="AY1830" s="153"/>
      <c r="AZ1830" s="153"/>
      <c r="BA1830" s="153"/>
      <c r="BB1830" s="153"/>
      <c r="BC1830" s="153"/>
      <c r="BD1830" s="153"/>
      <c r="BE1830" s="153"/>
      <c r="BF1830" s="153"/>
      <c r="BG1830" s="153"/>
      <c r="BH1830" s="153"/>
      <c r="BI1830" s="153"/>
      <c r="BJ1830" s="153"/>
      <c r="BK1830" s="153"/>
      <c r="BL1830" s="153"/>
      <c r="BM1830" s="153"/>
      <c r="BN1830" s="153"/>
      <c r="BO1830" s="153"/>
      <c r="BP1830" s="153"/>
      <c r="BQ1830" s="153"/>
      <c r="BR1830" s="153"/>
      <c r="BS1830" s="153"/>
      <c r="BT1830" s="153"/>
      <c r="BU1830" s="153"/>
      <c r="BV1830" s="153"/>
      <c r="BW1830" s="153"/>
      <c r="BX1830" s="153"/>
      <c r="BY1830" s="153"/>
      <c r="BZ1830" s="153"/>
      <c r="CA1830" s="153"/>
      <c r="CB1830" s="153"/>
      <c r="CC1830" s="153"/>
      <c r="CD1830" s="155"/>
      <c r="CE1830" s="156"/>
      <c r="CF1830" s="155"/>
      <c r="CG1830" s="156"/>
      <c r="CH1830" s="155"/>
      <c r="CI1830" s="156"/>
      <c r="CJ1830" s="157">
        <f t="shared" si="231"/>
        <v>0</v>
      </c>
      <c r="CK1830" s="158"/>
      <c r="CL1830" s="159"/>
      <c r="CM1830" s="160"/>
      <c r="CN1830" s="161"/>
      <c r="CO1830" s="162"/>
      <c r="CP1830" s="161"/>
      <c r="CQ1830" s="158"/>
      <c r="CR1830" s="159"/>
      <c r="CS1830" s="68"/>
      <c r="CT1830" s="163"/>
      <c r="EC1830" s="366" t="str">
        <f t="shared" si="234"/>
        <v>QUINDIO_PIJAO</v>
      </c>
      <c r="ED1830" s="367"/>
      <c r="EE1830" s="367"/>
      <c r="EF1830" s="368"/>
      <c r="EG1830" s="367"/>
      <c r="EH1830" s="367"/>
      <c r="EI1830" s="367"/>
    </row>
    <row r="1831" spans="1:139" s="164" customFormat="1" ht="25.5">
      <c r="A1831" s="228">
        <v>40503</v>
      </c>
      <c r="B1831" s="102" t="s">
        <v>1609</v>
      </c>
      <c r="C1831" s="205" t="s">
        <v>2372</v>
      </c>
      <c r="D1831" s="206" t="s">
        <v>1878</v>
      </c>
      <c r="E1831" s="320" t="s">
        <v>4051</v>
      </c>
      <c r="F1831" s="320"/>
      <c r="G1831" s="204"/>
      <c r="H1831" s="151"/>
      <c r="I1831" s="151"/>
      <c r="J1831" s="151">
        <v>40</v>
      </c>
      <c r="K1831" s="151">
        <v>8</v>
      </c>
      <c r="L1831" s="1"/>
      <c r="M1831" s="73">
        <f t="shared" si="229"/>
        <v>0</v>
      </c>
      <c r="N1831" s="73">
        <f t="shared" si="233"/>
        <v>0</v>
      </c>
      <c r="O1831" s="73">
        <f t="shared" si="228"/>
        <v>0</v>
      </c>
      <c r="P1831" s="73">
        <f t="shared" si="230"/>
        <v>0</v>
      </c>
      <c r="Q1831" s="73"/>
      <c r="R1831" s="73">
        <v>0</v>
      </c>
      <c r="S1831" s="75">
        <f t="shared" si="232"/>
        <v>0</v>
      </c>
      <c r="T1831" s="77">
        <v>0</v>
      </c>
      <c r="U1831" s="228">
        <v>40506</v>
      </c>
      <c r="V1831" s="79"/>
      <c r="W1831" s="66" t="s">
        <v>1585</v>
      </c>
      <c r="X1831" s="24" t="s">
        <v>1586</v>
      </c>
      <c r="Y1831" s="62"/>
      <c r="Z1831" s="169" t="s">
        <v>894</v>
      </c>
      <c r="AA1831" s="166" t="s">
        <v>2471</v>
      </c>
      <c r="AB1831" s="152"/>
      <c r="AC1831" s="153"/>
      <c r="AD1831" s="154"/>
      <c r="AE1831" s="153"/>
      <c r="AF1831" s="153"/>
      <c r="AG1831" s="153"/>
      <c r="AH1831" s="153"/>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c r="BF1831" s="153"/>
      <c r="BG1831" s="153"/>
      <c r="BH1831" s="153"/>
      <c r="BI1831" s="153"/>
      <c r="BJ1831" s="153"/>
      <c r="BK1831" s="153"/>
      <c r="BL1831" s="153"/>
      <c r="BM1831" s="153"/>
      <c r="BN1831" s="153"/>
      <c r="BO1831" s="153"/>
      <c r="BP1831" s="153"/>
      <c r="BQ1831" s="153"/>
      <c r="BR1831" s="153"/>
      <c r="BS1831" s="153"/>
      <c r="BT1831" s="153"/>
      <c r="BU1831" s="153"/>
      <c r="BV1831" s="153"/>
      <c r="BW1831" s="153"/>
      <c r="BX1831" s="153"/>
      <c r="BY1831" s="153"/>
      <c r="BZ1831" s="153"/>
      <c r="CA1831" s="153"/>
      <c r="CB1831" s="153"/>
      <c r="CC1831" s="153"/>
      <c r="CD1831" s="155"/>
      <c r="CE1831" s="156"/>
      <c r="CF1831" s="155"/>
      <c r="CG1831" s="156"/>
      <c r="CH1831" s="155"/>
      <c r="CI1831" s="156"/>
      <c r="CJ1831" s="157">
        <f t="shared" si="231"/>
        <v>0</v>
      </c>
      <c r="CK1831" s="158"/>
      <c r="CL1831" s="159"/>
      <c r="CM1831" s="160"/>
      <c r="CN1831" s="161"/>
      <c r="CO1831" s="162"/>
      <c r="CP1831" s="161"/>
      <c r="CQ1831" s="158"/>
      <c r="CR1831" s="159"/>
      <c r="CS1831" s="68"/>
      <c r="CT1831" s="163"/>
      <c r="EC1831" s="366" t="str">
        <f t="shared" si="234"/>
        <v>RISARALDA_APIA</v>
      </c>
      <c r="ED1831" s="367"/>
      <c r="EE1831" s="367"/>
      <c r="EF1831" s="368"/>
      <c r="EG1831" s="367"/>
      <c r="EH1831" s="367"/>
      <c r="EI1831" s="367"/>
    </row>
    <row r="1832" spans="1:139" s="164" customFormat="1" ht="60">
      <c r="A1832" s="228">
        <v>40503</v>
      </c>
      <c r="B1832" s="205" t="s">
        <v>2400</v>
      </c>
      <c r="C1832" s="205" t="s">
        <v>2051</v>
      </c>
      <c r="D1832" s="206" t="s">
        <v>1201</v>
      </c>
      <c r="E1832" s="320" t="s">
        <v>4183</v>
      </c>
      <c r="F1832" s="320"/>
      <c r="G1832" s="204"/>
      <c r="H1832" s="151"/>
      <c r="I1832" s="151"/>
      <c r="J1832" s="151">
        <f>519*5</f>
        <v>2595</v>
      </c>
      <c r="K1832" s="151">
        <f>579-60</f>
        <v>519</v>
      </c>
      <c r="L1832" s="1"/>
      <c r="M1832" s="73">
        <f t="shared" si="229"/>
        <v>0</v>
      </c>
      <c r="N1832" s="73">
        <f t="shared" si="233"/>
        <v>0</v>
      </c>
      <c r="O1832" s="73">
        <f t="shared" si="228"/>
        <v>0</v>
      </c>
      <c r="P1832" s="73">
        <f t="shared" si="230"/>
        <v>0</v>
      </c>
      <c r="Q1832" s="73"/>
      <c r="R1832" s="73">
        <v>0</v>
      </c>
      <c r="S1832" s="75">
        <f t="shared" si="232"/>
        <v>0</v>
      </c>
      <c r="T1832" s="77">
        <v>0</v>
      </c>
      <c r="U1832" s="66">
        <v>40504</v>
      </c>
      <c r="V1832" s="79"/>
      <c r="W1832" s="66" t="s">
        <v>1585</v>
      </c>
      <c r="X1832" s="24" t="s">
        <v>1586</v>
      </c>
      <c r="Y1832" s="62"/>
      <c r="Z1832" s="169" t="s">
        <v>894</v>
      </c>
      <c r="AA1832" s="166" t="s">
        <v>468</v>
      </c>
      <c r="AB1832" s="152"/>
      <c r="AC1832" s="153"/>
      <c r="AD1832" s="154"/>
      <c r="AE1832" s="153"/>
      <c r="AF1832" s="153"/>
      <c r="AG1832" s="153"/>
      <c r="AH1832" s="153"/>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c r="BF1832" s="153"/>
      <c r="BG1832" s="153"/>
      <c r="BH1832" s="153"/>
      <c r="BI1832" s="153"/>
      <c r="BJ1832" s="153"/>
      <c r="BK1832" s="153"/>
      <c r="BL1832" s="153"/>
      <c r="BM1832" s="153"/>
      <c r="BN1832" s="153"/>
      <c r="BO1832" s="153"/>
      <c r="BP1832" s="153"/>
      <c r="BQ1832" s="153"/>
      <c r="BR1832" s="153"/>
      <c r="BS1832" s="153"/>
      <c r="BT1832" s="153"/>
      <c r="BU1832" s="153"/>
      <c r="BV1832" s="153"/>
      <c r="BW1832" s="153"/>
      <c r="BX1832" s="153"/>
      <c r="BY1832" s="153"/>
      <c r="BZ1832" s="153"/>
      <c r="CA1832" s="153"/>
      <c r="CB1832" s="153"/>
      <c r="CC1832" s="153"/>
      <c r="CD1832" s="155"/>
      <c r="CE1832" s="156"/>
      <c r="CF1832" s="155"/>
      <c r="CG1832" s="156"/>
      <c r="CH1832" s="155"/>
      <c r="CI1832" s="156"/>
      <c r="CJ1832" s="157">
        <f t="shared" si="231"/>
        <v>0</v>
      </c>
      <c r="CK1832" s="158"/>
      <c r="CL1832" s="159"/>
      <c r="CM1832" s="160"/>
      <c r="CN1832" s="161"/>
      <c r="CO1832" s="162"/>
      <c r="CP1832" s="161"/>
      <c r="CQ1832" s="158"/>
      <c r="CR1832" s="159"/>
      <c r="CS1832" s="68"/>
      <c r="CT1832" s="163"/>
      <c r="EC1832" s="366" t="str">
        <f t="shared" si="234"/>
        <v>TOLIMA_ATACO</v>
      </c>
      <c r="ED1832" s="367"/>
      <c r="EE1832" s="367"/>
      <c r="EF1832" s="368"/>
      <c r="EG1832" s="367"/>
      <c r="EH1832" s="367"/>
      <c r="EI1832" s="367"/>
    </row>
    <row r="1833" spans="1:139" s="164" customFormat="1" ht="48">
      <c r="A1833" s="228">
        <v>40504</v>
      </c>
      <c r="B1833" s="205" t="s">
        <v>1551</v>
      </c>
      <c r="C1833" s="205" t="s">
        <v>1550</v>
      </c>
      <c r="D1833" s="207" t="s">
        <v>1201</v>
      </c>
      <c r="E1833" s="323" t="s">
        <v>3364</v>
      </c>
      <c r="F1833" s="323"/>
      <c r="G1833" s="204"/>
      <c r="H1833" s="151"/>
      <c r="I1833" s="151"/>
      <c r="J1833" s="151">
        <v>345</v>
      </c>
      <c r="K1833" s="151">
        <v>69</v>
      </c>
      <c r="L1833" s="1">
        <v>40526</v>
      </c>
      <c r="M1833" s="73">
        <f t="shared" si="229"/>
        <v>0</v>
      </c>
      <c r="N1833" s="73">
        <f t="shared" si="233"/>
        <v>5865000</v>
      </c>
      <c r="O1833" s="73">
        <f t="shared" si="228"/>
        <v>0</v>
      </c>
      <c r="P1833" s="73">
        <f t="shared" si="230"/>
        <v>0</v>
      </c>
      <c r="Q1833" s="73"/>
      <c r="R1833" s="73">
        <v>35043750</v>
      </c>
      <c r="S1833" s="75">
        <f t="shared" si="232"/>
        <v>40908750</v>
      </c>
      <c r="T1833" s="77">
        <v>0</v>
      </c>
      <c r="U1833" s="66">
        <v>40504</v>
      </c>
      <c r="V1833" s="79">
        <v>66788</v>
      </c>
      <c r="W1833" s="66" t="s">
        <v>1606</v>
      </c>
      <c r="X1833" s="24" t="s">
        <v>1607</v>
      </c>
      <c r="Y1833" s="62">
        <v>27459</v>
      </c>
      <c r="Z1833" s="169" t="s">
        <v>1435</v>
      </c>
      <c r="AA1833" s="170" t="s">
        <v>777</v>
      </c>
      <c r="AB1833" s="152"/>
      <c r="AC1833" s="153"/>
      <c r="AD1833" s="154"/>
      <c r="AE1833" s="153"/>
      <c r="AF1833" s="153"/>
      <c r="AG1833" s="153"/>
      <c r="AH1833" s="153"/>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c r="BF1833" s="153"/>
      <c r="BG1833" s="153"/>
      <c r="BH1833" s="153"/>
      <c r="BI1833" s="153"/>
      <c r="BJ1833" s="153"/>
      <c r="BK1833" s="153"/>
      <c r="BL1833" s="153"/>
      <c r="BM1833" s="153"/>
      <c r="BN1833" s="153"/>
      <c r="BO1833" s="153"/>
      <c r="BP1833" s="153"/>
      <c r="BQ1833" s="153"/>
      <c r="BR1833" s="153"/>
      <c r="BS1833" s="153"/>
      <c r="BT1833" s="153"/>
      <c r="BU1833" s="153"/>
      <c r="BV1833" s="153"/>
      <c r="BW1833" s="153"/>
      <c r="BX1833" s="153"/>
      <c r="BY1833" s="153"/>
      <c r="BZ1833" s="153"/>
      <c r="CA1833" s="153"/>
      <c r="CB1833" s="153"/>
      <c r="CC1833" s="153"/>
      <c r="CD1833" s="155"/>
      <c r="CE1833" s="156"/>
      <c r="CF1833" s="155"/>
      <c r="CG1833" s="156"/>
      <c r="CH1833" s="155"/>
      <c r="CI1833" s="156"/>
      <c r="CJ1833" s="157">
        <f t="shared" si="231"/>
        <v>0</v>
      </c>
      <c r="CK1833" s="158"/>
      <c r="CL1833" s="159"/>
      <c r="CM1833" s="160">
        <v>69</v>
      </c>
      <c r="CN1833" s="161">
        <f>69*85000</f>
        <v>5865000</v>
      </c>
      <c r="CO1833" s="162"/>
      <c r="CP1833" s="161"/>
      <c r="CQ1833" s="158"/>
      <c r="CR1833" s="159"/>
      <c r="CS1833" s="68">
        <v>2</v>
      </c>
      <c r="CT1833" s="163"/>
      <c r="EC1833" s="366" t="str">
        <f t="shared" si="234"/>
        <v>ATLANTICO_PONEDERA</v>
      </c>
      <c r="ED1833" s="367"/>
      <c r="EE1833" s="367"/>
      <c r="EF1833" s="368"/>
      <c r="EG1833" s="367"/>
      <c r="EH1833" s="367"/>
      <c r="EI1833" s="367"/>
    </row>
    <row r="1834" spans="1:139" s="164" customFormat="1" ht="60">
      <c r="A1834" s="228">
        <v>40504</v>
      </c>
      <c r="B1834" s="205" t="s">
        <v>1551</v>
      </c>
      <c r="C1834" s="205" t="s">
        <v>2130</v>
      </c>
      <c r="D1834" s="207" t="s">
        <v>1201</v>
      </c>
      <c r="E1834" s="323" t="s">
        <v>3367</v>
      </c>
      <c r="F1834" s="323"/>
      <c r="G1834" s="204"/>
      <c r="H1834" s="151"/>
      <c r="I1834" s="151"/>
      <c r="J1834" s="151">
        <v>1385</v>
      </c>
      <c r="K1834" s="151">
        <v>277</v>
      </c>
      <c r="L1834" s="1">
        <v>40529</v>
      </c>
      <c r="M1834" s="73">
        <f t="shared" si="229"/>
        <v>0</v>
      </c>
      <c r="N1834" s="73">
        <f t="shared" si="233"/>
        <v>23545000</v>
      </c>
      <c r="O1834" s="73">
        <f t="shared" si="228"/>
        <v>0</v>
      </c>
      <c r="P1834" s="73">
        <f t="shared" si="230"/>
        <v>0</v>
      </c>
      <c r="Q1834" s="73"/>
      <c r="R1834" s="73">
        <v>60000000</v>
      </c>
      <c r="S1834" s="75">
        <f t="shared" si="232"/>
        <v>83545000</v>
      </c>
      <c r="T1834" s="77">
        <v>0</v>
      </c>
      <c r="U1834" s="66">
        <v>40504</v>
      </c>
      <c r="V1834" s="79">
        <v>68305</v>
      </c>
      <c r="W1834" s="66" t="s">
        <v>1606</v>
      </c>
      <c r="X1834" s="24" t="s">
        <v>1607</v>
      </c>
      <c r="Y1834" s="104" t="s">
        <v>532</v>
      </c>
      <c r="Z1834" s="169" t="s">
        <v>1435</v>
      </c>
      <c r="AA1834" s="266" t="s">
        <v>533</v>
      </c>
      <c r="AB1834" s="152"/>
      <c r="AC1834" s="153"/>
      <c r="AD1834" s="154"/>
      <c r="AE1834" s="153"/>
      <c r="AF1834" s="153"/>
      <c r="AG1834" s="153"/>
      <c r="AH1834" s="153"/>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c r="BF1834" s="153"/>
      <c r="BG1834" s="153"/>
      <c r="BH1834" s="153"/>
      <c r="BI1834" s="153"/>
      <c r="BJ1834" s="153"/>
      <c r="BK1834" s="153"/>
      <c r="BL1834" s="153"/>
      <c r="BM1834" s="153"/>
      <c r="BN1834" s="153"/>
      <c r="BO1834" s="153"/>
      <c r="BP1834" s="153"/>
      <c r="BQ1834" s="153"/>
      <c r="BR1834" s="153"/>
      <c r="BS1834" s="153"/>
      <c r="BT1834" s="153"/>
      <c r="BU1834" s="153"/>
      <c r="BV1834" s="153"/>
      <c r="BW1834" s="153"/>
      <c r="BX1834" s="153"/>
      <c r="BY1834" s="153"/>
      <c r="BZ1834" s="153"/>
      <c r="CA1834" s="153"/>
      <c r="CB1834" s="153"/>
      <c r="CC1834" s="153"/>
      <c r="CD1834" s="155"/>
      <c r="CE1834" s="156"/>
      <c r="CF1834" s="155"/>
      <c r="CG1834" s="156"/>
      <c r="CH1834" s="155"/>
      <c r="CI1834" s="156"/>
      <c r="CJ1834" s="157">
        <f t="shared" si="231"/>
        <v>0</v>
      </c>
      <c r="CK1834" s="158"/>
      <c r="CL1834" s="159"/>
      <c r="CM1834" s="160">
        <v>277</v>
      </c>
      <c r="CN1834" s="161">
        <f>277*85000</f>
        <v>23545000</v>
      </c>
      <c r="CO1834" s="162"/>
      <c r="CP1834" s="161"/>
      <c r="CQ1834" s="158"/>
      <c r="CR1834" s="159"/>
      <c r="CS1834" s="68"/>
      <c r="CT1834" s="163"/>
      <c r="EC1834" s="366" t="str">
        <f t="shared" si="234"/>
        <v>ATLANTICO_SABANAGRANDE</v>
      </c>
      <c r="ED1834" s="367"/>
      <c r="EE1834" s="367"/>
      <c r="EF1834" s="368"/>
      <c r="EG1834" s="367"/>
      <c r="EH1834" s="367"/>
      <c r="EI1834" s="367"/>
    </row>
    <row r="1835" spans="1:139" s="164" customFormat="1" ht="38.25">
      <c r="A1835" s="228">
        <v>40504</v>
      </c>
      <c r="B1835" s="205" t="s">
        <v>1551</v>
      </c>
      <c r="C1835" s="205" t="s">
        <v>387</v>
      </c>
      <c r="D1835" s="207" t="s">
        <v>1201</v>
      </c>
      <c r="E1835" s="323" t="s">
        <v>3369</v>
      </c>
      <c r="F1835" s="323"/>
      <c r="G1835" s="204"/>
      <c r="H1835" s="151"/>
      <c r="I1835" s="151"/>
      <c r="J1835" s="151">
        <v>8540</v>
      </c>
      <c r="K1835" s="151">
        <v>1708</v>
      </c>
      <c r="L1835" s="1"/>
      <c r="M1835" s="73">
        <f t="shared" si="229"/>
        <v>0</v>
      </c>
      <c r="N1835" s="73">
        <f t="shared" si="233"/>
        <v>104295000</v>
      </c>
      <c r="O1835" s="73">
        <f t="shared" si="228"/>
        <v>0</v>
      </c>
      <c r="P1835" s="73">
        <f t="shared" si="230"/>
        <v>0</v>
      </c>
      <c r="Q1835" s="73"/>
      <c r="R1835" s="73">
        <v>0</v>
      </c>
      <c r="S1835" s="75">
        <f t="shared" si="232"/>
        <v>104295000</v>
      </c>
      <c r="T1835" s="77">
        <v>0</v>
      </c>
      <c r="U1835" s="66">
        <v>40504</v>
      </c>
      <c r="V1835" s="79"/>
      <c r="W1835" s="66" t="s">
        <v>1606</v>
      </c>
      <c r="X1835" s="24" t="s">
        <v>1607</v>
      </c>
      <c r="Y1835" s="62"/>
      <c r="Z1835" s="169" t="s">
        <v>894</v>
      </c>
      <c r="AA1835" s="166" t="s">
        <v>780</v>
      </c>
      <c r="AB1835" s="152"/>
      <c r="AC1835" s="153"/>
      <c r="AD1835" s="154"/>
      <c r="AE1835" s="153"/>
      <c r="AF1835" s="153"/>
      <c r="AG1835" s="153"/>
      <c r="AH1835" s="153"/>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c r="BF1835" s="153"/>
      <c r="BG1835" s="153"/>
      <c r="BH1835" s="153"/>
      <c r="BI1835" s="153"/>
      <c r="BJ1835" s="153"/>
      <c r="BK1835" s="153"/>
      <c r="BL1835" s="153"/>
      <c r="BM1835" s="153"/>
      <c r="BN1835" s="153"/>
      <c r="BO1835" s="153"/>
      <c r="BP1835" s="153"/>
      <c r="BQ1835" s="153"/>
      <c r="BR1835" s="153"/>
      <c r="BS1835" s="153"/>
      <c r="BT1835" s="153"/>
      <c r="BU1835" s="153"/>
      <c r="BV1835" s="153"/>
      <c r="BW1835" s="153"/>
      <c r="BX1835" s="153"/>
      <c r="BY1835" s="153"/>
      <c r="BZ1835" s="153"/>
      <c r="CA1835" s="153"/>
      <c r="CB1835" s="153"/>
      <c r="CC1835" s="153"/>
      <c r="CD1835" s="155"/>
      <c r="CE1835" s="156"/>
      <c r="CF1835" s="155"/>
      <c r="CG1835" s="156"/>
      <c r="CH1835" s="155"/>
      <c r="CI1835" s="156"/>
      <c r="CJ1835" s="157">
        <f t="shared" si="231"/>
        <v>0</v>
      </c>
      <c r="CK1835" s="158"/>
      <c r="CL1835" s="159"/>
      <c r="CM1835" s="160">
        <v>1227</v>
      </c>
      <c r="CN1835" s="161">
        <f>1227*85000</f>
        <v>104295000</v>
      </c>
      <c r="CO1835" s="162"/>
      <c r="CP1835" s="161"/>
      <c r="CQ1835" s="158"/>
      <c r="CR1835" s="159"/>
      <c r="CS1835" s="68"/>
      <c r="CT1835" s="163"/>
      <c r="EC1835" s="366" t="str">
        <f t="shared" si="234"/>
        <v>ATLANTICO_SANTA LUCIA</v>
      </c>
      <c r="ED1835" s="367"/>
      <c r="EE1835" s="367"/>
      <c r="EF1835" s="368"/>
      <c r="EG1835" s="367"/>
      <c r="EH1835" s="367"/>
      <c r="EI1835" s="367"/>
    </row>
    <row r="1836" spans="1:139" s="164" customFormat="1" ht="25.5">
      <c r="A1836" s="228">
        <v>40504</v>
      </c>
      <c r="B1836" s="205" t="s">
        <v>1551</v>
      </c>
      <c r="C1836" s="205" t="s">
        <v>781</v>
      </c>
      <c r="D1836" s="207" t="s">
        <v>1201</v>
      </c>
      <c r="E1836" s="323" t="s">
        <v>3372</v>
      </c>
      <c r="F1836" s="323"/>
      <c r="G1836" s="204"/>
      <c r="H1836" s="151"/>
      <c r="I1836" s="151"/>
      <c r="J1836" s="416" t="s">
        <v>1202</v>
      </c>
      <c r="K1836" s="151">
        <v>2179</v>
      </c>
      <c r="L1836" s="1"/>
      <c r="M1836" s="73">
        <f t="shared" si="229"/>
        <v>0</v>
      </c>
      <c r="N1836" s="73">
        <f t="shared" si="233"/>
        <v>0</v>
      </c>
      <c r="O1836" s="73">
        <f t="shared" si="228"/>
        <v>0</v>
      </c>
      <c r="P1836" s="73">
        <f t="shared" si="230"/>
        <v>0</v>
      </c>
      <c r="Q1836" s="73"/>
      <c r="R1836" s="73">
        <v>0</v>
      </c>
      <c r="S1836" s="75">
        <f t="shared" si="232"/>
        <v>0</v>
      </c>
      <c r="T1836" s="77">
        <v>0</v>
      </c>
      <c r="U1836" s="66">
        <v>40504</v>
      </c>
      <c r="V1836" s="79"/>
      <c r="W1836" s="66" t="s">
        <v>1606</v>
      </c>
      <c r="X1836" s="24" t="s">
        <v>1607</v>
      </c>
      <c r="Y1836" s="62"/>
      <c r="Z1836" s="176" t="s">
        <v>460</v>
      </c>
      <c r="AA1836" s="166" t="s">
        <v>782</v>
      </c>
      <c r="AB1836" s="152"/>
      <c r="AC1836" s="153"/>
      <c r="AD1836" s="154"/>
      <c r="AE1836" s="153"/>
      <c r="AF1836" s="153"/>
      <c r="AG1836" s="153"/>
      <c r="AH1836" s="153"/>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c r="BF1836" s="153"/>
      <c r="BG1836" s="153"/>
      <c r="BH1836" s="153"/>
      <c r="BI1836" s="153"/>
      <c r="BJ1836" s="153"/>
      <c r="BK1836" s="153"/>
      <c r="BL1836" s="153"/>
      <c r="BM1836" s="153"/>
      <c r="BN1836" s="153"/>
      <c r="BO1836" s="153"/>
      <c r="BP1836" s="153"/>
      <c r="BQ1836" s="153"/>
      <c r="BR1836" s="153"/>
      <c r="BS1836" s="153"/>
      <c r="BT1836" s="153"/>
      <c r="BU1836" s="153"/>
      <c r="BV1836" s="153"/>
      <c r="BW1836" s="153"/>
      <c r="BX1836" s="153"/>
      <c r="BY1836" s="153"/>
      <c r="BZ1836" s="153"/>
      <c r="CA1836" s="153"/>
      <c r="CB1836" s="153"/>
      <c r="CC1836" s="153"/>
      <c r="CD1836" s="155"/>
      <c r="CE1836" s="156"/>
      <c r="CF1836" s="155"/>
      <c r="CG1836" s="156"/>
      <c r="CH1836" s="155"/>
      <c r="CI1836" s="156"/>
      <c r="CJ1836" s="157">
        <f t="shared" si="231"/>
        <v>0</v>
      </c>
      <c r="CK1836" s="158"/>
      <c r="CL1836" s="159"/>
      <c r="CM1836" s="160"/>
      <c r="CN1836" s="161"/>
      <c r="CO1836" s="162"/>
      <c r="CP1836" s="161"/>
      <c r="CQ1836" s="158"/>
      <c r="CR1836" s="159"/>
      <c r="CS1836" s="68"/>
      <c r="CT1836" s="163"/>
      <c r="EC1836" s="366" t="str">
        <f t="shared" si="234"/>
        <v>ATLANTICO_SUAN</v>
      </c>
      <c r="ED1836" s="367"/>
      <c r="EE1836" s="367"/>
      <c r="EF1836" s="368"/>
      <c r="EG1836" s="367"/>
      <c r="EH1836" s="367"/>
      <c r="EI1836" s="367"/>
    </row>
    <row r="1837" spans="1:139" s="164" customFormat="1" ht="25.5">
      <c r="A1837" s="228">
        <v>40504</v>
      </c>
      <c r="B1837" s="205" t="s">
        <v>1192</v>
      </c>
      <c r="C1837" s="205" t="s">
        <v>2789</v>
      </c>
      <c r="D1837" s="206" t="s">
        <v>1878</v>
      </c>
      <c r="E1837" s="320" t="s">
        <v>3528</v>
      </c>
      <c r="F1837" s="320"/>
      <c r="G1837" s="204"/>
      <c r="H1837" s="151"/>
      <c r="I1837" s="151"/>
      <c r="J1837" s="151">
        <f>16*5</f>
        <v>80</v>
      </c>
      <c r="K1837" s="151">
        <v>16</v>
      </c>
      <c r="L1837" s="1"/>
      <c r="M1837" s="73">
        <f t="shared" si="229"/>
        <v>0</v>
      </c>
      <c r="N1837" s="73">
        <f t="shared" si="233"/>
        <v>0</v>
      </c>
      <c r="O1837" s="73">
        <f t="shared" si="228"/>
        <v>0</v>
      </c>
      <c r="P1837" s="73">
        <f t="shared" si="230"/>
        <v>0</v>
      </c>
      <c r="Q1837" s="73"/>
      <c r="R1837" s="73">
        <v>0</v>
      </c>
      <c r="S1837" s="75">
        <f t="shared" si="232"/>
        <v>0</v>
      </c>
      <c r="T1837" s="77">
        <v>0</v>
      </c>
      <c r="U1837" s="228">
        <v>40506</v>
      </c>
      <c r="V1837" s="79"/>
      <c r="W1837" s="66" t="s">
        <v>1585</v>
      </c>
      <c r="X1837" s="24" t="s">
        <v>1586</v>
      </c>
      <c r="Y1837" s="62"/>
      <c r="Z1837" s="169" t="s">
        <v>894</v>
      </c>
      <c r="AA1837" s="166" t="s">
        <v>2790</v>
      </c>
      <c r="AB1837" s="152"/>
      <c r="AC1837" s="153"/>
      <c r="AD1837" s="154"/>
      <c r="AE1837" s="153"/>
      <c r="AF1837" s="153"/>
      <c r="AG1837" s="153"/>
      <c r="AH1837" s="153"/>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c r="BF1837" s="153"/>
      <c r="BG1837" s="153"/>
      <c r="BH1837" s="153"/>
      <c r="BI1837" s="153"/>
      <c r="BJ1837" s="153"/>
      <c r="BK1837" s="153"/>
      <c r="BL1837" s="153"/>
      <c r="BM1837" s="153"/>
      <c r="BN1837" s="153"/>
      <c r="BO1837" s="153"/>
      <c r="BP1837" s="153"/>
      <c r="BQ1837" s="153"/>
      <c r="BR1837" s="153"/>
      <c r="BS1837" s="153"/>
      <c r="BT1837" s="153"/>
      <c r="BU1837" s="153"/>
      <c r="BV1837" s="153"/>
      <c r="BW1837" s="153"/>
      <c r="BX1837" s="153"/>
      <c r="BY1837" s="153"/>
      <c r="BZ1837" s="153"/>
      <c r="CA1837" s="153"/>
      <c r="CB1837" s="153"/>
      <c r="CC1837" s="153"/>
      <c r="CD1837" s="155"/>
      <c r="CE1837" s="156"/>
      <c r="CF1837" s="155"/>
      <c r="CG1837" s="156"/>
      <c r="CH1837" s="155"/>
      <c r="CI1837" s="156"/>
      <c r="CJ1837" s="157">
        <f t="shared" si="231"/>
        <v>0</v>
      </c>
      <c r="CK1837" s="158"/>
      <c r="CL1837" s="159"/>
      <c r="CM1837" s="160"/>
      <c r="CN1837" s="161"/>
      <c r="CO1837" s="162"/>
      <c r="CP1837" s="161"/>
      <c r="CQ1837" s="158"/>
      <c r="CR1837" s="159"/>
      <c r="CS1837" s="68"/>
      <c r="CT1837" s="163"/>
      <c r="EC1837" s="366" t="str">
        <f t="shared" si="234"/>
        <v>BOYACA_TIBANA</v>
      </c>
      <c r="ED1837" s="367"/>
      <c r="EE1837" s="367"/>
      <c r="EF1837" s="368"/>
      <c r="EG1837" s="367"/>
      <c r="EH1837" s="367"/>
      <c r="EI1837" s="367"/>
    </row>
    <row r="1838" spans="1:139" s="164" customFormat="1" ht="38.25">
      <c r="A1838" s="228">
        <v>40504</v>
      </c>
      <c r="B1838" s="205" t="s">
        <v>653</v>
      </c>
      <c r="C1838" s="205" t="s">
        <v>2124</v>
      </c>
      <c r="D1838" s="206" t="s">
        <v>1878</v>
      </c>
      <c r="E1838" s="320" t="s">
        <v>3560</v>
      </c>
      <c r="F1838" s="320"/>
      <c r="G1838" s="204">
        <v>5</v>
      </c>
      <c r="H1838" s="151"/>
      <c r="I1838" s="151">
        <v>3</v>
      </c>
      <c r="J1838" s="151">
        <f>1464*5</f>
        <v>7320</v>
      </c>
      <c r="K1838" s="151">
        <f>1214+250</f>
        <v>1464</v>
      </c>
      <c r="L1838" s="1"/>
      <c r="M1838" s="73">
        <f t="shared" si="229"/>
        <v>0</v>
      </c>
      <c r="N1838" s="73">
        <f t="shared" si="233"/>
        <v>0</v>
      </c>
      <c r="O1838" s="73">
        <f t="shared" si="228"/>
        <v>0</v>
      </c>
      <c r="P1838" s="73">
        <f t="shared" si="230"/>
        <v>0</v>
      </c>
      <c r="Q1838" s="73"/>
      <c r="R1838" s="73">
        <v>0</v>
      </c>
      <c r="S1838" s="75">
        <f t="shared" si="232"/>
        <v>0</v>
      </c>
      <c r="T1838" s="77">
        <v>0</v>
      </c>
      <c r="U1838" s="228">
        <v>40504</v>
      </c>
      <c r="V1838" s="79"/>
      <c r="W1838" s="66" t="s">
        <v>1606</v>
      </c>
      <c r="X1838" s="24" t="s">
        <v>1607</v>
      </c>
      <c r="Y1838" s="62"/>
      <c r="Z1838" s="176" t="s">
        <v>3056</v>
      </c>
      <c r="AA1838" s="166" t="s">
        <v>2125</v>
      </c>
      <c r="AB1838" s="152"/>
      <c r="AC1838" s="153"/>
      <c r="AD1838" s="154"/>
      <c r="AE1838" s="153"/>
      <c r="AF1838" s="153"/>
      <c r="AG1838" s="153"/>
      <c r="AH1838" s="153"/>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c r="BF1838" s="153"/>
      <c r="BG1838" s="153"/>
      <c r="BH1838" s="153"/>
      <c r="BI1838" s="153"/>
      <c r="BJ1838" s="153"/>
      <c r="BK1838" s="153"/>
      <c r="BL1838" s="153"/>
      <c r="BM1838" s="153"/>
      <c r="BN1838" s="153"/>
      <c r="BO1838" s="153"/>
      <c r="BP1838" s="153"/>
      <c r="BQ1838" s="153"/>
      <c r="BR1838" s="153"/>
      <c r="BS1838" s="153"/>
      <c r="BT1838" s="153"/>
      <c r="BU1838" s="153"/>
      <c r="BV1838" s="153"/>
      <c r="BW1838" s="153"/>
      <c r="BX1838" s="153"/>
      <c r="BY1838" s="153"/>
      <c r="BZ1838" s="153"/>
      <c r="CA1838" s="153"/>
      <c r="CB1838" s="153"/>
      <c r="CC1838" s="153"/>
      <c r="CD1838" s="155"/>
      <c r="CE1838" s="156"/>
      <c r="CF1838" s="155"/>
      <c r="CG1838" s="156"/>
      <c r="CH1838" s="155"/>
      <c r="CI1838" s="156"/>
      <c r="CJ1838" s="157">
        <f t="shared" si="231"/>
        <v>0</v>
      </c>
      <c r="CK1838" s="158"/>
      <c r="CL1838" s="159"/>
      <c r="CM1838" s="160"/>
      <c r="CN1838" s="161"/>
      <c r="CO1838" s="162"/>
      <c r="CP1838" s="161"/>
      <c r="CQ1838" s="158"/>
      <c r="CR1838" s="159"/>
      <c r="CS1838" s="68"/>
      <c r="CT1838" s="163"/>
      <c r="EC1838" s="366" t="str">
        <f t="shared" si="234"/>
        <v>CALDAS_PENSILVANIA</v>
      </c>
      <c r="ED1838" s="367"/>
      <c r="EE1838" s="367"/>
      <c r="EF1838" s="368"/>
      <c r="EG1838" s="367"/>
      <c r="EH1838" s="367"/>
      <c r="EI1838" s="367"/>
    </row>
    <row r="1839" spans="1:139" s="164" customFormat="1" ht="36">
      <c r="A1839" s="228">
        <v>40504</v>
      </c>
      <c r="B1839" s="205" t="s">
        <v>653</v>
      </c>
      <c r="C1839" s="205" t="s">
        <v>2800</v>
      </c>
      <c r="D1839" s="207" t="s">
        <v>1201</v>
      </c>
      <c r="E1839" s="323" t="s">
        <v>3561</v>
      </c>
      <c r="F1839" s="323"/>
      <c r="G1839" s="204">
        <v>2</v>
      </c>
      <c r="H1839" s="151">
        <v>2</v>
      </c>
      <c r="I1839" s="151"/>
      <c r="J1839" s="151">
        <f>398*5</f>
        <v>1990</v>
      </c>
      <c r="K1839" s="151">
        <f>378+20</f>
        <v>398</v>
      </c>
      <c r="L1839" s="1"/>
      <c r="M1839" s="73">
        <f t="shared" si="229"/>
        <v>0</v>
      </c>
      <c r="N1839" s="73">
        <f t="shared" si="233"/>
        <v>0</v>
      </c>
      <c r="O1839" s="73">
        <f t="shared" si="228"/>
        <v>0</v>
      </c>
      <c r="P1839" s="73">
        <f t="shared" si="230"/>
        <v>0</v>
      </c>
      <c r="Q1839" s="73"/>
      <c r="R1839" s="73">
        <v>0</v>
      </c>
      <c r="S1839" s="75">
        <f t="shared" si="232"/>
        <v>0</v>
      </c>
      <c r="T1839" s="77">
        <v>0</v>
      </c>
      <c r="U1839" s="228">
        <v>40505</v>
      </c>
      <c r="V1839" s="79"/>
      <c r="W1839" s="66" t="s">
        <v>1606</v>
      </c>
      <c r="X1839" s="24" t="s">
        <v>1607</v>
      </c>
      <c r="Y1839" s="62"/>
      <c r="Z1839" s="176" t="s">
        <v>3056</v>
      </c>
      <c r="AA1839" s="166" t="s">
        <v>2151</v>
      </c>
      <c r="AB1839" s="152"/>
      <c r="AC1839" s="153"/>
      <c r="AD1839" s="154"/>
      <c r="AE1839" s="153"/>
      <c r="AF1839" s="153"/>
      <c r="AG1839" s="153"/>
      <c r="AH1839" s="153"/>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c r="BF1839" s="153"/>
      <c r="BG1839" s="153"/>
      <c r="BH1839" s="153"/>
      <c r="BI1839" s="153"/>
      <c r="BJ1839" s="153"/>
      <c r="BK1839" s="153"/>
      <c r="BL1839" s="153"/>
      <c r="BM1839" s="153"/>
      <c r="BN1839" s="153"/>
      <c r="BO1839" s="153"/>
      <c r="BP1839" s="153"/>
      <c r="BQ1839" s="153"/>
      <c r="BR1839" s="153"/>
      <c r="BS1839" s="153"/>
      <c r="BT1839" s="153"/>
      <c r="BU1839" s="153"/>
      <c r="BV1839" s="153"/>
      <c r="BW1839" s="153"/>
      <c r="BX1839" s="153"/>
      <c r="BY1839" s="153"/>
      <c r="BZ1839" s="153"/>
      <c r="CA1839" s="153"/>
      <c r="CB1839" s="153"/>
      <c r="CC1839" s="153"/>
      <c r="CD1839" s="155"/>
      <c r="CE1839" s="156"/>
      <c r="CF1839" s="155"/>
      <c r="CG1839" s="156"/>
      <c r="CH1839" s="155"/>
      <c r="CI1839" s="156"/>
      <c r="CJ1839" s="157">
        <f t="shared" si="231"/>
        <v>0</v>
      </c>
      <c r="CK1839" s="158"/>
      <c r="CL1839" s="159"/>
      <c r="CM1839" s="160"/>
      <c r="CN1839" s="161"/>
      <c r="CO1839" s="162"/>
      <c r="CP1839" s="161"/>
      <c r="CQ1839" s="158"/>
      <c r="CR1839" s="159"/>
      <c r="CS1839" s="68"/>
      <c r="CT1839" s="163"/>
      <c r="EC1839" s="366" t="str">
        <f t="shared" si="234"/>
        <v>CALDAS_RIOSUCIO</v>
      </c>
      <c r="ED1839" s="367"/>
      <c r="EE1839" s="367"/>
      <c r="EF1839" s="368"/>
      <c r="EG1839" s="367"/>
      <c r="EH1839" s="367"/>
      <c r="EI1839" s="367"/>
    </row>
    <row r="1840" spans="1:139" s="164" customFormat="1" ht="38.25">
      <c r="A1840" s="228">
        <v>40504</v>
      </c>
      <c r="B1840" s="205" t="s">
        <v>1604</v>
      </c>
      <c r="C1840" s="205" t="s">
        <v>1947</v>
      </c>
      <c r="D1840" s="207" t="s">
        <v>1201</v>
      </c>
      <c r="E1840" s="323" t="s">
        <v>3686</v>
      </c>
      <c r="F1840" s="323"/>
      <c r="G1840" s="204"/>
      <c r="H1840" s="151"/>
      <c r="I1840" s="151"/>
      <c r="J1840" s="151">
        <v>30</v>
      </c>
      <c r="K1840" s="151">
        <v>11</v>
      </c>
      <c r="L1840" s="1"/>
      <c r="M1840" s="73">
        <f t="shared" si="229"/>
        <v>0</v>
      </c>
      <c r="N1840" s="73">
        <f t="shared" si="233"/>
        <v>0</v>
      </c>
      <c r="O1840" s="73">
        <f t="shared" si="228"/>
        <v>0</v>
      </c>
      <c r="P1840" s="73">
        <f t="shared" si="230"/>
        <v>0</v>
      </c>
      <c r="Q1840" s="73"/>
      <c r="R1840" s="73">
        <v>0</v>
      </c>
      <c r="S1840" s="75">
        <f t="shared" si="232"/>
        <v>0</v>
      </c>
      <c r="T1840" s="77">
        <v>0</v>
      </c>
      <c r="U1840" s="228">
        <v>40612</v>
      </c>
      <c r="V1840" s="79"/>
      <c r="W1840" s="66" t="s">
        <v>1585</v>
      </c>
      <c r="X1840" s="24" t="s">
        <v>1586</v>
      </c>
      <c r="Y1840" s="62"/>
      <c r="Z1840" s="169" t="s">
        <v>894</v>
      </c>
      <c r="AA1840" s="166" t="s">
        <v>155</v>
      </c>
      <c r="AB1840" s="152"/>
      <c r="AC1840" s="153"/>
      <c r="AD1840" s="154"/>
      <c r="AE1840" s="153"/>
      <c r="AF1840" s="153"/>
      <c r="AG1840" s="153"/>
      <c r="AH1840" s="153"/>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c r="BF1840" s="153"/>
      <c r="BG1840" s="153"/>
      <c r="BH1840" s="153"/>
      <c r="BI1840" s="153"/>
      <c r="BJ1840" s="153"/>
      <c r="BK1840" s="153"/>
      <c r="BL1840" s="153"/>
      <c r="BM1840" s="153"/>
      <c r="BN1840" s="153"/>
      <c r="BO1840" s="153"/>
      <c r="BP1840" s="153"/>
      <c r="BQ1840" s="153"/>
      <c r="BR1840" s="153"/>
      <c r="BS1840" s="153"/>
      <c r="BT1840" s="153"/>
      <c r="BU1840" s="153"/>
      <c r="BV1840" s="153"/>
      <c r="BW1840" s="153"/>
      <c r="BX1840" s="153"/>
      <c r="BY1840" s="153"/>
      <c r="BZ1840" s="153"/>
      <c r="CA1840" s="153"/>
      <c r="CB1840" s="153"/>
      <c r="CC1840" s="153"/>
      <c r="CD1840" s="155"/>
      <c r="CE1840" s="156"/>
      <c r="CF1840" s="155"/>
      <c r="CG1840" s="156"/>
      <c r="CH1840" s="155"/>
      <c r="CI1840" s="156"/>
      <c r="CJ1840" s="157">
        <f t="shared" si="231"/>
        <v>0</v>
      </c>
      <c r="CK1840" s="158"/>
      <c r="CL1840" s="159"/>
      <c r="CM1840" s="160"/>
      <c r="CN1840" s="161"/>
      <c r="CO1840" s="162"/>
      <c r="CP1840" s="161"/>
      <c r="CQ1840" s="158"/>
      <c r="CR1840" s="159"/>
      <c r="CS1840" s="68"/>
      <c r="CT1840" s="163"/>
      <c r="EC1840" s="366" t="str">
        <f t="shared" si="234"/>
        <v>CUNDINAMARCA_BITUIMA</v>
      </c>
      <c r="ED1840" s="367"/>
      <c r="EE1840" s="367"/>
      <c r="EF1840" s="368"/>
      <c r="EG1840" s="367"/>
      <c r="EH1840" s="367"/>
      <c r="EI1840" s="367"/>
    </row>
    <row r="1841" spans="1:139" s="164" customFormat="1" ht="25.5">
      <c r="A1841" s="228">
        <v>40504</v>
      </c>
      <c r="B1841" s="205" t="s">
        <v>962</v>
      </c>
      <c r="C1841" s="205" t="s">
        <v>2191</v>
      </c>
      <c r="D1841" s="207" t="s">
        <v>2606</v>
      </c>
      <c r="E1841" s="323" t="s">
        <v>3854</v>
      </c>
      <c r="F1841" s="323"/>
      <c r="G1841" s="204"/>
      <c r="H1841" s="151"/>
      <c r="I1841" s="151"/>
      <c r="J1841" s="151">
        <v>75</v>
      </c>
      <c r="K1841" s="151">
        <v>15</v>
      </c>
      <c r="L1841" s="1"/>
      <c r="M1841" s="73">
        <f t="shared" si="229"/>
        <v>0</v>
      </c>
      <c r="N1841" s="73">
        <f t="shared" si="233"/>
        <v>0</v>
      </c>
      <c r="O1841" s="73">
        <f t="shared" si="228"/>
        <v>0</v>
      </c>
      <c r="P1841" s="73">
        <f t="shared" si="230"/>
        <v>0</v>
      </c>
      <c r="Q1841" s="73"/>
      <c r="R1841" s="73">
        <v>0</v>
      </c>
      <c r="S1841" s="75">
        <f t="shared" si="232"/>
        <v>0</v>
      </c>
      <c r="T1841" s="77">
        <v>0</v>
      </c>
      <c r="U1841" s="228">
        <v>40506</v>
      </c>
      <c r="V1841" s="79"/>
      <c r="W1841" s="66" t="s">
        <v>1585</v>
      </c>
      <c r="X1841" s="24" t="s">
        <v>1586</v>
      </c>
      <c r="Y1841" s="62"/>
      <c r="Z1841" s="169" t="s">
        <v>894</v>
      </c>
      <c r="AA1841" s="166" t="s">
        <v>2791</v>
      </c>
      <c r="AB1841" s="152"/>
      <c r="AC1841" s="153"/>
      <c r="AD1841" s="154"/>
      <c r="AE1841" s="153"/>
      <c r="AF1841" s="153"/>
      <c r="AG1841" s="153"/>
      <c r="AH1841" s="153"/>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c r="BF1841" s="153"/>
      <c r="BG1841" s="153"/>
      <c r="BH1841" s="153"/>
      <c r="BI1841" s="153"/>
      <c r="BJ1841" s="153"/>
      <c r="BK1841" s="153"/>
      <c r="BL1841" s="153"/>
      <c r="BM1841" s="153"/>
      <c r="BN1841" s="153"/>
      <c r="BO1841" s="153"/>
      <c r="BP1841" s="153"/>
      <c r="BQ1841" s="153"/>
      <c r="BR1841" s="153"/>
      <c r="BS1841" s="153"/>
      <c r="BT1841" s="153"/>
      <c r="BU1841" s="153"/>
      <c r="BV1841" s="153"/>
      <c r="BW1841" s="153"/>
      <c r="BX1841" s="153"/>
      <c r="BY1841" s="153"/>
      <c r="BZ1841" s="153"/>
      <c r="CA1841" s="153"/>
      <c r="CB1841" s="153"/>
      <c r="CC1841" s="153"/>
      <c r="CD1841" s="155"/>
      <c r="CE1841" s="156"/>
      <c r="CF1841" s="155"/>
      <c r="CG1841" s="156"/>
      <c r="CH1841" s="155"/>
      <c r="CI1841" s="156"/>
      <c r="CJ1841" s="157">
        <f t="shared" si="231"/>
        <v>0</v>
      </c>
      <c r="CK1841" s="158"/>
      <c r="CL1841" s="159"/>
      <c r="CM1841" s="160"/>
      <c r="CN1841" s="161"/>
      <c r="CO1841" s="162"/>
      <c r="CP1841" s="161"/>
      <c r="CQ1841" s="158"/>
      <c r="CR1841" s="159"/>
      <c r="CS1841" s="68"/>
      <c r="CT1841" s="163"/>
      <c r="EC1841" s="366" t="str">
        <f t="shared" si="234"/>
        <v>HUILA_TESALIA</v>
      </c>
      <c r="ED1841" s="367"/>
      <c r="EE1841" s="367"/>
      <c r="EF1841" s="368"/>
      <c r="EG1841" s="367"/>
      <c r="EH1841" s="367"/>
      <c r="EI1841" s="367"/>
    </row>
    <row r="1842" spans="1:139" s="164" customFormat="1" ht="36">
      <c r="A1842" s="228">
        <v>40504</v>
      </c>
      <c r="B1842" s="205" t="s">
        <v>962</v>
      </c>
      <c r="C1842" s="205" t="s">
        <v>1796</v>
      </c>
      <c r="D1842" s="206" t="s">
        <v>1878</v>
      </c>
      <c r="E1842" s="320" t="s">
        <v>3857</v>
      </c>
      <c r="F1842" s="320"/>
      <c r="G1842" s="204"/>
      <c r="H1842" s="151"/>
      <c r="I1842" s="151"/>
      <c r="J1842" s="151"/>
      <c r="K1842" s="151"/>
      <c r="L1842" s="1"/>
      <c r="M1842" s="73">
        <f t="shared" si="229"/>
        <v>0</v>
      </c>
      <c r="N1842" s="73">
        <f t="shared" si="233"/>
        <v>0</v>
      </c>
      <c r="O1842" s="73">
        <f t="shared" si="228"/>
        <v>0</v>
      </c>
      <c r="P1842" s="73">
        <f t="shared" si="230"/>
        <v>0</v>
      </c>
      <c r="Q1842" s="73"/>
      <c r="R1842" s="73">
        <v>0</v>
      </c>
      <c r="S1842" s="75">
        <f t="shared" si="232"/>
        <v>0</v>
      </c>
      <c r="T1842" s="77">
        <v>0</v>
      </c>
      <c r="U1842" s="228">
        <v>40505</v>
      </c>
      <c r="V1842" s="79"/>
      <c r="W1842" s="66" t="s">
        <v>1585</v>
      </c>
      <c r="X1842" s="24" t="s">
        <v>1586</v>
      </c>
      <c r="Y1842" s="62"/>
      <c r="Z1842" s="169" t="s">
        <v>894</v>
      </c>
      <c r="AA1842" s="166" t="s">
        <v>2153</v>
      </c>
      <c r="AB1842" s="152"/>
      <c r="AC1842" s="153"/>
      <c r="AD1842" s="154"/>
      <c r="AE1842" s="153"/>
      <c r="AF1842" s="153"/>
      <c r="AG1842" s="153"/>
      <c r="AH1842" s="153"/>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c r="BF1842" s="153"/>
      <c r="BG1842" s="153"/>
      <c r="BH1842" s="153"/>
      <c r="BI1842" s="153"/>
      <c r="BJ1842" s="153"/>
      <c r="BK1842" s="153"/>
      <c r="BL1842" s="153"/>
      <c r="BM1842" s="153"/>
      <c r="BN1842" s="153"/>
      <c r="BO1842" s="153"/>
      <c r="BP1842" s="153"/>
      <c r="BQ1842" s="153"/>
      <c r="BR1842" s="153"/>
      <c r="BS1842" s="153"/>
      <c r="BT1842" s="153"/>
      <c r="BU1842" s="153"/>
      <c r="BV1842" s="153"/>
      <c r="BW1842" s="153"/>
      <c r="BX1842" s="153"/>
      <c r="BY1842" s="153"/>
      <c r="BZ1842" s="153"/>
      <c r="CA1842" s="153"/>
      <c r="CB1842" s="153"/>
      <c r="CC1842" s="153"/>
      <c r="CD1842" s="155"/>
      <c r="CE1842" s="156"/>
      <c r="CF1842" s="155"/>
      <c r="CG1842" s="156"/>
      <c r="CH1842" s="155"/>
      <c r="CI1842" s="156"/>
      <c r="CJ1842" s="157">
        <f t="shared" si="231"/>
        <v>0</v>
      </c>
      <c r="CK1842" s="158"/>
      <c r="CL1842" s="159"/>
      <c r="CM1842" s="160"/>
      <c r="CN1842" s="161"/>
      <c r="CO1842" s="162"/>
      <c r="CP1842" s="161"/>
      <c r="CQ1842" s="158"/>
      <c r="CR1842" s="159"/>
      <c r="CS1842" s="68"/>
      <c r="CT1842" s="163"/>
      <c r="EC1842" s="366" t="str">
        <f t="shared" si="234"/>
        <v>HUILA_TIMANA</v>
      </c>
      <c r="ED1842" s="367"/>
      <c r="EE1842" s="367"/>
      <c r="EF1842" s="368"/>
      <c r="EG1842" s="367"/>
      <c r="EH1842" s="367"/>
      <c r="EI1842" s="367"/>
    </row>
    <row r="1843" spans="1:139" s="164" customFormat="1" ht="25.5">
      <c r="A1843" s="228">
        <v>40504</v>
      </c>
      <c r="B1843" s="205" t="s">
        <v>962</v>
      </c>
      <c r="C1843" s="205" t="s">
        <v>997</v>
      </c>
      <c r="D1843" s="206" t="s">
        <v>1878</v>
      </c>
      <c r="E1843" s="320" t="s">
        <v>3859</v>
      </c>
      <c r="F1843" s="320"/>
      <c r="G1843" s="204"/>
      <c r="H1843" s="151">
        <v>3</v>
      </c>
      <c r="I1843" s="151"/>
      <c r="J1843" s="151">
        <v>3</v>
      </c>
      <c r="K1843" s="151">
        <v>1</v>
      </c>
      <c r="L1843" s="1"/>
      <c r="M1843" s="73">
        <f t="shared" si="229"/>
        <v>0</v>
      </c>
      <c r="N1843" s="73">
        <f t="shared" si="233"/>
        <v>0</v>
      </c>
      <c r="O1843" s="73">
        <f t="shared" si="228"/>
        <v>0</v>
      </c>
      <c r="P1843" s="73">
        <f t="shared" si="230"/>
        <v>0</v>
      </c>
      <c r="Q1843" s="73"/>
      <c r="R1843" s="73">
        <v>0</v>
      </c>
      <c r="S1843" s="75">
        <f t="shared" si="232"/>
        <v>0</v>
      </c>
      <c r="T1843" s="77">
        <v>0</v>
      </c>
      <c r="U1843" s="228">
        <v>40506</v>
      </c>
      <c r="V1843" s="79"/>
      <c r="W1843" s="66" t="s">
        <v>1585</v>
      </c>
      <c r="X1843" s="24" t="s">
        <v>1586</v>
      </c>
      <c r="Y1843" s="62"/>
      <c r="Z1843" s="169" t="s">
        <v>894</v>
      </c>
      <c r="AA1843" s="166" t="s">
        <v>2963</v>
      </c>
      <c r="AB1843" s="152"/>
      <c r="AC1843" s="153"/>
      <c r="AD1843" s="154"/>
      <c r="AE1843" s="153"/>
      <c r="AF1843" s="153"/>
      <c r="AG1843" s="153"/>
      <c r="AH1843" s="153"/>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c r="BF1843" s="153"/>
      <c r="BG1843" s="153"/>
      <c r="BH1843" s="153"/>
      <c r="BI1843" s="153"/>
      <c r="BJ1843" s="153"/>
      <c r="BK1843" s="153"/>
      <c r="BL1843" s="153"/>
      <c r="BM1843" s="153"/>
      <c r="BN1843" s="153"/>
      <c r="BO1843" s="153"/>
      <c r="BP1843" s="153"/>
      <c r="BQ1843" s="153"/>
      <c r="BR1843" s="153"/>
      <c r="BS1843" s="153"/>
      <c r="BT1843" s="153"/>
      <c r="BU1843" s="153"/>
      <c r="BV1843" s="153"/>
      <c r="BW1843" s="153"/>
      <c r="BX1843" s="153"/>
      <c r="BY1843" s="153"/>
      <c r="BZ1843" s="153"/>
      <c r="CA1843" s="153"/>
      <c r="CB1843" s="153"/>
      <c r="CC1843" s="153"/>
      <c r="CD1843" s="155"/>
      <c r="CE1843" s="156"/>
      <c r="CF1843" s="155"/>
      <c r="CG1843" s="156"/>
      <c r="CH1843" s="155"/>
      <c r="CI1843" s="156"/>
      <c r="CJ1843" s="157">
        <f t="shared" si="231"/>
        <v>0</v>
      </c>
      <c r="CK1843" s="158"/>
      <c r="CL1843" s="159"/>
      <c r="CM1843" s="160"/>
      <c r="CN1843" s="161"/>
      <c r="CO1843" s="162"/>
      <c r="CP1843" s="161"/>
      <c r="CQ1843" s="158"/>
      <c r="CR1843" s="159"/>
      <c r="CS1843" s="68"/>
      <c r="CT1843" s="163"/>
      <c r="EC1843" s="366" t="str">
        <f t="shared" si="234"/>
        <v>HUILA_YAGUARA</v>
      </c>
      <c r="ED1843" s="367"/>
      <c r="EE1843" s="367"/>
      <c r="EF1843" s="368"/>
      <c r="EG1843" s="367"/>
      <c r="EH1843" s="367"/>
      <c r="EI1843" s="367"/>
    </row>
    <row r="1844" spans="1:139" s="164" customFormat="1" ht="25.5">
      <c r="A1844" s="228">
        <v>40504</v>
      </c>
      <c r="B1844" s="205" t="s">
        <v>396</v>
      </c>
      <c r="C1844" s="205" t="s">
        <v>2348</v>
      </c>
      <c r="D1844" s="207" t="s">
        <v>2606</v>
      </c>
      <c r="E1844" s="323" t="s">
        <v>3928</v>
      </c>
      <c r="F1844" s="323"/>
      <c r="G1844" s="204"/>
      <c r="H1844" s="151"/>
      <c r="I1844" s="151"/>
      <c r="J1844" s="151">
        <v>1600</v>
      </c>
      <c r="K1844" s="151">
        <v>320</v>
      </c>
      <c r="L1844" s="1"/>
      <c r="M1844" s="73">
        <f t="shared" si="229"/>
        <v>0</v>
      </c>
      <c r="N1844" s="73">
        <f t="shared" si="233"/>
        <v>0</v>
      </c>
      <c r="O1844" s="73">
        <f t="shared" ref="O1844:O1907" si="235">CP1844+CR1844</f>
        <v>0</v>
      </c>
      <c r="P1844" s="73">
        <f t="shared" si="230"/>
        <v>0</v>
      </c>
      <c r="Q1844" s="73"/>
      <c r="R1844" s="73">
        <v>0</v>
      </c>
      <c r="S1844" s="75">
        <f t="shared" si="232"/>
        <v>0</v>
      </c>
      <c r="T1844" s="77">
        <v>0</v>
      </c>
      <c r="U1844" s="228">
        <v>40505</v>
      </c>
      <c r="V1844" s="79"/>
      <c r="W1844" s="66" t="s">
        <v>1585</v>
      </c>
      <c r="X1844" s="24" t="s">
        <v>1586</v>
      </c>
      <c r="Y1844" s="62"/>
      <c r="Z1844" s="169" t="s">
        <v>894</v>
      </c>
      <c r="AA1844" s="166" t="s">
        <v>2455</v>
      </c>
      <c r="AB1844" s="152"/>
      <c r="AC1844" s="153"/>
      <c r="AD1844" s="154"/>
      <c r="AE1844" s="153"/>
      <c r="AF1844" s="153"/>
      <c r="AG1844" s="153"/>
      <c r="AH1844" s="153"/>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c r="BF1844" s="153"/>
      <c r="BG1844" s="153"/>
      <c r="BH1844" s="153"/>
      <c r="BI1844" s="153"/>
      <c r="BJ1844" s="153"/>
      <c r="BK1844" s="153"/>
      <c r="BL1844" s="153"/>
      <c r="BM1844" s="153"/>
      <c r="BN1844" s="153"/>
      <c r="BO1844" s="153"/>
      <c r="BP1844" s="153"/>
      <c r="BQ1844" s="153"/>
      <c r="BR1844" s="153"/>
      <c r="BS1844" s="153"/>
      <c r="BT1844" s="153"/>
      <c r="BU1844" s="153"/>
      <c r="BV1844" s="153"/>
      <c r="BW1844" s="153"/>
      <c r="BX1844" s="153"/>
      <c r="BY1844" s="153"/>
      <c r="BZ1844" s="153"/>
      <c r="CA1844" s="153"/>
      <c r="CB1844" s="153"/>
      <c r="CC1844" s="153"/>
      <c r="CD1844" s="155"/>
      <c r="CE1844" s="156"/>
      <c r="CF1844" s="155"/>
      <c r="CG1844" s="156"/>
      <c r="CH1844" s="155"/>
      <c r="CI1844" s="156"/>
      <c r="CJ1844" s="157">
        <f t="shared" si="231"/>
        <v>0</v>
      </c>
      <c r="CK1844" s="158"/>
      <c r="CL1844" s="159"/>
      <c r="CM1844" s="160"/>
      <c r="CN1844" s="161"/>
      <c r="CO1844" s="162"/>
      <c r="CP1844" s="161"/>
      <c r="CQ1844" s="158"/>
      <c r="CR1844" s="159"/>
      <c r="CS1844" s="68"/>
      <c r="CT1844" s="163"/>
      <c r="EC1844" s="366" t="str">
        <f t="shared" si="234"/>
        <v>META_RESTREPO</v>
      </c>
      <c r="ED1844" s="367"/>
      <c r="EE1844" s="367"/>
      <c r="EF1844" s="368"/>
      <c r="EG1844" s="367"/>
      <c r="EH1844" s="367"/>
      <c r="EI1844" s="367"/>
    </row>
    <row r="1845" spans="1:139" s="164" customFormat="1" ht="216">
      <c r="A1845" s="228">
        <v>40504</v>
      </c>
      <c r="B1845" s="205" t="s">
        <v>1824</v>
      </c>
      <c r="C1845" s="205" t="s">
        <v>1337</v>
      </c>
      <c r="D1845" s="207" t="s">
        <v>1878</v>
      </c>
      <c r="E1845" s="323" t="s">
        <v>3977</v>
      </c>
      <c r="F1845" s="323"/>
      <c r="G1845" s="204"/>
      <c r="H1845" s="151"/>
      <c r="I1845" s="151"/>
      <c r="J1845" s="151">
        <v>621</v>
      </c>
      <c r="K1845" s="151">
        <v>154</v>
      </c>
      <c r="L1845" s="1"/>
      <c r="M1845" s="73">
        <f t="shared" si="229"/>
        <v>0</v>
      </c>
      <c r="N1845" s="73">
        <f t="shared" si="233"/>
        <v>0</v>
      </c>
      <c r="O1845" s="73">
        <f t="shared" si="235"/>
        <v>0</v>
      </c>
      <c r="P1845" s="73">
        <f t="shared" si="230"/>
        <v>0</v>
      </c>
      <c r="Q1845" s="73"/>
      <c r="R1845" s="73">
        <v>0</v>
      </c>
      <c r="S1845" s="75">
        <f t="shared" si="232"/>
        <v>0</v>
      </c>
      <c r="T1845" s="77">
        <v>0</v>
      </c>
      <c r="U1845" s="228">
        <v>40508</v>
      </c>
      <c r="V1845" s="79"/>
      <c r="W1845" s="66" t="s">
        <v>1585</v>
      </c>
      <c r="X1845" s="24" t="s">
        <v>1586</v>
      </c>
      <c r="Y1845" s="62"/>
      <c r="Z1845" s="169" t="s">
        <v>894</v>
      </c>
      <c r="AA1845" s="166" t="s">
        <v>2506</v>
      </c>
      <c r="AB1845" s="152"/>
      <c r="AC1845" s="153"/>
      <c r="AD1845" s="154"/>
      <c r="AE1845" s="153"/>
      <c r="AF1845" s="153"/>
      <c r="AG1845" s="153"/>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c r="BF1845" s="153"/>
      <c r="BG1845" s="153"/>
      <c r="BH1845" s="153"/>
      <c r="BI1845" s="153"/>
      <c r="BJ1845" s="153"/>
      <c r="BK1845" s="153"/>
      <c r="BL1845" s="153"/>
      <c r="BM1845" s="153"/>
      <c r="BN1845" s="153"/>
      <c r="BO1845" s="153"/>
      <c r="BP1845" s="153"/>
      <c r="BQ1845" s="153"/>
      <c r="BR1845" s="153"/>
      <c r="BS1845" s="153"/>
      <c r="BT1845" s="153"/>
      <c r="BU1845" s="153"/>
      <c r="BV1845" s="153"/>
      <c r="BW1845" s="153"/>
      <c r="BX1845" s="153"/>
      <c r="BY1845" s="153"/>
      <c r="BZ1845" s="153"/>
      <c r="CA1845" s="153"/>
      <c r="CB1845" s="153"/>
      <c r="CC1845" s="153"/>
      <c r="CD1845" s="155"/>
      <c r="CE1845" s="156"/>
      <c r="CF1845" s="155"/>
      <c r="CG1845" s="156"/>
      <c r="CH1845" s="155"/>
      <c r="CI1845" s="156"/>
      <c r="CJ1845" s="157">
        <f t="shared" si="231"/>
        <v>0</v>
      </c>
      <c r="CK1845" s="158"/>
      <c r="CL1845" s="159"/>
      <c r="CM1845" s="160"/>
      <c r="CN1845" s="161"/>
      <c r="CO1845" s="162"/>
      <c r="CP1845" s="161"/>
      <c r="CQ1845" s="158"/>
      <c r="CR1845" s="159"/>
      <c r="CS1845" s="68"/>
      <c r="CT1845" s="163"/>
      <c r="EC1845" s="366" t="str">
        <f t="shared" si="234"/>
        <v>NARIÑO_POLICARPA</v>
      </c>
      <c r="ED1845" s="367"/>
      <c r="EE1845" s="367"/>
      <c r="EF1845" s="368"/>
      <c r="EG1845" s="367"/>
      <c r="EH1845" s="367"/>
      <c r="EI1845" s="367"/>
    </row>
    <row r="1846" spans="1:139" s="164" customFormat="1" ht="51">
      <c r="A1846" s="228">
        <v>40504</v>
      </c>
      <c r="B1846" s="205" t="s">
        <v>965</v>
      </c>
      <c r="C1846" s="205" t="s">
        <v>2787</v>
      </c>
      <c r="D1846" s="207" t="s">
        <v>1902</v>
      </c>
      <c r="E1846" s="323" t="s">
        <v>4011</v>
      </c>
      <c r="F1846" s="323"/>
      <c r="G1846" s="204"/>
      <c r="H1846" s="151"/>
      <c r="I1846" s="151"/>
      <c r="J1846" s="151">
        <v>1339</v>
      </c>
      <c r="K1846" s="151">
        <v>345</v>
      </c>
      <c r="L1846" s="1"/>
      <c r="M1846" s="73">
        <f t="shared" si="229"/>
        <v>0</v>
      </c>
      <c r="N1846" s="73">
        <f t="shared" si="233"/>
        <v>0</v>
      </c>
      <c r="O1846" s="73">
        <f t="shared" si="235"/>
        <v>0</v>
      </c>
      <c r="P1846" s="73">
        <f t="shared" si="230"/>
        <v>0</v>
      </c>
      <c r="Q1846" s="73"/>
      <c r="R1846" s="73">
        <v>0</v>
      </c>
      <c r="S1846" s="75">
        <f t="shared" si="232"/>
        <v>0</v>
      </c>
      <c r="T1846" s="77">
        <v>0</v>
      </c>
      <c r="U1846" s="228">
        <v>40506</v>
      </c>
      <c r="V1846" s="79"/>
      <c r="W1846" s="66" t="s">
        <v>1585</v>
      </c>
      <c r="X1846" s="24" t="s">
        <v>1586</v>
      </c>
      <c r="Y1846" s="62"/>
      <c r="Z1846" s="169" t="s">
        <v>894</v>
      </c>
      <c r="AA1846" s="166" t="s">
        <v>2788</v>
      </c>
      <c r="AB1846" s="152"/>
      <c r="AC1846" s="153"/>
      <c r="AD1846" s="154"/>
      <c r="AE1846" s="153"/>
      <c r="AF1846" s="153"/>
      <c r="AG1846" s="153"/>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c r="BF1846" s="153"/>
      <c r="BG1846" s="153"/>
      <c r="BH1846" s="153"/>
      <c r="BI1846" s="153"/>
      <c r="BJ1846" s="153"/>
      <c r="BK1846" s="153"/>
      <c r="BL1846" s="153"/>
      <c r="BM1846" s="153"/>
      <c r="BN1846" s="153"/>
      <c r="BO1846" s="153"/>
      <c r="BP1846" s="153"/>
      <c r="BQ1846" s="153"/>
      <c r="BR1846" s="153"/>
      <c r="BS1846" s="153"/>
      <c r="BT1846" s="153"/>
      <c r="BU1846" s="153"/>
      <c r="BV1846" s="153"/>
      <c r="BW1846" s="153"/>
      <c r="BX1846" s="153"/>
      <c r="BY1846" s="153"/>
      <c r="BZ1846" s="153"/>
      <c r="CA1846" s="153"/>
      <c r="CB1846" s="153"/>
      <c r="CC1846" s="153"/>
      <c r="CD1846" s="155"/>
      <c r="CE1846" s="156"/>
      <c r="CF1846" s="155"/>
      <c r="CG1846" s="156"/>
      <c r="CH1846" s="155"/>
      <c r="CI1846" s="156"/>
      <c r="CJ1846" s="157">
        <f t="shared" si="231"/>
        <v>0</v>
      </c>
      <c r="CK1846" s="158"/>
      <c r="CL1846" s="159"/>
      <c r="CM1846" s="160"/>
      <c r="CN1846" s="161"/>
      <c r="CO1846" s="162"/>
      <c r="CP1846" s="161"/>
      <c r="CQ1846" s="158"/>
      <c r="CR1846" s="159"/>
      <c r="CS1846" s="68"/>
      <c r="CT1846" s="163"/>
      <c r="EC1846" s="366" t="str">
        <f t="shared" si="234"/>
        <v>NORTE DE SANTANDER_EL TARRA</v>
      </c>
      <c r="ED1846" s="367"/>
      <c r="EE1846" s="367"/>
      <c r="EF1846" s="368"/>
      <c r="EG1846" s="367"/>
      <c r="EH1846" s="367"/>
      <c r="EI1846" s="367"/>
    </row>
    <row r="1847" spans="1:139" s="164" customFormat="1" ht="48">
      <c r="A1847" s="228">
        <v>40504</v>
      </c>
      <c r="B1847" s="205" t="s">
        <v>965</v>
      </c>
      <c r="C1847" s="205" t="s">
        <v>696</v>
      </c>
      <c r="D1847" s="206" t="s">
        <v>1878</v>
      </c>
      <c r="E1847" s="320" t="s">
        <v>4014</v>
      </c>
      <c r="F1847" s="320"/>
      <c r="G1847" s="204"/>
      <c r="H1847" s="151"/>
      <c r="I1847" s="151"/>
      <c r="J1847" s="151">
        <f>15*5</f>
        <v>75</v>
      </c>
      <c r="K1847" s="151">
        <f>343-323-5</f>
        <v>15</v>
      </c>
      <c r="L1847" s="1"/>
      <c r="M1847" s="73">
        <f t="shared" si="229"/>
        <v>0</v>
      </c>
      <c r="N1847" s="73">
        <f t="shared" si="233"/>
        <v>0</v>
      </c>
      <c r="O1847" s="73">
        <f t="shared" si="235"/>
        <v>0</v>
      </c>
      <c r="P1847" s="73">
        <f t="shared" si="230"/>
        <v>0</v>
      </c>
      <c r="Q1847" s="73"/>
      <c r="R1847" s="73">
        <v>0</v>
      </c>
      <c r="S1847" s="75">
        <f t="shared" si="232"/>
        <v>0</v>
      </c>
      <c r="T1847" s="77">
        <v>0</v>
      </c>
      <c r="U1847" s="228">
        <v>40505</v>
      </c>
      <c r="V1847" s="79"/>
      <c r="W1847" s="66" t="s">
        <v>1585</v>
      </c>
      <c r="X1847" s="24" t="s">
        <v>1586</v>
      </c>
      <c r="Y1847" s="62"/>
      <c r="Z1847" s="169" t="s">
        <v>894</v>
      </c>
      <c r="AA1847" s="166" t="s">
        <v>2148</v>
      </c>
      <c r="AB1847" s="152"/>
      <c r="AC1847" s="153"/>
      <c r="AD1847" s="154"/>
      <c r="AE1847" s="153"/>
      <c r="AF1847" s="153"/>
      <c r="AG1847" s="153"/>
      <c r="AH1847" s="153"/>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c r="BF1847" s="153"/>
      <c r="BG1847" s="153"/>
      <c r="BH1847" s="153"/>
      <c r="BI1847" s="153"/>
      <c r="BJ1847" s="153"/>
      <c r="BK1847" s="153"/>
      <c r="BL1847" s="153"/>
      <c r="BM1847" s="153"/>
      <c r="BN1847" s="153"/>
      <c r="BO1847" s="153"/>
      <c r="BP1847" s="153"/>
      <c r="BQ1847" s="153"/>
      <c r="BR1847" s="153"/>
      <c r="BS1847" s="153"/>
      <c r="BT1847" s="153"/>
      <c r="BU1847" s="153"/>
      <c r="BV1847" s="153"/>
      <c r="BW1847" s="153"/>
      <c r="BX1847" s="153"/>
      <c r="BY1847" s="153"/>
      <c r="BZ1847" s="153"/>
      <c r="CA1847" s="153"/>
      <c r="CB1847" s="153"/>
      <c r="CC1847" s="153"/>
      <c r="CD1847" s="155"/>
      <c r="CE1847" s="156"/>
      <c r="CF1847" s="155"/>
      <c r="CG1847" s="156"/>
      <c r="CH1847" s="155"/>
      <c r="CI1847" s="156"/>
      <c r="CJ1847" s="157">
        <f t="shared" si="231"/>
        <v>0</v>
      </c>
      <c r="CK1847" s="158"/>
      <c r="CL1847" s="159"/>
      <c r="CM1847" s="160"/>
      <c r="CN1847" s="161"/>
      <c r="CO1847" s="162"/>
      <c r="CP1847" s="161"/>
      <c r="CQ1847" s="158"/>
      <c r="CR1847" s="159"/>
      <c r="CS1847" s="68"/>
      <c r="CT1847" s="163"/>
      <c r="EC1847" s="366" t="str">
        <f t="shared" si="234"/>
        <v>NORTE DE SANTANDER_HACARI</v>
      </c>
      <c r="ED1847" s="367"/>
      <c r="EE1847" s="367"/>
      <c r="EF1847" s="368"/>
      <c r="EG1847" s="367"/>
      <c r="EH1847" s="367"/>
      <c r="EI1847" s="367"/>
    </row>
    <row r="1848" spans="1:139" s="164" customFormat="1" ht="63.75">
      <c r="A1848" s="228">
        <v>40504</v>
      </c>
      <c r="B1848" s="205" t="s">
        <v>965</v>
      </c>
      <c r="C1848" s="205" t="s">
        <v>90</v>
      </c>
      <c r="D1848" s="207" t="s">
        <v>1878</v>
      </c>
      <c r="E1848" s="323" t="s">
        <v>4017</v>
      </c>
      <c r="F1848" s="323"/>
      <c r="G1848" s="204"/>
      <c r="H1848" s="151"/>
      <c r="I1848" s="151"/>
      <c r="J1848" s="151">
        <v>515</v>
      </c>
      <c r="K1848" s="151">
        <v>104</v>
      </c>
      <c r="L1848" s="1"/>
      <c r="M1848" s="73">
        <f t="shared" si="229"/>
        <v>0</v>
      </c>
      <c r="N1848" s="73">
        <f t="shared" si="233"/>
        <v>0</v>
      </c>
      <c r="O1848" s="73">
        <f t="shared" si="235"/>
        <v>0</v>
      </c>
      <c r="P1848" s="73">
        <f t="shared" si="230"/>
        <v>0</v>
      </c>
      <c r="Q1848" s="73"/>
      <c r="R1848" s="73">
        <v>0</v>
      </c>
      <c r="S1848" s="75">
        <f t="shared" si="232"/>
        <v>0</v>
      </c>
      <c r="T1848" s="77">
        <v>0</v>
      </c>
      <c r="U1848" s="228">
        <v>40581</v>
      </c>
      <c r="V1848" s="79"/>
      <c r="W1848" s="66" t="s">
        <v>1585</v>
      </c>
      <c r="X1848" s="24" t="s">
        <v>1586</v>
      </c>
      <c r="Y1848" s="62"/>
      <c r="Z1848" s="169" t="s">
        <v>894</v>
      </c>
      <c r="AA1848" s="166" t="s">
        <v>54</v>
      </c>
      <c r="AB1848" s="152"/>
      <c r="AC1848" s="153"/>
      <c r="AD1848" s="154"/>
      <c r="AE1848" s="153"/>
      <c r="AF1848" s="153"/>
      <c r="AG1848" s="153"/>
      <c r="AH1848" s="153"/>
      <c r="AI1848" s="153"/>
      <c r="AJ1848" s="153"/>
      <c r="AK1848" s="153"/>
      <c r="AL1848" s="153"/>
      <c r="AM1848" s="153"/>
      <c r="AN1848" s="153"/>
      <c r="AO1848" s="153"/>
      <c r="AP1848" s="153"/>
      <c r="AQ1848" s="153"/>
      <c r="AR1848" s="153"/>
      <c r="AS1848" s="153"/>
      <c r="AT1848" s="153"/>
      <c r="AU1848" s="153"/>
      <c r="AV1848" s="153"/>
      <c r="AW1848" s="153"/>
      <c r="AX1848" s="153"/>
      <c r="AY1848" s="153"/>
      <c r="AZ1848" s="153"/>
      <c r="BA1848" s="153"/>
      <c r="BB1848" s="153"/>
      <c r="BC1848" s="153"/>
      <c r="BD1848" s="153"/>
      <c r="BE1848" s="153"/>
      <c r="BF1848" s="153"/>
      <c r="BG1848" s="153"/>
      <c r="BH1848" s="153"/>
      <c r="BI1848" s="153"/>
      <c r="BJ1848" s="153"/>
      <c r="BK1848" s="153"/>
      <c r="BL1848" s="153"/>
      <c r="BM1848" s="153"/>
      <c r="BN1848" s="153"/>
      <c r="BO1848" s="153"/>
      <c r="BP1848" s="153"/>
      <c r="BQ1848" s="153"/>
      <c r="BR1848" s="153"/>
      <c r="BS1848" s="153"/>
      <c r="BT1848" s="153"/>
      <c r="BU1848" s="153"/>
      <c r="BV1848" s="153"/>
      <c r="BW1848" s="153"/>
      <c r="BX1848" s="153"/>
      <c r="BY1848" s="153"/>
      <c r="BZ1848" s="153"/>
      <c r="CA1848" s="153"/>
      <c r="CB1848" s="153"/>
      <c r="CC1848" s="153"/>
      <c r="CD1848" s="155"/>
      <c r="CE1848" s="156"/>
      <c r="CF1848" s="155"/>
      <c r="CG1848" s="156"/>
      <c r="CH1848" s="155"/>
      <c r="CI1848" s="156"/>
      <c r="CJ1848" s="157">
        <f t="shared" si="231"/>
        <v>0</v>
      </c>
      <c r="CK1848" s="158"/>
      <c r="CL1848" s="159"/>
      <c r="CM1848" s="160"/>
      <c r="CN1848" s="161"/>
      <c r="CO1848" s="162"/>
      <c r="CP1848" s="161"/>
      <c r="CQ1848" s="158"/>
      <c r="CR1848" s="159"/>
      <c r="CS1848" s="68"/>
      <c r="CT1848" s="163"/>
      <c r="EC1848" s="366" t="str">
        <f t="shared" si="234"/>
        <v>NORTE DE SANTANDER_LA ESPERANZA</v>
      </c>
      <c r="ED1848" s="367"/>
      <c r="EE1848" s="367"/>
      <c r="EF1848" s="368"/>
      <c r="EG1848" s="367"/>
      <c r="EH1848" s="367"/>
      <c r="EI1848" s="367"/>
    </row>
    <row r="1849" spans="1:139" s="164" customFormat="1" ht="38.25">
      <c r="A1849" s="228">
        <v>40504</v>
      </c>
      <c r="B1849" s="205" t="s">
        <v>965</v>
      </c>
      <c r="C1849" s="205" t="s">
        <v>2077</v>
      </c>
      <c r="D1849" s="207" t="s">
        <v>1316</v>
      </c>
      <c r="E1849" s="323" t="s">
        <v>4034</v>
      </c>
      <c r="F1849" s="323"/>
      <c r="G1849" s="204"/>
      <c r="H1849" s="151"/>
      <c r="I1849" s="151"/>
      <c r="J1849" s="151">
        <v>10</v>
      </c>
      <c r="K1849" s="151">
        <v>2</v>
      </c>
      <c r="L1849" s="1"/>
      <c r="M1849" s="73">
        <f t="shared" si="229"/>
        <v>0</v>
      </c>
      <c r="N1849" s="73">
        <f t="shared" si="233"/>
        <v>0</v>
      </c>
      <c r="O1849" s="73">
        <f t="shared" si="235"/>
        <v>0</v>
      </c>
      <c r="P1849" s="73">
        <f t="shared" si="230"/>
        <v>0</v>
      </c>
      <c r="Q1849" s="73"/>
      <c r="R1849" s="73">
        <v>0</v>
      </c>
      <c r="S1849" s="75">
        <f t="shared" si="232"/>
        <v>0</v>
      </c>
      <c r="T1849" s="77">
        <v>0</v>
      </c>
      <c r="U1849" s="228">
        <v>40505</v>
      </c>
      <c r="V1849" s="79"/>
      <c r="W1849" s="66" t="s">
        <v>1585</v>
      </c>
      <c r="X1849" s="24" t="s">
        <v>1586</v>
      </c>
      <c r="Y1849" s="62"/>
      <c r="Z1849" s="169" t="s">
        <v>894</v>
      </c>
      <c r="AA1849" s="166" t="s">
        <v>2149</v>
      </c>
      <c r="AB1849" s="152"/>
      <c r="AC1849" s="153"/>
      <c r="AD1849" s="154"/>
      <c r="AE1849" s="153"/>
      <c r="AF1849" s="153"/>
      <c r="AG1849" s="153"/>
      <c r="AH1849" s="153"/>
      <c r="AI1849" s="153"/>
      <c r="AJ1849" s="153"/>
      <c r="AK1849" s="153"/>
      <c r="AL1849" s="153"/>
      <c r="AM1849" s="153"/>
      <c r="AN1849" s="153"/>
      <c r="AO1849" s="153"/>
      <c r="AP1849" s="153"/>
      <c r="AQ1849" s="153"/>
      <c r="AR1849" s="153"/>
      <c r="AS1849" s="153"/>
      <c r="AT1849" s="153"/>
      <c r="AU1849" s="153"/>
      <c r="AV1849" s="153"/>
      <c r="AW1849" s="153"/>
      <c r="AX1849" s="153"/>
      <c r="AY1849" s="153"/>
      <c r="AZ1849" s="153"/>
      <c r="BA1849" s="153"/>
      <c r="BB1849" s="153"/>
      <c r="BC1849" s="153"/>
      <c r="BD1849" s="153"/>
      <c r="BE1849" s="153"/>
      <c r="BF1849" s="153"/>
      <c r="BG1849" s="153"/>
      <c r="BH1849" s="153"/>
      <c r="BI1849" s="153"/>
      <c r="BJ1849" s="153"/>
      <c r="BK1849" s="153"/>
      <c r="BL1849" s="153"/>
      <c r="BM1849" s="153"/>
      <c r="BN1849" s="153"/>
      <c r="BO1849" s="153"/>
      <c r="BP1849" s="153"/>
      <c r="BQ1849" s="153"/>
      <c r="BR1849" s="153"/>
      <c r="BS1849" s="153"/>
      <c r="BT1849" s="153"/>
      <c r="BU1849" s="153"/>
      <c r="BV1849" s="153"/>
      <c r="BW1849" s="153"/>
      <c r="BX1849" s="153"/>
      <c r="BY1849" s="153"/>
      <c r="BZ1849" s="153"/>
      <c r="CA1849" s="153"/>
      <c r="CB1849" s="153"/>
      <c r="CC1849" s="153"/>
      <c r="CD1849" s="155"/>
      <c r="CE1849" s="156"/>
      <c r="CF1849" s="155"/>
      <c r="CG1849" s="156"/>
      <c r="CH1849" s="155"/>
      <c r="CI1849" s="156"/>
      <c r="CJ1849" s="157">
        <f t="shared" si="231"/>
        <v>0</v>
      </c>
      <c r="CK1849" s="158"/>
      <c r="CL1849" s="159"/>
      <c r="CM1849" s="160"/>
      <c r="CN1849" s="161"/>
      <c r="CO1849" s="162"/>
      <c r="CP1849" s="161"/>
      <c r="CQ1849" s="158"/>
      <c r="CR1849" s="159"/>
      <c r="CS1849" s="68"/>
      <c r="CT1849" s="163"/>
      <c r="EC1849" s="366" t="str">
        <f t="shared" si="234"/>
        <v>NORTE DE SANTANDER_TIBU</v>
      </c>
      <c r="ED1849" s="367"/>
      <c r="EE1849" s="367"/>
      <c r="EF1849" s="368"/>
      <c r="EG1849" s="367"/>
      <c r="EH1849" s="367"/>
      <c r="EI1849" s="367"/>
    </row>
    <row r="1850" spans="1:139" s="164" customFormat="1" ht="45">
      <c r="A1850" s="228">
        <v>40504</v>
      </c>
      <c r="B1850" s="205" t="s">
        <v>2400</v>
      </c>
      <c r="C1850" s="205" t="s">
        <v>465</v>
      </c>
      <c r="D1850" s="207" t="s">
        <v>1201</v>
      </c>
      <c r="E1850" s="323" t="s">
        <v>4180</v>
      </c>
      <c r="F1850" s="323"/>
      <c r="G1850" s="204"/>
      <c r="H1850" s="151"/>
      <c r="I1850" s="151"/>
      <c r="J1850" s="151">
        <f>284*5</f>
        <v>1420</v>
      </c>
      <c r="K1850" s="151">
        <v>284</v>
      </c>
      <c r="L1850" s="1"/>
      <c r="M1850" s="73">
        <f t="shared" si="229"/>
        <v>0</v>
      </c>
      <c r="N1850" s="73">
        <f t="shared" si="233"/>
        <v>0</v>
      </c>
      <c r="O1850" s="73">
        <f t="shared" si="235"/>
        <v>0</v>
      </c>
      <c r="P1850" s="73">
        <f t="shared" si="230"/>
        <v>0</v>
      </c>
      <c r="Q1850" s="73"/>
      <c r="R1850" s="73">
        <v>0</v>
      </c>
      <c r="S1850" s="75">
        <f t="shared" si="232"/>
        <v>0</v>
      </c>
      <c r="T1850" s="77">
        <v>0</v>
      </c>
      <c r="U1850" s="66"/>
      <c r="V1850" s="79"/>
      <c r="W1850" s="66" t="s">
        <v>1606</v>
      </c>
      <c r="X1850" s="264" t="s">
        <v>1607</v>
      </c>
      <c r="Y1850" s="62"/>
      <c r="Z1850" s="260" t="s">
        <v>18</v>
      </c>
      <c r="AA1850" s="166" t="s">
        <v>466</v>
      </c>
      <c r="AB1850" s="152"/>
      <c r="AC1850" s="153"/>
      <c r="AD1850" s="154"/>
      <c r="AE1850" s="153"/>
      <c r="AF1850" s="153"/>
      <c r="AG1850" s="153"/>
      <c r="AH1850" s="153"/>
      <c r="AI1850" s="153"/>
      <c r="AJ1850" s="153"/>
      <c r="AK1850" s="153"/>
      <c r="AL1850" s="153"/>
      <c r="AM1850" s="153"/>
      <c r="AN1850" s="153"/>
      <c r="AO1850" s="153"/>
      <c r="AP1850" s="153"/>
      <c r="AQ1850" s="153"/>
      <c r="AR1850" s="153"/>
      <c r="AS1850" s="153"/>
      <c r="AT1850" s="153"/>
      <c r="AU1850" s="153"/>
      <c r="AV1850" s="153"/>
      <c r="AW1850" s="153"/>
      <c r="AX1850" s="153"/>
      <c r="AY1850" s="153"/>
      <c r="AZ1850" s="153"/>
      <c r="BA1850" s="153"/>
      <c r="BB1850" s="153"/>
      <c r="BC1850" s="153"/>
      <c r="BD1850" s="153"/>
      <c r="BE1850" s="153"/>
      <c r="BF1850" s="153"/>
      <c r="BG1850" s="153"/>
      <c r="BH1850" s="153"/>
      <c r="BI1850" s="153"/>
      <c r="BJ1850" s="153"/>
      <c r="BK1850" s="153"/>
      <c r="BL1850" s="153"/>
      <c r="BM1850" s="153"/>
      <c r="BN1850" s="153"/>
      <c r="BO1850" s="153"/>
      <c r="BP1850" s="153"/>
      <c r="BQ1850" s="153"/>
      <c r="BR1850" s="153"/>
      <c r="BS1850" s="153"/>
      <c r="BT1850" s="153"/>
      <c r="BU1850" s="153"/>
      <c r="BV1850" s="153"/>
      <c r="BW1850" s="153"/>
      <c r="BX1850" s="153"/>
      <c r="BY1850" s="153"/>
      <c r="BZ1850" s="153"/>
      <c r="CA1850" s="153"/>
      <c r="CB1850" s="153"/>
      <c r="CC1850" s="153"/>
      <c r="CD1850" s="155"/>
      <c r="CE1850" s="156"/>
      <c r="CF1850" s="155"/>
      <c r="CG1850" s="156"/>
      <c r="CH1850" s="155"/>
      <c r="CI1850" s="156"/>
      <c r="CJ1850" s="157">
        <f t="shared" si="231"/>
        <v>0</v>
      </c>
      <c r="CK1850" s="158"/>
      <c r="CL1850" s="159"/>
      <c r="CM1850" s="160"/>
      <c r="CN1850" s="161"/>
      <c r="CO1850" s="162"/>
      <c r="CP1850" s="161"/>
      <c r="CQ1850" s="158"/>
      <c r="CR1850" s="159"/>
      <c r="CS1850" s="68"/>
      <c r="CT1850" s="163"/>
      <c r="EC1850" s="366" t="str">
        <f t="shared" si="234"/>
        <v>TOLIMA_AMBALEMA</v>
      </c>
      <c r="ED1850" s="367"/>
      <c r="EE1850" s="367"/>
      <c r="EF1850" s="368"/>
      <c r="EG1850" s="367"/>
      <c r="EH1850" s="367"/>
      <c r="EI1850" s="367"/>
    </row>
    <row r="1851" spans="1:139" s="164" customFormat="1" ht="38.25">
      <c r="A1851" s="228">
        <v>40504</v>
      </c>
      <c r="B1851" s="205" t="s">
        <v>1088</v>
      </c>
      <c r="C1851" s="205" t="s">
        <v>2782</v>
      </c>
      <c r="D1851" s="207" t="s">
        <v>1201</v>
      </c>
      <c r="E1851" s="323" t="s">
        <v>4225</v>
      </c>
      <c r="F1851" s="323"/>
      <c r="G1851" s="204"/>
      <c r="H1851" s="151"/>
      <c r="I1851" s="151"/>
      <c r="J1851" s="151">
        <f>500*5</f>
        <v>2500</v>
      </c>
      <c r="K1851" s="151">
        <v>500</v>
      </c>
      <c r="L1851" s="1">
        <v>40520</v>
      </c>
      <c r="M1851" s="73">
        <f t="shared" si="229"/>
        <v>46500000</v>
      </c>
      <c r="N1851" s="73">
        <f t="shared" si="233"/>
        <v>42500000</v>
      </c>
      <c r="O1851" s="73">
        <f t="shared" si="235"/>
        <v>0</v>
      </c>
      <c r="P1851" s="73">
        <f t="shared" si="230"/>
        <v>0</v>
      </c>
      <c r="Q1851" s="73"/>
      <c r="R1851" s="73">
        <v>0</v>
      </c>
      <c r="S1851" s="75">
        <f t="shared" si="232"/>
        <v>89000000</v>
      </c>
      <c r="T1851" s="77">
        <v>0</v>
      </c>
      <c r="U1851" s="66">
        <v>40506</v>
      </c>
      <c r="V1851" s="79"/>
      <c r="W1851" s="66" t="s">
        <v>1606</v>
      </c>
      <c r="X1851" s="24" t="s">
        <v>1607</v>
      </c>
      <c r="Y1851" s="62">
        <v>26384</v>
      </c>
      <c r="Z1851" s="169" t="s">
        <v>1435</v>
      </c>
      <c r="AA1851" s="166" t="s">
        <v>2969</v>
      </c>
      <c r="AB1851" s="152"/>
      <c r="AC1851" s="153"/>
      <c r="AD1851" s="154"/>
      <c r="AE1851" s="153"/>
      <c r="AF1851" s="153"/>
      <c r="AG1851" s="153"/>
      <c r="AH1851" s="153"/>
      <c r="AI1851" s="153"/>
      <c r="AJ1851" s="153"/>
      <c r="AK1851" s="153"/>
      <c r="AL1851" s="153"/>
      <c r="AM1851" s="153"/>
      <c r="AN1851" s="153">
        <v>500</v>
      </c>
      <c r="AO1851" s="153">
        <f>500*56000</f>
        <v>28000000</v>
      </c>
      <c r="AP1851" s="153"/>
      <c r="AQ1851" s="153"/>
      <c r="AR1851" s="153"/>
      <c r="AS1851" s="153"/>
      <c r="AT1851" s="153"/>
      <c r="AU1851" s="153"/>
      <c r="AV1851" s="153"/>
      <c r="AW1851" s="153"/>
      <c r="AX1851" s="153"/>
      <c r="AY1851" s="153"/>
      <c r="AZ1851" s="153"/>
      <c r="BA1851" s="153"/>
      <c r="BB1851" s="153"/>
      <c r="BC1851" s="153"/>
      <c r="BD1851" s="153"/>
      <c r="BE1851" s="153"/>
      <c r="BF1851" s="153"/>
      <c r="BG1851" s="153"/>
      <c r="BH1851" s="153"/>
      <c r="BI1851" s="153"/>
      <c r="BJ1851" s="153"/>
      <c r="BK1851" s="153"/>
      <c r="BL1851" s="153"/>
      <c r="BM1851" s="153"/>
      <c r="BN1851" s="153"/>
      <c r="BO1851" s="153"/>
      <c r="BP1851" s="153"/>
      <c r="BQ1851" s="153"/>
      <c r="BR1851" s="153"/>
      <c r="BS1851" s="153"/>
      <c r="BT1851" s="153"/>
      <c r="BU1851" s="153"/>
      <c r="BV1851" s="153"/>
      <c r="BW1851" s="153"/>
      <c r="BX1851" s="153"/>
      <c r="BY1851" s="153"/>
      <c r="BZ1851" s="153"/>
      <c r="CA1851" s="153"/>
      <c r="CB1851" s="153"/>
      <c r="CC1851" s="153"/>
      <c r="CD1851" s="155">
        <v>500</v>
      </c>
      <c r="CE1851" s="156">
        <f>500*37000</f>
        <v>18500000</v>
      </c>
      <c r="CF1851" s="155"/>
      <c r="CG1851" s="156"/>
      <c r="CH1851" s="155"/>
      <c r="CI1851" s="156"/>
      <c r="CJ1851" s="157">
        <f t="shared" si="231"/>
        <v>46500000</v>
      </c>
      <c r="CK1851" s="158"/>
      <c r="CL1851" s="159"/>
      <c r="CM1851" s="160">
        <v>500</v>
      </c>
      <c r="CN1851" s="161">
        <f>500*85000</f>
        <v>42500000</v>
      </c>
      <c r="CO1851" s="162"/>
      <c r="CP1851" s="161"/>
      <c r="CQ1851" s="158"/>
      <c r="CR1851" s="159"/>
      <c r="CS1851" s="68"/>
      <c r="CT1851" s="163"/>
      <c r="EC1851" s="366" t="str">
        <f t="shared" si="234"/>
        <v>VALLE DEL CAUCA_ALCALA</v>
      </c>
      <c r="ED1851" s="367"/>
      <c r="EE1851" s="367"/>
      <c r="EF1851" s="368"/>
      <c r="EG1851" s="367"/>
      <c r="EH1851" s="367"/>
      <c r="EI1851" s="367"/>
    </row>
    <row r="1852" spans="1:139" s="164" customFormat="1" ht="51">
      <c r="A1852" s="228">
        <v>40504</v>
      </c>
      <c r="B1852" s="205" t="s">
        <v>1088</v>
      </c>
      <c r="C1852" s="205" t="s">
        <v>2779</v>
      </c>
      <c r="D1852" s="207" t="s">
        <v>1201</v>
      </c>
      <c r="E1852" s="323" t="s">
        <v>4227</v>
      </c>
      <c r="F1852" s="323"/>
      <c r="G1852" s="204"/>
      <c r="H1852" s="151"/>
      <c r="I1852" s="151"/>
      <c r="J1852" s="151">
        <f>274*5</f>
        <v>1370</v>
      </c>
      <c r="K1852" s="151">
        <v>274</v>
      </c>
      <c r="L1852" s="1">
        <v>40536</v>
      </c>
      <c r="M1852" s="73">
        <f t="shared" si="229"/>
        <v>2325000</v>
      </c>
      <c r="N1852" s="73">
        <f t="shared" si="233"/>
        <v>2125000</v>
      </c>
      <c r="O1852" s="73">
        <f t="shared" si="235"/>
        <v>0</v>
      </c>
      <c r="P1852" s="73">
        <f t="shared" si="230"/>
        <v>0</v>
      </c>
      <c r="Q1852" s="73"/>
      <c r="R1852" s="73">
        <v>93000000</v>
      </c>
      <c r="S1852" s="75">
        <f t="shared" si="232"/>
        <v>97450000</v>
      </c>
      <c r="T1852" s="77">
        <v>0</v>
      </c>
      <c r="U1852" s="66">
        <v>40506</v>
      </c>
      <c r="V1852" s="79"/>
      <c r="W1852" s="66" t="s">
        <v>1606</v>
      </c>
      <c r="X1852" s="24" t="s">
        <v>1607</v>
      </c>
      <c r="Y1852" s="62">
        <v>524</v>
      </c>
      <c r="Z1852" s="169" t="s">
        <v>894</v>
      </c>
      <c r="AA1852" s="170" t="s">
        <v>3079</v>
      </c>
      <c r="AB1852" s="152"/>
      <c r="AC1852" s="153"/>
      <c r="AD1852" s="154"/>
      <c r="AE1852" s="153"/>
      <c r="AF1852" s="153"/>
      <c r="AG1852" s="153"/>
      <c r="AH1852" s="153"/>
      <c r="AI1852" s="153"/>
      <c r="AJ1852" s="153"/>
      <c r="AK1852" s="153"/>
      <c r="AL1852" s="153"/>
      <c r="AM1852" s="153"/>
      <c r="AN1852" s="153">
        <v>25</v>
      </c>
      <c r="AO1852" s="153">
        <f>25*56000</f>
        <v>1400000</v>
      </c>
      <c r="AP1852" s="153"/>
      <c r="AQ1852" s="153"/>
      <c r="AR1852" s="153"/>
      <c r="AS1852" s="153"/>
      <c r="AT1852" s="153"/>
      <c r="AU1852" s="153"/>
      <c r="AV1852" s="153"/>
      <c r="AW1852" s="153"/>
      <c r="AX1852" s="153"/>
      <c r="AY1852" s="153"/>
      <c r="AZ1852" s="153"/>
      <c r="BA1852" s="153"/>
      <c r="BB1852" s="153"/>
      <c r="BC1852" s="153"/>
      <c r="BD1852" s="153"/>
      <c r="BE1852" s="153"/>
      <c r="BF1852" s="153"/>
      <c r="BG1852" s="153"/>
      <c r="BH1852" s="153"/>
      <c r="BI1852" s="153"/>
      <c r="BJ1852" s="153"/>
      <c r="BK1852" s="153"/>
      <c r="BL1852" s="153"/>
      <c r="BM1852" s="153"/>
      <c r="BN1852" s="153"/>
      <c r="BO1852" s="153"/>
      <c r="BP1852" s="153"/>
      <c r="BQ1852" s="153"/>
      <c r="BR1852" s="153"/>
      <c r="BS1852" s="153"/>
      <c r="BT1852" s="153"/>
      <c r="BU1852" s="153"/>
      <c r="BV1852" s="153"/>
      <c r="BW1852" s="153"/>
      <c r="BX1852" s="153"/>
      <c r="BY1852" s="153"/>
      <c r="BZ1852" s="153"/>
      <c r="CA1852" s="153"/>
      <c r="CB1852" s="153"/>
      <c r="CC1852" s="153"/>
      <c r="CD1852" s="155">
        <v>25</v>
      </c>
      <c r="CE1852" s="156">
        <f>25*37000</f>
        <v>925000</v>
      </c>
      <c r="CF1852" s="155"/>
      <c r="CG1852" s="156"/>
      <c r="CH1852" s="155"/>
      <c r="CI1852" s="156"/>
      <c r="CJ1852" s="157">
        <f t="shared" si="231"/>
        <v>2325000</v>
      </c>
      <c r="CK1852" s="158"/>
      <c r="CL1852" s="159"/>
      <c r="CM1852" s="160">
        <v>25</v>
      </c>
      <c r="CN1852" s="161">
        <f>25*85000</f>
        <v>2125000</v>
      </c>
      <c r="CO1852" s="162"/>
      <c r="CP1852" s="161"/>
      <c r="CQ1852" s="158"/>
      <c r="CR1852" s="159"/>
      <c r="CS1852" s="68"/>
      <c r="CT1852" s="163">
        <v>1426</v>
      </c>
      <c r="EC1852" s="366" t="str">
        <f t="shared" si="234"/>
        <v>VALLE DEL CAUCA_ANSERMANUEVO</v>
      </c>
      <c r="ED1852" s="367"/>
      <c r="EE1852" s="367"/>
      <c r="EF1852" s="368"/>
      <c r="EG1852" s="367"/>
      <c r="EH1852" s="367"/>
      <c r="EI1852" s="367"/>
    </row>
    <row r="1853" spans="1:139" s="164" customFormat="1" ht="38.25">
      <c r="A1853" s="228">
        <v>40504</v>
      </c>
      <c r="B1853" s="205" t="s">
        <v>1088</v>
      </c>
      <c r="C1853" s="205" t="s">
        <v>1615</v>
      </c>
      <c r="D1853" s="207" t="s">
        <v>1201</v>
      </c>
      <c r="E1853" s="323" t="s">
        <v>4229</v>
      </c>
      <c r="F1853" s="323"/>
      <c r="G1853" s="204"/>
      <c r="H1853" s="151"/>
      <c r="I1853" s="151"/>
      <c r="J1853" s="151">
        <f>132*5</f>
        <v>660</v>
      </c>
      <c r="K1853" s="151">
        <f>458-326</f>
        <v>132</v>
      </c>
      <c r="L1853" s="1"/>
      <c r="M1853" s="73">
        <f t="shared" si="229"/>
        <v>0</v>
      </c>
      <c r="N1853" s="73">
        <f t="shared" si="233"/>
        <v>0</v>
      </c>
      <c r="O1853" s="73">
        <f t="shared" si="235"/>
        <v>0</v>
      </c>
      <c r="P1853" s="73">
        <f t="shared" si="230"/>
        <v>0</v>
      </c>
      <c r="Q1853" s="73"/>
      <c r="R1853" s="73">
        <v>0</v>
      </c>
      <c r="S1853" s="75">
        <f t="shared" si="232"/>
        <v>0</v>
      </c>
      <c r="T1853" s="77">
        <v>0</v>
      </c>
      <c r="U1853" s="66">
        <v>40505</v>
      </c>
      <c r="V1853" s="79"/>
      <c r="W1853" s="66" t="s">
        <v>1585</v>
      </c>
      <c r="X1853" s="24" t="s">
        <v>1586</v>
      </c>
      <c r="Y1853" s="62"/>
      <c r="Z1853" s="169" t="s">
        <v>894</v>
      </c>
      <c r="AA1853" s="166" t="s">
        <v>289</v>
      </c>
      <c r="AB1853" s="152"/>
      <c r="AC1853" s="153"/>
      <c r="AD1853" s="154"/>
      <c r="AE1853" s="153"/>
      <c r="AF1853" s="153"/>
      <c r="AG1853" s="153"/>
      <c r="AH1853" s="153"/>
      <c r="AI1853" s="153"/>
      <c r="AJ1853" s="153"/>
      <c r="AK1853" s="153"/>
      <c r="AL1853" s="153"/>
      <c r="AM1853" s="153"/>
      <c r="AN1853" s="153"/>
      <c r="AO1853" s="153"/>
      <c r="AP1853" s="153"/>
      <c r="AQ1853" s="153"/>
      <c r="AR1853" s="153"/>
      <c r="AS1853" s="153"/>
      <c r="AT1853" s="153"/>
      <c r="AU1853" s="153"/>
      <c r="AV1853" s="153"/>
      <c r="AW1853" s="153"/>
      <c r="AX1853" s="153"/>
      <c r="AY1853" s="153"/>
      <c r="AZ1853" s="153"/>
      <c r="BA1853" s="153"/>
      <c r="BB1853" s="153"/>
      <c r="BC1853" s="153"/>
      <c r="BD1853" s="153"/>
      <c r="BE1853" s="153"/>
      <c r="BF1853" s="153"/>
      <c r="BG1853" s="153"/>
      <c r="BH1853" s="153"/>
      <c r="BI1853" s="153"/>
      <c r="BJ1853" s="153"/>
      <c r="BK1853" s="153"/>
      <c r="BL1853" s="153"/>
      <c r="BM1853" s="153"/>
      <c r="BN1853" s="153"/>
      <c r="BO1853" s="153"/>
      <c r="BP1853" s="153"/>
      <c r="BQ1853" s="153"/>
      <c r="BR1853" s="153"/>
      <c r="BS1853" s="153"/>
      <c r="BT1853" s="153"/>
      <c r="BU1853" s="153"/>
      <c r="BV1853" s="153"/>
      <c r="BW1853" s="153"/>
      <c r="BX1853" s="153"/>
      <c r="BY1853" s="153"/>
      <c r="BZ1853" s="153"/>
      <c r="CA1853" s="153"/>
      <c r="CB1853" s="153"/>
      <c r="CC1853" s="153"/>
      <c r="CD1853" s="155"/>
      <c r="CE1853" s="156"/>
      <c r="CF1853" s="155"/>
      <c r="CG1853" s="156"/>
      <c r="CH1853" s="155"/>
      <c r="CI1853" s="156"/>
      <c r="CJ1853" s="157">
        <f t="shared" si="231"/>
        <v>0</v>
      </c>
      <c r="CK1853" s="158"/>
      <c r="CL1853" s="159"/>
      <c r="CM1853" s="160"/>
      <c r="CN1853" s="161"/>
      <c r="CO1853" s="162"/>
      <c r="CP1853" s="161"/>
      <c r="CQ1853" s="158"/>
      <c r="CR1853" s="159"/>
      <c r="CS1853" s="68"/>
      <c r="CT1853" s="163"/>
      <c r="EC1853" s="366" t="str">
        <f t="shared" si="234"/>
        <v>VALLE DEL CAUCA_BOLIVAR</v>
      </c>
      <c r="ED1853" s="367"/>
      <c r="EE1853" s="367"/>
      <c r="EF1853" s="368"/>
      <c r="EG1853" s="367"/>
      <c r="EH1853" s="367"/>
      <c r="EI1853" s="367"/>
    </row>
    <row r="1854" spans="1:139" s="164" customFormat="1" ht="38.25">
      <c r="A1854" s="228">
        <v>40504</v>
      </c>
      <c r="B1854" s="205" t="s">
        <v>1088</v>
      </c>
      <c r="C1854" s="205" t="s">
        <v>2823</v>
      </c>
      <c r="D1854" s="206" t="s">
        <v>1878</v>
      </c>
      <c r="E1854" s="320" t="s">
        <v>4264</v>
      </c>
      <c r="F1854" s="320"/>
      <c r="G1854" s="204"/>
      <c r="H1854" s="151"/>
      <c r="I1854" s="151"/>
      <c r="J1854" s="151">
        <f>205*5</f>
        <v>1025</v>
      </c>
      <c r="K1854" s="151">
        <v>205</v>
      </c>
      <c r="L1854" s="1"/>
      <c r="M1854" s="73">
        <f t="shared" si="229"/>
        <v>0</v>
      </c>
      <c r="N1854" s="73">
        <f t="shared" si="233"/>
        <v>0</v>
      </c>
      <c r="O1854" s="73">
        <f t="shared" si="235"/>
        <v>0</v>
      </c>
      <c r="P1854" s="73">
        <f t="shared" si="230"/>
        <v>0</v>
      </c>
      <c r="Q1854" s="73"/>
      <c r="R1854" s="73">
        <v>0</v>
      </c>
      <c r="S1854" s="75">
        <f t="shared" si="232"/>
        <v>0</v>
      </c>
      <c r="T1854" s="77">
        <v>0</v>
      </c>
      <c r="U1854" s="66">
        <v>40505</v>
      </c>
      <c r="V1854" s="79"/>
      <c r="W1854" s="66" t="s">
        <v>1585</v>
      </c>
      <c r="X1854" s="24" t="s">
        <v>1586</v>
      </c>
      <c r="Y1854" s="62"/>
      <c r="Z1854" s="169" t="s">
        <v>894</v>
      </c>
      <c r="AA1854" s="166" t="s">
        <v>2132</v>
      </c>
      <c r="AB1854" s="152"/>
      <c r="AC1854" s="153"/>
      <c r="AD1854" s="154"/>
      <c r="AE1854" s="153"/>
      <c r="AF1854" s="153"/>
      <c r="AG1854" s="153"/>
      <c r="AH1854" s="153"/>
      <c r="AI1854" s="153"/>
      <c r="AJ1854" s="153"/>
      <c r="AK1854" s="153"/>
      <c r="AL1854" s="153"/>
      <c r="AM1854" s="153"/>
      <c r="AN1854" s="153"/>
      <c r="AO1854" s="153"/>
      <c r="AP1854" s="153"/>
      <c r="AQ1854" s="153"/>
      <c r="AR1854" s="153"/>
      <c r="AS1854" s="153"/>
      <c r="AT1854" s="153"/>
      <c r="AU1854" s="153"/>
      <c r="AV1854" s="153"/>
      <c r="AW1854" s="153"/>
      <c r="AX1854" s="153"/>
      <c r="AY1854" s="153"/>
      <c r="AZ1854" s="153"/>
      <c r="BA1854" s="153"/>
      <c r="BB1854" s="153"/>
      <c r="BC1854" s="153"/>
      <c r="BD1854" s="153"/>
      <c r="BE1854" s="153"/>
      <c r="BF1854" s="153"/>
      <c r="BG1854" s="153"/>
      <c r="BH1854" s="153"/>
      <c r="BI1854" s="153"/>
      <c r="BJ1854" s="153"/>
      <c r="BK1854" s="153"/>
      <c r="BL1854" s="153"/>
      <c r="BM1854" s="153"/>
      <c r="BN1854" s="153"/>
      <c r="BO1854" s="153"/>
      <c r="BP1854" s="153"/>
      <c r="BQ1854" s="153"/>
      <c r="BR1854" s="153"/>
      <c r="BS1854" s="153"/>
      <c r="BT1854" s="153"/>
      <c r="BU1854" s="153"/>
      <c r="BV1854" s="153"/>
      <c r="BW1854" s="153"/>
      <c r="BX1854" s="153"/>
      <c r="BY1854" s="153"/>
      <c r="BZ1854" s="153"/>
      <c r="CA1854" s="153"/>
      <c r="CB1854" s="153"/>
      <c r="CC1854" s="153"/>
      <c r="CD1854" s="155"/>
      <c r="CE1854" s="156"/>
      <c r="CF1854" s="155"/>
      <c r="CG1854" s="156"/>
      <c r="CH1854" s="155"/>
      <c r="CI1854" s="156"/>
      <c r="CJ1854" s="157">
        <f t="shared" si="231"/>
        <v>0</v>
      </c>
      <c r="CK1854" s="158"/>
      <c r="CL1854" s="159"/>
      <c r="CM1854" s="160"/>
      <c r="CN1854" s="161"/>
      <c r="CO1854" s="162"/>
      <c r="CP1854" s="161"/>
      <c r="CQ1854" s="158"/>
      <c r="CR1854" s="159"/>
      <c r="CS1854" s="68"/>
      <c r="CT1854" s="163"/>
      <c r="EC1854" s="366" t="str">
        <f t="shared" si="234"/>
        <v>VALLE DEL CAUCA_YUMBO</v>
      </c>
      <c r="ED1854" s="367"/>
      <c r="EE1854" s="367"/>
      <c r="EF1854" s="368"/>
      <c r="EG1854" s="367"/>
      <c r="EH1854" s="367"/>
      <c r="EI1854" s="367"/>
    </row>
    <row r="1855" spans="1:139" s="164" customFormat="1" ht="72">
      <c r="A1855" s="228">
        <v>40505</v>
      </c>
      <c r="B1855" s="205" t="s">
        <v>1192</v>
      </c>
      <c r="C1855" s="205" t="s">
        <v>1925</v>
      </c>
      <c r="D1855" s="207" t="s">
        <v>1878</v>
      </c>
      <c r="E1855" s="323" t="s">
        <v>3461</v>
      </c>
      <c r="F1855" s="323"/>
      <c r="G1855" s="204"/>
      <c r="H1855" s="151"/>
      <c r="I1855" s="151"/>
      <c r="J1855" s="151">
        <f>68*5</f>
        <v>340</v>
      </c>
      <c r="K1855" s="151">
        <v>68</v>
      </c>
      <c r="L1855" s="1"/>
      <c r="M1855" s="73">
        <f t="shared" si="229"/>
        <v>0</v>
      </c>
      <c r="N1855" s="73">
        <f t="shared" si="233"/>
        <v>0</v>
      </c>
      <c r="O1855" s="73">
        <f t="shared" si="235"/>
        <v>0</v>
      </c>
      <c r="P1855" s="73">
        <f t="shared" si="230"/>
        <v>0</v>
      </c>
      <c r="Q1855" s="73"/>
      <c r="R1855" s="73">
        <v>0</v>
      </c>
      <c r="S1855" s="75">
        <f t="shared" si="232"/>
        <v>0</v>
      </c>
      <c r="T1855" s="77">
        <v>0</v>
      </c>
      <c r="U1855" s="66">
        <v>40578</v>
      </c>
      <c r="V1855" s="79"/>
      <c r="W1855" s="66" t="s">
        <v>1585</v>
      </c>
      <c r="X1855" s="24" t="s">
        <v>1586</v>
      </c>
      <c r="Y1855" s="62"/>
      <c r="Z1855" s="169" t="s">
        <v>894</v>
      </c>
      <c r="AA1855" s="166" t="s">
        <v>68</v>
      </c>
      <c r="AB1855" s="152"/>
      <c r="AC1855" s="153"/>
      <c r="AD1855" s="154"/>
      <c r="AE1855" s="153"/>
      <c r="AF1855" s="153"/>
      <c r="AG1855" s="153"/>
      <c r="AH1855" s="153"/>
      <c r="AI1855" s="153"/>
      <c r="AJ1855" s="153"/>
      <c r="AK1855" s="153"/>
      <c r="AL1855" s="153"/>
      <c r="AM1855" s="153"/>
      <c r="AN1855" s="153"/>
      <c r="AO1855" s="153"/>
      <c r="AP1855" s="153"/>
      <c r="AQ1855" s="153"/>
      <c r="AR1855" s="153"/>
      <c r="AS1855" s="153"/>
      <c r="AT1855" s="153"/>
      <c r="AU1855" s="153"/>
      <c r="AV1855" s="153"/>
      <c r="AW1855" s="153"/>
      <c r="AX1855" s="153"/>
      <c r="AY1855" s="153"/>
      <c r="AZ1855" s="153"/>
      <c r="BA1855" s="153"/>
      <c r="BB1855" s="153"/>
      <c r="BC1855" s="153"/>
      <c r="BD1855" s="153"/>
      <c r="BE1855" s="153"/>
      <c r="BF1855" s="153"/>
      <c r="BG1855" s="153"/>
      <c r="BH1855" s="153"/>
      <c r="BI1855" s="153"/>
      <c r="BJ1855" s="153"/>
      <c r="BK1855" s="153"/>
      <c r="BL1855" s="153"/>
      <c r="BM1855" s="153"/>
      <c r="BN1855" s="153"/>
      <c r="BO1855" s="153"/>
      <c r="BP1855" s="153"/>
      <c r="BQ1855" s="153"/>
      <c r="BR1855" s="153"/>
      <c r="BS1855" s="153"/>
      <c r="BT1855" s="153"/>
      <c r="BU1855" s="153"/>
      <c r="BV1855" s="153"/>
      <c r="BW1855" s="153"/>
      <c r="BX1855" s="153"/>
      <c r="BY1855" s="153"/>
      <c r="BZ1855" s="153"/>
      <c r="CA1855" s="153"/>
      <c r="CB1855" s="153"/>
      <c r="CC1855" s="153"/>
      <c r="CD1855" s="155"/>
      <c r="CE1855" s="156"/>
      <c r="CF1855" s="155"/>
      <c r="CG1855" s="156"/>
      <c r="CH1855" s="155"/>
      <c r="CI1855" s="156"/>
      <c r="CJ1855" s="157">
        <f t="shared" si="231"/>
        <v>0</v>
      </c>
      <c r="CK1855" s="158"/>
      <c r="CL1855" s="159"/>
      <c r="CM1855" s="160"/>
      <c r="CN1855" s="161"/>
      <c r="CO1855" s="162"/>
      <c r="CP1855" s="161"/>
      <c r="CQ1855" s="158"/>
      <c r="CR1855" s="159"/>
      <c r="CS1855" s="68"/>
      <c r="CT1855" s="163"/>
      <c r="EC1855" s="366" t="str">
        <f t="shared" si="234"/>
        <v>BOYACA_GUATEQUE</v>
      </c>
      <c r="ED1855" s="367"/>
      <c r="EE1855" s="367"/>
      <c r="EF1855" s="368"/>
      <c r="EG1855" s="367"/>
      <c r="EH1855" s="367"/>
      <c r="EI1855" s="367"/>
    </row>
    <row r="1856" spans="1:139" s="164" customFormat="1" ht="25.5">
      <c r="A1856" s="228">
        <v>40505</v>
      </c>
      <c r="B1856" s="205" t="s">
        <v>1821</v>
      </c>
      <c r="C1856" s="205" t="s">
        <v>1770</v>
      </c>
      <c r="D1856" s="207" t="s">
        <v>1201</v>
      </c>
      <c r="E1856" s="323" t="s">
        <v>3639</v>
      </c>
      <c r="F1856" s="323"/>
      <c r="G1856" s="204">
        <v>1</v>
      </c>
      <c r="H1856" s="151"/>
      <c r="I1856" s="151"/>
      <c r="J1856" s="151"/>
      <c r="K1856" s="151"/>
      <c r="L1856" s="1"/>
      <c r="M1856" s="73">
        <f t="shared" si="229"/>
        <v>0</v>
      </c>
      <c r="N1856" s="73">
        <f t="shared" si="233"/>
        <v>0</v>
      </c>
      <c r="O1856" s="73">
        <f t="shared" si="235"/>
        <v>0</v>
      </c>
      <c r="P1856" s="73">
        <f t="shared" si="230"/>
        <v>0</v>
      </c>
      <c r="Q1856" s="73"/>
      <c r="R1856" s="73">
        <v>0</v>
      </c>
      <c r="S1856" s="75">
        <f t="shared" si="232"/>
        <v>0</v>
      </c>
      <c r="T1856" s="77">
        <v>0</v>
      </c>
      <c r="U1856" s="66">
        <v>40506</v>
      </c>
      <c r="V1856" s="79"/>
      <c r="W1856" s="66" t="s">
        <v>1585</v>
      </c>
      <c r="X1856" s="24" t="s">
        <v>1586</v>
      </c>
      <c r="Y1856" s="62"/>
      <c r="Z1856" s="169" t="s">
        <v>894</v>
      </c>
      <c r="AA1856" s="166" t="s">
        <v>2020</v>
      </c>
      <c r="AB1856" s="152"/>
      <c r="AC1856" s="153"/>
      <c r="AD1856" s="154"/>
      <c r="AE1856" s="153"/>
      <c r="AF1856" s="153"/>
      <c r="AG1856" s="153"/>
      <c r="AH1856" s="153"/>
      <c r="AI1856" s="153"/>
      <c r="AJ1856" s="153"/>
      <c r="AK1856" s="153"/>
      <c r="AL1856" s="153"/>
      <c r="AM1856" s="153"/>
      <c r="AN1856" s="153"/>
      <c r="AO1856" s="153"/>
      <c r="AP1856" s="153"/>
      <c r="AQ1856" s="153"/>
      <c r="AR1856" s="153"/>
      <c r="AS1856" s="153"/>
      <c r="AT1856" s="153"/>
      <c r="AU1856" s="153"/>
      <c r="AV1856" s="153"/>
      <c r="AW1856" s="153"/>
      <c r="AX1856" s="153"/>
      <c r="AY1856" s="153"/>
      <c r="AZ1856" s="153"/>
      <c r="BA1856" s="153"/>
      <c r="BB1856" s="153"/>
      <c r="BC1856" s="153"/>
      <c r="BD1856" s="153"/>
      <c r="BE1856" s="153"/>
      <c r="BF1856" s="153"/>
      <c r="BG1856" s="153"/>
      <c r="BH1856" s="153"/>
      <c r="BI1856" s="153"/>
      <c r="BJ1856" s="153"/>
      <c r="BK1856" s="153"/>
      <c r="BL1856" s="153"/>
      <c r="BM1856" s="153"/>
      <c r="BN1856" s="153"/>
      <c r="BO1856" s="153"/>
      <c r="BP1856" s="153"/>
      <c r="BQ1856" s="153"/>
      <c r="BR1856" s="153"/>
      <c r="BS1856" s="153"/>
      <c r="BT1856" s="153"/>
      <c r="BU1856" s="153"/>
      <c r="BV1856" s="153"/>
      <c r="BW1856" s="153"/>
      <c r="BX1856" s="153"/>
      <c r="BY1856" s="153"/>
      <c r="BZ1856" s="153"/>
      <c r="CA1856" s="153"/>
      <c r="CB1856" s="153"/>
      <c r="CC1856" s="153"/>
      <c r="CD1856" s="155"/>
      <c r="CE1856" s="156"/>
      <c r="CF1856" s="155"/>
      <c r="CG1856" s="156"/>
      <c r="CH1856" s="155"/>
      <c r="CI1856" s="156"/>
      <c r="CJ1856" s="157">
        <f t="shared" si="231"/>
        <v>0</v>
      </c>
      <c r="CK1856" s="158"/>
      <c r="CL1856" s="159"/>
      <c r="CM1856" s="160"/>
      <c r="CN1856" s="161"/>
      <c r="CO1856" s="162"/>
      <c r="CP1856" s="161"/>
      <c r="CQ1856" s="158"/>
      <c r="CR1856" s="159"/>
      <c r="CS1856" s="68"/>
      <c r="CT1856" s="163"/>
      <c r="EC1856" s="366" t="str">
        <f t="shared" si="234"/>
        <v>CESAR_GAMARRA</v>
      </c>
      <c r="ED1856" s="367"/>
      <c r="EE1856" s="367"/>
      <c r="EF1856" s="368"/>
      <c r="EG1856" s="367"/>
      <c r="EH1856" s="367"/>
      <c r="EI1856" s="367"/>
    </row>
    <row r="1857" spans="1:139" s="164" customFormat="1" ht="38.25">
      <c r="A1857" s="228">
        <v>40505</v>
      </c>
      <c r="B1857" s="205" t="s">
        <v>1604</v>
      </c>
      <c r="C1857" s="205" t="s">
        <v>1954</v>
      </c>
      <c r="D1857" s="207" t="s">
        <v>2391</v>
      </c>
      <c r="E1857" s="323" t="s">
        <v>3715</v>
      </c>
      <c r="F1857" s="323"/>
      <c r="G1857" s="204">
        <v>7</v>
      </c>
      <c r="H1857" s="151">
        <v>6</v>
      </c>
      <c r="I1857" s="151"/>
      <c r="J1857" s="151"/>
      <c r="K1857" s="151"/>
      <c r="L1857" s="1"/>
      <c r="M1857" s="73">
        <f t="shared" si="229"/>
        <v>0</v>
      </c>
      <c r="N1857" s="73">
        <f t="shared" si="233"/>
        <v>0</v>
      </c>
      <c r="O1857" s="73">
        <f t="shared" si="235"/>
        <v>0</v>
      </c>
      <c r="P1857" s="73">
        <f t="shared" si="230"/>
        <v>0</v>
      </c>
      <c r="Q1857" s="73"/>
      <c r="R1857" s="73">
        <v>0</v>
      </c>
      <c r="S1857" s="75">
        <f t="shared" si="232"/>
        <v>0</v>
      </c>
      <c r="T1857" s="77">
        <v>0</v>
      </c>
      <c r="U1857" s="66">
        <v>40506</v>
      </c>
      <c r="V1857" s="79"/>
      <c r="W1857" s="66" t="s">
        <v>1585</v>
      </c>
      <c r="X1857" s="24" t="s">
        <v>1586</v>
      </c>
      <c r="Y1857" s="62"/>
      <c r="Z1857" s="169" t="s">
        <v>894</v>
      </c>
      <c r="AA1857" s="166" t="s">
        <v>2473</v>
      </c>
      <c r="AB1857" s="152"/>
      <c r="AC1857" s="153"/>
      <c r="AD1857" s="154"/>
      <c r="AE1857" s="153"/>
      <c r="AF1857" s="153"/>
      <c r="AG1857" s="153"/>
      <c r="AH1857" s="153"/>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c r="BF1857" s="153"/>
      <c r="BG1857" s="153"/>
      <c r="BH1857" s="153"/>
      <c r="BI1857" s="153"/>
      <c r="BJ1857" s="153"/>
      <c r="BK1857" s="153"/>
      <c r="BL1857" s="153"/>
      <c r="BM1857" s="153"/>
      <c r="BN1857" s="153"/>
      <c r="BO1857" s="153"/>
      <c r="BP1857" s="153"/>
      <c r="BQ1857" s="153"/>
      <c r="BR1857" s="153"/>
      <c r="BS1857" s="153"/>
      <c r="BT1857" s="153"/>
      <c r="BU1857" s="153"/>
      <c r="BV1857" s="153"/>
      <c r="BW1857" s="153"/>
      <c r="BX1857" s="153"/>
      <c r="BY1857" s="153"/>
      <c r="BZ1857" s="153"/>
      <c r="CA1857" s="153"/>
      <c r="CB1857" s="153"/>
      <c r="CC1857" s="153"/>
      <c r="CD1857" s="155"/>
      <c r="CE1857" s="156"/>
      <c r="CF1857" s="155"/>
      <c r="CG1857" s="156"/>
      <c r="CH1857" s="155"/>
      <c r="CI1857" s="156"/>
      <c r="CJ1857" s="157">
        <f t="shared" si="231"/>
        <v>0</v>
      </c>
      <c r="CK1857" s="158"/>
      <c r="CL1857" s="159"/>
      <c r="CM1857" s="160"/>
      <c r="CN1857" s="161"/>
      <c r="CO1857" s="162"/>
      <c r="CP1857" s="161"/>
      <c r="CQ1857" s="158"/>
      <c r="CR1857" s="159"/>
      <c r="CS1857" s="68"/>
      <c r="CT1857" s="163"/>
      <c r="EC1857" s="366" t="str">
        <f t="shared" si="234"/>
        <v>CUNDINAMARCA_GUACHETA</v>
      </c>
      <c r="ED1857" s="367"/>
      <c r="EE1857" s="367"/>
      <c r="EF1857" s="368"/>
      <c r="EG1857" s="367"/>
      <c r="EH1857" s="367"/>
      <c r="EI1857" s="367"/>
    </row>
    <row r="1858" spans="1:139" s="164" customFormat="1" ht="38.25">
      <c r="A1858" s="228">
        <v>40505</v>
      </c>
      <c r="B1858" s="205" t="s">
        <v>1604</v>
      </c>
      <c r="C1858" s="205" t="s">
        <v>1957</v>
      </c>
      <c r="D1858" s="207" t="s">
        <v>1201</v>
      </c>
      <c r="E1858" s="323" t="s">
        <v>3726</v>
      </c>
      <c r="F1858" s="323"/>
      <c r="G1858" s="204"/>
      <c r="H1858" s="151"/>
      <c r="I1858" s="151"/>
      <c r="J1858" s="151">
        <f>131-25</f>
        <v>106</v>
      </c>
      <c r="K1858" s="151">
        <f>63-6</f>
        <v>57</v>
      </c>
      <c r="L1858" s="1"/>
      <c r="M1858" s="73">
        <f t="shared" si="229"/>
        <v>0</v>
      </c>
      <c r="N1858" s="73">
        <f t="shared" si="233"/>
        <v>0</v>
      </c>
      <c r="O1858" s="73">
        <f t="shared" si="235"/>
        <v>0</v>
      </c>
      <c r="P1858" s="73">
        <f t="shared" si="230"/>
        <v>0</v>
      </c>
      <c r="Q1858" s="73"/>
      <c r="R1858" s="73">
        <v>0</v>
      </c>
      <c r="S1858" s="75">
        <f t="shared" si="232"/>
        <v>0</v>
      </c>
      <c r="T1858" s="77">
        <v>0</v>
      </c>
      <c r="U1858" s="66">
        <v>40506</v>
      </c>
      <c r="V1858" s="79"/>
      <c r="W1858" s="66" t="s">
        <v>1585</v>
      </c>
      <c r="X1858" s="24" t="s">
        <v>1586</v>
      </c>
      <c r="Y1858" s="62"/>
      <c r="Z1858" s="169" t="s">
        <v>894</v>
      </c>
      <c r="AA1858" s="166" t="s">
        <v>2475</v>
      </c>
      <c r="AB1858" s="152"/>
      <c r="AC1858" s="153"/>
      <c r="AD1858" s="154"/>
      <c r="AE1858" s="153"/>
      <c r="AF1858" s="153"/>
      <c r="AG1858" s="153"/>
      <c r="AH1858" s="153"/>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c r="BF1858" s="153"/>
      <c r="BG1858" s="153"/>
      <c r="BH1858" s="153"/>
      <c r="BI1858" s="153"/>
      <c r="BJ1858" s="153"/>
      <c r="BK1858" s="153"/>
      <c r="BL1858" s="153"/>
      <c r="BM1858" s="153"/>
      <c r="BN1858" s="153"/>
      <c r="BO1858" s="153"/>
      <c r="BP1858" s="153"/>
      <c r="BQ1858" s="153"/>
      <c r="BR1858" s="153"/>
      <c r="BS1858" s="153"/>
      <c r="BT1858" s="153"/>
      <c r="BU1858" s="153"/>
      <c r="BV1858" s="153"/>
      <c r="BW1858" s="153"/>
      <c r="BX1858" s="153"/>
      <c r="BY1858" s="153"/>
      <c r="BZ1858" s="153"/>
      <c r="CA1858" s="153"/>
      <c r="CB1858" s="153"/>
      <c r="CC1858" s="153"/>
      <c r="CD1858" s="155"/>
      <c r="CE1858" s="156"/>
      <c r="CF1858" s="155"/>
      <c r="CG1858" s="156"/>
      <c r="CH1858" s="155"/>
      <c r="CI1858" s="156"/>
      <c r="CJ1858" s="157">
        <f t="shared" si="231"/>
        <v>0</v>
      </c>
      <c r="CK1858" s="158"/>
      <c r="CL1858" s="159"/>
      <c r="CM1858" s="160"/>
      <c r="CN1858" s="161"/>
      <c r="CO1858" s="162"/>
      <c r="CP1858" s="161"/>
      <c r="CQ1858" s="158"/>
      <c r="CR1858" s="159"/>
      <c r="CS1858" s="68"/>
      <c r="CT1858" s="163"/>
      <c r="EC1858" s="366" t="str">
        <f t="shared" si="234"/>
        <v>CUNDINAMARCA_LA MESA</v>
      </c>
      <c r="ED1858" s="367"/>
      <c r="EE1858" s="367"/>
      <c r="EF1858" s="368"/>
      <c r="EG1858" s="367"/>
      <c r="EH1858" s="367"/>
      <c r="EI1858" s="367"/>
    </row>
    <row r="1859" spans="1:139" s="164" customFormat="1" ht="38.25">
      <c r="A1859" s="228">
        <v>40505</v>
      </c>
      <c r="B1859" s="205" t="s">
        <v>1604</v>
      </c>
      <c r="C1859" s="205" t="s">
        <v>1960</v>
      </c>
      <c r="D1859" s="207" t="s">
        <v>2391</v>
      </c>
      <c r="E1859" s="323" t="s">
        <v>3730</v>
      </c>
      <c r="F1859" s="323"/>
      <c r="G1859" s="204">
        <v>2</v>
      </c>
      <c r="H1859" s="151"/>
      <c r="I1859" s="151"/>
      <c r="J1859" s="151"/>
      <c r="K1859" s="151"/>
      <c r="L1859" s="1"/>
      <c r="M1859" s="73">
        <f t="shared" ref="M1859:M1922" si="236">CJ1859</f>
        <v>0</v>
      </c>
      <c r="N1859" s="73">
        <f t="shared" si="233"/>
        <v>0</v>
      </c>
      <c r="O1859" s="73">
        <f t="shared" si="235"/>
        <v>0</v>
      </c>
      <c r="P1859" s="73">
        <f t="shared" ref="P1859:P1922" si="237">CL1859</f>
        <v>0</v>
      </c>
      <c r="Q1859" s="73"/>
      <c r="R1859" s="73">
        <v>0</v>
      </c>
      <c r="S1859" s="75">
        <f t="shared" si="232"/>
        <v>0</v>
      </c>
      <c r="T1859" s="77">
        <v>0</v>
      </c>
      <c r="U1859" s="66">
        <v>40506</v>
      </c>
      <c r="V1859" s="79"/>
      <c r="W1859" s="66" t="s">
        <v>1585</v>
      </c>
      <c r="X1859" s="24" t="s">
        <v>1586</v>
      </c>
      <c r="Y1859" s="62"/>
      <c r="Z1859" s="169" t="s">
        <v>894</v>
      </c>
      <c r="AA1859" s="166" t="s">
        <v>2466</v>
      </c>
      <c r="AB1859" s="152"/>
      <c r="AC1859" s="153"/>
      <c r="AD1859" s="154"/>
      <c r="AE1859" s="153"/>
      <c r="AF1859" s="153"/>
      <c r="AG1859" s="153"/>
      <c r="AH1859" s="153"/>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c r="BF1859" s="153"/>
      <c r="BG1859" s="153"/>
      <c r="BH1859" s="153"/>
      <c r="BI1859" s="153"/>
      <c r="BJ1859" s="153"/>
      <c r="BK1859" s="153"/>
      <c r="BL1859" s="153"/>
      <c r="BM1859" s="153"/>
      <c r="BN1859" s="153"/>
      <c r="BO1859" s="153"/>
      <c r="BP1859" s="153"/>
      <c r="BQ1859" s="153"/>
      <c r="BR1859" s="153"/>
      <c r="BS1859" s="153"/>
      <c r="BT1859" s="153"/>
      <c r="BU1859" s="153"/>
      <c r="BV1859" s="153"/>
      <c r="BW1859" s="153"/>
      <c r="BX1859" s="153"/>
      <c r="BY1859" s="153"/>
      <c r="BZ1859" s="153"/>
      <c r="CA1859" s="153"/>
      <c r="CB1859" s="153"/>
      <c r="CC1859" s="153"/>
      <c r="CD1859" s="155"/>
      <c r="CE1859" s="156"/>
      <c r="CF1859" s="155"/>
      <c r="CG1859" s="156"/>
      <c r="CH1859" s="155"/>
      <c r="CI1859" s="156"/>
      <c r="CJ1859" s="157">
        <f t="shared" ref="CJ1859:CJ1922" si="238">AC1859+AE1859+AG1859+AI1859+AK1859+AM1859+AO1859+AQ1859+AS1859+AU1859+AW1859+AY1859+BA1859+BC1859+BE1859+BG1859+BI1859+BK1859+BM1859+BO1859+BQ1859+BS1859+BU1859+BW1859+BY1859+CA1859+CC1859+CE1859+CG1859+CI1859</f>
        <v>0</v>
      </c>
      <c r="CK1859" s="158"/>
      <c r="CL1859" s="159"/>
      <c r="CM1859" s="160"/>
      <c r="CN1859" s="161"/>
      <c r="CO1859" s="162"/>
      <c r="CP1859" s="161"/>
      <c r="CQ1859" s="158"/>
      <c r="CR1859" s="159"/>
      <c r="CS1859" s="68"/>
      <c r="CT1859" s="163"/>
      <c r="EC1859" s="366" t="str">
        <f t="shared" si="234"/>
        <v>CUNDINAMARCA_LENGUAZAQUE</v>
      </c>
      <c r="ED1859" s="367"/>
      <c r="EE1859" s="367"/>
      <c r="EF1859" s="368"/>
      <c r="EG1859" s="367"/>
      <c r="EH1859" s="367"/>
      <c r="EI1859" s="367"/>
    </row>
    <row r="1860" spans="1:139" s="164" customFormat="1" ht="25.5">
      <c r="A1860" s="228">
        <v>40505</v>
      </c>
      <c r="B1860" s="205" t="s">
        <v>962</v>
      </c>
      <c r="C1860" s="205" t="s">
        <v>2821</v>
      </c>
      <c r="D1860" s="207" t="s">
        <v>1201</v>
      </c>
      <c r="E1860" s="323" t="s">
        <v>3845</v>
      </c>
      <c r="F1860" s="323"/>
      <c r="G1860" s="204"/>
      <c r="H1860" s="151"/>
      <c r="I1860" s="151"/>
      <c r="J1860" s="151">
        <f>183-25-37</f>
        <v>121</v>
      </c>
      <c r="K1860" s="151">
        <f>51-5-10</f>
        <v>36</v>
      </c>
      <c r="L1860" s="1"/>
      <c r="M1860" s="73">
        <f t="shared" si="236"/>
        <v>0</v>
      </c>
      <c r="N1860" s="73">
        <f t="shared" si="233"/>
        <v>0</v>
      </c>
      <c r="O1860" s="73">
        <f t="shared" si="235"/>
        <v>0</v>
      </c>
      <c r="P1860" s="73">
        <f t="shared" si="237"/>
        <v>0</v>
      </c>
      <c r="Q1860" s="73"/>
      <c r="R1860" s="73">
        <v>0</v>
      </c>
      <c r="S1860" s="75">
        <f t="shared" si="232"/>
        <v>0</v>
      </c>
      <c r="T1860" s="77">
        <v>0</v>
      </c>
      <c r="U1860" s="66">
        <v>40581</v>
      </c>
      <c r="V1860" s="79"/>
      <c r="W1860" s="66" t="s">
        <v>1585</v>
      </c>
      <c r="X1860" s="24" t="s">
        <v>1586</v>
      </c>
      <c r="Y1860" s="62"/>
      <c r="Z1860" s="169" t="s">
        <v>894</v>
      </c>
      <c r="AA1860" s="166" t="s">
        <v>54</v>
      </c>
      <c r="AB1860" s="152"/>
      <c r="AC1860" s="153"/>
      <c r="AD1860" s="154"/>
      <c r="AE1860" s="153"/>
      <c r="AF1860" s="153"/>
      <c r="AG1860" s="153"/>
      <c r="AH1860" s="153"/>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c r="BF1860" s="153"/>
      <c r="BG1860" s="153"/>
      <c r="BH1860" s="153"/>
      <c r="BI1860" s="153"/>
      <c r="BJ1860" s="153"/>
      <c r="BK1860" s="153"/>
      <c r="BL1860" s="153"/>
      <c r="BM1860" s="153"/>
      <c r="BN1860" s="153"/>
      <c r="BO1860" s="153"/>
      <c r="BP1860" s="153"/>
      <c r="BQ1860" s="153"/>
      <c r="BR1860" s="153"/>
      <c r="BS1860" s="153"/>
      <c r="BT1860" s="153"/>
      <c r="BU1860" s="153"/>
      <c r="BV1860" s="153"/>
      <c r="BW1860" s="153"/>
      <c r="BX1860" s="153"/>
      <c r="BY1860" s="153"/>
      <c r="BZ1860" s="153"/>
      <c r="CA1860" s="153"/>
      <c r="CB1860" s="153"/>
      <c r="CC1860" s="153"/>
      <c r="CD1860" s="155"/>
      <c r="CE1860" s="156"/>
      <c r="CF1860" s="155"/>
      <c r="CG1860" s="156"/>
      <c r="CH1860" s="155"/>
      <c r="CI1860" s="156"/>
      <c r="CJ1860" s="157">
        <f t="shared" si="238"/>
        <v>0</v>
      </c>
      <c r="CK1860" s="158"/>
      <c r="CL1860" s="159"/>
      <c r="CM1860" s="160"/>
      <c r="CN1860" s="161"/>
      <c r="CO1860" s="162"/>
      <c r="CP1860" s="161"/>
      <c r="CQ1860" s="158"/>
      <c r="CR1860" s="159"/>
      <c r="CS1860" s="68"/>
      <c r="CT1860" s="163"/>
      <c r="EC1860" s="366" t="str">
        <f t="shared" si="234"/>
        <v>HUILA_PALESTINA</v>
      </c>
      <c r="ED1860" s="367"/>
      <c r="EE1860" s="367"/>
      <c r="EF1860" s="368"/>
      <c r="EG1860" s="367"/>
      <c r="EH1860" s="367"/>
      <c r="EI1860" s="367"/>
    </row>
    <row r="1861" spans="1:139" s="164" customFormat="1" ht="25.5">
      <c r="A1861" s="228">
        <v>40505</v>
      </c>
      <c r="B1861" s="205" t="s">
        <v>1824</v>
      </c>
      <c r="C1861" s="205" t="s">
        <v>2480</v>
      </c>
      <c r="D1861" s="206" t="s">
        <v>1878</v>
      </c>
      <c r="E1861" s="320" t="s">
        <v>3958</v>
      </c>
      <c r="F1861" s="320"/>
      <c r="G1861" s="204"/>
      <c r="H1861" s="151"/>
      <c r="I1861" s="151"/>
      <c r="J1861" s="151">
        <v>495</v>
      </c>
      <c r="K1861" s="151">
        <v>119</v>
      </c>
      <c r="L1861" s="1"/>
      <c r="M1861" s="73">
        <f t="shared" si="236"/>
        <v>0</v>
      </c>
      <c r="N1861" s="73">
        <f t="shared" si="233"/>
        <v>0</v>
      </c>
      <c r="O1861" s="73">
        <f t="shared" si="235"/>
        <v>0</v>
      </c>
      <c r="P1861" s="73">
        <f t="shared" si="237"/>
        <v>0</v>
      </c>
      <c r="Q1861" s="73"/>
      <c r="R1861" s="73">
        <v>0</v>
      </c>
      <c r="S1861" s="75">
        <f t="shared" si="232"/>
        <v>0</v>
      </c>
      <c r="T1861" s="77">
        <v>0</v>
      </c>
      <c r="U1861" s="66">
        <v>40506</v>
      </c>
      <c r="V1861" s="79"/>
      <c r="W1861" s="66" t="s">
        <v>1585</v>
      </c>
      <c r="X1861" s="24" t="s">
        <v>1586</v>
      </c>
      <c r="Y1861" s="62"/>
      <c r="Z1861" s="169" t="s">
        <v>894</v>
      </c>
      <c r="AA1861" s="166" t="s">
        <v>2481</v>
      </c>
      <c r="AB1861" s="152"/>
      <c r="AC1861" s="153"/>
      <c r="AD1861" s="154"/>
      <c r="AE1861" s="153"/>
      <c r="AF1861" s="153"/>
      <c r="AG1861" s="153"/>
      <c r="AH1861" s="153"/>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c r="BF1861" s="153"/>
      <c r="BG1861" s="153"/>
      <c r="BH1861" s="153"/>
      <c r="BI1861" s="153"/>
      <c r="BJ1861" s="153"/>
      <c r="BK1861" s="153"/>
      <c r="BL1861" s="153"/>
      <c r="BM1861" s="153"/>
      <c r="BN1861" s="153"/>
      <c r="BO1861" s="153"/>
      <c r="BP1861" s="153"/>
      <c r="BQ1861" s="153"/>
      <c r="BR1861" s="153"/>
      <c r="BS1861" s="153"/>
      <c r="BT1861" s="153"/>
      <c r="BU1861" s="153"/>
      <c r="BV1861" s="153"/>
      <c r="BW1861" s="153"/>
      <c r="BX1861" s="153"/>
      <c r="BY1861" s="153"/>
      <c r="BZ1861" s="153"/>
      <c r="CA1861" s="153"/>
      <c r="CB1861" s="153"/>
      <c r="CC1861" s="153"/>
      <c r="CD1861" s="155"/>
      <c r="CE1861" s="156"/>
      <c r="CF1861" s="155"/>
      <c r="CG1861" s="156"/>
      <c r="CH1861" s="155"/>
      <c r="CI1861" s="156"/>
      <c r="CJ1861" s="157">
        <f t="shared" si="238"/>
        <v>0</v>
      </c>
      <c r="CK1861" s="158"/>
      <c r="CL1861" s="159"/>
      <c r="CM1861" s="160"/>
      <c r="CN1861" s="161"/>
      <c r="CO1861" s="162"/>
      <c r="CP1861" s="161"/>
      <c r="CQ1861" s="158"/>
      <c r="CR1861" s="159"/>
      <c r="CS1861" s="68"/>
      <c r="CT1861" s="163"/>
      <c r="EC1861" s="366" t="str">
        <f t="shared" si="234"/>
        <v>NARIÑO_GUALMATAN</v>
      </c>
      <c r="ED1861" s="367"/>
      <c r="EE1861" s="367"/>
      <c r="EF1861" s="368"/>
      <c r="EG1861" s="367"/>
      <c r="EH1861" s="367"/>
      <c r="EI1861" s="367"/>
    </row>
    <row r="1862" spans="1:139" s="164" customFormat="1" ht="36">
      <c r="A1862" s="228">
        <v>40505</v>
      </c>
      <c r="B1862" s="205" t="s">
        <v>1824</v>
      </c>
      <c r="C1862" s="205" t="s">
        <v>2482</v>
      </c>
      <c r="D1862" s="206" t="s">
        <v>1878</v>
      </c>
      <c r="E1862" s="320" t="s">
        <v>3967</v>
      </c>
      <c r="F1862" s="320"/>
      <c r="G1862" s="204"/>
      <c r="H1862" s="151"/>
      <c r="I1862" s="151"/>
      <c r="J1862" s="151">
        <f>419-155</f>
        <v>264</v>
      </c>
      <c r="K1862" s="151">
        <f>119-31</f>
        <v>88</v>
      </c>
      <c r="L1862" s="1"/>
      <c r="M1862" s="73">
        <f t="shared" si="236"/>
        <v>0</v>
      </c>
      <c r="N1862" s="73">
        <f t="shared" si="233"/>
        <v>0</v>
      </c>
      <c r="O1862" s="73">
        <f t="shared" si="235"/>
        <v>0</v>
      </c>
      <c r="P1862" s="73">
        <f t="shared" si="237"/>
        <v>0</v>
      </c>
      <c r="Q1862" s="73"/>
      <c r="R1862" s="73">
        <v>0</v>
      </c>
      <c r="S1862" s="75">
        <f t="shared" si="232"/>
        <v>0</v>
      </c>
      <c r="T1862" s="77">
        <v>0</v>
      </c>
      <c r="U1862" s="66">
        <v>40506</v>
      </c>
      <c r="V1862" s="79"/>
      <c r="W1862" s="66" t="s">
        <v>1585</v>
      </c>
      <c r="X1862" s="24" t="s">
        <v>1586</v>
      </c>
      <c r="Y1862" s="62"/>
      <c r="Z1862" s="169" t="s">
        <v>894</v>
      </c>
      <c r="AA1862" s="166" t="s">
        <v>2483</v>
      </c>
      <c r="AB1862" s="152"/>
      <c r="AC1862" s="153"/>
      <c r="AD1862" s="154"/>
      <c r="AE1862" s="153"/>
      <c r="AF1862" s="153"/>
      <c r="AG1862" s="153"/>
      <c r="AH1862" s="153"/>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c r="BF1862" s="153"/>
      <c r="BG1862" s="153"/>
      <c r="BH1862" s="153"/>
      <c r="BI1862" s="153"/>
      <c r="BJ1862" s="153"/>
      <c r="BK1862" s="153"/>
      <c r="BL1862" s="153"/>
      <c r="BM1862" s="153"/>
      <c r="BN1862" s="153"/>
      <c r="BO1862" s="153"/>
      <c r="BP1862" s="153"/>
      <c r="BQ1862" s="153"/>
      <c r="BR1862" s="153"/>
      <c r="BS1862" s="153"/>
      <c r="BT1862" s="153"/>
      <c r="BU1862" s="153"/>
      <c r="BV1862" s="153"/>
      <c r="BW1862" s="153"/>
      <c r="BX1862" s="153"/>
      <c r="BY1862" s="153"/>
      <c r="BZ1862" s="153"/>
      <c r="CA1862" s="153"/>
      <c r="CB1862" s="153"/>
      <c r="CC1862" s="153"/>
      <c r="CD1862" s="155"/>
      <c r="CE1862" s="156"/>
      <c r="CF1862" s="155"/>
      <c r="CG1862" s="156"/>
      <c r="CH1862" s="155"/>
      <c r="CI1862" s="156"/>
      <c r="CJ1862" s="157">
        <f t="shared" si="238"/>
        <v>0</v>
      </c>
      <c r="CK1862" s="158"/>
      <c r="CL1862" s="159"/>
      <c r="CM1862" s="160"/>
      <c r="CN1862" s="161"/>
      <c r="CO1862" s="162"/>
      <c r="CP1862" s="161"/>
      <c r="CQ1862" s="158"/>
      <c r="CR1862" s="159"/>
      <c r="CS1862" s="68"/>
      <c r="CT1862" s="163"/>
      <c r="EC1862" s="366" t="str">
        <f t="shared" si="234"/>
        <v>NARIÑO_LEIVA</v>
      </c>
      <c r="ED1862" s="367"/>
      <c r="EE1862" s="367"/>
      <c r="EF1862" s="368"/>
      <c r="EG1862" s="367"/>
      <c r="EH1862" s="367"/>
      <c r="EI1862" s="367"/>
    </row>
    <row r="1863" spans="1:139" s="164" customFormat="1" ht="25.5">
      <c r="A1863" s="228">
        <v>40505</v>
      </c>
      <c r="B1863" s="205" t="s">
        <v>1824</v>
      </c>
      <c r="C1863" s="205" t="s">
        <v>1338</v>
      </c>
      <c r="D1863" s="207" t="s">
        <v>1878</v>
      </c>
      <c r="E1863" s="323" t="s">
        <v>3993</v>
      </c>
      <c r="F1863" s="323"/>
      <c r="G1863" s="204"/>
      <c r="H1863" s="151"/>
      <c r="I1863" s="151"/>
      <c r="J1863" s="151">
        <f>1976-904</f>
        <v>1072</v>
      </c>
      <c r="K1863" s="151">
        <f>494-226</f>
        <v>268</v>
      </c>
      <c r="L1863" s="1"/>
      <c r="M1863" s="73">
        <f t="shared" si="236"/>
        <v>0</v>
      </c>
      <c r="N1863" s="73">
        <f t="shared" si="233"/>
        <v>0</v>
      </c>
      <c r="O1863" s="73">
        <f t="shared" si="235"/>
        <v>0</v>
      </c>
      <c r="P1863" s="73">
        <f t="shared" si="237"/>
        <v>0</v>
      </c>
      <c r="Q1863" s="73"/>
      <c r="R1863" s="73">
        <v>0</v>
      </c>
      <c r="S1863" s="75">
        <f t="shared" si="232"/>
        <v>0</v>
      </c>
      <c r="T1863" s="77">
        <v>0</v>
      </c>
      <c r="U1863" s="228">
        <v>40505</v>
      </c>
      <c r="V1863" s="79"/>
      <c r="W1863" s="66" t="s">
        <v>1585</v>
      </c>
      <c r="X1863" s="24" t="s">
        <v>1586</v>
      </c>
      <c r="Y1863" s="62"/>
      <c r="Z1863" s="169" t="s">
        <v>894</v>
      </c>
      <c r="AA1863" s="166" t="s">
        <v>2985</v>
      </c>
      <c r="AB1863" s="152"/>
      <c r="AC1863" s="153"/>
      <c r="AD1863" s="154"/>
      <c r="AE1863" s="153"/>
      <c r="AF1863" s="153"/>
      <c r="AG1863" s="153"/>
      <c r="AH1863" s="153"/>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c r="BF1863" s="153"/>
      <c r="BG1863" s="153"/>
      <c r="BH1863" s="153"/>
      <c r="BI1863" s="153"/>
      <c r="BJ1863" s="153"/>
      <c r="BK1863" s="153"/>
      <c r="BL1863" s="153"/>
      <c r="BM1863" s="153"/>
      <c r="BN1863" s="153"/>
      <c r="BO1863" s="153"/>
      <c r="BP1863" s="153"/>
      <c r="BQ1863" s="153"/>
      <c r="BR1863" s="153"/>
      <c r="BS1863" s="153"/>
      <c r="BT1863" s="153"/>
      <c r="BU1863" s="153"/>
      <c r="BV1863" s="153"/>
      <c r="BW1863" s="153"/>
      <c r="BX1863" s="153"/>
      <c r="BY1863" s="153"/>
      <c r="BZ1863" s="153"/>
      <c r="CA1863" s="153"/>
      <c r="CB1863" s="153"/>
      <c r="CC1863" s="153"/>
      <c r="CD1863" s="155"/>
      <c r="CE1863" s="156"/>
      <c r="CF1863" s="155"/>
      <c r="CG1863" s="156"/>
      <c r="CH1863" s="155"/>
      <c r="CI1863" s="156"/>
      <c r="CJ1863" s="157">
        <f t="shared" si="238"/>
        <v>0</v>
      </c>
      <c r="CK1863" s="158"/>
      <c r="CL1863" s="159"/>
      <c r="CM1863" s="160"/>
      <c r="CN1863" s="161"/>
      <c r="CO1863" s="162"/>
      <c r="CP1863" s="161"/>
      <c r="CQ1863" s="158"/>
      <c r="CR1863" s="159"/>
      <c r="CS1863" s="68"/>
      <c r="CT1863" s="163"/>
      <c r="EC1863" s="366" t="str">
        <f t="shared" si="234"/>
        <v>NARIÑO_TAMINANGO</v>
      </c>
      <c r="ED1863" s="367"/>
      <c r="EE1863" s="367"/>
      <c r="EF1863" s="368"/>
      <c r="EG1863" s="367"/>
      <c r="EH1863" s="367"/>
      <c r="EI1863" s="367"/>
    </row>
    <row r="1864" spans="1:139" s="164" customFormat="1" ht="51">
      <c r="A1864" s="228">
        <v>40505</v>
      </c>
      <c r="B1864" s="205" t="s">
        <v>965</v>
      </c>
      <c r="C1864" s="205" t="s">
        <v>1746</v>
      </c>
      <c r="D1864" s="206" t="s">
        <v>1201</v>
      </c>
      <c r="E1864" s="320" t="s">
        <v>4028</v>
      </c>
      <c r="F1864" s="320"/>
      <c r="G1864" s="204"/>
      <c r="H1864" s="151"/>
      <c r="I1864" s="151"/>
      <c r="J1864" s="151">
        <v>1986</v>
      </c>
      <c r="K1864" s="151">
        <v>451</v>
      </c>
      <c r="L1864" s="1"/>
      <c r="M1864" s="73">
        <f t="shared" si="236"/>
        <v>0</v>
      </c>
      <c r="N1864" s="73">
        <f t="shared" si="233"/>
        <v>0</v>
      </c>
      <c r="O1864" s="73">
        <f t="shared" si="235"/>
        <v>0</v>
      </c>
      <c r="P1864" s="73">
        <f t="shared" si="237"/>
        <v>0</v>
      </c>
      <c r="Q1864" s="73"/>
      <c r="R1864" s="73">
        <v>0</v>
      </c>
      <c r="S1864" s="75">
        <f t="shared" si="232"/>
        <v>0</v>
      </c>
      <c r="T1864" s="77">
        <v>0</v>
      </c>
      <c r="U1864" s="228">
        <v>40506</v>
      </c>
      <c r="V1864" s="79"/>
      <c r="W1864" s="66" t="s">
        <v>1585</v>
      </c>
      <c r="X1864" s="24" t="s">
        <v>1586</v>
      </c>
      <c r="Y1864" s="62"/>
      <c r="Z1864" s="169" t="s">
        <v>894</v>
      </c>
      <c r="AA1864" s="166" t="s">
        <v>250</v>
      </c>
      <c r="AB1864" s="152"/>
      <c r="AC1864" s="153"/>
      <c r="AD1864" s="154"/>
      <c r="AE1864" s="153"/>
      <c r="AF1864" s="153"/>
      <c r="AG1864" s="153"/>
      <c r="AH1864" s="153"/>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c r="BI1864" s="153"/>
      <c r="BJ1864" s="153"/>
      <c r="BK1864" s="153"/>
      <c r="BL1864" s="153"/>
      <c r="BM1864" s="153"/>
      <c r="BN1864" s="153"/>
      <c r="BO1864" s="153"/>
      <c r="BP1864" s="153"/>
      <c r="BQ1864" s="153"/>
      <c r="BR1864" s="153"/>
      <c r="BS1864" s="153"/>
      <c r="BT1864" s="153"/>
      <c r="BU1864" s="153"/>
      <c r="BV1864" s="153"/>
      <c r="BW1864" s="153"/>
      <c r="BX1864" s="153"/>
      <c r="BY1864" s="153"/>
      <c r="BZ1864" s="153"/>
      <c r="CA1864" s="153"/>
      <c r="CB1864" s="153"/>
      <c r="CC1864" s="153"/>
      <c r="CD1864" s="155"/>
      <c r="CE1864" s="156"/>
      <c r="CF1864" s="155"/>
      <c r="CG1864" s="156"/>
      <c r="CH1864" s="155"/>
      <c r="CI1864" s="156"/>
      <c r="CJ1864" s="157">
        <f t="shared" si="238"/>
        <v>0</v>
      </c>
      <c r="CK1864" s="158"/>
      <c r="CL1864" s="159"/>
      <c r="CM1864" s="160"/>
      <c r="CN1864" s="161"/>
      <c r="CO1864" s="162"/>
      <c r="CP1864" s="161"/>
      <c r="CQ1864" s="158"/>
      <c r="CR1864" s="159"/>
      <c r="CS1864" s="68"/>
      <c r="CT1864" s="163"/>
      <c r="EC1864" s="366" t="str">
        <f t="shared" si="234"/>
        <v>NORTE DE SANTANDER_SAN CALIXTO</v>
      </c>
      <c r="ED1864" s="367"/>
      <c r="EE1864" s="367"/>
      <c r="EF1864" s="368"/>
      <c r="EG1864" s="367"/>
      <c r="EH1864" s="367"/>
      <c r="EI1864" s="367"/>
    </row>
    <row r="1865" spans="1:139" s="164" customFormat="1" ht="51">
      <c r="A1865" s="228">
        <v>40505</v>
      </c>
      <c r="B1865" s="205" t="s">
        <v>965</v>
      </c>
      <c r="C1865" s="205" t="s">
        <v>695</v>
      </c>
      <c r="D1865" s="207" t="s">
        <v>1902</v>
      </c>
      <c r="E1865" s="323" t="s">
        <v>4033</v>
      </c>
      <c r="F1865" s="323"/>
      <c r="G1865" s="204"/>
      <c r="H1865" s="151"/>
      <c r="I1865" s="151"/>
      <c r="J1865" s="151"/>
      <c r="K1865" s="151"/>
      <c r="L1865" s="1"/>
      <c r="M1865" s="73">
        <f t="shared" si="236"/>
        <v>0</v>
      </c>
      <c r="N1865" s="73">
        <f t="shared" si="233"/>
        <v>0</v>
      </c>
      <c r="O1865" s="73">
        <f t="shared" si="235"/>
        <v>0</v>
      </c>
      <c r="P1865" s="73">
        <f t="shared" si="237"/>
        <v>0</v>
      </c>
      <c r="Q1865" s="73"/>
      <c r="R1865" s="73">
        <v>0</v>
      </c>
      <c r="S1865" s="75">
        <f t="shared" ref="S1865:S1928" si="239">M1865+N1865+O1865+P1865+Q1865+R1865</f>
        <v>0</v>
      </c>
      <c r="T1865" s="77">
        <v>0</v>
      </c>
      <c r="U1865" s="66">
        <v>40506</v>
      </c>
      <c r="V1865" s="79"/>
      <c r="W1865" s="66" t="s">
        <v>1585</v>
      </c>
      <c r="X1865" s="24" t="s">
        <v>1586</v>
      </c>
      <c r="Y1865" s="62"/>
      <c r="Z1865" s="169" t="s">
        <v>894</v>
      </c>
      <c r="AA1865" s="166" t="s">
        <v>2467</v>
      </c>
      <c r="AB1865" s="152"/>
      <c r="AC1865" s="153"/>
      <c r="AD1865" s="154"/>
      <c r="AE1865" s="153"/>
      <c r="AF1865" s="153"/>
      <c r="AG1865" s="153"/>
      <c r="AH1865" s="153"/>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c r="BI1865" s="153"/>
      <c r="BJ1865" s="153"/>
      <c r="BK1865" s="153"/>
      <c r="BL1865" s="153"/>
      <c r="BM1865" s="153"/>
      <c r="BN1865" s="153"/>
      <c r="BO1865" s="153"/>
      <c r="BP1865" s="153"/>
      <c r="BQ1865" s="153"/>
      <c r="BR1865" s="153"/>
      <c r="BS1865" s="153"/>
      <c r="BT1865" s="153"/>
      <c r="BU1865" s="153"/>
      <c r="BV1865" s="153"/>
      <c r="BW1865" s="153"/>
      <c r="BX1865" s="153"/>
      <c r="BY1865" s="153"/>
      <c r="BZ1865" s="153"/>
      <c r="CA1865" s="153"/>
      <c r="CB1865" s="153"/>
      <c r="CC1865" s="153"/>
      <c r="CD1865" s="155"/>
      <c r="CE1865" s="156"/>
      <c r="CF1865" s="155"/>
      <c r="CG1865" s="156"/>
      <c r="CH1865" s="155"/>
      <c r="CI1865" s="156"/>
      <c r="CJ1865" s="157">
        <f t="shared" si="238"/>
        <v>0</v>
      </c>
      <c r="CK1865" s="158"/>
      <c r="CL1865" s="159"/>
      <c r="CM1865" s="160"/>
      <c r="CN1865" s="161"/>
      <c r="CO1865" s="162"/>
      <c r="CP1865" s="161"/>
      <c r="CQ1865" s="158"/>
      <c r="CR1865" s="159"/>
      <c r="CS1865" s="68"/>
      <c r="CT1865" s="163"/>
      <c r="EC1865" s="366" t="str">
        <f t="shared" si="234"/>
        <v>NORTE DE SANTANDER_TEORAMA</v>
      </c>
      <c r="ED1865" s="367"/>
      <c r="EE1865" s="367"/>
      <c r="EF1865" s="368"/>
      <c r="EG1865" s="367"/>
      <c r="EH1865" s="367"/>
      <c r="EI1865" s="367"/>
    </row>
    <row r="1866" spans="1:139" s="164" customFormat="1" ht="38.25">
      <c r="A1866" s="228">
        <v>40505.640277777777</v>
      </c>
      <c r="B1866" s="205" t="s">
        <v>2298</v>
      </c>
      <c r="C1866" s="205" t="s">
        <v>1610</v>
      </c>
      <c r="D1866" s="207" t="s">
        <v>1201</v>
      </c>
      <c r="E1866" s="323"/>
      <c r="F1866" s="323"/>
      <c r="G1866" s="204"/>
      <c r="H1866" s="151"/>
      <c r="I1866" s="151"/>
      <c r="J1866" s="151"/>
      <c r="K1866" s="409"/>
      <c r="L1866" s="1"/>
      <c r="M1866" s="73">
        <f t="shared" si="236"/>
        <v>0</v>
      </c>
      <c r="N1866" s="73">
        <f t="shared" si="233"/>
        <v>0</v>
      </c>
      <c r="O1866" s="73">
        <f t="shared" si="235"/>
        <v>0</v>
      </c>
      <c r="P1866" s="73">
        <f t="shared" si="237"/>
        <v>0</v>
      </c>
      <c r="Q1866" s="73"/>
      <c r="R1866" s="73">
        <v>0</v>
      </c>
      <c r="S1866" s="75">
        <f t="shared" si="239"/>
        <v>0</v>
      </c>
      <c r="T1866" s="77">
        <v>0</v>
      </c>
      <c r="U1866" s="296">
        <v>40624</v>
      </c>
      <c r="V1866" s="297"/>
      <c r="W1866" s="296" t="s">
        <v>1585</v>
      </c>
      <c r="X1866" s="298" t="s">
        <v>1586</v>
      </c>
      <c r="Y1866" s="299"/>
      <c r="Z1866" s="300" t="s">
        <v>894</v>
      </c>
      <c r="AA1866" s="414" t="s">
        <v>5429</v>
      </c>
      <c r="AB1866" s="152"/>
      <c r="AC1866" s="153"/>
      <c r="AD1866" s="154"/>
      <c r="AE1866" s="153"/>
      <c r="AF1866" s="153"/>
      <c r="AG1866" s="153"/>
      <c r="AH1866" s="153"/>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c r="BI1866" s="153"/>
      <c r="BJ1866" s="153"/>
      <c r="BK1866" s="153"/>
      <c r="BL1866" s="153"/>
      <c r="BM1866" s="153"/>
      <c r="BN1866" s="153"/>
      <c r="BO1866" s="153"/>
      <c r="BP1866" s="153"/>
      <c r="BQ1866" s="153"/>
      <c r="BR1866" s="153"/>
      <c r="BS1866" s="153"/>
      <c r="BT1866" s="153"/>
      <c r="BU1866" s="153"/>
      <c r="BV1866" s="153"/>
      <c r="BW1866" s="153"/>
      <c r="BX1866" s="153"/>
      <c r="BY1866" s="153"/>
      <c r="BZ1866" s="153"/>
      <c r="CA1866" s="153"/>
      <c r="CB1866" s="153"/>
      <c r="CC1866" s="153"/>
      <c r="CD1866" s="155"/>
      <c r="CE1866" s="156"/>
      <c r="CF1866" s="155"/>
      <c r="CG1866" s="156"/>
      <c r="CH1866" s="155"/>
      <c r="CI1866" s="156"/>
      <c r="CJ1866" s="157">
        <f t="shared" si="238"/>
        <v>0</v>
      </c>
      <c r="CK1866" s="158"/>
      <c r="CL1866" s="159"/>
      <c r="CM1866" s="160"/>
      <c r="CN1866" s="161"/>
      <c r="CO1866" s="162"/>
      <c r="CP1866" s="161"/>
      <c r="CQ1866" s="158"/>
      <c r="CR1866" s="159"/>
      <c r="CS1866" s="68"/>
      <c r="CT1866" s="163"/>
      <c r="EC1866" s="369" t="str">
        <f t="shared" si="234"/>
        <v>BOGOTA D.C._BOGOTA</v>
      </c>
      <c r="ED1866" s="370"/>
      <c r="EE1866" s="367"/>
      <c r="EF1866" s="368"/>
      <c r="EG1866" s="367"/>
      <c r="EH1866" s="367"/>
      <c r="EI1866" s="367"/>
    </row>
    <row r="1867" spans="1:139" s="164" customFormat="1" ht="38.25">
      <c r="A1867" s="228">
        <v>40505.645138888889</v>
      </c>
      <c r="B1867" s="205" t="s">
        <v>2298</v>
      </c>
      <c r="C1867" s="205" t="s">
        <v>1610</v>
      </c>
      <c r="D1867" s="207" t="s">
        <v>1201</v>
      </c>
      <c r="E1867" s="323"/>
      <c r="F1867" s="323"/>
      <c r="G1867" s="204"/>
      <c r="H1867" s="151"/>
      <c r="I1867" s="151"/>
      <c r="J1867" s="151"/>
      <c r="K1867" s="409"/>
      <c r="L1867" s="1"/>
      <c r="M1867" s="73">
        <f t="shared" si="236"/>
        <v>0</v>
      </c>
      <c r="N1867" s="73">
        <f t="shared" si="233"/>
        <v>0</v>
      </c>
      <c r="O1867" s="73">
        <f t="shared" si="235"/>
        <v>0</v>
      </c>
      <c r="P1867" s="73">
        <f t="shared" si="237"/>
        <v>0</v>
      </c>
      <c r="Q1867" s="73"/>
      <c r="R1867" s="73">
        <v>0</v>
      </c>
      <c r="S1867" s="75">
        <f t="shared" si="239"/>
        <v>0</v>
      </c>
      <c r="T1867" s="77">
        <v>0</v>
      </c>
      <c r="U1867" s="296">
        <v>40624</v>
      </c>
      <c r="V1867" s="297"/>
      <c r="W1867" s="296" t="s">
        <v>1585</v>
      </c>
      <c r="X1867" s="298" t="s">
        <v>1586</v>
      </c>
      <c r="Y1867" s="299"/>
      <c r="Z1867" s="300" t="s">
        <v>894</v>
      </c>
      <c r="AA1867" s="414" t="s">
        <v>5430</v>
      </c>
      <c r="AB1867" s="152"/>
      <c r="AC1867" s="153"/>
      <c r="AD1867" s="154"/>
      <c r="AE1867" s="153"/>
      <c r="AF1867" s="153"/>
      <c r="AG1867" s="153"/>
      <c r="AH1867" s="153"/>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c r="BI1867" s="153"/>
      <c r="BJ1867" s="153"/>
      <c r="BK1867" s="153"/>
      <c r="BL1867" s="153"/>
      <c r="BM1867" s="153"/>
      <c r="BN1867" s="153"/>
      <c r="BO1867" s="153"/>
      <c r="BP1867" s="153"/>
      <c r="BQ1867" s="153"/>
      <c r="BR1867" s="153"/>
      <c r="BS1867" s="153"/>
      <c r="BT1867" s="153"/>
      <c r="BU1867" s="153"/>
      <c r="BV1867" s="153"/>
      <c r="BW1867" s="153"/>
      <c r="BX1867" s="153"/>
      <c r="BY1867" s="153"/>
      <c r="BZ1867" s="153"/>
      <c r="CA1867" s="153"/>
      <c r="CB1867" s="153"/>
      <c r="CC1867" s="153"/>
      <c r="CD1867" s="155"/>
      <c r="CE1867" s="156"/>
      <c r="CF1867" s="155"/>
      <c r="CG1867" s="156"/>
      <c r="CH1867" s="155"/>
      <c r="CI1867" s="156"/>
      <c r="CJ1867" s="157">
        <f t="shared" si="238"/>
        <v>0</v>
      </c>
      <c r="CK1867" s="158"/>
      <c r="CL1867" s="159"/>
      <c r="CM1867" s="160"/>
      <c r="CN1867" s="161"/>
      <c r="CO1867" s="162"/>
      <c r="CP1867" s="161"/>
      <c r="CQ1867" s="158"/>
      <c r="CR1867" s="159"/>
      <c r="CS1867" s="68"/>
      <c r="CT1867" s="163"/>
      <c r="EC1867" s="369" t="str">
        <f t="shared" si="234"/>
        <v>BOGOTA D.C._BOGOTA</v>
      </c>
      <c r="ED1867" s="370"/>
      <c r="EE1867" s="367"/>
      <c r="EF1867" s="368"/>
      <c r="EG1867" s="367"/>
      <c r="EH1867" s="367"/>
      <c r="EI1867" s="367"/>
    </row>
    <row r="1868" spans="1:139" s="164" customFormat="1" ht="38.25">
      <c r="A1868" s="228">
        <v>40505.658333333333</v>
      </c>
      <c r="B1868" s="205" t="s">
        <v>2298</v>
      </c>
      <c r="C1868" s="205" t="s">
        <v>1610</v>
      </c>
      <c r="D1868" s="207" t="s">
        <v>1201</v>
      </c>
      <c r="E1868" s="323"/>
      <c r="F1868" s="323"/>
      <c r="G1868" s="204"/>
      <c r="H1868" s="151"/>
      <c r="I1868" s="151"/>
      <c r="J1868" s="151"/>
      <c r="K1868" s="409"/>
      <c r="L1868" s="1"/>
      <c r="M1868" s="73">
        <f t="shared" si="236"/>
        <v>0</v>
      </c>
      <c r="N1868" s="73">
        <f t="shared" si="233"/>
        <v>0</v>
      </c>
      <c r="O1868" s="73">
        <f t="shared" si="235"/>
        <v>0</v>
      </c>
      <c r="P1868" s="73">
        <f t="shared" si="237"/>
        <v>0</v>
      </c>
      <c r="Q1868" s="73"/>
      <c r="R1868" s="73">
        <v>0</v>
      </c>
      <c r="S1868" s="75">
        <f t="shared" si="239"/>
        <v>0</v>
      </c>
      <c r="T1868" s="77">
        <v>0</v>
      </c>
      <c r="U1868" s="296">
        <v>40624</v>
      </c>
      <c r="V1868" s="297"/>
      <c r="W1868" s="296" t="s">
        <v>1585</v>
      </c>
      <c r="X1868" s="298" t="s">
        <v>1586</v>
      </c>
      <c r="Y1868" s="299"/>
      <c r="Z1868" s="300" t="s">
        <v>894</v>
      </c>
      <c r="AA1868" s="414" t="s">
        <v>5431</v>
      </c>
      <c r="AB1868" s="152"/>
      <c r="AC1868" s="153"/>
      <c r="AD1868" s="154"/>
      <c r="AE1868" s="153"/>
      <c r="AF1868" s="153"/>
      <c r="AG1868" s="153"/>
      <c r="AH1868" s="153"/>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c r="BI1868" s="153"/>
      <c r="BJ1868" s="153"/>
      <c r="BK1868" s="153"/>
      <c r="BL1868" s="153"/>
      <c r="BM1868" s="153"/>
      <c r="BN1868" s="153"/>
      <c r="BO1868" s="153"/>
      <c r="BP1868" s="153"/>
      <c r="BQ1868" s="153"/>
      <c r="BR1868" s="153"/>
      <c r="BS1868" s="153"/>
      <c r="BT1868" s="153"/>
      <c r="BU1868" s="153"/>
      <c r="BV1868" s="153"/>
      <c r="BW1868" s="153"/>
      <c r="BX1868" s="153"/>
      <c r="BY1868" s="153"/>
      <c r="BZ1868" s="153"/>
      <c r="CA1868" s="153"/>
      <c r="CB1868" s="153"/>
      <c r="CC1868" s="153"/>
      <c r="CD1868" s="155"/>
      <c r="CE1868" s="156"/>
      <c r="CF1868" s="155"/>
      <c r="CG1868" s="156"/>
      <c r="CH1868" s="155"/>
      <c r="CI1868" s="156"/>
      <c r="CJ1868" s="157">
        <f t="shared" si="238"/>
        <v>0</v>
      </c>
      <c r="CK1868" s="158"/>
      <c r="CL1868" s="159"/>
      <c r="CM1868" s="160"/>
      <c r="CN1868" s="161"/>
      <c r="CO1868" s="162"/>
      <c r="CP1868" s="161"/>
      <c r="CQ1868" s="158"/>
      <c r="CR1868" s="159"/>
      <c r="CS1868" s="68"/>
      <c r="CT1868" s="163"/>
      <c r="EC1868" s="366" t="str">
        <f t="shared" ref="EC1868:EC1925" si="240">B1868&amp;"_"&amp;C1868</f>
        <v>BOGOTA D.C._BOGOTA</v>
      </c>
      <c r="ED1868" s="367"/>
      <c r="EE1868" s="367"/>
      <c r="EF1868" s="368"/>
      <c r="EG1868" s="367"/>
      <c r="EH1868" s="367"/>
      <c r="EI1868" s="367"/>
    </row>
    <row r="1869" spans="1:139" s="164" customFormat="1" ht="38.25">
      <c r="A1869" s="228">
        <v>40506</v>
      </c>
      <c r="B1869" s="205" t="s">
        <v>1615</v>
      </c>
      <c r="C1869" s="205" t="s">
        <v>1605</v>
      </c>
      <c r="D1869" s="207" t="s">
        <v>1201</v>
      </c>
      <c r="E1869" s="323" t="s">
        <v>3114</v>
      </c>
      <c r="F1869" s="323"/>
      <c r="G1869" s="204"/>
      <c r="H1869" s="151"/>
      <c r="I1869" s="151"/>
      <c r="J1869" s="151"/>
      <c r="K1869" s="151"/>
      <c r="L1869" s="1">
        <v>40526</v>
      </c>
      <c r="M1869" s="73">
        <f t="shared" si="236"/>
        <v>47000000</v>
      </c>
      <c r="N1869" s="73">
        <f t="shared" si="233"/>
        <v>0</v>
      </c>
      <c r="O1869" s="73">
        <f t="shared" si="235"/>
        <v>0</v>
      </c>
      <c r="P1869" s="73">
        <f t="shared" si="237"/>
        <v>645066000</v>
      </c>
      <c r="Q1869" s="73"/>
      <c r="R1869" s="73">
        <v>0</v>
      </c>
      <c r="S1869" s="75">
        <f t="shared" si="239"/>
        <v>692066000</v>
      </c>
      <c r="T1869" s="77">
        <v>0</v>
      </c>
      <c r="U1869" s="66">
        <v>40508</v>
      </c>
      <c r="V1869" s="79">
        <v>68462</v>
      </c>
      <c r="W1869" s="66" t="s">
        <v>1606</v>
      </c>
      <c r="X1869" s="24" t="s">
        <v>1607</v>
      </c>
      <c r="Y1869" s="62">
        <v>26392</v>
      </c>
      <c r="Z1869" s="104" t="s">
        <v>1795</v>
      </c>
      <c r="AA1869" s="166" t="s">
        <v>2723</v>
      </c>
      <c r="AB1869" s="152"/>
      <c r="AC1869" s="153"/>
      <c r="AD1869" s="154"/>
      <c r="AE1869" s="153"/>
      <c r="AF1869" s="153"/>
      <c r="AG1869" s="153"/>
      <c r="AH1869" s="153"/>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c r="BI1869" s="153"/>
      <c r="BJ1869" s="153"/>
      <c r="BK1869" s="153"/>
      <c r="BL1869" s="153"/>
      <c r="BM1869" s="153"/>
      <c r="BN1869" s="153">
        <v>100</v>
      </c>
      <c r="BO1869" s="153">
        <f>100*470000</f>
        <v>47000000</v>
      </c>
      <c r="BP1869" s="153"/>
      <c r="BQ1869" s="153"/>
      <c r="BR1869" s="153"/>
      <c r="BS1869" s="153"/>
      <c r="BT1869" s="153"/>
      <c r="BU1869" s="153"/>
      <c r="BV1869" s="153"/>
      <c r="BW1869" s="153"/>
      <c r="BX1869" s="153"/>
      <c r="BY1869" s="153"/>
      <c r="BZ1869" s="153"/>
      <c r="CA1869" s="153"/>
      <c r="CB1869" s="153"/>
      <c r="CC1869" s="153"/>
      <c r="CD1869" s="155"/>
      <c r="CE1869" s="156"/>
      <c r="CF1869" s="155"/>
      <c r="CG1869" s="156"/>
      <c r="CH1869" s="155"/>
      <c r="CI1869" s="156"/>
      <c r="CJ1869" s="157">
        <f t="shared" si="238"/>
        <v>47000000</v>
      </c>
      <c r="CK1869" s="158">
        <f>150000+200000+100000+150000+100000</f>
        <v>700000</v>
      </c>
      <c r="CL1869" s="159">
        <f>150000*910.6+200000*904.8+100000*900.16+150000*950+100000*950</f>
        <v>645066000</v>
      </c>
      <c r="CM1869" s="160"/>
      <c r="CN1869" s="161"/>
      <c r="CO1869" s="162"/>
      <c r="CP1869" s="161"/>
      <c r="CQ1869" s="158"/>
      <c r="CR1869" s="159"/>
      <c r="CS1869" s="68"/>
      <c r="CT1869" s="163"/>
      <c r="EC1869" s="366" t="str">
        <f t="shared" si="240"/>
        <v>BOLIVAR_DEPARTAMENTO</v>
      </c>
      <c r="ED1869" s="367"/>
      <c r="EE1869" s="367"/>
      <c r="EF1869" s="368"/>
      <c r="EG1869" s="367"/>
      <c r="EH1869" s="367"/>
      <c r="EI1869" s="367"/>
    </row>
    <row r="1870" spans="1:139" s="164" customFormat="1" ht="38.25">
      <c r="A1870" s="228">
        <v>40506</v>
      </c>
      <c r="B1870" s="205" t="s">
        <v>1192</v>
      </c>
      <c r="C1870" s="205" t="s">
        <v>73</v>
      </c>
      <c r="D1870" s="207" t="s">
        <v>1201</v>
      </c>
      <c r="E1870" s="323" t="s">
        <v>3512</v>
      </c>
      <c r="F1870" s="323"/>
      <c r="G1870" s="204"/>
      <c r="H1870" s="151"/>
      <c r="I1870" s="151"/>
      <c r="J1870" s="151">
        <v>550</v>
      </c>
      <c r="K1870" s="151">
        <v>110</v>
      </c>
      <c r="L1870" s="1"/>
      <c r="M1870" s="73">
        <f t="shared" si="236"/>
        <v>0</v>
      </c>
      <c r="N1870" s="73">
        <f t="shared" ref="N1870:N1933" si="241">CN1870</f>
        <v>0</v>
      </c>
      <c r="O1870" s="73">
        <f t="shared" si="235"/>
        <v>0</v>
      </c>
      <c r="P1870" s="73">
        <f t="shared" si="237"/>
        <v>0</v>
      </c>
      <c r="Q1870" s="73"/>
      <c r="R1870" s="73">
        <v>0</v>
      </c>
      <c r="S1870" s="75">
        <f t="shared" si="239"/>
        <v>0</v>
      </c>
      <c r="T1870" s="77">
        <v>0</v>
      </c>
      <c r="U1870" s="66">
        <v>40581</v>
      </c>
      <c r="V1870" s="79"/>
      <c r="W1870" s="66" t="s">
        <v>1585</v>
      </c>
      <c r="X1870" s="24" t="s">
        <v>1586</v>
      </c>
      <c r="Y1870" s="62"/>
      <c r="Z1870" s="169" t="s">
        <v>894</v>
      </c>
      <c r="AA1870" s="166" t="s">
        <v>54</v>
      </c>
      <c r="AB1870" s="152"/>
      <c r="AC1870" s="153"/>
      <c r="AD1870" s="154"/>
      <c r="AE1870" s="153"/>
      <c r="AF1870" s="153"/>
      <c r="AG1870" s="153"/>
      <c r="AH1870" s="153"/>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c r="BI1870" s="153"/>
      <c r="BJ1870" s="153"/>
      <c r="BK1870" s="153"/>
      <c r="BL1870" s="153"/>
      <c r="BM1870" s="153"/>
      <c r="BN1870" s="153"/>
      <c r="BO1870" s="153"/>
      <c r="BP1870" s="153"/>
      <c r="BQ1870" s="153"/>
      <c r="BR1870" s="153"/>
      <c r="BS1870" s="153"/>
      <c r="BT1870" s="153"/>
      <c r="BU1870" s="153"/>
      <c r="BV1870" s="153"/>
      <c r="BW1870" s="153"/>
      <c r="BX1870" s="153"/>
      <c r="BY1870" s="153"/>
      <c r="BZ1870" s="153"/>
      <c r="CA1870" s="153"/>
      <c r="CB1870" s="153"/>
      <c r="CC1870" s="153"/>
      <c r="CD1870" s="155"/>
      <c r="CE1870" s="156"/>
      <c r="CF1870" s="155"/>
      <c r="CG1870" s="156"/>
      <c r="CH1870" s="155"/>
      <c r="CI1870" s="156"/>
      <c r="CJ1870" s="157">
        <f t="shared" si="238"/>
        <v>0</v>
      </c>
      <c r="CK1870" s="158"/>
      <c r="CL1870" s="159"/>
      <c r="CM1870" s="160"/>
      <c r="CN1870" s="161"/>
      <c r="CO1870" s="162"/>
      <c r="CP1870" s="161"/>
      <c r="CQ1870" s="158"/>
      <c r="CR1870" s="159"/>
      <c r="CS1870" s="68"/>
      <c r="CT1870" s="163"/>
      <c r="EC1870" s="366" t="str">
        <f t="shared" si="240"/>
        <v>BOYACA_SATIVANORTE</v>
      </c>
      <c r="ED1870" s="367"/>
      <c r="EE1870" s="370"/>
      <c r="EF1870" s="370"/>
      <c r="EG1870" s="370"/>
      <c r="EH1870" s="370"/>
      <c r="EI1870" s="370"/>
    </row>
    <row r="1871" spans="1:139" s="164" customFormat="1" ht="25.5">
      <c r="A1871" s="228">
        <v>40506</v>
      </c>
      <c r="B1871" s="205" t="s">
        <v>653</v>
      </c>
      <c r="C1871" s="205" t="s">
        <v>2468</v>
      </c>
      <c r="D1871" s="206" t="s">
        <v>1878</v>
      </c>
      <c r="E1871" s="320" t="s">
        <v>3544</v>
      </c>
      <c r="F1871" s="320"/>
      <c r="G1871" s="204">
        <v>2</v>
      </c>
      <c r="H1871" s="151"/>
      <c r="I1871" s="151"/>
      <c r="J1871" s="151">
        <f>200*5</f>
        <v>1000</v>
      </c>
      <c r="K1871" s="151">
        <v>200</v>
      </c>
      <c r="L1871" s="1"/>
      <c r="M1871" s="73">
        <f t="shared" si="236"/>
        <v>0</v>
      </c>
      <c r="N1871" s="73">
        <f t="shared" si="241"/>
        <v>0</v>
      </c>
      <c r="O1871" s="73">
        <f t="shared" si="235"/>
        <v>0</v>
      </c>
      <c r="P1871" s="73">
        <f t="shared" si="237"/>
        <v>0</v>
      </c>
      <c r="Q1871" s="73"/>
      <c r="R1871" s="73">
        <v>0</v>
      </c>
      <c r="S1871" s="75">
        <f t="shared" si="239"/>
        <v>0</v>
      </c>
      <c r="T1871" s="77">
        <v>0</v>
      </c>
      <c r="U1871" s="66">
        <v>40506</v>
      </c>
      <c r="V1871" s="79"/>
      <c r="W1871" s="66" t="s">
        <v>1606</v>
      </c>
      <c r="X1871" s="24" t="s">
        <v>1607</v>
      </c>
      <c r="Y1871" s="62"/>
      <c r="Z1871" s="176" t="s">
        <v>3056</v>
      </c>
      <c r="AA1871" s="166" t="s">
        <v>2469</v>
      </c>
      <c r="AB1871" s="152"/>
      <c r="AC1871" s="153"/>
      <c r="AD1871" s="154"/>
      <c r="AE1871" s="153"/>
      <c r="AF1871" s="153"/>
      <c r="AG1871" s="153"/>
      <c r="AH1871" s="153"/>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c r="BI1871" s="153"/>
      <c r="BJ1871" s="153"/>
      <c r="BK1871" s="153"/>
      <c r="BL1871" s="153"/>
      <c r="BM1871" s="153"/>
      <c r="BN1871" s="153"/>
      <c r="BO1871" s="153"/>
      <c r="BP1871" s="153"/>
      <c r="BQ1871" s="153"/>
      <c r="BR1871" s="153"/>
      <c r="BS1871" s="153"/>
      <c r="BT1871" s="153"/>
      <c r="BU1871" s="153"/>
      <c r="BV1871" s="153"/>
      <c r="BW1871" s="153"/>
      <c r="BX1871" s="153"/>
      <c r="BY1871" s="153"/>
      <c r="BZ1871" s="153"/>
      <c r="CA1871" s="153"/>
      <c r="CB1871" s="153"/>
      <c r="CC1871" s="153"/>
      <c r="CD1871" s="155"/>
      <c r="CE1871" s="156"/>
      <c r="CF1871" s="155"/>
      <c r="CG1871" s="156"/>
      <c r="CH1871" s="155"/>
      <c r="CI1871" s="156"/>
      <c r="CJ1871" s="157">
        <f t="shared" si="238"/>
        <v>0</v>
      </c>
      <c r="CK1871" s="158"/>
      <c r="CL1871" s="159"/>
      <c r="CM1871" s="160"/>
      <c r="CN1871" s="161"/>
      <c r="CO1871" s="162"/>
      <c r="CP1871" s="161"/>
      <c r="CQ1871" s="158"/>
      <c r="CR1871" s="159"/>
      <c r="CS1871" s="68"/>
      <c r="CT1871" s="163"/>
      <c r="EC1871" s="366" t="str">
        <f t="shared" si="240"/>
        <v>CALDAS_AGUADAS</v>
      </c>
      <c r="ED1871" s="367"/>
      <c r="EE1871" s="370"/>
      <c r="EF1871" s="370"/>
      <c r="EG1871" s="370"/>
      <c r="EH1871" s="370"/>
      <c r="EI1871" s="370"/>
    </row>
    <row r="1872" spans="1:139" s="164" customFormat="1" ht="84">
      <c r="A1872" s="228">
        <v>40506</v>
      </c>
      <c r="B1872" s="205" t="s">
        <v>1314</v>
      </c>
      <c r="C1872" s="205" t="s">
        <v>200</v>
      </c>
      <c r="D1872" s="207" t="s">
        <v>1201</v>
      </c>
      <c r="E1872" s="323" t="s">
        <v>3623</v>
      </c>
      <c r="F1872" s="323"/>
      <c r="G1872" s="204"/>
      <c r="H1872" s="151"/>
      <c r="I1872" s="151"/>
      <c r="J1872" s="151">
        <f>183*5</f>
        <v>915</v>
      </c>
      <c r="K1872" s="151">
        <v>183</v>
      </c>
      <c r="L1872" s="1"/>
      <c r="M1872" s="73">
        <f t="shared" si="236"/>
        <v>0</v>
      </c>
      <c r="N1872" s="73">
        <f t="shared" si="241"/>
        <v>0</v>
      </c>
      <c r="O1872" s="73">
        <f t="shared" si="235"/>
        <v>0</v>
      </c>
      <c r="P1872" s="73">
        <f t="shared" si="237"/>
        <v>0</v>
      </c>
      <c r="Q1872" s="73"/>
      <c r="R1872" s="73">
        <v>0</v>
      </c>
      <c r="S1872" s="75">
        <f t="shared" si="239"/>
        <v>0</v>
      </c>
      <c r="T1872" s="77">
        <v>0</v>
      </c>
      <c r="U1872" s="66"/>
      <c r="V1872" s="79"/>
      <c r="W1872" s="66" t="s">
        <v>1606</v>
      </c>
      <c r="X1872" s="264" t="s">
        <v>1607</v>
      </c>
      <c r="Y1872" s="62"/>
      <c r="Z1872" s="260" t="s">
        <v>18</v>
      </c>
      <c r="AA1872" s="166" t="s">
        <v>2938</v>
      </c>
      <c r="AB1872" s="152"/>
      <c r="AC1872" s="153"/>
      <c r="AD1872" s="154"/>
      <c r="AE1872" s="153"/>
      <c r="AF1872" s="153"/>
      <c r="AG1872" s="153"/>
      <c r="AH1872" s="153"/>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c r="BF1872" s="153"/>
      <c r="BG1872" s="153"/>
      <c r="BH1872" s="153"/>
      <c r="BI1872" s="153"/>
      <c r="BJ1872" s="153"/>
      <c r="BK1872" s="153"/>
      <c r="BL1872" s="153"/>
      <c r="BM1872" s="153"/>
      <c r="BN1872" s="153"/>
      <c r="BO1872" s="153"/>
      <c r="BP1872" s="153"/>
      <c r="BQ1872" s="153"/>
      <c r="BR1872" s="153"/>
      <c r="BS1872" s="153"/>
      <c r="BT1872" s="153"/>
      <c r="BU1872" s="153"/>
      <c r="BV1872" s="153"/>
      <c r="BW1872" s="153"/>
      <c r="BX1872" s="153"/>
      <c r="BY1872" s="153"/>
      <c r="BZ1872" s="153"/>
      <c r="CA1872" s="153"/>
      <c r="CB1872" s="153"/>
      <c r="CC1872" s="153"/>
      <c r="CD1872" s="155"/>
      <c r="CE1872" s="156"/>
      <c r="CF1872" s="155"/>
      <c r="CG1872" s="156"/>
      <c r="CH1872" s="155"/>
      <c r="CI1872" s="156"/>
      <c r="CJ1872" s="157">
        <f t="shared" si="238"/>
        <v>0</v>
      </c>
      <c r="CK1872" s="158"/>
      <c r="CL1872" s="159"/>
      <c r="CM1872" s="160"/>
      <c r="CN1872" s="161"/>
      <c r="CO1872" s="162"/>
      <c r="CP1872" s="161"/>
      <c r="CQ1872" s="158"/>
      <c r="CR1872" s="159"/>
      <c r="CS1872" s="68"/>
      <c r="CT1872" s="163"/>
      <c r="EC1872" s="366" t="str">
        <f t="shared" si="240"/>
        <v>CAUCA_TIMBIO</v>
      </c>
      <c r="ED1872" s="367"/>
      <c r="EE1872" s="367"/>
      <c r="EF1872" s="368"/>
      <c r="EG1872" s="367"/>
      <c r="EH1872" s="367"/>
      <c r="EI1872" s="367"/>
    </row>
    <row r="1873" spans="1:139" s="164" customFormat="1" ht="63.75">
      <c r="A1873" s="228">
        <v>40506</v>
      </c>
      <c r="B1873" s="205" t="s">
        <v>1604</v>
      </c>
      <c r="C1873" s="205" t="s">
        <v>5398</v>
      </c>
      <c r="D1873" s="206" t="s">
        <v>1878</v>
      </c>
      <c r="E1873" s="320" t="s">
        <v>3782</v>
      </c>
      <c r="F1873" s="320"/>
      <c r="G1873" s="204"/>
      <c r="H1873" s="151"/>
      <c r="I1873" s="151"/>
      <c r="J1873" s="151"/>
      <c r="K1873" s="151"/>
      <c r="L1873" s="1"/>
      <c r="M1873" s="73">
        <f t="shared" si="236"/>
        <v>0</v>
      </c>
      <c r="N1873" s="73">
        <f t="shared" si="241"/>
        <v>0</v>
      </c>
      <c r="O1873" s="73">
        <f t="shared" si="235"/>
        <v>0</v>
      </c>
      <c r="P1873" s="73">
        <f t="shared" si="237"/>
        <v>0</v>
      </c>
      <c r="Q1873" s="73"/>
      <c r="R1873" s="73">
        <v>0</v>
      </c>
      <c r="S1873" s="75">
        <f t="shared" si="239"/>
        <v>0</v>
      </c>
      <c r="T1873" s="77">
        <v>0</v>
      </c>
      <c r="U1873" s="66">
        <v>40506</v>
      </c>
      <c r="V1873" s="79"/>
      <c r="W1873" s="66" t="s">
        <v>1585</v>
      </c>
      <c r="X1873" s="24" t="s">
        <v>1586</v>
      </c>
      <c r="Y1873" s="62"/>
      <c r="Z1873" s="169" t="s">
        <v>894</v>
      </c>
      <c r="AA1873" s="166" t="s">
        <v>2474</v>
      </c>
      <c r="AB1873" s="152"/>
      <c r="AC1873" s="153"/>
      <c r="AD1873" s="154"/>
      <c r="AE1873" s="153"/>
      <c r="AF1873" s="153"/>
      <c r="AG1873" s="153"/>
      <c r="AH1873" s="153"/>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c r="BF1873" s="153"/>
      <c r="BG1873" s="153"/>
      <c r="BH1873" s="153"/>
      <c r="BI1873" s="153"/>
      <c r="BJ1873" s="153"/>
      <c r="BK1873" s="153"/>
      <c r="BL1873" s="153"/>
      <c r="BM1873" s="153"/>
      <c r="BN1873" s="153"/>
      <c r="BO1873" s="153"/>
      <c r="BP1873" s="153"/>
      <c r="BQ1873" s="153"/>
      <c r="BR1873" s="153"/>
      <c r="BS1873" s="153"/>
      <c r="BT1873" s="153"/>
      <c r="BU1873" s="153"/>
      <c r="BV1873" s="153"/>
      <c r="BW1873" s="153"/>
      <c r="BX1873" s="153"/>
      <c r="BY1873" s="153"/>
      <c r="BZ1873" s="153"/>
      <c r="CA1873" s="153"/>
      <c r="CB1873" s="153"/>
      <c r="CC1873" s="153"/>
      <c r="CD1873" s="155"/>
      <c r="CE1873" s="156"/>
      <c r="CF1873" s="155"/>
      <c r="CG1873" s="156"/>
      <c r="CH1873" s="155"/>
      <c r="CI1873" s="156"/>
      <c r="CJ1873" s="157">
        <f t="shared" si="238"/>
        <v>0</v>
      </c>
      <c r="CK1873" s="158"/>
      <c r="CL1873" s="159"/>
      <c r="CM1873" s="160"/>
      <c r="CN1873" s="161"/>
      <c r="CO1873" s="162"/>
      <c r="CP1873" s="161"/>
      <c r="CQ1873" s="158"/>
      <c r="CR1873" s="159"/>
      <c r="CS1873" s="68"/>
      <c r="CT1873" s="163"/>
      <c r="EC1873" s="366" t="str">
        <f t="shared" si="240"/>
        <v>CUNDINAMARCA_VILLA DE SAN DIEGO DE UBATE</v>
      </c>
      <c r="ED1873" s="367"/>
      <c r="EE1873" s="367"/>
      <c r="EF1873" s="368"/>
      <c r="EG1873" s="367"/>
      <c r="EH1873" s="367"/>
      <c r="EI1873" s="367"/>
    </row>
    <row r="1874" spans="1:139" s="164" customFormat="1" ht="48">
      <c r="A1874" s="228">
        <v>40506</v>
      </c>
      <c r="B1874" s="205" t="s">
        <v>962</v>
      </c>
      <c r="C1874" s="205" t="s">
        <v>599</v>
      </c>
      <c r="D1874" s="207" t="s">
        <v>1201</v>
      </c>
      <c r="E1874" s="323" t="s">
        <v>3823</v>
      </c>
      <c r="F1874" s="323"/>
      <c r="G1874" s="204"/>
      <c r="H1874" s="151"/>
      <c r="I1874" s="151"/>
      <c r="J1874" s="151">
        <v>5</v>
      </c>
      <c r="K1874" s="151">
        <v>1</v>
      </c>
      <c r="L1874" s="1"/>
      <c r="M1874" s="73">
        <f t="shared" si="236"/>
        <v>0</v>
      </c>
      <c r="N1874" s="73">
        <f t="shared" si="241"/>
        <v>0</v>
      </c>
      <c r="O1874" s="73">
        <f t="shared" si="235"/>
        <v>0</v>
      </c>
      <c r="P1874" s="73">
        <f t="shared" si="237"/>
        <v>0</v>
      </c>
      <c r="Q1874" s="73"/>
      <c r="R1874" s="73">
        <v>0</v>
      </c>
      <c r="S1874" s="75">
        <f t="shared" si="239"/>
        <v>0</v>
      </c>
      <c r="T1874" s="77">
        <v>0</v>
      </c>
      <c r="U1874" s="66">
        <v>40508</v>
      </c>
      <c r="V1874" s="79"/>
      <c r="W1874" s="66" t="s">
        <v>1585</v>
      </c>
      <c r="X1874" s="24" t="s">
        <v>1586</v>
      </c>
      <c r="Y1874" s="62"/>
      <c r="Z1874" s="169" t="s">
        <v>894</v>
      </c>
      <c r="AA1874" s="166" t="s">
        <v>2494</v>
      </c>
      <c r="AB1874" s="152"/>
      <c r="AC1874" s="153"/>
      <c r="AD1874" s="154"/>
      <c r="AE1874" s="153"/>
      <c r="AF1874" s="153"/>
      <c r="AG1874" s="153"/>
      <c r="AH1874" s="153"/>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c r="BF1874" s="153"/>
      <c r="BG1874" s="153"/>
      <c r="BH1874" s="153"/>
      <c r="BI1874" s="153"/>
      <c r="BJ1874" s="153"/>
      <c r="BK1874" s="153"/>
      <c r="BL1874" s="153"/>
      <c r="BM1874" s="153"/>
      <c r="BN1874" s="153"/>
      <c r="BO1874" s="153"/>
      <c r="BP1874" s="153"/>
      <c r="BQ1874" s="153"/>
      <c r="BR1874" s="153"/>
      <c r="BS1874" s="153"/>
      <c r="BT1874" s="153"/>
      <c r="BU1874" s="153"/>
      <c r="BV1874" s="153"/>
      <c r="BW1874" s="153"/>
      <c r="BX1874" s="153"/>
      <c r="BY1874" s="153"/>
      <c r="BZ1874" s="153"/>
      <c r="CA1874" s="153"/>
      <c r="CB1874" s="153"/>
      <c r="CC1874" s="153"/>
      <c r="CD1874" s="155"/>
      <c r="CE1874" s="156"/>
      <c r="CF1874" s="155"/>
      <c r="CG1874" s="156"/>
      <c r="CH1874" s="155"/>
      <c r="CI1874" s="156"/>
      <c r="CJ1874" s="157">
        <f t="shared" si="238"/>
        <v>0</v>
      </c>
      <c r="CK1874" s="158"/>
      <c r="CL1874" s="159"/>
      <c r="CM1874" s="160"/>
      <c r="CN1874" s="161"/>
      <c r="CO1874" s="162"/>
      <c r="CP1874" s="161"/>
      <c r="CQ1874" s="158"/>
      <c r="CR1874" s="159"/>
      <c r="CS1874" s="68"/>
      <c r="CT1874" s="163"/>
      <c r="EC1874" s="366" t="str">
        <f t="shared" si="240"/>
        <v>HUILA_NEIVA</v>
      </c>
      <c r="ED1874" s="367"/>
      <c r="EE1874" s="367"/>
      <c r="EF1874" s="368"/>
      <c r="EG1874" s="367"/>
      <c r="EH1874" s="367"/>
      <c r="EI1874" s="367"/>
    </row>
    <row r="1875" spans="1:139" s="164" customFormat="1" ht="60">
      <c r="A1875" s="228">
        <v>40506</v>
      </c>
      <c r="B1875" s="205" t="s">
        <v>962</v>
      </c>
      <c r="C1875" s="205" t="s">
        <v>2495</v>
      </c>
      <c r="D1875" s="207" t="s">
        <v>1878</v>
      </c>
      <c r="E1875" s="323" t="s">
        <v>3853</v>
      </c>
      <c r="F1875" s="323"/>
      <c r="G1875" s="204"/>
      <c r="H1875" s="151"/>
      <c r="I1875" s="151"/>
      <c r="J1875" s="151">
        <v>75</v>
      </c>
      <c r="K1875" s="151">
        <v>24</v>
      </c>
      <c r="L1875" s="1"/>
      <c r="M1875" s="73">
        <f t="shared" si="236"/>
        <v>0</v>
      </c>
      <c r="N1875" s="73">
        <f t="shared" si="241"/>
        <v>0</v>
      </c>
      <c r="O1875" s="73">
        <f t="shared" si="235"/>
        <v>0</v>
      </c>
      <c r="P1875" s="73">
        <f t="shared" si="237"/>
        <v>0</v>
      </c>
      <c r="Q1875" s="73"/>
      <c r="R1875" s="73">
        <v>0</v>
      </c>
      <c r="S1875" s="75">
        <f t="shared" si="239"/>
        <v>0</v>
      </c>
      <c r="T1875" s="77">
        <v>0</v>
      </c>
      <c r="U1875" s="66">
        <v>40508</v>
      </c>
      <c r="V1875" s="79"/>
      <c r="W1875" s="66" t="s">
        <v>1585</v>
      </c>
      <c r="X1875" s="24" t="s">
        <v>1586</v>
      </c>
      <c r="Y1875" s="62"/>
      <c r="Z1875" s="169" t="s">
        <v>894</v>
      </c>
      <c r="AA1875" s="166" t="s">
        <v>544</v>
      </c>
      <c r="AB1875" s="152"/>
      <c r="AC1875" s="153"/>
      <c r="AD1875" s="154"/>
      <c r="AE1875" s="153"/>
      <c r="AF1875" s="153"/>
      <c r="AG1875" s="153"/>
      <c r="AH1875" s="153"/>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c r="BF1875" s="153"/>
      <c r="BG1875" s="153"/>
      <c r="BH1875" s="153"/>
      <c r="BI1875" s="153"/>
      <c r="BJ1875" s="153"/>
      <c r="BK1875" s="153"/>
      <c r="BL1875" s="153"/>
      <c r="BM1875" s="153"/>
      <c r="BN1875" s="153"/>
      <c r="BO1875" s="153"/>
      <c r="BP1875" s="153"/>
      <c r="BQ1875" s="153"/>
      <c r="BR1875" s="153"/>
      <c r="BS1875" s="153"/>
      <c r="BT1875" s="153"/>
      <c r="BU1875" s="153"/>
      <c r="BV1875" s="153"/>
      <c r="BW1875" s="153"/>
      <c r="BX1875" s="153"/>
      <c r="BY1875" s="153"/>
      <c r="BZ1875" s="153"/>
      <c r="CA1875" s="153"/>
      <c r="CB1875" s="153"/>
      <c r="CC1875" s="153"/>
      <c r="CD1875" s="155"/>
      <c r="CE1875" s="156"/>
      <c r="CF1875" s="155"/>
      <c r="CG1875" s="156"/>
      <c r="CH1875" s="155"/>
      <c r="CI1875" s="156"/>
      <c r="CJ1875" s="157">
        <f t="shared" si="238"/>
        <v>0</v>
      </c>
      <c r="CK1875" s="158"/>
      <c r="CL1875" s="159"/>
      <c r="CM1875" s="160"/>
      <c r="CN1875" s="161"/>
      <c r="CO1875" s="162"/>
      <c r="CP1875" s="161"/>
      <c r="CQ1875" s="158"/>
      <c r="CR1875" s="159"/>
      <c r="CS1875" s="68"/>
      <c r="CT1875" s="163"/>
      <c r="EC1875" s="366" t="str">
        <f t="shared" si="240"/>
        <v>HUILA_TARQUI</v>
      </c>
      <c r="ED1875" s="367"/>
      <c r="EE1875" s="367"/>
      <c r="EF1875" s="368"/>
      <c r="EG1875" s="367"/>
      <c r="EH1875" s="367"/>
      <c r="EI1875" s="367"/>
    </row>
    <row r="1876" spans="1:139" s="164" customFormat="1" ht="108">
      <c r="A1876" s="228">
        <v>40506</v>
      </c>
      <c r="B1876" s="205" t="s">
        <v>1824</v>
      </c>
      <c r="C1876" s="205" t="s">
        <v>3174</v>
      </c>
      <c r="D1876" s="207" t="s">
        <v>1878</v>
      </c>
      <c r="E1876" s="323" t="s">
        <v>3953</v>
      </c>
      <c r="F1876" s="323"/>
      <c r="G1876" s="204"/>
      <c r="H1876" s="151"/>
      <c r="I1876" s="151"/>
      <c r="J1876" s="151">
        <v>115</v>
      </c>
      <c r="K1876" s="151">
        <v>30</v>
      </c>
      <c r="L1876" s="1"/>
      <c r="M1876" s="73">
        <f t="shared" si="236"/>
        <v>0</v>
      </c>
      <c r="N1876" s="73">
        <f t="shared" si="241"/>
        <v>0</v>
      </c>
      <c r="O1876" s="73">
        <f t="shared" si="235"/>
        <v>0</v>
      </c>
      <c r="P1876" s="73">
        <f t="shared" si="237"/>
        <v>0</v>
      </c>
      <c r="Q1876" s="73"/>
      <c r="R1876" s="73">
        <v>0</v>
      </c>
      <c r="S1876" s="75">
        <f t="shared" si="239"/>
        <v>0</v>
      </c>
      <c r="T1876" s="77">
        <v>0</v>
      </c>
      <c r="U1876" s="66">
        <v>40506</v>
      </c>
      <c r="V1876" s="79"/>
      <c r="W1876" s="66" t="s">
        <v>1585</v>
      </c>
      <c r="X1876" s="24" t="s">
        <v>1586</v>
      </c>
      <c r="Y1876" s="62"/>
      <c r="Z1876" s="169" t="s">
        <v>894</v>
      </c>
      <c r="AA1876" s="166" t="s">
        <v>256</v>
      </c>
      <c r="AB1876" s="152"/>
      <c r="AC1876" s="153"/>
      <c r="AD1876" s="154"/>
      <c r="AE1876" s="153"/>
      <c r="AF1876" s="153"/>
      <c r="AG1876" s="153"/>
      <c r="AH1876" s="153"/>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c r="BF1876" s="153"/>
      <c r="BG1876" s="153"/>
      <c r="BH1876" s="153"/>
      <c r="BI1876" s="153"/>
      <c r="BJ1876" s="153"/>
      <c r="BK1876" s="153"/>
      <c r="BL1876" s="153"/>
      <c r="BM1876" s="153"/>
      <c r="BN1876" s="153"/>
      <c r="BO1876" s="153"/>
      <c r="BP1876" s="153"/>
      <c r="BQ1876" s="153"/>
      <c r="BR1876" s="153"/>
      <c r="BS1876" s="153"/>
      <c r="BT1876" s="153"/>
      <c r="BU1876" s="153"/>
      <c r="BV1876" s="153"/>
      <c r="BW1876" s="153"/>
      <c r="BX1876" s="153"/>
      <c r="BY1876" s="153"/>
      <c r="BZ1876" s="153"/>
      <c r="CA1876" s="153"/>
      <c r="CB1876" s="153"/>
      <c r="CC1876" s="153"/>
      <c r="CD1876" s="155"/>
      <c r="CE1876" s="156"/>
      <c r="CF1876" s="155"/>
      <c r="CG1876" s="156"/>
      <c r="CH1876" s="155"/>
      <c r="CI1876" s="156"/>
      <c r="CJ1876" s="157">
        <f t="shared" si="238"/>
        <v>0</v>
      </c>
      <c r="CK1876" s="158"/>
      <c r="CL1876" s="159"/>
      <c r="CM1876" s="160"/>
      <c r="CN1876" s="161"/>
      <c r="CO1876" s="162"/>
      <c r="CP1876" s="161"/>
      <c r="CQ1876" s="158"/>
      <c r="CR1876" s="159"/>
      <c r="CS1876" s="68"/>
      <c r="CT1876" s="163"/>
      <c r="EC1876" s="371" t="str">
        <f t="shared" si="240"/>
        <v>NARIÑO_EL TABLON DE GOMEZ</v>
      </c>
      <c r="ED1876" s="368"/>
      <c r="EE1876" s="367"/>
      <c r="EF1876" s="368"/>
      <c r="EG1876" s="367"/>
      <c r="EH1876" s="367"/>
      <c r="EI1876" s="367"/>
    </row>
    <row r="1877" spans="1:139" s="164" customFormat="1" ht="25.5">
      <c r="A1877" s="228">
        <v>40506</v>
      </c>
      <c r="B1877" s="205" t="s">
        <v>1824</v>
      </c>
      <c r="C1877" s="205" t="s">
        <v>255</v>
      </c>
      <c r="D1877" s="207" t="s">
        <v>1878</v>
      </c>
      <c r="E1877" s="323" t="s">
        <v>3962</v>
      </c>
      <c r="F1877" s="323"/>
      <c r="G1877" s="204"/>
      <c r="H1877" s="151"/>
      <c r="I1877" s="151"/>
      <c r="J1877" s="151">
        <f>2379-25</f>
        <v>2354</v>
      </c>
      <c r="K1877" s="151">
        <v>585</v>
      </c>
      <c r="L1877" s="1"/>
      <c r="M1877" s="73">
        <f t="shared" si="236"/>
        <v>0</v>
      </c>
      <c r="N1877" s="73">
        <f t="shared" si="241"/>
        <v>0</v>
      </c>
      <c r="O1877" s="73">
        <f t="shared" si="235"/>
        <v>0</v>
      </c>
      <c r="P1877" s="73">
        <f t="shared" si="237"/>
        <v>0</v>
      </c>
      <c r="Q1877" s="73"/>
      <c r="R1877" s="73">
        <v>0</v>
      </c>
      <c r="S1877" s="75">
        <f t="shared" si="239"/>
        <v>0</v>
      </c>
      <c r="T1877" s="77">
        <v>0</v>
      </c>
      <c r="U1877" s="66">
        <v>40506</v>
      </c>
      <c r="V1877" s="79"/>
      <c r="W1877" s="66" t="s">
        <v>1585</v>
      </c>
      <c r="X1877" s="24" t="s">
        <v>1586</v>
      </c>
      <c r="Y1877" s="62"/>
      <c r="Z1877" s="169" t="s">
        <v>894</v>
      </c>
      <c r="AA1877" s="166" t="s">
        <v>1707</v>
      </c>
      <c r="AB1877" s="152"/>
      <c r="AC1877" s="153"/>
      <c r="AD1877" s="154"/>
      <c r="AE1877" s="153"/>
      <c r="AF1877" s="153"/>
      <c r="AG1877" s="153"/>
      <c r="AH1877" s="153"/>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c r="BF1877" s="153"/>
      <c r="BG1877" s="153"/>
      <c r="BH1877" s="153"/>
      <c r="BI1877" s="153"/>
      <c r="BJ1877" s="153"/>
      <c r="BK1877" s="153"/>
      <c r="BL1877" s="153"/>
      <c r="BM1877" s="153"/>
      <c r="BN1877" s="153"/>
      <c r="BO1877" s="153"/>
      <c r="BP1877" s="153"/>
      <c r="BQ1877" s="153"/>
      <c r="BR1877" s="153"/>
      <c r="BS1877" s="153"/>
      <c r="BT1877" s="153"/>
      <c r="BU1877" s="153"/>
      <c r="BV1877" s="153"/>
      <c r="BW1877" s="153"/>
      <c r="BX1877" s="153"/>
      <c r="BY1877" s="153"/>
      <c r="BZ1877" s="153"/>
      <c r="CA1877" s="153"/>
      <c r="CB1877" s="153"/>
      <c r="CC1877" s="153"/>
      <c r="CD1877" s="155"/>
      <c r="CE1877" s="156"/>
      <c r="CF1877" s="155"/>
      <c r="CG1877" s="156"/>
      <c r="CH1877" s="155"/>
      <c r="CI1877" s="156"/>
      <c r="CJ1877" s="157">
        <f t="shared" si="238"/>
        <v>0</v>
      </c>
      <c r="CK1877" s="158"/>
      <c r="CL1877" s="159"/>
      <c r="CM1877" s="160"/>
      <c r="CN1877" s="161"/>
      <c r="CO1877" s="162"/>
      <c r="CP1877" s="161"/>
      <c r="CQ1877" s="158"/>
      <c r="CR1877" s="159"/>
      <c r="CS1877" s="68"/>
      <c r="CT1877" s="163"/>
      <c r="EC1877" s="371" t="str">
        <f t="shared" si="240"/>
        <v>NARIÑO_LA CRUZ</v>
      </c>
      <c r="ED1877" s="368"/>
      <c r="EE1877" s="367"/>
      <c r="EF1877" s="368"/>
      <c r="EG1877" s="367"/>
      <c r="EH1877" s="367"/>
      <c r="EI1877" s="367"/>
    </row>
    <row r="1878" spans="1:139" s="164" customFormat="1" ht="25.5">
      <c r="A1878" s="228">
        <v>40506</v>
      </c>
      <c r="B1878" s="205" t="s">
        <v>1612</v>
      </c>
      <c r="C1878" s="205" t="s">
        <v>1578</v>
      </c>
      <c r="D1878" s="206" t="s">
        <v>1878</v>
      </c>
      <c r="E1878" s="320" t="s">
        <v>4048</v>
      </c>
      <c r="F1878" s="320"/>
      <c r="G1878" s="204"/>
      <c r="H1878" s="151"/>
      <c r="I1878" s="151"/>
      <c r="J1878" s="151">
        <v>35</v>
      </c>
      <c r="K1878" s="151">
        <v>12</v>
      </c>
      <c r="L1878" s="1"/>
      <c r="M1878" s="73">
        <f t="shared" si="236"/>
        <v>0</v>
      </c>
      <c r="N1878" s="73">
        <f t="shared" si="241"/>
        <v>0</v>
      </c>
      <c r="O1878" s="73">
        <f t="shared" si="235"/>
        <v>0</v>
      </c>
      <c r="P1878" s="73">
        <f t="shared" si="237"/>
        <v>0</v>
      </c>
      <c r="Q1878" s="73"/>
      <c r="R1878" s="73">
        <v>0</v>
      </c>
      <c r="S1878" s="75">
        <f t="shared" si="239"/>
        <v>0</v>
      </c>
      <c r="T1878" s="77">
        <v>0</v>
      </c>
      <c r="U1878" s="66">
        <v>40506</v>
      </c>
      <c r="V1878" s="79"/>
      <c r="W1878" s="66" t="s">
        <v>1585</v>
      </c>
      <c r="X1878" s="24" t="s">
        <v>1586</v>
      </c>
      <c r="Y1878" s="62"/>
      <c r="Z1878" s="169" t="s">
        <v>894</v>
      </c>
      <c r="AA1878" s="166" t="s">
        <v>2472</v>
      </c>
      <c r="AB1878" s="152"/>
      <c r="AC1878" s="153"/>
      <c r="AD1878" s="154"/>
      <c r="AE1878" s="153"/>
      <c r="AF1878" s="153"/>
      <c r="AG1878" s="153"/>
      <c r="AH1878" s="153"/>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c r="BF1878" s="153"/>
      <c r="BG1878" s="153"/>
      <c r="BH1878" s="153"/>
      <c r="BI1878" s="153"/>
      <c r="BJ1878" s="153"/>
      <c r="BK1878" s="153"/>
      <c r="BL1878" s="153"/>
      <c r="BM1878" s="153"/>
      <c r="BN1878" s="153"/>
      <c r="BO1878" s="153"/>
      <c r="BP1878" s="153"/>
      <c r="BQ1878" s="153"/>
      <c r="BR1878" s="153"/>
      <c r="BS1878" s="153"/>
      <c r="BT1878" s="153"/>
      <c r="BU1878" s="153"/>
      <c r="BV1878" s="153"/>
      <c r="BW1878" s="153"/>
      <c r="BX1878" s="153"/>
      <c r="BY1878" s="153"/>
      <c r="BZ1878" s="153"/>
      <c r="CA1878" s="153"/>
      <c r="CB1878" s="153"/>
      <c r="CC1878" s="153"/>
      <c r="CD1878" s="155"/>
      <c r="CE1878" s="156"/>
      <c r="CF1878" s="155"/>
      <c r="CG1878" s="156"/>
      <c r="CH1878" s="155"/>
      <c r="CI1878" s="156"/>
      <c r="CJ1878" s="157">
        <f t="shared" si="238"/>
        <v>0</v>
      </c>
      <c r="CK1878" s="158"/>
      <c r="CL1878" s="159"/>
      <c r="CM1878" s="160"/>
      <c r="CN1878" s="161"/>
      <c r="CO1878" s="162"/>
      <c r="CP1878" s="161"/>
      <c r="CQ1878" s="158"/>
      <c r="CR1878" s="159"/>
      <c r="CS1878" s="68"/>
      <c r="CT1878" s="163"/>
      <c r="EC1878" s="366" t="str">
        <f t="shared" si="240"/>
        <v>QUINDIO_QUIMBAYA</v>
      </c>
      <c r="ED1878" s="367"/>
      <c r="EE1878" s="367"/>
      <c r="EF1878" s="368"/>
      <c r="EG1878" s="367"/>
      <c r="EH1878" s="367"/>
      <c r="EI1878" s="367"/>
    </row>
    <row r="1879" spans="1:139" s="164" customFormat="1" ht="25.5">
      <c r="A1879" s="228">
        <v>40506</v>
      </c>
      <c r="B1879" s="102" t="s">
        <v>1609</v>
      </c>
      <c r="C1879" s="205" t="s">
        <v>2596</v>
      </c>
      <c r="D1879" s="206" t="s">
        <v>1878</v>
      </c>
      <c r="E1879" s="320" t="s">
        <v>4056</v>
      </c>
      <c r="F1879" s="320"/>
      <c r="G1879" s="204">
        <v>1</v>
      </c>
      <c r="H1879" s="151"/>
      <c r="I1879" s="151"/>
      <c r="J1879" s="151"/>
      <c r="K1879" s="151"/>
      <c r="L1879" s="1"/>
      <c r="M1879" s="73">
        <f t="shared" si="236"/>
        <v>0</v>
      </c>
      <c r="N1879" s="73">
        <f t="shared" si="241"/>
        <v>0</v>
      </c>
      <c r="O1879" s="73">
        <f t="shared" si="235"/>
        <v>0</v>
      </c>
      <c r="P1879" s="73">
        <f t="shared" si="237"/>
        <v>0</v>
      </c>
      <c r="Q1879" s="73"/>
      <c r="R1879" s="73">
        <v>0</v>
      </c>
      <c r="S1879" s="75">
        <f t="shared" si="239"/>
        <v>0</v>
      </c>
      <c r="T1879" s="77">
        <v>0</v>
      </c>
      <c r="U1879" s="66">
        <v>40506</v>
      </c>
      <c r="V1879" s="79"/>
      <c r="W1879" s="66" t="s">
        <v>1585</v>
      </c>
      <c r="X1879" s="24" t="s">
        <v>1586</v>
      </c>
      <c r="Y1879" s="62"/>
      <c r="Z1879" s="66" t="s">
        <v>894</v>
      </c>
      <c r="AA1879" s="166" t="s">
        <v>2470</v>
      </c>
      <c r="AB1879" s="152"/>
      <c r="AC1879" s="153"/>
      <c r="AD1879" s="154"/>
      <c r="AE1879" s="153"/>
      <c r="AF1879" s="153"/>
      <c r="AG1879" s="153"/>
      <c r="AH1879" s="153"/>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c r="BF1879" s="153"/>
      <c r="BG1879" s="153"/>
      <c r="BH1879" s="153"/>
      <c r="BI1879" s="153"/>
      <c r="BJ1879" s="153"/>
      <c r="BK1879" s="153"/>
      <c r="BL1879" s="153"/>
      <c r="BM1879" s="153"/>
      <c r="BN1879" s="153"/>
      <c r="BO1879" s="153"/>
      <c r="BP1879" s="153"/>
      <c r="BQ1879" s="153"/>
      <c r="BR1879" s="153"/>
      <c r="BS1879" s="153"/>
      <c r="BT1879" s="153"/>
      <c r="BU1879" s="153"/>
      <c r="BV1879" s="153"/>
      <c r="BW1879" s="153"/>
      <c r="BX1879" s="153"/>
      <c r="BY1879" s="153"/>
      <c r="BZ1879" s="153"/>
      <c r="CA1879" s="153"/>
      <c r="CB1879" s="153"/>
      <c r="CC1879" s="153"/>
      <c r="CD1879" s="155"/>
      <c r="CE1879" s="156"/>
      <c r="CF1879" s="155"/>
      <c r="CG1879" s="156"/>
      <c r="CH1879" s="155"/>
      <c r="CI1879" s="156"/>
      <c r="CJ1879" s="157">
        <f t="shared" si="238"/>
        <v>0</v>
      </c>
      <c r="CK1879" s="158"/>
      <c r="CL1879" s="159"/>
      <c r="CM1879" s="160"/>
      <c r="CN1879" s="161"/>
      <c r="CO1879" s="162"/>
      <c r="CP1879" s="161"/>
      <c r="CQ1879" s="158"/>
      <c r="CR1879" s="159"/>
      <c r="CS1879" s="68"/>
      <c r="CT1879" s="163"/>
      <c r="EC1879" s="366" t="str">
        <f t="shared" si="240"/>
        <v>RISARALDA_LA CELIA</v>
      </c>
      <c r="ED1879" s="367"/>
      <c r="EE1879" s="367"/>
      <c r="EF1879" s="368"/>
      <c r="EG1879" s="367"/>
      <c r="EH1879" s="367"/>
      <c r="EI1879" s="367"/>
    </row>
    <row r="1880" spans="1:139" s="164" customFormat="1" ht="38.25">
      <c r="A1880" s="228">
        <v>40506</v>
      </c>
      <c r="B1880" s="205" t="s">
        <v>1609</v>
      </c>
      <c r="C1880" s="205" t="s">
        <v>2377</v>
      </c>
      <c r="D1880" s="207" t="s">
        <v>2606</v>
      </c>
      <c r="E1880" s="323"/>
      <c r="F1880" s="323"/>
      <c r="G1880" s="204"/>
      <c r="H1880" s="151"/>
      <c r="I1880" s="151"/>
      <c r="J1880" s="151">
        <v>195</v>
      </c>
      <c r="K1880" s="151">
        <v>39</v>
      </c>
      <c r="L1880" s="1"/>
      <c r="M1880" s="73">
        <f t="shared" si="236"/>
        <v>0</v>
      </c>
      <c r="N1880" s="73">
        <f t="shared" si="241"/>
        <v>0</v>
      </c>
      <c r="O1880" s="73">
        <f t="shared" si="235"/>
        <v>0</v>
      </c>
      <c r="P1880" s="73">
        <f t="shared" si="237"/>
        <v>0</v>
      </c>
      <c r="Q1880" s="73"/>
      <c r="R1880" s="73">
        <v>0</v>
      </c>
      <c r="S1880" s="75">
        <f t="shared" si="239"/>
        <v>0</v>
      </c>
      <c r="T1880" s="77">
        <v>0</v>
      </c>
      <c r="U1880" s="66">
        <v>40624</v>
      </c>
      <c r="V1880" s="79"/>
      <c r="W1880" s="66" t="s">
        <v>1585</v>
      </c>
      <c r="X1880" s="24" t="s">
        <v>1586</v>
      </c>
      <c r="Y1880" s="62"/>
      <c r="Z1880" s="169" t="s">
        <v>894</v>
      </c>
      <c r="AA1880" s="166" t="s">
        <v>155</v>
      </c>
      <c r="AB1880" s="152"/>
      <c r="AC1880" s="153"/>
      <c r="AD1880" s="154"/>
      <c r="AE1880" s="153"/>
      <c r="AF1880" s="153"/>
      <c r="AG1880" s="153"/>
      <c r="AH1880" s="153"/>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c r="BF1880" s="153"/>
      <c r="BG1880" s="153"/>
      <c r="BH1880" s="153"/>
      <c r="BI1880" s="153"/>
      <c r="BJ1880" s="153"/>
      <c r="BK1880" s="153"/>
      <c r="BL1880" s="153"/>
      <c r="BM1880" s="153"/>
      <c r="BN1880" s="153"/>
      <c r="BO1880" s="153"/>
      <c r="BP1880" s="153"/>
      <c r="BQ1880" s="153"/>
      <c r="BR1880" s="153"/>
      <c r="BS1880" s="153"/>
      <c r="BT1880" s="153"/>
      <c r="BU1880" s="153"/>
      <c r="BV1880" s="153"/>
      <c r="BW1880" s="153"/>
      <c r="BX1880" s="153"/>
      <c r="BY1880" s="153"/>
      <c r="BZ1880" s="153"/>
      <c r="CA1880" s="153"/>
      <c r="CB1880" s="153"/>
      <c r="CC1880" s="153"/>
      <c r="CD1880" s="155"/>
      <c r="CE1880" s="156"/>
      <c r="CF1880" s="155"/>
      <c r="CG1880" s="156"/>
      <c r="CH1880" s="155"/>
      <c r="CI1880" s="156"/>
      <c r="CJ1880" s="157">
        <f t="shared" si="238"/>
        <v>0</v>
      </c>
      <c r="CK1880" s="158"/>
      <c r="CL1880" s="159"/>
      <c r="CM1880" s="160"/>
      <c r="CN1880" s="161"/>
      <c r="CO1880" s="162"/>
      <c r="CP1880" s="161"/>
      <c r="CQ1880" s="158"/>
      <c r="CR1880" s="159"/>
      <c r="CS1880" s="68"/>
      <c r="CT1880" s="163"/>
      <c r="EC1880" s="366" t="str">
        <f t="shared" si="240"/>
        <v>RISARALDA_MARSELLA</v>
      </c>
      <c r="ED1880" s="367"/>
      <c r="EE1880" s="368"/>
      <c r="EF1880" s="368"/>
      <c r="EG1880" s="368"/>
      <c r="EH1880" s="368"/>
      <c r="EI1880" s="368"/>
    </row>
    <row r="1881" spans="1:139" s="164" customFormat="1" ht="38.25">
      <c r="A1881" s="228">
        <v>40506</v>
      </c>
      <c r="B1881" s="205" t="s">
        <v>1088</v>
      </c>
      <c r="C1881" s="205" t="s">
        <v>2492</v>
      </c>
      <c r="D1881" s="207" t="s">
        <v>1201</v>
      </c>
      <c r="E1881" s="323" t="s">
        <v>4241</v>
      </c>
      <c r="F1881" s="323"/>
      <c r="G1881" s="204"/>
      <c r="H1881" s="151"/>
      <c r="I1881" s="151"/>
      <c r="J1881" s="151">
        <f>221*5</f>
        <v>1105</v>
      </c>
      <c r="K1881" s="151">
        <v>221</v>
      </c>
      <c r="L1881" s="1"/>
      <c r="M1881" s="73">
        <f t="shared" si="236"/>
        <v>4736000</v>
      </c>
      <c r="N1881" s="73">
        <f t="shared" si="241"/>
        <v>10880000</v>
      </c>
      <c r="O1881" s="73">
        <f t="shared" si="235"/>
        <v>0</v>
      </c>
      <c r="P1881" s="73">
        <f t="shared" si="237"/>
        <v>0</v>
      </c>
      <c r="Q1881" s="73"/>
      <c r="R1881" s="73">
        <v>0</v>
      </c>
      <c r="S1881" s="75">
        <f t="shared" si="239"/>
        <v>15616000</v>
      </c>
      <c r="T1881" s="77">
        <v>0</v>
      </c>
      <c r="U1881" s="66">
        <v>40508</v>
      </c>
      <c r="V1881" s="79"/>
      <c r="W1881" s="66" t="s">
        <v>1606</v>
      </c>
      <c r="X1881" s="24" t="s">
        <v>1607</v>
      </c>
      <c r="Y1881" s="62"/>
      <c r="Z1881" s="169" t="s">
        <v>894</v>
      </c>
      <c r="AA1881" s="166" t="s">
        <v>2493</v>
      </c>
      <c r="AB1881" s="152"/>
      <c r="AC1881" s="153"/>
      <c r="AD1881" s="154"/>
      <c r="AE1881" s="153"/>
      <c r="AF1881" s="153"/>
      <c r="AG1881" s="153"/>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c r="BI1881" s="153"/>
      <c r="BJ1881" s="153"/>
      <c r="BK1881" s="153"/>
      <c r="BL1881" s="153"/>
      <c r="BM1881" s="153"/>
      <c r="BN1881" s="153"/>
      <c r="BO1881" s="153"/>
      <c r="BP1881" s="153"/>
      <c r="BQ1881" s="153"/>
      <c r="BR1881" s="153"/>
      <c r="BS1881" s="153"/>
      <c r="BT1881" s="153"/>
      <c r="BU1881" s="153"/>
      <c r="BV1881" s="153"/>
      <c r="BW1881" s="153"/>
      <c r="BX1881" s="153"/>
      <c r="BY1881" s="153"/>
      <c r="BZ1881" s="153"/>
      <c r="CA1881" s="153"/>
      <c r="CB1881" s="153"/>
      <c r="CC1881" s="153"/>
      <c r="CD1881" s="155">
        <v>128</v>
      </c>
      <c r="CE1881" s="156">
        <f>128*37000</f>
        <v>4736000</v>
      </c>
      <c r="CF1881" s="155"/>
      <c r="CG1881" s="156"/>
      <c r="CH1881" s="155"/>
      <c r="CI1881" s="156"/>
      <c r="CJ1881" s="157">
        <f t="shared" si="238"/>
        <v>4736000</v>
      </c>
      <c r="CK1881" s="158"/>
      <c r="CL1881" s="159"/>
      <c r="CM1881" s="160">
        <v>128</v>
      </c>
      <c r="CN1881" s="161">
        <f>128*85000</f>
        <v>10880000</v>
      </c>
      <c r="CO1881" s="162"/>
      <c r="CP1881" s="161"/>
      <c r="CQ1881" s="158"/>
      <c r="CR1881" s="159"/>
      <c r="CS1881" s="68"/>
      <c r="CT1881" s="163"/>
      <c r="EC1881" s="366" t="str">
        <f t="shared" si="240"/>
        <v>VALLE DEL CAUCA_EL DOVIO</v>
      </c>
      <c r="ED1881" s="367"/>
      <c r="EE1881" s="368"/>
      <c r="EF1881" s="368"/>
      <c r="EG1881" s="368"/>
      <c r="EH1881" s="368"/>
      <c r="EI1881" s="368"/>
    </row>
    <row r="1882" spans="1:139" s="164" customFormat="1" ht="38.25">
      <c r="A1882" s="228">
        <v>40506</v>
      </c>
      <c r="B1882" s="205" t="s">
        <v>1088</v>
      </c>
      <c r="C1882" s="205" t="s">
        <v>2441</v>
      </c>
      <c r="D1882" s="207" t="s">
        <v>1201</v>
      </c>
      <c r="E1882" s="323" t="s">
        <v>4251</v>
      </c>
      <c r="F1882" s="323"/>
      <c r="G1882" s="204"/>
      <c r="H1882" s="151"/>
      <c r="I1882" s="151"/>
      <c r="J1882" s="151">
        <f>608*5</f>
        <v>3040</v>
      </c>
      <c r="K1882" s="151">
        <v>608</v>
      </c>
      <c r="L1882" s="1"/>
      <c r="M1882" s="73">
        <f t="shared" si="236"/>
        <v>0</v>
      </c>
      <c r="N1882" s="73">
        <f t="shared" si="241"/>
        <v>0</v>
      </c>
      <c r="O1882" s="73">
        <f t="shared" si="235"/>
        <v>0</v>
      </c>
      <c r="P1882" s="73">
        <f t="shared" si="237"/>
        <v>0</v>
      </c>
      <c r="Q1882" s="73"/>
      <c r="R1882" s="73">
        <v>0</v>
      </c>
      <c r="S1882" s="75">
        <f t="shared" si="239"/>
        <v>0</v>
      </c>
      <c r="T1882" s="77">
        <v>0</v>
      </c>
      <c r="U1882" s="66">
        <v>40508</v>
      </c>
      <c r="V1882" s="79"/>
      <c r="W1882" s="66" t="s">
        <v>1585</v>
      </c>
      <c r="X1882" s="24" t="s">
        <v>1586</v>
      </c>
      <c r="Y1882" s="62"/>
      <c r="Z1882" s="169" t="s">
        <v>894</v>
      </c>
      <c r="AA1882" s="166" t="s">
        <v>2491</v>
      </c>
      <c r="AB1882" s="152"/>
      <c r="AC1882" s="153"/>
      <c r="AD1882" s="154"/>
      <c r="AE1882" s="153"/>
      <c r="AF1882" s="153"/>
      <c r="AG1882" s="153"/>
      <c r="AH1882" s="153"/>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c r="BF1882" s="153"/>
      <c r="BG1882" s="153"/>
      <c r="BH1882" s="153"/>
      <c r="BI1882" s="153"/>
      <c r="BJ1882" s="153"/>
      <c r="BK1882" s="153"/>
      <c r="BL1882" s="153"/>
      <c r="BM1882" s="153"/>
      <c r="BN1882" s="153"/>
      <c r="BO1882" s="153"/>
      <c r="BP1882" s="153"/>
      <c r="BQ1882" s="153"/>
      <c r="BR1882" s="153"/>
      <c r="BS1882" s="153"/>
      <c r="BT1882" s="153"/>
      <c r="BU1882" s="153"/>
      <c r="BV1882" s="153"/>
      <c r="BW1882" s="153"/>
      <c r="BX1882" s="153"/>
      <c r="BY1882" s="153"/>
      <c r="BZ1882" s="153"/>
      <c r="CA1882" s="153"/>
      <c r="CB1882" s="153"/>
      <c r="CC1882" s="153"/>
      <c r="CD1882" s="155"/>
      <c r="CE1882" s="156"/>
      <c r="CF1882" s="155"/>
      <c r="CG1882" s="156"/>
      <c r="CH1882" s="155"/>
      <c r="CI1882" s="156"/>
      <c r="CJ1882" s="157">
        <f t="shared" si="238"/>
        <v>0</v>
      </c>
      <c r="CK1882" s="158"/>
      <c r="CL1882" s="159"/>
      <c r="CM1882" s="160"/>
      <c r="CN1882" s="161"/>
      <c r="CO1882" s="162"/>
      <c r="CP1882" s="161"/>
      <c r="CQ1882" s="158"/>
      <c r="CR1882" s="159"/>
      <c r="CS1882" s="68"/>
      <c r="CT1882" s="163"/>
      <c r="EC1882" s="366" t="str">
        <f t="shared" si="240"/>
        <v>VALLE DEL CAUCA_PRADERA</v>
      </c>
      <c r="ED1882" s="367"/>
      <c r="EE1882" s="367"/>
      <c r="EF1882" s="368"/>
      <c r="EG1882" s="367"/>
      <c r="EH1882" s="367"/>
      <c r="EI1882" s="367"/>
    </row>
    <row r="1883" spans="1:139" s="164" customFormat="1" ht="38.25">
      <c r="A1883" s="228">
        <v>40506.961805555555</v>
      </c>
      <c r="B1883" s="205" t="s">
        <v>2298</v>
      </c>
      <c r="C1883" s="205" t="s">
        <v>1610</v>
      </c>
      <c r="D1883" s="207" t="s">
        <v>1878</v>
      </c>
      <c r="E1883" s="323"/>
      <c r="F1883" s="323"/>
      <c r="G1883" s="204"/>
      <c r="H1883" s="151"/>
      <c r="I1883" s="151"/>
      <c r="J1883" s="151">
        <v>21</v>
      </c>
      <c r="K1883" s="409">
        <v>5</v>
      </c>
      <c r="L1883" s="1"/>
      <c r="M1883" s="73">
        <f t="shared" si="236"/>
        <v>0</v>
      </c>
      <c r="N1883" s="73">
        <f t="shared" si="241"/>
        <v>0</v>
      </c>
      <c r="O1883" s="73">
        <f t="shared" si="235"/>
        <v>0</v>
      </c>
      <c r="P1883" s="73">
        <f t="shared" si="237"/>
        <v>0</v>
      </c>
      <c r="Q1883" s="73"/>
      <c r="R1883" s="73">
        <v>0</v>
      </c>
      <c r="S1883" s="75">
        <f t="shared" si="239"/>
        <v>0</v>
      </c>
      <c r="T1883" s="77">
        <v>0</v>
      </c>
      <c r="U1883" s="296">
        <v>40624</v>
      </c>
      <c r="V1883" s="297"/>
      <c r="W1883" s="296" t="s">
        <v>1585</v>
      </c>
      <c r="X1883" s="298" t="s">
        <v>1586</v>
      </c>
      <c r="Y1883" s="299"/>
      <c r="Z1883" s="300" t="s">
        <v>894</v>
      </c>
      <c r="AA1883" s="414" t="s">
        <v>5432</v>
      </c>
      <c r="AB1883" s="152"/>
      <c r="AC1883" s="153"/>
      <c r="AD1883" s="154"/>
      <c r="AE1883" s="153"/>
      <c r="AF1883" s="153"/>
      <c r="AG1883" s="153"/>
      <c r="AH1883" s="153"/>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c r="BF1883" s="153"/>
      <c r="BG1883" s="153"/>
      <c r="BH1883" s="153"/>
      <c r="BI1883" s="153"/>
      <c r="BJ1883" s="153"/>
      <c r="BK1883" s="153"/>
      <c r="BL1883" s="153"/>
      <c r="BM1883" s="153"/>
      <c r="BN1883" s="153"/>
      <c r="BO1883" s="153"/>
      <c r="BP1883" s="153"/>
      <c r="BQ1883" s="153"/>
      <c r="BR1883" s="153"/>
      <c r="BS1883" s="153"/>
      <c r="BT1883" s="153"/>
      <c r="BU1883" s="153"/>
      <c r="BV1883" s="153"/>
      <c r="BW1883" s="153"/>
      <c r="BX1883" s="153"/>
      <c r="BY1883" s="153"/>
      <c r="BZ1883" s="153"/>
      <c r="CA1883" s="153"/>
      <c r="CB1883" s="153"/>
      <c r="CC1883" s="153"/>
      <c r="CD1883" s="155"/>
      <c r="CE1883" s="156"/>
      <c r="CF1883" s="155"/>
      <c r="CG1883" s="156"/>
      <c r="CH1883" s="155"/>
      <c r="CI1883" s="156"/>
      <c r="CJ1883" s="157">
        <f t="shared" si="238"/>
        <v>0</v>
      </c>
      <c r="CK1883" s="158"/>
      <c r="CL1883" s="159"/>
      <c r="CM1883" s="160"/>
      <c r="CN1883" s="161"/>
      <c r="CO1883" s="162"/>
      <c r="CP1883" s="161"/>
      <c r="CQ1883" s="158"/>
      <c r="CR1883" s="159"/>
      <c r="CS1883" s="68"/>
      <c r="CT1883" s="163"/>
      <c r="EC1883" s="366" t="str">
        <f t="shared" si="240"/>
        <v>BOGOTA D.C._BOGOTA</v>
      </c>
      <c r="ED1883" s="367"/>
      <c r="EE1883" s="367"/>
      <c r="EF1883" s="368"/>
      <c r="EG1883" s="367"/>
      <c r="EH1883" s="367"/>
      <c r="EI1883" s="367"/>
    </row>
    <row r="1884" spans="1:139" s="164" customFormat="1" ht="38.25">
      <c r="A1884" s="228">
        <v>40507</v>
      </c>
      <c r="B1884" s="205" t="s">
        <v>2704</v>
      </c>
      <c r="C1884" s="205" t="s">
        <v>2419</v>
      </c>
      <c r="D1884" s="207" t="s">
        <v>2606</v>
      </c>
      <c r="E1884" s="323" t="s">
        <v>3580</v>
      </c>
      <c r="F1884" s="323"/>
      <c r="G1884" s="204"/>
      <c r="H1884" s="151"/>
      <c r="I1884" s="151"/>
      <c r="J1884" s="151">
        <v>35</v>
      </c>
      <c r="K1884" s="151">
        <v>7</v>
      </c>
      <c r="L1884" s="1"/>
      <c r="M1884" s="73">
        <f t="shared" si="236"/>
        <v>0</v>
      </c>
      <c r="N1884" s="73">
        <f t="shared" si="241"/>
        <v>0</v>
      </c>
      <c r="O1884" s="73">
        <f t="shared" si="235"/>
        <v>0</v>
      </c>
      <c r="P1884" s="73">
        <f t="shared" si="237"/>
        <v>0</v>
      </c>
      <c r="Q1884" s="73"/>
      <c r="R1884" s="73">
        <v>0</v>
      </c>
      <c r="S1884" s="75">
        <f t="shared" si="239"/>
        <v>0</v>
      </c>
      <c r="T1884" s="77">
        <v>0</v>
      </c>
      <c r="U1884" s="66">
        <v>40617</v>
      </c>
      <c r="V1884" s="79"/>
      <c r="W1884" s="66" t="s">
        <v>1585</v>
      </c>
      <c r="X1884" s="24" t="s">
        <v>1586</v>
      </c>
      <c r="Y1884" s="62"/>
      <c r="Z1884" s="169" t="s">
        <v>894</v>
      </c>
      <c r="AA1884" s="166" t="s">
        <v>155</v>
      </c>
      <c r="AB1884" s="152"/>
      <c r="AC1884" s="153"/>
      <c r="AD1884" s="154"/>
      <c r="AE1884" s="153"/>
      <c r="AF1884" s="153"/>
      <c r="AG1884" s="153"/>
      <c r="AH1884" s="153"/>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c r="BF1884" s="153"/>
      <c r="BG1884" s="153"/>
      <c r="BH1884" s="153"/>
      <c r="BI1884" s="153"/>
      <c r="BJ1884" s="153"/>
      <c r="BK1884" s="153"/>
      <c r="BL1884" s="153"/>
      <c r="BM1884" s="153"/>
      <c r="BN1884" s="153"/>
      <c r="BO1884" s="153"/>
      <c r="BP1884" s="153"/>
      <c r="BQ1884" s="153"/>
      <c r="BR1884" s="153"/>
      <c r="BS1884" s="153"/>
      <c r="BT1884" s="153"/>
      <c r="BU1884" s="153"/>
      <c r="BV1884" s="153"/>
      <c r="BW1884" s="153"/>
      <c r="BX1884" s="153"/>
      <c r="BY1884" s="153"/>
      <c r="BZ1884" s="153"/>
      <c r="CA1884" s="153"/>
      <c r="CB1884" s="153"/>
      <c r="CC1884" s="153"/>
      <c r="CD1884" s="155"/>
      <c r="CE1884" s="156"/>
      <c r="CF1884" s="155"/>
      <c r="CG1884" s="156"/>
      <c r="CH1884" s="155"/>
      <c r="CI1884" s="156"/>
      <c r="CJ1884" s="157">
        <f t="shared" si="238"/>
        <v>0</v>
      </c>
      <c r="CK1884" s="158"/>
      <c r="CL1884" s="159"/>
      <c r="CM1884" s="160"/>
      <c r="CN1884" s="161"/>
      <c r="CO1884" s="162"/>
      <c r="CP1884" s="161"/>
      <c r="CQ1884" s="158"/>
      <c r="CR1884" s="159"/>
      <c r="CS1884" s="68"/>
      <c r="CT1884" s="163"/>
      <c r="EC1884" s="366" t="str">
        <f t="shared" si="240"/>
        <v>CAQUETA_PUERTO RICO</v>
      </c>
      <c r="ED1884" s="367"/>
      <c r="EE1884" s="367"/>
      <c r="EF1884" s="368"/>
      <c r="EG1884" s="367"/>
      <c r="EH1884" s="367"/>
      <c r="EI1884" s="367"/>
    </row>
    <row r="1885" spans="1:139" s="164" customFormat="1" ht="38.25">
      <c r="A1885" s="228">
        <v>40507</v>
      </c>
      <c r="B1885" s="205" t="s">
        <v>1440</v>
      </c>
      <c r="C1885" s="205" t="s">
        <v>1462</v>
      </c>
      <c r="D1885" s="207" t="s">
        <v>1201</v>
      </c>
      <c r="E1885" s="323" t="s">
        <v>3899</v>
      </c>
      <c r="F1885" s="323"/>
      <c r="G1885" s="204"/>
      <c r="H1885" s="151"/>
      <c r="I1885" s="151"/>
      <c r="J1885" s="151">
        <f>8895-4405</f>
        <v>4490</v>
      </c>
      <c r="K1885" s="151">
        <f>1779-881</f>
        <v>898</v>
      </c>
      <c r="L1885" s="1"/>
      <c r="M1885" s="73">
        <f t="shared" si="236"/>
        <v>10500000</v>
      </c>
      <c r="N1885" s="73">
        <f t="shared" si="241"/>
        <v>108885000</v>
      </c>
      <c r="O1885" s="73">
        <f t="shared" si="235"/>
        <v>0</v>
      </c>
      <c r="P1885" s="73">
        <f t="shared" si="237"/>
        <v>0</v>
      </c>
      <c r="Q1885" s="73"/>
      <c r="R1885" s="73">
        <v>0</v>
      </c>
      <c r="S1885" s="75">
        <f t="shared" si="239"/>
        <v>119385000</v>
      </c>
      <c r="T1885" s="77">
        <v>0</v>
      </c>
      <c r="U1885" s="66">
        <v>40508</v>
      </c>
      <c r="V1885" s="79"/>
      <c r="W1885" s="66" t="s">
        <v>1606</v>
      </c>
      <c r="X1885" s="24" t="s">
        <v>1607</v>
      </c>
      <c r="Y1885" s="62"/>
      <c r="Z1885" s="169" t="s">
        <v>894</v>
      </c>
      <c r="AA1885" s="166" t="s">
        <v>2517</v>
      </c>
      <c r="AB1885" s="152"/>
      <c r="AC1885" s="153"/>
      <c r="AD1885" s="154"/>
      <c r="AE1885" s="153"/>
      <c r="AF1885" s="153"/>
      <c r="AG1885" s="153"/>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v>200</v>
      </c>
      <c r="BA1885" s="153">
        <f>200*25500</f>
        <v>5100000</v>
      </c>
      <c r="BB1885" s="153"/>
      <c r="BC1885" s="153"/>
      <c r="BD1885" s="153"/>
      <c r="BE1885" s="153"/>
      <c r="BF1885" s="153"/>
      <c r="BG1885" s="153"/>
      <c r="BH1885" s="153"/>
      <c r="BI1885" s="153"/>
      <c r="BJ1885" s="153"/>
      <c r="BK1885" s="153"/>
      <c r="BL1885" s="153"/>
      <c r="BM1885" s="153"/>
      <c r="BN1885" s="153"/>
      <c r="BO1885" s="153"/>
      <c r="BP1885" s="153"/>
      <c r="BQ1885" s="153"/>
      <c r="BR1885" s="153"/>
      <c r="BS1885" s="153"/>
      <c r="BT1885" s="153"/>
      <c r="BU1885" s="153"/>
      <c r="BV1885" s="153"/>
      <c r="BW1885" s="153"/>
      <c r="BX1885" s="153"/>
      <c r="BY1885" s="153"/>
      <c r="BZ1885" s="153"/>
      <c r="CA1885" s="153"/>
      <c r="CB1885" s="153">
        <v>300</v>
      </c>
      <c r="CC1885" s="153">
        <f>300*18000</f>
        <v>5400000</v>
      </c>
      <c r="CD1885" s="155"/>
      <c r="CE1885" s="156"/>
      <c r="CF1885" s="155"/>
      <c r="CG1885" s="156"/>
      <c r="CH1885" s="155"/>
      <c r="CI1885" s="156"/>
      <c r="CJ1885" s="157">
        <f t="shared" si="238"/>
        <v>10500000</v>
      </c>
      <c r="CK1885" s="158"/>
      <c r="CL1885" s="159"/>
      <c r="CM1885" s="160">
        <v>1281</v>
      </c>
      <c r="CN1885" s="161">
        <f>1281*85000</f>
        <v>108885000</v>
      </c>
      <c r="CO1885" s="162"/>
      <c r="CP1885" s="161"/>
      <c r="CQ1885" s="158"/>
      <c r="CR1885" s="159"/>
      <c r="CS1885" s="68"/>
      <c r="CT1885" s="163"/>
      <c r="EC1885" s="366" t="str">
        <f t="shared" si="240"/>
        <v>MAGDALENA_SANTA ANA</v>
      </c>
      <c r="ED1885" s="367"/>
      <c r="EE1885" s="367"/>
      <c r="EF1885" s="368"/>
      <c r="EG1885" s="367"/>
      <c r="EH1885" s="367"/>
      <c r="EI1885" s="367"/>
    </row>
    <row r="1886" spans="1:139" s="164" customFormat="1" ht="51">
      <c r="A1886" s="228">
        <v>40507</v>
      </c>
      <c r="B1886" s="205" t="s">
        <v>1440</v>
      </c>
      <c r="C1886" s="205" t="s">
        <v>1478</v>
      </c>
      <c r="D1886" s="207" t="s">
        <v>1201</v>
      </c>
      <c r="E1886" s="323" t="s">
        <v>3900</v>
      </c>
      <c r="F1886" s="323"/>
      <c r="G1886" s="204"/>
      <c r="H1886" s="151"/>
      <c r="I1886" s="151"/>
      <c r="J1886" s="151">
        <f>6130-3600</f>
        <v>2530</v>
      </c>
      <c r="K1886" s="151">
        <f>1226-720</f>
        <v>506</v>
      </c>
      <c r="L1886" s="1"/>
      <c r="M1886" s="73">
        <f t="shared" si="236"/>
        <v>20075000</v>
      </c>
      <c r="N1886" s="73">
        <f t="shared" si="241"/>
        <v>269450000</v>
      </c>
      <c r="O1886" s="73">
        <f t="shared" si="235"/>
        <v>0</v>
      </c>
      <c r="P1886" s="73">
        <f t="shared" si="237"/>
        <v>0</v>
      </c>
      <c r="Q1886" s="73"/>
      <c r="R1886" s="73">
        <v>0</v>
      </c>
      <c r="S1886" s="75">
        <f t="shared" si="239"/>
        <v>289525000</v>
      </c>
      <c r="T1886" s="77">
        <v>0</v>
      </c>
      <c r="U1886" s="66">
        <v>40508</v>
      </c>
      <c r="V1886" s="79"/>
      <c r="W1886" s="66" t="s">
        <v>1606</v>
      </c>
      <c r="X1886" s="24" t="s">
        <v>1607</v>
      </c>
      <c r="Y1886" s="62"/>
      <c r="Z1886" s="169" t="s">
        <v>894</v>
      </c>
      <c r="AA1886" s="166" t="s">
        <v>708</v>
      </c>
      <c r="AB1886" s="152"/>
      <c r="AC1886" s="153"/>
      <c r="AD1886" s="154"/>
      <c r="AE1886" s="153"/>
      <c r="AF1886" s="153"/>
      <c r="AG1886" s="153"/>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v>250</v>
      </c>
      <c r="BA1886" s="153">
        <f>250*25500</f>
        <v>6375000</v>
      </c>
      <c r="BB1886" s="153"/>
      <c r="BC1886" s="153"/>
      <c r="BD1886" s="153"/>
      <c r="BE1886" s="153"/>
      <c r="BF1886" s="153"/>
      <c r="BG1886" s="153"/>
      <c r="BH1886" s="153"/>
      <c r="BI1886" s="153"/>
      <c r="BJ1886" s="153"/>
      <c r="BK1886" s="153"/>
      <c r="BL1886" s="153"/>
      <c r="BM1886" s="153"/>
      <c r="BN1886" s="153">
        <v>10</v>
      </c>
      <c r="BO1886" s="153">
        <f>10*470000</f>
        <v>4700000</v>
      </c>
      <c r="BP1886" s="153"/>
      <c r="BQ1886" s="153"/>
      <c r="BR1886" s="153"/>
      <c r="BS1886" s="153"/>
      <c r="BT1886" s="153"/>
      <c r="BU1886" s="153"/>
      <c r="BV1886" s="153"/>
      <c r="BW1886" s="153"/>
      <c r="BX1886" s="153"/>
      <c r="BY1886" s="153"/>
      <c r="BZ1886" s="153"/>
      <c r="CA1886" s="153"/>
      <c r="CB1886" s="153">
        <v>500</v>
      </c>
      <c r="CC1886" s="153">
        <f>500*18000</f>
        <v>9000000</v>
      </c>
      <c r="CD1886" s="155"/>
      <c r="CE1886" s="156"/>
      <c r="CF1886" s="155"/>
      <c r="CG1886" s="156"/>
      <c r="CH1886" s="155"/>
      <c r="CI1886" s="156"/>
      <c r="CJ1886" s="157">
        <f t="shared" si="238"/>
        <v>20075000</v>
      </c>
      <c r="CK1886" s="158"/>
      <c r="CL1886" s="159"/>
      <c r="CM1886" s="160">
        <f>1750+1420</f>
        <v>3170</v>
      </c>
      <c r="CN1886" s="161">
        <f>1750*85000+1420*85000</f>
        <v>269450000</v>
      </c>
      <c r="CO1886" s="162"/>
      <c r="CP1886" s="161"/>
      <c r="CQ1886" s="158"/>
      <c r="CR1886" s="159"/>
      <c r="CS1886" s="68"/>
      <c r="CT1886" s="163"/>
      <c r="EC1886" s="366" t="str">
        <f t="shared" si="240"/>
        <v>MAGDALENA_SANTA BARBARA DE PINTO</v>
      </c>
      <c r="ED1886" s="367"/>
      <c r="EE1886" s="367"/>
      <c r="EF1886" s="368"/>
      <c r="EG1886" s="367"/>
      <c r="EH1886" s="367"/>
      <c r="EI1886" s="367"/>
    </row>
    <row r="1887" spans="1:139" s="164" customFormat="1" ht="156">
      <c r="A1887" s="228">
        <v>40507</v>
      </c>
      <c r="B1887" s="205" t="s">
        <v>1440</v>
      </c>
      <c r="C1887" s="205" t="s">
        <v>1418</v>
      </c>
      <c r="D1887" s="207" t="s">
        <v>1201</v>
      </c>
      <c r="E1887" s="323" t="s">
        <v>3875</v>
      </c>
      <c r="F1887" s="323"/>
      <c r="G1887" s="204"/>
      <c r="H1887" s="151"/>
      <c r="I1887" s="151"/>
      <c r="J1887" s="151">
        <v>4800</v>
      </c>
      <c r="K1887" s="151">
        <v>1200</v>
      </c>
      <c r="L1887" s="1"/>
      <c r="M1887" s="73">
        <f t="shared" si="236"/>
        <v>0</v>
      </c>
      <c r="N1887" s="73">
        <f t="shared" si="241"/>
        <v>0</v>
      </c>
      <c r="O1887" s="73">
        <f t="shared" si="235"/>
        <v>0</v>
      </c>
      <c r="P1887" s="73">
        <f t="shared" si="237"/>
        <v>0</v>
      </c>
      <c r="Q1887" s="73"/>
      <c r="R1887" s="73">
        <v>0</v>
      </c>
      <c r="S1887" s="75">
        <f t="shared" si="239"/>
        <v>0</v>
      </c>
      <c r="T1887" s="77">
        <v>0</v>
      </c>
      <c r="U1887" s="66">
        <v>40510</v>
      </c>
      <c r="V1887" s="79"/>
      <c r="W1887" s="66" t="s">
        <v>1585</v>
      </c>
      <c r="X1887" s="24" t="s">
        <v>1586</v>
      </c>
      <c r="Y1887" s="62"/>
      <c r="Z1887" s="169" t="s">
        <v>894</v>
      </c>
      <c r="AA1887" s="166" t="s">
        <v>2519</v>
      </c>
      <c r="AB1887" s="152"/>
      <c r="AC1887" s="153"/>
      <c r="AD1887" s="154"/>
      <c r="AE1887" s="153"/>
      <c r="AF1887" s="153"/>
      <c r="AG1887" s="153"/>
      <c r="AH1887" s="153"/>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c r="BF1887" s="153"/>
      <c r="BG1887" s="153"/>
      <c r="BH1887" s="153"/>
      <c r="BI1887" s="153"/>
      <c r="BJ1887" s="153"/>
      <c r="BK1887" s="153"/>
      <c r="BL1887" s="153"/>
      <c r="BM1887" s="153"/>
      <c r="BN1887" s="153"/>
      <c r="BO1887" s="153"/>
      <c r="BP1887" s="153"/>
      <c r="BQ1887" s="153"/>
      <c r="BR1887" s="153"/>
      <c r="BS1887" s="153"/>
      <c r="BT1887" s="153"/>
      <c r="BU1887" s="153"/>
      <c r="BV1887" s="153"/>
      <c r="BW1887" s="153"/>
      <c r="BX1887" s="153"/>
      <c r="BY1887" s="153"/>
      <c r="BZ1887" s="153"/>
      <c r="CA1887" s="153"/>
      <c r="CB1887" s="153"/>
      <c r="CC1887" s="153"/>
      <c r="CD1887" s="155"/>
      <c r="CE1887" s="156"/>
      <c r="CF1887" s="155"/>
      <c r="CG1887" s="156"/>
      <c r="CH1887" s="155"/>
      <c r="CI1887" s="156"/>
      <c r="CJ1887" s="157">
        <f t="shared" si="238"/>
        <v>0</v>
      </c>
      <c r="CK1887" s="158"/>
      <c r="CL1887" s="159"/>
      <c r="CM1887" s="160"/>
      <c r="CN1887" s="161"/>
      <c r="CO1887" s="162"/>
      <c r="CP1887" s="161"/>
      <c r="CQ1887" s="158"/>
      <c r="CR1887" s="159"/>
      <c r="CS1887" s="68"/>
      <c r="CT1887" s="163">
        <v>1435</v>
      </c>
      <c r="EC1887" s="366" t="str">
        <f t="shared" si="240"/>
        <v>MAGDALENA_SANTA MARTA</v>
      </c>
      <c r="ED1887" s="367"/>
      <c r="EE1887" s="367"/>
      <c r="EF1887" s="368"/>
      <c r="EG1887" s="367"/>
      <c r="EH1887" s="367"/>
      <c r="EI1887" s="367"/>
    </row>
    <row r="1888" spans="1:139" s="164" customFormat="1" ht="36">
      <c r="A1888" s="228">
        <v>40507</v>
      </c>
      <c r="B1888" s="205" t="s">
        <v>1824</v>
      </c>
      <c r="C1888" s="205" t="s">
        <v>257</v>
      </c>
      <c r="D1888" s="207" t="s">
        <v>1878</v>
      </c>
      <c r="E1888" s="323" t="s">
        <v>3935</v>
      </c>
      <c r="F1888" s="323"/>
      <c r="G1888" s="204"/>
      <c r="H1888" s="151"/>
      <c r="I1888" s="151"/>
      <c r="J1888" s="151">
        <v>280</v>
      </c>
      <c r="K1888" s="151">
        <v>56</v>
      </c>
      <c r="L1888" s="1"/>
      <c r="M1888" s="73">
        <f t="shared" si="236"/>
        <v>0</v>
      </c>
      <c r="N1888" s="73">
        <f t="shared" si="241"/>
        <v>0</v>
      </c>
      <c r="O1888" s="73">
        <f t="shared" si="235"/>
        <v>0</v>
      </c>
      <c r="P1888" s="73">
        <f t="shared" si="237"/>
        <v>0</v>
      </c>
      <c r="Q1888" s="73"/>
      <c r="R1888" s="73">
        <v>0</v>
      </c>
      <c r="S1888" s="75">
        <f t="shared" si="239"/>
        <v>0</v>
      </c>
      <c r="T1888" s="77">
        <v>0</v>
      </c>
      <c r="U1888" s="66">
        <v>40507</v>
      </c>
      <c r="V1888" s="79"/>
      <c r="W1888" s="66" t="s">
        <v>1585</v>
      </c>
      <c r="X1888" s="24" t="s">
        <v>1586</v>
      </c>
      <c r="Y1888" s="62"/>
      <c r="Z1888" s="169" t="s">
        <v>894</v>
      </c>
      <c r="AA1888" s="166" t="s">
        <v>258</v>
      </c>
      <c r="AB1888" s="152"/>
      <c r="AC1888" s="153"/>
      <c r="AD1888" s="154"/>
      <c r="AE1888" s="153"/>
      <c r="AF1888" s="153"/>
      <c r="AG1888" s="153"/>
      <c r="AH1888" s="153"/>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c r="BF1888" s="153"/>
      <c r="BG1888" s="153"/>
      <c r="BH1888" s="153"/>
      <c r="BI1888" s="153"/>
      <c r="BJ1888" s="153"/>
      <c r="BK1888" s="153"/>
      <c r="BL1888" s="153"/>
      <c r="BM1888" s="153"/>
      <c r="BN1888" s="153"/>
      <c r="BO1888" s="153"/>
      <c r="BP1888" s="153"/>
      <c r="BQ1888" s="153"/>
      <c r="BR1888" s="153"/>
      <c r="BS1888" s="153"/>
      <c r="BT1888" s="153"/>
      <c r="BU1888" s="153"/>
      <c r="BV1888" s="153"/>
      <c r="BW1888" s="153"/>
      <c r="BX1888" s="153"/>
      <c r="BY1888" s="153"/>
      <c r="BZ1888" s="153"/>
      <c r="CA1888" s="153"/>
      <c r="CB1888" s="153"/>
      <c r="CC1888" s="153"/>
      <c r="CD1888" s="155"/>
      <c r="CE1888" s="156"/>
      <c r="CF1888" s="155"/>
      <c r="CG1888" s="156"/>
      <c r="CH1888" s="155"/>
      <c r="CI1888" s="156"/>
      <c r="CJ1888" s="157">
        <f t="shared" si="238"/>
        <v>0</v>
      </c>
      <c r="CK1888" s="158"/>
      <c r="CL1888" s="159"/>
      <c r="CM1888" s="160"/>
      <c r="CN1888" s="161"/>
      <c r="CO1888" s="162"/>
      <c r="CP1888" s="161"/>
      <c r="CQ1888" s="158"/>
      <c r="CR1888" s="159"/>
      <c r="CS1888" s="68"/>
      <c r="CT1888" s="163"/>
      <c r="EC1888" s="366" t="str">
        <f t="shared" si="240"/>
        <v>NARIÑO_ALBAN</v>
      </c>
      <c r="ED1888" s="367"/>
      <c r="EE1888" s="367"/>
      <c r="EF1888" s="368"/>
      <c r="EG1888" s="367"/>
      <c r="EH1888" s="367"/>
      <c r="EI1888" s="367"/>
    </row>
    <row r="1889" spans="1:139" s="164" customFormat="1" ht="60">
      <c r="A1889" s="228">
        <v>40507</v>
      </c>
      <c r="B1889" s="205" t="s">
        <v>1824</v>
      </c>
      <c r="C1889" s="205" t="s">
        <v>514</v>
      </c>
      <c r="D1889" s="207" t="s">
        <v>1878</v>
      </c>
      <c r="E1889" s="323" t="s">
        <v>3966</v>
      </c>
      <c r="F1889" s="323"/>
      <c r="G1889" s="204">
        <v>1</v>
      </c>
      <c r="H1889" s="151"/>
      <c r="I1889" s="151"/>
      <c r="J1889" s="151">
        <v>2850</v>
      </c>
      <c r="K1889" s="151">
        <v>710</v>
      </c>
      <c r="L1889" s="1"/>
      <c r="M1889" s="73">
        <f t="shared" si="236"/>
        <v>0</v>
      </c>
      <c r="N1889" s="73">
        <f t="shared" si="241"/>
        <v>0</v>
      </c>
      <c r="O1889" s="73">
        <f t="shared" si="235"/>
        <v>0</v>
      </c>
      <c r="P1889" s="73">
        <f t="shared" si="237"/>
        <v>0</v>
      </c>
      <c r="Q1889" s="73"/>
      <c r="R1889" s="73">
        <v>0</v>
      </c>
      <c r="S1889" s="75">
        <f t="shared" si="239"/>
        <v>0</v>
      </c>
      <c r="T1889" s="77">
        <v>0</v>
      </c>
      <c r="U1889" s="228">
        <v>40507</v>
      </c>
      <c r="V1889" s="79"/>
      <c r="W1889" s="66" t="s">
        <v>1585</v>
      </c>
      <c r="X1889" s="24" t="s">
        <v>1586</v>
      </c>
      <c r="Y1889" s="62"/>
      <c r="Z1889" s="169" t="s">
        <v>894</v>
      </c>
      <c r="AA1889" s="166" t="s">
        <v>259</v>
      </c>
      <c r="AB1889" s="152"/>
      <c r="AC1889" s="153"/>
      <c r="AD1889" s="154"/>
      <c r="AE1889" s="153"/>
      <c r="AF1889" s="153"/>
      <c r="AG1889" s="153"/>
      <c r="AH1889" s="153"/>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c r="BF1889" s="153"/>
      <c r="BG1889" s="153"/>
      <c r="BH1889" s="153"/>
      <c r="BI1889" s="153"/>
      <c r="BJ1889" s="153"/>
      <c r="BK1889" s="153"/>
      <c r="BL1889" s="153"/>
      <c r="BM1889" s="153"/>
      <c r="BN1889" s="153"/>
      <c r="BO1889" s="153"/>
      <c r="BP1889" s="153"/>
      <c r="BQ1889" s="153"/>
      <c r="BR1889" s="153"/>
      <c r="BS1889" s="153"/>
      <c r="BT1889" s="153"/>
      <c r="BU1889" s="153"/>
      <c r="BV1889" s="153"/>
      <c r="BW1889" s="153"/>
      <c r="BX1889" s="153"/>
      <c r="BY1889" s="153"/>
      <c r="BZ1889" s="153"/>
      <c r="CA1889" s="153"/>
      <c r="CB1889" s="153"/>
      <c r="CC1889" s="153"/>
      <c r="CD1889" s="155"/>
      <c r="CE1889" s="156"/>
      <c r="CF1889" s="155"/>
      <c r="CG1889" s="156"/>
      <c r="CH1889" s="155"/>
      <c r="CI1889" s="156"/>
      <c r="CJ1889" s="157">
        <f t="shared" si="238"/>
        <v>0</v>
      </c>
      <c r="CK1889" s="158"/>
      <c r="CL1889" s="159"/>
      <c r="CM1889" s="160"/>
      <c r="CN1889" s="161"/>
      <c r="CO1889" s="162"/>
      <c r="CP1889" s="161"/>
      <c r="CQ1889" s="158"/>
      <c r="CR1889" s="159"/>
      <c r="CS1889" s="68"/>
      <c r="CT1889" s="163"/>
      <c r="EC1889" s="366" t="str">
        <f t="shared" si="240"/>
        <v>NARIÑO_LA UNION</v>
      </c>
      <c r="ED1889" s="367"/>
      <c r="EE1889" s="367"/>
      <c r="EF1889" s="368"/>
      <c r="EG1889" s="367"/>
      <c r="EH1889" s="367"/>
      <c r="EI1889" s="367"/>
    </row>
    <row r="1890" spans="1:139" s="164" customFormat="1" ht="25.5">
      <c r="A1890" s="228">
        <v>40507</v>
      </c>
      <c r="B1890" s="205" t="s">
        <v>1824</v>
      </c>
      <c r="C1890" s="205" t="s">
        <v>2509</v>
      </c>
      <c r="D1890" s="207" t="s">
        <v>1878</v>
      </c>
      <c r="E1890" s="323" t="s">
        <v>3994</v>
      </c>
      <c r="F1890" s="323"/>
      <c r="G1890" s="204"/>
      <c r="H1890" s="151"/>
      <c r="I1890" s="151"/>
      <c r="J1890" s="151">
        <f>288-99</f>
        <v>189</v>
      </c>
      <c r="K1890" s="151">
        <v>40</v>
      </c>
      <c r="L1890" s="1"/>
      <c r="M1890" s="73">
        <f t="shared" si="236"/>
        <v>0</v>
      </c>
      <c r="N1890" s="73">
        <f t="shared" si="241"/>
        <v>0</v>
      </c>
      <c r="O1890" s="73">
        <f t="shared" si="235"/>
        <v>0</v>
      </c>
      <c r="P1890" s="73">
        <f t="shared" si="237"/>
        <v>0</v>
      </c>
      <c r="Q1890" s="73"/>
      <c r="R1890" s="73">
        <v>0</v>
      </c>
      <c r="S1890" s="75">
        <f t="shared" si="239"/>
        <v>0</v>
      </c>
      <c r="T1890" s="77">
        <v>0</v>
      </c>
      <c r="U1890" s="66">
        <v>40507</v>
      </c>
      <c r="V1890" s="79"/>
      <c r="W1890" s="66" t="s">
        <v>1585</v>
      </c>
      <c r="X1890" s="24" t="s">
        <v>1586</v>
      </c>
      <c r="Y1890" s="62"/>
      <c r="Z1890" s="169" t="s">
        <v>894</v>
      </c>
      <c r="AA1890" s="166" t="s">
        <v>902</v>
      </c>
      <c r="AB1890" s="152"/>
      <c r="AC1890" s="153"/>
      <c r="AD1890" s="154"/>
      <c r="AE1890" s="153"/>
      <c r="AF1890" s="153"/>
      <c r="AG1890" s="153"/>
      <c r="AH1890" s="153"/>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c r="BF1890" s="153"/>
      <c r="BG1890" s="153"/>
      <c r="BH1890" s="153"/>
      <c r="BI1890" s="153"/>
      <c r="BJ1890" s="153"/>
      <c r="BK1890" s="153"/>
      <c r="BL1890" s="153"/>
      <c r="BM1890" s="153"/>
      <c r="BN1890" s="153"/>
      <c r="BO1890" s="153"/>
      <c r="BP1890" s="153"/>
      <c r="BQ1890" s="153"/>
      <c r="BR1890" s="153"/>
      <c r="BS1890" s="153"/>
      <c r="BT1890" s="153"/>
      <c r="BU1890" s="153"/>
      <c r="BV1890" s="153"/>
      <c r="BW1890" s="153"/>
      <c r="BX1890" s="153"/>
      <c r="BY1890" s="153"/>
      <c r="BZ1890" s="153"/>
      <c r="CA1890" s="153"/>
      <c r="CB1890" s="153"/>
      <c r="CC1890" s="153"/>
      <c r="CD1890" s="155"/>
      <c r="CE1890" s="156"/>
      <c r="CF1890" s="155"/>
      <c r="CG1890" s="156"/>
      <c r="CH1890" s="155"/>
      <c r="CI1890" s="156"/>
      <c r="CJ1890" s="157">
        <f t="shared" si="238"/>
        <v>0</v>
      </c>
      <c r="CK1890" s="158"/>
      <c r="CL1890" s="159"/>
      <c r="CM1890" s="160"/>
      <c r="CN1890" s="161"/>
      <c r="CO1890" s="162"/>
      <c r="CP1890" s="161"/>
      <c r="CQ1890" s="158"/>
      <c r="CR1890" s="159"/>
      <c r="CS1890" s="68"/>
      <c r="CT1890" s="163"/>
      <c r="EC1890" s="366" t="str">
        <f t="shared" si="240"/>
        <v>NARIÑO_TANGUA</v>
      </c>
      <c r="ED1890" s="367"/>
      <c r="EE1890" s="367"/>
      <c r="EF1890" s="368"/>
      <c r="EG1890" s="367"/>
      <c r="EH1890" s="367"/>
      <c r="EI1890" s="367"/>
    </row>
    <row r="1891" spans="1:139" s="164" customFormat="1" ht="45">
      <c r="A1891" s="228">
        <v>40507</v>
      </c>
      <c r="B1891" s="205" t="s">
        <v>2400</v>
      </c>
      <c r="C1891" s="205" t="s">
        <v>1597</v>
      </c>
      <c r="D1891" s="207" t="s">
        <v>1201</v>
      </c>
      <c r="E1891" s="323" t="s">
        <v>4212</v>
      </c>
      <c r="F1891" s="323"/>
      <c r="G1891" s="204"/>
      <c r="H1891" s="151"/>
      <c r="I1891" s="151"/>
      <c r="J1891" s="151">
        <f>565*5</f>
        <v>2825</v>
      </c>
      <c r="K1891" s="151">
        <f>598-33</f>
        <v>565</v>
      </c>
      <c r="L1891" s="1"/>
      <c r="M1891" s="73">
        <f t="shared" si="236"/>
        <v>0</v>
      </c>
      <c r="N1891" s="73">
        <f t="shared" si="241"/>
        <v>0</v>
      </c>
      <c r="O1891" s="73">
        <f t="shared" si="235"/>
        <v>0</v>
      </c>
      <c r="P1891" s="73">
        <f t="shared" si="237"/>
        <v>0</v>
      </c>
      <c r="Q1891" s="73"/>
      <c r="R1891" s="73">
        <v>0</v>
      </c>
      <c r="S1891" s="75">
        <f t="shared" si="239"/>
        <v>0</v>
      </c>
      <c r="T1891" s="77">
        <v>0</v>
      </c>
      <c r="U1891" s="66"/>
      <c r="V1891" s="79"/>
      <c r="W1891" s="66" t="s">
        <v>1606</v>
      </c>
      <c r="X1891" s="264" t="s">
        <v>1607</v>
      </c>
      <c r="Y1891" s="62"/>
      <c r="Z1891" s="260" t="s">
        <v>18</v>
      </c>
      <c r="AA1891" s="166" t="s">
        <v>28</v>
      </c>
      <c r="AB1891" s="152"/>
      <c r="AC1891" s="153"/>
      <c r="AD1891" s="154"/>
      <c r="AE1891" s="153"/>
      <c r="AF1891" s="153"/>
      <c r="AG1891" s="153"/>
      <c r="AH1891" s="153"/>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c r="BF1891" s="153"/>
      <c r="BG1891" s="153"/>
      <c r="BH1891" s="153"/>
      <c r="BI1891" s="153"/>
      <c r="BJ1891" s="153"/>
      <c r="BK1891" s="153"/>
      <c r="BL1891" s="153"/>
      <c r="BM1891" s="153"/>
      <c r="BN1891" s="153"/>
      <c r="BO1891" s="153"/>
      <c r="BP1891" s="153"/>
      <c r="BQ1891" s="153"/>
      <c r="BR1891" s="153"/>
      <c r="BS1891" s="153"/>
      <c r="BT1891" s="153"/>
      <c r="BU1891" s="153"/>
      <c r="BV1891" s="153"/>
      <c r="BW1891" s="153"/>
      <c r="BX1891" s="153"/>
      <c r="BY1891" s="153"/>
      <c r="BZ1891" s="153"/>
      <c r="CA1891" s="153"/>
      <c r="CB1891" s="153"/>
      <c r="CC1891" s="153"/>
      <c r="CD1891" s="155"/>
      <c r="CE1891" s="156"/>
      <c r="CF1891" s="155"/>
      <c r="CG1891" s="156"/>
      <c r="CH1891" s="155"/>
      <c r="CI1891" s="156"/>
      <c r="CJ1891" s="157">
        <f t="shared" si="238"/>
        <v>0</v>
      </c>
      <c r="CK1891" s="158"/>
      <c r="CL1891" s="159"/>
      <c r="CM1891" s="160"/>
      <c r="CN1891" s="161"/>
      <c r="CO1891" s="162"/>
      <c r="CP1891" s="161"/>
      <c r="CQ1891" s="158"/>
      <c r="CR1891" s="159"/>
      <c r="CS1891" s="68"/>
      <c r="CT1891" s="163"/>
      <c r="EC1891" s="366" t="str">
        <f t="shared" si="240"/>
        <v>TOLIMA_RIOBLANCO</v>
      </c>
      <c r="ED1891" s="367"/>
      <c r="EE1891" s="367"/>
      <c r="EF1891" s="368"/>
      <c r="EG1891" s="367"/>
      <c r="EH1891" s="367"/>
      <c r="EI1891" s="367"/>
    </row>
    <row r="1892" spans="1:139" s="164" customFormat="1" ht="25.5">
      <c r="A1892" s="228">
        <v>40507</v>
      </c>
      <c r="B1892" s="205" t="s">
        <v>2400</v>
      </c>
      <c r="C1892" s="205" t="s">
        <v>78</v>
      </c>
      <c r="D1892" s="207" t="s">
        <v>1201</v>
      </c>
      <c r="E1892" s="323" t="s">
        <v>4215</v>
      </c>
      <c r="F1892" s="323"/>
      <c r="G1892" s="204"/>
      <c r="H1892" s="151"/>
      <c r="I1892" s="151"/>
      <c r="J1892" s="151">
        <v>275</v>
      </c>
      <c r="K1892" s="151">
        <v>61</v>
      </c>
      <c r="L1892" s="1"/>
      <c r="M1892" s="73">
        <f t="shared" si="236"/>
        <v>0</v>
      </c>
      <c r="N1892" s="73">
        <f t="shared" si="241"/>
        <v>0</v>
      </c>
      <c r="O1892" s="73">
        <f t="shared" si="235"/>
        <v>0</v>
      </c>
      <c r="P1892" s="73">
        <f t="shared" si="237"/>
        <v>0</v>
      </c>
      <c r="Q1892" s="73"/>
      <c r="R1892" s="73">
        <v>0</v>
      </c>
      <c r="S1892" s="75">
        <f t="shared" si="239"/>
        <v>0</v>
      </c>
      <c r="T1892" s="77">
        <v>0</v>
      </c>
      <c r="U1892" s="66">
        <v>40581</v>
      </c>
      <c r="V1892" s="79"/>
      <c r="W1892" s="66" t="s">
        <v>1585</v>
      </c>
      <c r="X1892" s="24" t="s">
        <v>1586</v>
      </c>
      <c r="Y1892" s="62"/>
      <c r="Z1892" s="169" t="s">
        <v>894</v>
      </c>
      <c r="AA1892" s="166" t="s">
        <v>54</v>
      </c>
      <c r="AB1892" s="152"/>
      <c r="AC1892" s="153"/>
      <c r="AD1892" s="154"/>
      <c r="AE1892" s="153"/>
      <c r="AF1892" s="153"/>
      <c r="AG1892" s="153"/>
      <c r="AH1892" s="153"/>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c r="BI1892" s="153"/>
      <c r="BJ1892" s="153"/>
      <c r="BK1892" s="153"/>
      <c r="BL1892" s="153"/>
      <c r="BM1892" s="153"/>
      <c r="BN1892" s="153"/>
      <c r="BO1892" s="153"/>
      <c r="BP1892" s="153"/>
      <c r="BQ1892" s="153"/>
      <c r="BR1892" s="153"/>
      <c r="BS1892" s="153"/>
      <c r="BT1892" s="153"/>
      <c r="BU1892" s="153"/>
      <c r="BV1892" s="153"/>
      <c r="BW1892" s="153"/>
      <c r="BX1892" s="153"/>
      <c r="BY1892" s="153"/>
      <c r="BZ1892" s="153"/>
      <c r="CA1892" s="153"/>
      <c r="CB1892" s="153"/>
      <c r="CC1892" s="153"/>
      <c r="CD1892" s="155"/>
      <c r="CE1892" s="156"/>
      <c r="CF1892" s="155"/>
      <c r="CG1892" s="156"/>
      <c r="CH1892" s="155"/>
      <c r="CI1892" s="156"/>
      <c r="CJ1892" s="157">
        <f t="shared" si="238"/>
        <v>0</v>
      </c>
      <c r="CK1892" s="158"/>
      <c r="CL1892" s="159"/>
      <c r="CM1892" s="160"/>
      <c r="CN1892" s="161"/>
      <c r="CO1892" s="162"/>
      <c r="CP1892" s="161"/>
      <c r="CQ1892" s="158"/>
      <c r="CR1892" s="159"/>
      <c r="CS1892" s="68"/>
      <c r="CT1892" s="163"/>
      <c r="EC1892" s="366" t="str">
        <f t="shared" si="240"/>
        <v>TOLIMA_SALDAÑA</v>
      </c>
      <c r="ED1892" s="367"/>
      <c r="EE1892" s="367"/>
      <c r="EF1892" s="368"/>
      <c r="EG1892" s="367"/>
      <c r="EH1892" s="367"/>
      <c r="EI1892" s="367"/>
    </row>
    <row r="1893" spans="1:139" s="164" customFormat="1" ht="38.25">
      <c r="A1893" s="228">
        <v>40507</v>
      </c>
      <c r="B1893" s="205" t="s">
        <v>1088</v>
      </c>
      <c r="C1893" s="102" t="s">
        <v>3204</v>
      </c>
      <c r="D1893" s="207" t="s">
        <v>1201</v>
      </c>
      <c r="E1893" s="323" t="s">
        <v>4224</v>
      </c>
      <c r="F1893" s="323"/>
      <c r="G1893" s="204"/>
      <c r="H1893" s="151"/>
      <c r="I1893" s="151"/>
      <c r="J1893" s="151">
        <f>198*5</f>
        <v>990</v>
      </c>
      <c r="K1893" s="151">
        <v>198</v>
      </c>
      <c r="L1893" s="1"/>
      <c r="M1893" s="73">
        <f t="shared" si="236"/>
        <v>0</v>
      </c>
      <c r="N1893" s="73">
        <f t="shared" si="241"/>
        <v>0</v>
      </c>
      <c r="O1893" s="73">
        <f t="shared" si="235"/>
        <v>0</v>
      </c>
      <c r="P1893" s="73">
        <f t="shared" si="237"/>
        <v>0</v>
      </c>
      <c r="Q1893" s="73"/>
      <c r="R1893" s="73">
        <v>0</v>
      </c>
      <c r="S1893" s="75">
        <f t="shared" si="239"/>
        <v>0</v>
      </c>
      <c r="T1893" s="77">
        <v>0</v>
      </c>
      <c r="U1893" s="66">
        <v>40508</v>
      </c>
      <c r="V1893" s="79"/>
      <c r="W1893" s="66" t="s">
        <v>1585</v>
      </c>
      <c r="X1893" s="24" t="s">
        <v>1586</v>
      </c>
      <c r="Y1893" s="62"/>
      <c r="Z1893" s="169" t="s">
        <v>894</v>
      </c>
      <c r="AA1893" s="166" t="s">
        <v>2496</v>
      </c>
      <c r="AB1893" s="152"/>
      <c r="AC1893" s="153"/>
      <c r="AD1893" s="154"/>
      <c r="AE1893" s="153"/>
      <c r="AF1893" s="153"/>
      <c r="AG1893" s="153"/>
      <c r="AH1893" s="153"/>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c r="BI1893" s="153"/>
      <c r="BJ1893" s="153"/>
      <c r="BK1893" s="153"/>
      <c r="BL1893" s="153"/>
      <c r="BM1893" s="153"/>
      <c r="BN1893" s="153"/>
      <c r="BO1893" s="153"/>
      <c r="BP1893" s="153"/>
      <c r="BQ1893" s="153"/>
      <c r="BR1893" s="153"/>
      <c r="BS1893" s="153"/>
      <c r="BT1893" s="153"/>
      <c r="BU1893" s="153"/>
      <c r="BV1893" s="153"/>
      <c r="BW1893" s="153"/>
      <c r="BX1893" s="153"/>
      <c r="BY1893" s="153"/>
      <c r="BZ1893" s="153"/>
      <c r="CA1893" s="153"/>
      <c r="CB1893" s="153"/>
      <c r="CC1893" s="153"/>
      <c r="CD1893" s="155"/>
      <c r="CE1893" s="156"/>
      <c r="CF1893" s="155"/>
      <c r="CG1893" s="156"/>
      <c r="CH1893" s="155"/>
      <c r="CI1893" s="156"/>
      <c r="CJ1893" s="157">
        <f t="shared" si="238"/>
        <v>0</v>
      </c>
      <c r="CK1893" s="158"/>
      <c r="CL1893" s="159"/>
      <c r="CM1893" s="160"/>
      <c r="CN1893" s="161"/>
      <c r="CO1893" s="162"/>
      <c r="CP1893" s="161"/>
      <c r="CQ1893" s="158"/>
      <c r="CR1893" s="159"/>
      <c r="CS1893" s="68"/>
      <c r="CT1893" s="163"/>
      <c r="EC1893" s="366" t="str">
        <f t="shared" si="240"/>
        <v>VALLE DEL CAUCA_CALI</v>
      </c>
      <c r="ED1893" s="367"/>
      <c r="EE1893" s="367"/>
      <c r="EF1893" s="368"/>
      <c r="EG1893" s="367"/>
      <c r="EH1893" s="367"/>
      <c r="EI1893" s="367"/>
    </row>
    <row r="1894" spans="1:139" s="164" customFormat="1" ht="38.25">
      <c r="A1894" s="228">
        <v>40507.530555555553</v>
      </c>
      <c r="B1894" s="205" t="s">
        <v>2298</v>
      </c>
      <c r="C1894" s="205" t="s">
        <v>1610</v>
      </c>
      <c r="D1894" s="207" t="s">
        <v>1878</v>
      </c>
      <c r="E1894" s="323"/>
      <c r="F1894" s="323"/>
      <c r="G1894" s="204"/>
      <c r="H1894" s="151"/>
      <c r="I1894" s="151"/>
      <c r="J1894" s="151">
        <v>44</v>
      </c>
      <c r="K1894" s="409">
        <v>12</v>
      </c>
      <c r="L1894" s="1"/>
      <c r="M1894" s="73">
        <f t="shared" si="236"/>
        <v>0</v>
      </c>
      <c r="N1894" s="73">
        <f t="shared" si="241"/>
        <v>0</v>
      </c>
      <c r="O1894" s="73">
        <f t="shared" si="235"/>
        <v>0</v>
      </c>
      <c r="P1894" s="73">
        <f t="shared" si="237"/>
        <v>0</v>
      </c>
      <c r="Q1894" s="73"/>
      <c r="R1894" s="73">
        <v>0</v>
      </c>
      <c r="S1894" s="75">
        <f t="shared" si="239"/>
        <v>0</v>
      </c>
      <c r="T1894" s="77">
        <v>0</v>
      </c>
      <c r="U1894" s="296">
        <v>40624</v>
      </c>
      <c r="V1894" s="297"/>
      <c r="W1894" s="296" t="s">
        <v>1585</v>
      </c>
      <c r="X1894" s="298" t="s">
        <v>1586</v>
      </c>
      <c r="Y1894" s="299"/>
      <c r="Z1894" s="300" t="s">
        <v>894</v>
      </c>
      <c r="AA1894" s="414" t="s">
        <v>5433</v>
      </c>
      <c r="AB1894" s="152"/>
      <c r="AC1894" s="153"/>
      <c r="AD1894" s="154"/>
      <c r="AE1894" s="153"/>
      <c r="AF1894" s="153"/>
      <c r="AG1894" s="153"/>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c r="BI1894" s="153"/>
      <c r="BJ1894" s="153"/>
      <c r="BK1894" s="153"/>
      <c r="BL1894" s="153"/>
      <c r="BM1894" s="153"/>
      <c r="BN1894" s="153"/>
      <c r="BO1894" s="153"/>
      <c r="BP1894" s="153"/>
      <c r="BQ1894" s="153"/>
      <c r="BR1894" s="153"/>
      <c r="BS1894" s="153"/>
      <c r="BT1894" s="153"/>
      <c r="BU1894" s="153"/>
      <c r="BV1894" s="153"/>
      <c r="BW1894" s="153"/>
      <c r="BX1894" s="153"/>
      <c r="BY1894" s="153"/>
      <c r="BZ1894" s="153"/>
      <c r="CA1894" s="153"/>
      <c r="CB1894" s="153"/>
      <c r="CC1894" s="153"/>
      <c r="CD1894" s="155"/>
      <c r="CE1894" s="156"/>
      <c r="CF1894" s="155"/>
      <c r="CG1894" s="156"/>
      <c r="CH1894" s="155"/>
      <c r="CI1894" s="156"/>
      <c r="CJ1894" s="157">
        <f t="shared" si="238"/>
        <v>0</v>
      </c>
      <c r="CK1894" s="158"/>
      <c r="CL1894" s="159"/>
      <c r="CM1894" s="160"/>
      <c r="CN1894" s="161"/>
      <c r="CO1894" s="162"/>
      <c r="CP1894" s="161"/>
      <c r="CQ1894" s="158"/>
      <c r="CR1894" s="159"/>
      <c r="CS1894" s="68"/>
      <c r="CT1894" s="163"/>
      <c r="EC1894" s="366" t="str">
        <f t="shared" si="240"/>
        <v>BOGOTA D.C._BOGOTA</v>
      </c>
      <c r="ED1894" s="367"/>
      <c r="EE1894" s="367"/>
      <c r="EF1894" s="368"/>
      <c r="EG1894" s="367"/>
      <c r="EH1894" s="367"/>
      <c r="EI1894" s="367"/>
    </row>
    <row r="1895" spans="1:139" s="164" customFormat="1" ht="45">
      <c r="A1895" s="228">
        <v>40508</v>
      </c>
      <c r="B1895" s="205" t="s">
        <v>962</v>
      </c>
      <c r="C1895" s="205" t="s">
        <v>2380</v>
      </c>
      <c r="D1895" s="207" t="s">
        <v>2606</v>
      </c>
      <c r="E1895" s="323" t="s">
        <v>3831</v>
      </c>
      <c r="F1895" s="323"/>
      <c r="G1895" s="204"/>
      <c r="H1895" s="151"/>
      <c r="I1895" s="151"/>
      <c r="J1895" s="151">
        <v>20</v>
      </c>
      <c r="K1895" s="151">
        <v>4</v>
      </c>
      <c r="L1895" s="1"/>
      <c r="M1895" s="73">
        <f t="shared" si="236"/>
        <v>0</v>
      </c>
      <c r="N1895" s="73">
        <f t="shared" si="241"/>
        <v>0</v>
      </c>
      <c r="O1895" s="73">
        <f t="shared" si="235"/>
        <v>0</v>
      </c>
      <c r="P1895" s="73">
        <f t="shared" si="237"/>
        <v>0</v>
      </c>
      <c r="Q1895" s="73"/>
      <c r="R1895" s="73">
        <v>0</v>
      </c>
      <c r="S1895" s="75">
        <f t="shared" si="239"/>
        <v>0</v>
      </c>
      <c r="T1895" s="77">
        <v>0</v>
      </c>
      <c r="U1895" s="66">
        <v>40508</v>
      </c>
      <c r="V1895" s="79"/>
      <c r="W1895" s="66" t="s">
        <v>1606</v>
      </c>
      <c r="X1895" s="264" t="s">
        <v>1607</v>
      </c>
      <c r="Y1895" s="62"/>
      <c r="Z1895" s="260" t="s">
        <v>18</v>
      </c>
      <c r="AA1895" s="166" t="s">
        <v>2950</v>
      </c>
      <c r="AB1895" s="152"/>
      <c r="AC1895" s="153"/>
      <c r="AD1895" s="154"/>
      <c r="AE1895" s="153"/>
      <c r="AF1895" s="153"/>
      <c r="AG1895" s="153"/>
      <c r="AH1895" s="153"/>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c r="BI1895" s="153"/>
      <c r="BJ1895" s="153"/>
      <c r="BK1895" s="153"/>
      <c r="BL1895" s="153"/>
      <c r="BM1895" s="153"/>
      <c r="BN1895" s="153"/>
      <c r="BO1895" s="153"/>
      <c r="BP1895" s="153"/>
      <c r="BQ1895" s="153"/>
      <c r="BR1895" s="153"/>
      <c r="BS1895" s="153"/>
      <c r="BT1895" s="153"/>
      <c r="BU1895" s="153"/>
      <c r="BV1895" s="153"/>
      <c r="BW1895" s="153"/>
      <c r="BX1895" s="153"/>
      <c r="BY1895" s="153"/>
      <c r="BZ1895" s="153"/>
      <c r="CA1895" s="153"/>
      <c r="CB1895" s="153"/>
      <c r="CC1895" s="153"/>
      <c r="CD1895" s="155"/>
      <c r="CE1895" s="156"/>
      <c r="CF1895" s="155"/>
      <c r="CG1895" s="156"/>
      <c r="CH1895" s="155"/>
      <c r="CI1895" s="156"/>
      <c r="CJ1895" s="157">
        <f t="shared" si="238"/>
        <v>0</v>
      </c>
      <c r="CK1895" s="158"/>
      <c r="CL1895" s="159"/>
      <c r="CM1895" s="160"/>
      <c r="CN1895" s="161"/>
      <c r="CO1895" s="162"/>
      <c r="CP1895" s="161"/>
      <c r="CQ1895" s="158"/>
      <c r="CR1895" s="159"/>
      <c r="CS1895" s="68"/>
      <c r="CT1895" s="163"/>
      <c r="EC1895" s="366" t="str">
        <f t="shared" si="240"/>
        <v>HUILA_COLOMBIA</v>
      </c>
      <c r="ED1895" s="367"/>
      <c r="EE1895" s="367"/>
      <c r="EF1895" s="368"/>
      <c r="EG1895" s="367"/>
      <c r="EH1895" s="367"/>
      <c r="EI1895" s="367"/>
    </row>
    <row r="1896" spans="1:139" s="164" customFormat="1" ht="45">
      <c r="A1896" s="228">
        <v>40508</v>
      </c>
      <c r="B1896" s="205" t="s">
        <v>962</v>
      </c>
      <c r="C1896" s="205" t="s">
        <v>2380</v>
      </c>
      <c r="D1896" s="207" t="s">
        <v>2606</v>
      </c>
      <c r="E1896" s="323" t="s">
        <v>3831</v>
      </c>
      <c r="F1896" s="323"/>
      <c r="G1896" s="204"/>
      <c r="H1896" s="151"/>
      <c r="I1896" s="151"/>
      <c r="J1896" s="151">
        <v>20</v>
      </c>
      <c r="K1896" s="151">
        <v>4</v>
      </c>
      <c r="L1896" s="1"/>
      <c r="M1896" s="73">
        <f t="shared" si="236"/>
        <v>0</v>
      </c>
      <c r="N1896" s="73">
        <f t="shared" si="241"/>
        <v>0</v>
      </c>
      <c r="O1896" s="73">
        <f t="shared" si="235"/>
        <v>0</v>
      </c>
      <c r="P1896" s="73">
        <f t="shared" si="237"/>
        <v>0</v>
      </c>
      <c r="Q1896" s="73"/>
      <c r="R1896" s="73">
        <v>0</v>
      </c>
      <c r="S1896" s="75">
        <f t="shared" si="239"/>
        <v>0</v>
      </c>
      <c r="T1896" s="77">
        <v>0</v>
      </c>
      <c r="U1896" s="66">
        <v>40508</v>
      </c>
      <c r="V1896" s="79"/>
      <c r="W1896" s="66" t="s">
        <v>1606</v>
      </c>
      <c r="X1896" s="264" t="s">
        <v>1607</v>
      </c>
      <c r="Y1896" s="62"/>
      <c r="Z1896" s="260" t="s">
        <v>18</v>
      </c>
      <c r="AA1896" s="166" t="s">
        <v>545</v>
      </c>
      <c r="AB1896" s="152"/>
      <c r="AC1896" s="153"/>
      <c r="AD1896" s="154"/>
      <c r="AE1896" s="153"/>
      <c r="AF1896" s="153"/>
      <c r="AG1896" s="153"/>
      <c r="AH1896" s="153"/>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c r="BI1896" s="153"/>
      <c r="BJ1896" s="153"/>
      <c r="BK1896" s="153"/>
      <c r="BL1896" s="153"/>
      <c r="BM1896" s="153"/>
      <c r="BN1896" s="153"/>
      <c r="BO1896" s="153"/>
      <c r="BP1896" s="153"/>
      <c r="BQ1896" s="153"/>
      <c r="BR1896" s="153"/>
      <c r="BS1896" s="153"/>
      <c r="BT1896" s="153"/>
      <c r="BU1896" s="153"/>
      <c r="BV1896" s="153"/>
      <c r="BW1896" s="153"/>
      <c r="BX1896" s="153"/>
      <c r="BY1896" s="153"/>
      <c r="BZ1896" s="153"/>
      <c r="CA1896" s="153"/>
      <c r="CB1896" s="153"/>
      <c r="CC1896" s="153"/>
      <c r="CD1896" s="155"/>
      <c r="CE1896" s="156"/>
      <c r="CF1896" s="155"/>
      <c r="CG1896" s="156"/>
      <c r="CH1896" s="155"/>
      <c r="CI1896" s="156"/>
      <c r="CJ1896" s="157">
        <f t="shared" si="238"/>
        <v>0</v>
      </c>
      <c r="CK1896" s="158"/>
      <c r="CL1896" s="159"/>
      <c r="CM1896" s="160"/>
      <c r="CN1896" s="161"/>
      <c r="CO1896" s="162"/>
      <c r="CP1896" s="161"/>
      <c r="CQ1896" s="158"/>
      <c r="CR1896" s="159"/>
      <c r="CS1896" s="68"/>
      <c r="CT1896" s="163"/>
      <c r="EC1896" s="366" t="str">
        <f t="shared" si="240"/>
        <v>HUILA_COLOMBIA</v>
      </c>
      <c r="ED1896" s="367"/>
      <c r="EE1896" s="367"/>
      <c r="EF1896" s="368"/>
      <c r="EG1896" s="367"/>
      <c r="EH1896" s="367"/>
      <c r="EI1896" s="367"/>
    </row>
    <row r="1897" spans="1:139" s="164" customFormat="1" ht="38.25">
      <c r="A1897" s="228">
        <v>40508</v>
      </c>
      <c r="B1897" s="205" t="s">
        <v>1440</v>
      </c>
      <c r="C1897" s="205" t="s">
        <v>1481</v>
      </c>
      <c r="D1897" s="207" t="s">
        <v>1201</v>
      </c>
      <c r="E1897" s="323" t="s">
        <v>3902</v>
      </c>
      <c r="F1897" s="323"/>
      <c r="G1897" s="204"/>
      <c r="H1897" s="151"/>
      <c r="I1897" s="151"/>
      <c r="J1897" s="151">
        <v>840</v>
      </c>
      <c r="K1897" s="151">
        <v>168</v>
      </c>
      <c r="L1897" s="1"/>
      <c r="M1897" s="73">
        <f t="shared" si="236"/>
        <v>55660000</v>
      </c>
      <c r="N1897" s="73">
        <f t="shared" si="241"/>
        <v>121040000</v>
      </c>
      <c r="O1897" s="73">
        <f t="shared" si="235"/>
        <v>0</v>
      </c>
      <c r="P1897" s="73">
        <f t="shared" si="237"/>
        <v>0</v>
      </c>
      <c r="Q1897" s="73"/>
      <c r="R1897" s="73">
        <v>0</v>
      </c>
      <c r="S1897" s="75">
        <f t="shared" si="239"/>
        <v>176700000</v>
      </c>
      <c r="T1897" s="77">
        <v>0</v>
      </c>
      <c r="U1897" s="66">
        <v>40512</v>
      </c>
      <c r="V1897" s="79"/>
      <c r="W1897" s="66" t="s">
        <v>1606</v>
      </c>
      <c r="X1897" s="24" t="s">
        <v>1607</v>
      </c>
      <c r="Y1897" s="62"/>
      <c r="Z1897" s="169" t="s">
        <v>894</v>
      </c>
      <c r="AA1897" s="166" t="s">
        <v>789</v>
      </c>
      <c r="AB1897" s="152"/>
      <c r="AC1897" s="153"/>
      <c r="AD1897" s="154"/>
      <c r="AE1897" s="153"/>
      <c r="AF1897" s="153"/>
      <c r="AG1897" s="153"/>
      <c r="AH1897" s="153"/>
      <c r="AI1897" s="153"/>
      <c r="AJ1897" s="153"/>
      <c r="AK1897" s="153"/>
      <c r="AL1897" s="153"/>
      <c r="AM1897" s="153"/>
      <c r="AN1897" s="153"/>
      <c r="AO1897" s="153"/>
      <c r="AP1897" s="153"/>
      <c r="AQ1897" s="153"/>
      <c r="AR1897" s="153"/>
      <c r="AS1897" s="153"/>
      <c r="AT1897" s="153"/>
      <c r="AU1897" s="153"/>
      <c r="AV1897" s="153"/>
      <c r="AW1897" s="153"/>
      <c r="AX1897" s="153"/>
      <c r="AY1897" s="153"/>
      <c r="AZ1897" s="153">
        <v>400</v>
      </c>
      <c r="BA1897" s="153">
        <f>400*25500</f>
        <v>10200000</v>
      </c>
      <c r="BB1897" s="153"/>
      <c r="BC1897" s="153"/>
      <c r="BD1897" s="153"/>
      <c r="BE1897" s="153"/>
      <c r="BF1897" s="153"/>
      <c r="BG1897" s="153"/>
      <c r="BH1897" s="153"/>
      <c r="BI1897" s="153"/>
      <c r="BJ1897" s="153"/>
      <c r="BK1897" s="153"/>
      <c r="BL1897" s="153"/>
      <c r="BM1897" s="153"/>
      <c r="BN1897" s="153">
        <v>18</v>
      </c>
      <c r="BO1897" s="153">
        <f>18*470000</f>
        <v>8460000</v>
      </c>
      <c r="BP1897" s="153"/>
      <c r="BQ1897" s="153"/>
      <c r="BR1897" s="153"/>
      <c r="BS1897" s="153"/>
      <c r="BT1897" s="153"/>
      <c r="BU1897" s="153"/>
      <c r="BV1897" s="153"/>
      <c r="BW1897" s="153"/>
      <c r="BX1897" s="153"/>
      <c r="BY1897" s="153"/>
      <c r="BZ1897" s="153"/>
      <c r="CA1897" s="153"/>
      <c r="CB1897" s="153"/>
      <c r="CC1897" s="153"/>
      <c r="CD1897" s="155">
        <v>1000</v>
      </c>
      <c r="CE1897" s="156">
        <f>1000*37000</f>
        <v>37000000</v>
      </c>
      <c r="CF1897" s="155"/>
      <c r="CG1897" s="156"/>
      <c r="CH1897" s="155"/>
      <c r="CI1897" s="156"/>
      <c r="CJ1897" s="157">
        <f t="shared" si="238"/>
        <v>55660000</v>
      </c>
      <c r="CK1897" s="158"/>
      <c r="CL1897" s="159"/>
      <c r="CM1897" s="160">
        <v>1424</v>
      </c>
      <c r="CN1897" s="161">
        <f>1424*85000</f>
        <v>121040000</v>
      </c>
      <c r="CO1897" s="162"/>
      <c r="CP1897" s="161"/>
      <c r="CQ1897" s="158"/>
      <c r="CR1897" s="159"/>
      <c r="CS1897" s="68"/>
      <c r="CT1897" s="163"/>
      <c r="EC1897" s="366" t="str">
        <f t="shared" si="240"/>
        <v>MAGDALENA_TENERIFE</v>
      </c>
      <c r="ED1897" s="367"/>
      <c r="EE1897" s="367"/>
      <c r="EF1897" s="368"/>
      <c r="EG1897" s="367"/>
      <c r="EH1897" s="367"/>
      <c r="EI1897" s="367"/>
    </row>
    <row r="1898" spans="1:139" s="164" customFormat="1" ht="38.25">
      <c r="A1898" s="228">
        <v>40508</v>
      </c>
      <c r="B1898" s="205" t="s">
        <v>965</v>
      </c>
      <c r="C1898" s="205" t="s">
        <v>89</v>
      </c>
      <c r="D1898" s="207" t="s">
        <v>1878</v>
      </c>
      <c r="E1898" s="323" t="s">
        <v>4003</v>
      </c>
      <c r="F1898" s="323"/>
      <c r="G1898" s="204"/>
      <c r="H1898" s="151"/>
      <c r="I1898" s="151"/>
      <c r="J1898" s="151">
        <v>205</v>
      </c>
      <c r="K1898" s="151">
        <v>92</v>
      </c>
      <c r="L1898" s="1"/>
      <c r="M1898" s="73">
        <f t="shared" si="236"/>
        <v>0</v>
      </c>
      <c r="N1898" s="73">
        <f t="shared" si="241"/>
        <v>0</v>
      </c>
      <c r="O1898" s="73">
        <f t="shared" si="235"/>
        <v>0</v>
      </c>
      <c r="P1898" s="73">
        <f t="shared" si="237"/>
        <v>0</v>
      </c>
      <c r="Q1898" s="73"/>
      <c r="R1898" s="73">
        <v>0</v>
      </c>
      <c r="S1898" s="75">
        <f t="shared" si="239"/>
        <v>0</v>
      </c>
      <c r="T1898" s="77">
        <v>0</v>
      </c>
      <c r="U1898" s="66">
        <v>40581</v>
      </c>
      <c r="V1898" s="79"/>
      <c r="W1898" s="66" t="s">
        <v>1585</v>
      </c>
      <c r="X1898" s="24" t="s">
        <v>1586</v>
      </c>
      <c r="Y1898" s="62"/>
      <c r="Z1898" s="169" t="s">
        <v>894</v>
      </c>
      <c r="AA1898" s="166" t="s">
        <v>54</v>
      </c>
      <c r="AB1898" s="152"/>
      <c r="AC1898" s="153"/>
      <c r="AD1898" s="154"/>
      <c r="AE1898" s="153"/>
      <c r="AF1898" s="153"/>
      <c r="AG1898" s="153"/>
      <c r="AH1898" s="153"/>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c r="BI1898" s="153"/>
      <c r="BJ1898" s="153"/>
      <c r="BK1898" s="153"/>
      <c r="BL1898" s="153"/>
      <c r="BM1898" s="153"/>
      <c r="BN1898" s="153"/>
      <c r="BO1898" s="153"/>
      <c r="BP1898" s="153"/>
      <c r="BQ1898" s="153"/>
      <c r="BR1898" s="153"/>
      <c r="BS1898" s="153"/>
      <c r="BT1898" s="153"/>
      <c r="BU1898" s="153"/>
      <c r="BV1898" s="153"/>
      <c r="BW1898" s="153"/>
      <c r="BX1898" s="153"/>
      <c r="BY1898" s="153"/>
      <c r="BZ1898" s="153"/>
      <c r="CA1898" s="153"/>
      <c r="CB1898" s="153"/>
      <c r="CC1898" s="153"/>
      <c r="CD1898" s="155"/>
      <c r="CE1898" s="156"/>
      <c r="CF1898" s="155"/>
      <c r="CG1898" s="156"/>
      <c r="CH1898" s="155"/>
      <c r="CI1898" s="156"/>
      <c r="CJ1898" s="157">
        <f t="shared" si="238"/>
        <v>0</v>
      </c>
      <c r="CK1898" s="158"/>
      <c r="CL1898" s="159"/>
      <c r="CM1898" s="160"/>
      <c r="CN1898" s="161"/>
      <c r="CO1898" s="162"/>
      <c r="CP1898" s="161"/>
      <c r="CQ1898" s="158"/>
      <c r="CR1898" s="159"/>
      <c r="CS1898" s="68"/>
      <c r="CT1898" s="163"/>
      <c r="EC1898" s="366" t="str">
        <f t="shared" si="240"/>
        <v>NORTE DE SANTANDER_CACOTA</v>
      </c>
      <c r="ED1898" s="367"/>
      <c r="EE1898" s="367"/>
      <c r="EF1898" s="368"/>
      <c r="EG1898" s="367"/>
      <c r="EH1898" s="367"/>
      <c r="EI1898" s="367"/>
    </row>
    <row r="1899" spans="1:139" s="164" customFormat="1" ht="25.5">
      <c r="A1899" s="228">
        <v>40508</v>
      </c>
      <c r="B1899" s="205" t="s">
        <v>1609</v>
      </c>
      <c r="C1899" s="205" t="s">
        <v>2004</v>
      </c>
      <c r="D1899" s="207" t="s">
        <v>1878</v>
      </c>
      <c r="E1899" s="323" t="s">
        <v>4050</v>
      </c>
      <c r="F1899" s="323"/>
      <c r="G1899" s="204"/>
      <c r="H1899" s="151"/>
      <c r="I1899" s="151"/>
      <c r="J1899" s="151">
        <v>10</v>
      </c>
      <c r="K1899" s="151">
        <v>2</v>
      </c>
      <c r="L1899" s="1"/>
      <c r="M1899" s="73">
        <f t="shared" si="236"/>
        <v>0</v>
      </c>
      <c r="N1899" s="73">
        <f t="shared" si="241"/>
        <v>0</v>
      </c>
      <c r="O1899" s="73">
        <f t="shared" si="235"/>
        <v>0</v>
      </c>
      <c r="P1899" s="73">
        <f t="shared" si="237"/>
        <v>0</v>
      </c>
      <c r="Q1899" s="73"/>
      <c r="R1899" s="73">
        <v>0</v>
      </c>
      <c r="S1899" s="75">
        <f t="shared" si="239"/>
        <v>0</v>
      </c>
      <c r="T1899" s="77">
        <v>0</v>
      </c>
      <c r="U1899" s="66">
        <v>40510</v>
      </c>
      <c r="V1899" s="79"/>
      <c r="W1899" s="66" t="s">
        <v>1585</v>
      </c>
      <c r="X1899" s="24" t="s">
        <v>1586</v>
      </c>
      <c r="Y1899" s="62"/>
      <c r="Z1899" s="169" t="s">
        <v>894</v>
      </c>
      <c r="AA1899" s="166" t="s">
        <v>2520</v>
      </c>
      <c r="AB1899" s="152"/>
      <c r="AC1899" s="153"/>
      <c r="AD1899" s="154"/>
      <c r="AE1899" s="153"/>
      <c r="AF1899" s="153"/>
      <c r="AG1899" s="153"/>
      <c r="AH1899" s="153"/>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c r="BI1899" s="153"/>
      <c r="BJ1899" s="153"/>
      <c r="BK1899" s="153"/>
      <c r="BL1899" s="153"/>
      <c r="BM1899" s="153"/>
      <c r="BN1899" s="153"/>
      <c r="BO1899" s="153"/>
      <c r="BP1899" s="153"/>
      <c r="BQ1899" s="153"/>
      <c r="BR1899" s="153"/>
      <c r="BS1899" s="153"/>
      <c r="BT1899" s="153"/>
      <c r="BU1899" s="153"/>
      <c r="BV1899" s="153"/>
      <c r="BW1899" s="153"/>
      <c r="BX1899" s="153"/>
      <c r="BY1899" s="153"/>
      <c r="BZ1899" s="153"/>
      <c r="CA1899" s="153"/>
      <c r="CB1899" s="153"/>
      <c r="CC1899" s="153"/>
      <c r="CD1899" s="155"/>
      <c r="CE1899" s="156"/>
      <c r="CF1899" s="155"/>
      <c r="CG1899" s="156"/>
      <c r="CH1899" s="155"/>
      <c r="CI1899" s="156"/>
      <c r="CJ1899" s="157">
        <f t="shared" si="238"/>
        <v>0</v>
      </c>
      <c r="CK1899" s="158"/>
      <c r="CL1899" s="159"/>
      <c r="CM1899" s="160"/>
      <c r="CN1899" s="161"/>
      <c r="CO1899" s="162"/>
      <c r="CP1899" s="161"/>
      <c r="CQ1899" s="158"/>
      <c r="CR1899" s="159"/>
      <c r="CS1899" s="68"/>
      <c r="CT1899" s="163"/>
      <c r="EC1899" s="366" t="str">
        <f t="shared" si="240"/>
        <v>RISARALDA_PEREIRA</v>
      </c>
      <c r="ED1899" s="367"/>
      <c r="EE1899" s="367"/>
      <c r="EF1899" s="368"/>
      <c r="EG1899" s="367"/>
      <c r="EH1899" s="367"/>
      <c r="EI1899" s="367"/>
    </row>
    <row r="1900" spans="1:139" s="164" customFormat="1" ht="25.5">
      <c r="A1900" s="228">
        <v>40508</v>
      </c>
      <c r="B1900" s="205" t="s">
        <v>1609</v>
      </c>
      <c r="C1900" s="205" t="s">
        <v>2004</v>
      </c>
      <c r="D1900" s="207" t="s">
        <v>1316</v>
      </c>
      <c r="E1900" s="323" t="s">
        <v>4050</v>
      </c>
      <c r="F1900" s="323"/>
      <c r="G1900" s="204"/>
      <c r="H1900" s="151"/>
      <c r="I1900" s="151"/>
      <c r="J1900" s="151">
        <v>10</v>
      </c>
      <c r="K1900" s="151">
        <v>2</v>
      </c>
      <c r="L1900" s="1"/>
      <c r="M1900" s="73">
        <f t="shared" si="236"/>
        <v>0</v>
      </c>
      <c r="N1900" s="73">
        <f t="shared" si="241"/>
        <v>0</v>
      </c>
      <c r="O1900" s="73">
        <f t="shared" si="235"/>
        <v>0</v>
      </c>
      <c r="P1900" s="73">
        <f t="shared" si="237"/>
        <v>0</v>
      </c>
      <c r="Q1900" s="73"/>
      <c r="R1900" s="73">
        <v>0</v>
      </c>
      <c r="S1900" s="75">
        <f t="shared" si="239"/>
        <v>0</v>
      </c>
      <c r="T1900" s="77">
        <v>0</v>
      </c>
      <c r="U1900" s="66">
        <v>40510</v>
      </c>
      <c r="V1900" s="79"/>
      <c r="W1900" s="66" t="s">
        <v>1585</v>
      </c>
      <c r="X1900" s="24" t="s">
        <v>1586</v>
      </c>
      <c r="Y1900" s="62"/>
      <c r="Z1900" s="169" t="s">
        <v>894</v>
      </c>
      <c r="AA1900" s="166" t="s">
        <v>2521</v>
      </c>
      <c r="AB1900" s="152"/>
      <c r="AC1900" s="153"/>
      <c r="AD1900" s="154"/>
      <c r="AE1900" s="153"/>
      <c r="AF1900" s="153"/>
      <c r="AG1900" s="153"/>
      <c r="AH1900" s="153"/>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c r="BI1900" s="153"/>
      <c r="BJ1900" s="153"/>
      <c r="BK1900" s="153"/>
      <c r="BL1900" s="153"/>
      <c r="BM1900" s="153"/>
      <c r="BN1900" s="153"/>
      <c r="BO1900" s="153"/>
      <c r="BP1900" s="153"/>
      <c r="BQ1900" s="153"/>
      <c r="BR1900" s="153"/>
      <c r="BS1900" s="153"/>
      <c r="BT1900" s="153"/>
      <c r="BU1900" s="153"/>
      <c r="BV1900" s="153"/>
      <c r="BW1900" s="153"/>
      <c r="BX1900" s="153"/>
      <c r="BY1900" s="153"/>
      <c r="BZ1900" s="153"/>
      <c r="CA1900" s="153"/>
      <c r="CB1900" s="153"/>
      <c r="CC1900" s="153"/>
      <c r="CD1900" s="155"/>
      <c r="CE1900" s="156"/>
      <c r="CF1900" s="155"/>
      <c r="CG1900" s="156"/>
      <c r="CH1900" s="155"/>
      <c r="CI1900" s="156"/>
      <c r="CJ1900" s="157">
        <f t="shared" si="238"/>
        <v>0</v>
      </c>
      <c r="CK1900" s="158"/>
      <c r="CL1900" s="159"/>
      <c r="CM1900" s="160"/>
      <c r="CN1900" s="161"/>
      <c r="CO1900" s="162"/>
      <c r="CP1900" s="161"/>
      <c r="CQ1900" s="158"/>
      <c r="CR1900" s="159"/>
      <c r="CS1900" s="68"/>
      <c r="CT1900" s="163"/>
      <c r="EC1900" s="366" t="str">
        <f t="shared" si="240"/>
        <v>RISARALDA_PEREIRA</v>
      </c>
      <c r="ED1900" s="367"/>
      <c r="EE1900" s="367"/>
      <c r="EF1900" s="368"/>
      <c r="EG1900" s="367"/>
      <c r="EH1900" s="367"/>
      <c r="EI1900" s="367"/>
    </row>
    <row r="1901" spans="1:139" s="164" customFormat="1" ht="38.25">
      <c r="A1901" s="228">
        <v>40508</v>
      </c>
      <c r="B1901" s="205" t="s">
        <v>1998</v>
      </c>
      <c r="C1901" s="205" t="s">
        <v>2271</v>
      </c>
      <c r="D1901" s="207" t="s">
        <v>1201</v>
      </c>
      <c r="E1901" s="323" t="s">
        <v>4129</v>
      </c>
      <c r="F1901" s="323"/>
      <c r="G1901" s="263"/>
      <c r="H1901" s="151"/>
      <c r="I1901" s="151"/>
      <c r="J1901" s="151">
        <v>250</v>
      </c>
      <c r="K1901" s="151">
        <v>50</v>
      </c>
      <c r="L1901" s="1"/>
      <c r="M1901" s="73">
        <f t="shared" si="236"/>
        <v>0</v>
      </c>
      <c r="N1901" s="73">
        <f t="shared" si="241"/>
        <v>0</v>
      </c>
      <c r="O1901" s="73">
        <f t="shared" si="235"/>
        <v>0</v>
      </c>
      <c r="P1901" s="73">
        <f t="shared" si="237"/>
        <v>0</v>
      </c>
      <c r="Q1901" s="73"/>
      <c r="R1901" s="73">
        <v>0</v>
      </c>
      <c r="S1901" s="75">
        <f t="shared" si="239"/>
        <v>0</v>
      </c>
      <c r="T1901" s="77">
        <v>0</v>
      </c>
      <c r="U1901" s="66">
        <v>40510</v>
      </c>
      <c r="V1901" s="79"/>
      <c r="W1901" s="66" t="s">
        <v>1585</v>
      </c>
      <c r="X1901" s="24" t="s">
        <v>1586</v>
      </c>
      <c r="Y1901" s="62"/>
      <c r="Z1901" s="169" t="s">
        <v>894</v>
      </c>
      <c r="AA1901" s="166" t="s">
        <v>2522</v>
      </c>
      <c r="AB1901" s="152"/>
      <c r="AC1901" s="153"/>
      <c r="AD1901" s="154"/>
      <c r="AE1901" s="153"/>
      <c r="AF1901" s="153"/>
      <c r="AG1901" s="153"/>
      <c r="AH1901" s="153"/>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c r="BI1901" s="153"/>
      <c r="BJ1901" s="153"/>
      <c r="BK1901" s="153"/>
      <c r="BL1901" s="153"/>
      <c r="BM1901" s="153"/>
      <c r="BN1901" s="153"/>
      <c r="BO1901" s="153"/>
      <c r="BP1901" s="153"/>
      <c r="BQ1901" s="153"/>
      <c r="BR1901" s="153"/>
      <c r="BS1901" s="153"/>
      <c r="BT1901" s="153"/>
      <c r="BU1901" s="153"/>
      <c r="BV1901" s="153"/>
      <c r="BW1901" s="153"/>
      <c r="BX1901" s="153"/>
      <c r="BY1901" s="153"/>
      <c r="BZ1901" s="153"/>
      <c r="CA1901" s="153"/>
      <c r="CB1901" s="153"/>
      <c r="CC1901" s="153"/>
      <c r="CD1901" s="155"/>
      <c r="CE1901" s="156"/>
      <c r="CF1901" s="155"/>
      <c r="CG1901" s="156"/>
      <c r="CH1901" s="155"/>
      <c r="CI1901" s="156"/>
      <c r="CJ1901" s="157">
        <f t="shared" si="238"/>
        <v>0</v>
      </c>
      <c r="CK1901" s="158"/>
      <c r="CL1901" s="159"/>
      <c r="CM1901" s="160"/>
      <c r="CN1901" s="161"/>
      <c r="CO1901" s="162"/>
      <c r="CP1901" s="161"/>
      <c r="CQ1901" s="158"/>
      <c r="CR1901" s="159"/>
      <c r="CS1901" s="68"/>
      <c r="CT1901" s="163"/>
      <c r="EC1901" s="366" t="str">
        <f t="shared" si="240"/>
        <v>SANTANDER_RIONEGRO</v>
      </c>
      <c r="ED1901" s="367"/>
      <c r="EE1901" s="367"/>
      <c r="EF1901" s="368"/>
      <c r="EG1901" s="367"/>
      <c r="EH1901" s="367"/>
      <c r="EI1901" s="367"/>
    </row>
    <row r="1902" spans="1:139" s="164" customFormat="1" ht="25.5">
      <c r="A1902" s="228">
        <v>40509</v>
      </c>
      <c r="B1902" s="205" t="s">
        <v>1314</v>
      </c>
      <c r="C1902" s="205" t="s">
        <v>1180</v>
      </c>
      <c r="D1902" s="207" t="s">
        <v>1878</v>
      </c>
      <c r="E1902" s="323" t="s">
        <v>3621</v>
      </c>
      <c r="F1902" s="323"/>
      <c r="G1902" s="204">
        <v>1</v>
      </c>
      <c r="H1902" s="151"/>
      <c r="I1902" s="151"/>
      <c r="J1902" s="151">
        <f>1197*5</f>
        <v>5985</v>
      </c>
      <c r="K1902" s="151">
        <v>1197</v>
      </c>
      <c r="L1902" s="1"/>
      <c r="M1902" s="73">
        <f t="shared" si="236"/>
        <v>0</v>
      </c>
      <c r="N1902" s="73">
        <f t="shared" si="241"/>
        <v>0</v>
      </c>
      <c r="O1902" s="73">
        <f t="shared" si="235"/>
        <v>0</v>
      </c>
      <c r="P1902" s="73">
        <f t="shared" si="237"/>
        <v>0</v>
      </c>
      <c r="Q1902" s="73"/>
      <c r="R1902" s="73">
        <v>0</v>
      </c>
      <c r="S1902" s="75">
        <f t="shared" si="239"/>
        <v>0</v>
      </c>
      <c r="T1902" s="77">
        <v>0</v>
      </c>
      <c r="U1902" s="66">
        <v>40512</v>
      </c>
      <c r="V1902" s="79"/>
      <c r="W1902" s="66" t="s">
        <v>1585</v>
      </c>
      <c r="X1902" s="24" t="s">
        <v>1586</v>
      </c>
      <c r="Y1902" s="62"/>
      <c r="Z1902" s="169" t="s">
        <v>894</v>
      </c>
      <c r="AA1902" s="166" t="s">
        <v>2867</v>
      </c>
      <c r="AB1902" s="152"/>
      <c r="AC1902" s="153"/>
      <c r="AD1902" s="154"/>
      <c r="AE1902" s="153"/>
      <c r="AF1902" s="153"/>
      <c r="AG1902" s="153"/>
      <c r="AH1902" s="153"/>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c r="BI1902" s="153"/>
      <c r="BJ1902" s="153"/>
      <c r="BK1902" s="153"/>
      <c r="BL1902" s="153"/>
      <c r="BM1902" s="153"/>
      <c r="BN1902" s="153"/>
      <c r="BO1902" s="153"/>
      <c r="BP1902" s="153"/>
      <c r="BQ1902" s="153"/>
      <c r="BR1902" s="153"/>
      <c r="BS1902" s="153"/>
      <c r="BT1902" s="153"/>
      <c r="BU1902" s="153"/>
      <c r="BV1902" s="153"/>
      <c r="BW1902" s="153"/>
      <c r="BX1902" s="153"/>
      <c r="BY1902" s="153"/>
      <c r="BZ1902" s="153"/>
      <c r="CA1902" s="153"/>
      <c r="CB1902" s="153"/>
      <c r="CC1902" s="153"/>
      <c r="CD1902" s="155"/>
      <c r="CE1902" s="156"/>
      <c r="CF1902" s="155"/>
      <c r="CG1902" s="156"/>
      <c r="CH1902" s="155"/>
      <c r="CI1902" s="156"/>
      <c r="CJ1902" s="157">
        <f t="shared" si="238"/>
        <v>0</v>
      </c>
      <c r="CK1902" s="158"/>
      <c r="CL1902" s="159"/>
      <c r="CM1902" s="160"/>
      <c r="CN1902" s="161"/>
      <c r="CO1902" s="162"/>
      <c r="CP1902" s="161"/>
      <c r="CQ1902" s="158"/>
      <c r="CR1902" s="159"/>
      <c r="CS1902" s="68"/>
      <c r="CT1902" s="163"/>
      <c r="EC1902" s="366" t="str">
        <f t="shared" si="240"/>
        <v>CAUCA_SUAREZ</v>
      </c>
      <c r="ED1902" s="367"/>
      <c r="EE1902" s="367"/>
      <c r="EF1902" s="368"/>
      <c r="EG1902" s="367"/>
      <c r="EH1902" s="367"/>
      <c r="EI1902" s="367"/>
    </row>
    <row r="1903" spans="1:139" s="164" customFormat="1" ht="25.5">
      <c r="A1903" s="228">
        <v>40509</v>
      </c>
      <c r="B1903" s="205" t="s">
        <v>1996</v>
      </c>
      <c r="C1903" s="205" t="s">
        <v>2800</v>
      </c>
      <c r="D1903" s="207" t="s">
        <v>1201</v>
      </c>
      <c r="E1903" s="323" t="s">
        <v>3817</v>
      </c>
      <c r="F1903" s="323"/>
      <c r="G1903" s="204">
        <v>2</v>
      </c>
      <c r="H1903" s="151">
        <v>3</v>
      </c>
      <c r="I1903" s="151"/>
      <c r="J1903" s="151"/>
      <c r="K1903" s="151"/>
      <c r="L1903" s="1"/>
      <c r="M1903" s="73">
        <f t="shared" si="236"/>
        <v>67434000</v>
      </c>
      <c r="N1903" s="73">
        <f t="shared" si="241"/>
        <v>239105000</v>
      </c>
      <c r="O1903" s="73">
        <f t="shared" si="235"/>
        <v>0</v>
      </c>
      <c r="P1903" s="73">
        <f t="shared" si="237"/>
        <v>0</v>
      </c>
      <c r="Q1903" s="73"/>
      <c r="R1903" s="73">
        <v>0</v>
      </c>
      <c r="S1903" s="75">
        <f t="shared" si="239"/>
        <v>306539000</v>
      </c>
      <c r="T1903" s="77">
        <v>0</v>
      </c>
      <c r="U1903" s="66"/>
      <c r="V1903" s="79"/>
      <c r="W1903" s="66" t="s">
        <v>1606</v>
      </c>
      <c r="X1903" s="24" t="s">
        <v>1607</v>
      </c>
      <c r="Y1903" s="62"/>
      <c r="Z1903" s="169"/>
      <c r="AA1903" s="166" t="s">
        <v>249</v>
      </c>
      <c r="AB1903" s="152"/>
      <c r="AC1903" s="153"/>
      <c r="AD1903" s="154"/>
      <c r="AE1903" s="153"/>
      <c r="AF1903" s="153"/>
      <c r="AG1903" s="153"/>
      <c r="AH1903" s="153"/>
      <c r="AI1903" s="153"/>
      <c r="AJ1903" s="153"/>
      <c r="AK1903" s="153"/>
      <c r="AL1903" s="153"/>
      <c r="AM1903" s="153"/>
      <c r="AN1903" s="153"/>
      <c r="AO1903" s="153"/>
      <c r="AP1903" s="153">
        <v>300</v>
      </c>
      <c r="AQ1903" s="153">
        <f>300*56000</f>
        <v>16800000</v>
      </c>
      <c r="AR1903" s="153"/>
      <c r="AS1903" s="153"/>
      <c r="AT1903" s="153"/>
      <c r="AU1903" s="153"/>
      <c r="AV1903" s="153"/>
      <c r="AW1903" s="153"/>
      <c r="AX1903" s="153"/>
      <c r="AY1903" s="153"/>
      <c r="AZ1903" s="153"/>
      <c r="BA1903" s="153"/>
      <c r="BB1903" s="153"/>
      <c r="BC1903" s="153"/>
      <c r="BD1903" s="153"/>
      <c r="BE1903" s="153"/>
      <c r="BF1903" s="153"/>
      <c r="BG1903" s="153"/>
      <c r="BH1903" s="153"/>
      <c r="BI1903" s="153"/>
      <c r="BJ1903" s="153"/>
      <c r="BK1903" s="153"/>
      <c r="BL1903" s="153"/>
      <c r="BM1903" s="153"/>
      <c r="BN1903" s="153"/>
      <c r="BO1903" s="153"/>
      <c r="BP1903" s="153"/>
      <c r="BQ1903" s="153"/>
      <c r="BR1903" s="153"/>
      <c r="BS1903" s="153"/>
      <c r="BT1903" s="153"/>
      <c r="BU1903" s="153"/>
      <c r="BV1903" s="153"/>
      <c r="BW1903" s="153"/>
      <c r="BX1903" s="153"/>
      <c r="BY1903" s="153"/>
      <c r="BZ1903" s="153"/>
      <c r="CA1903" s="153"/>
      <c r="CB1903" s="153">
        <v>2813</v>
      </c>
      <c r="CC1903" s="153">
        <f>2813*18000</f>
        <v>50634000</v>
      </c>
      <c r="CD1903" s="155"/>
      <c r="CE1903" s="156"/>
      <c r="CF1903" s="155"/>
      <c r="CG1903" s="156"/>
      <c r="CH1903" s="155"/>
      <c r="CI1903" s="156"/>
      <c r="CJ1903" s="157">
        <f t="shared" si="238"/>
        <v>67434000</v>
      </c>
      <c r="CK1903" s="158"/>
      <c r="CL1903" s="159"/>
      <c r="CM1903" s="160">
        <v>2813</v>
      </c>
      <c r="CN1903" s="161">
        <f>2813*85000</f>
        <v>239105000</v>
      </c>
      <c r="CO1903" s="162"/>
      <c r="CP1903" s="161"/>
      <c r="CQ1903" s="158"/>
      <c r="CR1903" s="159"/>
      <c r="CS1903" s="68"/>
      <c r="CT1903" s="163"/>
      <c r="EC1903" s="366" t="str">
        <f t="shared" si="240"/>
        <v>CHOCO_RIOSUCIO</v>
      </c>
      <c r="ED1903" s="367"/>
      <c r="EE1903" s="367"/>
      <c r="EF1903" s="368"/>
      <c r="EG1903" s="367"/>
      <c r="EH1903" s="367"/>
      <c r="EI1903" s="367"/>
    </row>
    <row r="1904" spans="1:139" s="164" customFormat="1" ht="38.25">
      <c r="A1904" s="235">
        <v>40510</v>
      </c>
      <c r="B1904" s="269" t="s">
        <v>1972</v>
      </c>
      <c r="C1904" s="269" t="s">
        <v>2042</v>
      </c>
      <c r="D1904" s="270" t="s">
        <v>1878</v>
      </c>
      <c r="E1904" s="327" t="s">
        <v>3291</v>
      </c>
      <c r="F1904" s="327"/>
      <c r="G1904" s="204"/>
      <c r="H1904" s="151"/>
      <c r="I1904" s="151"/>
      <c r="J1904" s="151">
        <v>160</v>
      </c>
      <c r="K1904" s="151">
        <v>32</v>
      </c>
      <c r="L1904" s="1"/>
      <c r="M1904" s="73">
        <f t="shared" si="236"/>
        <v>0</v>
      </c>
      <c r="N1904" s="73">
        <f t="shared" si="241"/>
        <v>0</v>
      </c>
      <c r="O1904" s="73">
        <f t="shared" si="235"/>
        <v>0</v>
      </c>
      <c r="P1904" s="73">
        <f t="shared" si="237"/>
        <v>0</v>
      </c>
      <c r="Q1904" s="73"/>
      <c r="R1904" s="73">
        <v>0</v>
      </c>
      <c r="S1904" s="75">
        <f t="shared" si="239"/>
        <v>0</v>
      </c>
      <c r="T1904" s="77">
        <v>0</v>
      </c>
      <c r="U1904" s="66">
        <v>40512</v>
      </c>
      <c r="V1904" s="79"/>
      <c r="W1904" s="66" t="s">
        <v>1585</v>
      </c>
      <c r="X1904" s="24" t="s">
        <v>1586</v>
      </c>
      <c r="Y1904" s="62"/>
      <c r="Z1904" s="169" t="s">
        <v>894</v>
      </c>
      <c r="AA1904" s="166" t="s">
        <v>790</v>
      </c>
      <c r="AB1904" s="152"/>
      <c r="AC1904" s="153"/>
      <c r="AD1904" s="154"/>
      <c r="AE1904" s="153"/>
      <c r="AF1904" s="153"/>
      <c r="AG1904" s="153"/>
      <c r="AH1904" s="153"/>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c r="BF1904" s="153"/>
      <c r="BG1904" s="153"/>
      <c r="BH1904" s="153"/>
      <c r="BI1904" s="153"/>
      <c r="BJ1904" s="153"/>
      <c r="BK1904" s="153"/>
      <c r="BL1904" s="153"/>
      <c r="BM1904" s="153"/>
      <c r="BN1904" s="153"/>
      <c r="BO1904" s="153"/>
      <c r="BP1904" s="153"/>
      <c r="BQ1904" s="153"/>
      <c r="BR1904" s="153"/>
      <c r="BS1904" s="153"/>
      <c r="BT1904" s="153"/>
      <c r="BU1904" s="153"/>
      <c r="BV1904" s="153"/>
      <c r="BW1904" s="153"/>
      <c r="BX1904" s="153"/>
      <c r="BY1904" s="153"/>
      <c r="BZ1904" s="153"/>
      <c r="CA1904" s="153"/>
      <c r="CB1904" s="153"/>
      <c r="CC1904" s="153"/>
      <c r="CD1904" s="155"/>
      <c r="CE1904" s="156"/>
      <c r="CF1904" s="155"/>
      <c r="CG1904" s="156"/>
      <c r="CH1904" s="155"/>
      <c r="CI1904" s="156"/>
      <c r="CJ1904" s="157">
        <f t="shared" si="238"/>
        <v>0</v>
      </c>
      <c r="CK1904" s="158"/>
      <c r="CL1904" s="159"/>
      <c r="CM1904" s="160"/>
      <c r="CN1904" s="161"/>
      <c r="CO1904" s="162"/>
      <c r="CP1904" s="161"/>
      <c r="CQ1904" s="158"/>
      <c r="CR1904" s="159"/>
      <c r="CS1904" s="68"/>
      <c r="CT1904" s="163"/>
      <c r="EC1904" s="366" t="str">
        <f t="shared" si="240"/>
        <v>ANTIOQUIA_LA PINTADA</v>
      </c>
      <c r="ED1904" s="367"/>
      <c r="EE1904" s="367"/>
      <c r="EF1904" s="368"/>
      <c r="EG1904" s="367"/>
      <c r="EH1904" s="367"/>
      <c r="EI1904" s="367"/>
    </row>
    <row r="1905" spans="1:139" s="164" customFormat="1" ht="84">
      <c r="A1905" s="228">
        <v>40510</v>
      </c>
      <c r="B1905" s="205" t="s">
        <v>1551</v>
      </c>
      <c r="C1905" s="205" t="s">
        <v>1057</v>
      </c>
      <c r="D1905" s="207" t="s">
        <v>1201</v>
      </c>
      <c r="E1905" s="323" t="s">
        <v>3368</v>
      </c>
      <c r="F1905" s="323"/>
      <c r="G1905" s="204"/>
      <c r="H1905" s="151"/>
      <c r="I1905" s="151"/>
      <c r="J1905" s="151">
        <f>448*5</f>
        <v>2240</v>
      </c>
      <c r="K1905" s="151">
        <f>963-20-495</f>
        <v>448</v>
      </c>
      <c r="L1905" s="1"/>
      <c r="M1905" s="73">
        <f t="shared" si="236"/>
        <v>0</v>
      </c>
      <c r="N1905" s="73">
        <f t="shared" si="241"/>
        <v>0</v>
      </c>
      <c r="O1905" s="73">
        <f t="shared" si="235"/>
        <v>0</v>
      </c>
      <c r="P1905" s="73">
        <f t="shared" si="237"/>
        <v>0</v>
      </c>
      <c r="Q1905" s="73"/>
      <c r="R1905" s="73">
        <v>0</v>
      </c>
      <c r="S1905" s="75">
        <f t="shared" si="239"/>
        <v>0</v>
      </c>
      <c r="T1905" s="77">
        <v>0</v>
      </c>
      <c r="U1905" s="66">
        <v>40512</v>
      </c>
      <c r="V1905" s="79"/>
      <c r="W1905" s="66" t="s">
        <v>1585</v>
      </c>
      <c r="X1905" s="24" t="s">
        <v>1586</v>
      </c>
      <c r="Y1905" s="62"/>
      <c r="Z1905" s="169" t="s">
        <v>894</v>
      </c>
      <c r="AA1905" s="166" t="s">
        <v>788</v>
      </c>
      <c r="AB1905" s="152"/>
      <c r="AC1905" s="153"/>
      <c r="AD1905" s="154"/>
      <c r="AE1905" s="153"/>
      <c r="AF1905" s="153"/>
      <c r="AG1905" s="153"/>
      <c r="AH1905" s="153"/>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c r="BF1905" s="153"/>
      <c r="BG1905" s="153"/>
      <c r="BH1905" s="153"/>
      <c r="BI1905" s="153"/>
      <c r="BJ1905" s="153"/>
      <c r="BK1905" s="153"/>
      <c r="BL1905" s="153"/>
      <c r="BM1905" s="153"/>
      <c r="BN1905" s="153"/>
      <c r="BO1905" s="153"/>
      <c r="BP1905" s="153"/>
      <c r="BQ1905" s="153"/>
      <c r="BR1905" s="153"/>
      <c r="BS1905" s="153"/>
      <c r="BT1905" s="153"/>
      <c r="BU1905" s="153"/>
      <c r="BV1905" s="153"/>
      <c r="BW1905" s="153"/>
      <c r="BX1905" s="153"/>
      <c r="BY1905" s="153"/>
      <c r="BZ1905" s="153"/>
      <c r="CA1905" s="153"/>
      <c r="CB1905" s="153"/>
      <c r="CC1905" s="153"/>
      <c r="CD1905" s="155"/>
      <c r="CE1905" s="156"/>
      <c r="CF1905" s="155"/>
      <c r="CG1905" s="156"/>
      <c r="CH1905" s="155"/>
      <c r="CI1905" s="156"/>
      <c r="CJ1905" s="157">
        <f t="shared" si="238"/>
        <v>0</v>
      </c>
      <c r="CK1905" s="158"/>
      <c r="CL1905" s="159"/>
      <c r="CM1905" s="160"/>
      <c r="CN1905" s="161"/>
      <c r="CO1905" s="162"/>
      <c r="CP1905" s="161"/>
      <c r="CQ1905" s="158"/>
      <c r="CR1905" s="159"/>
      <c r="CS1905" s="68"/>
      <c r="CT1905" s="163"/>
      <c r="EC1905" s="366" t="str">
        <f t="shared" si="240"/>
        <v>ATLANTICO_SABANALARGA</v>
      </c>
      <c r="ED1905" s="367"/>
      <c r="EE1905" s="367"/>
      <c r="EF1905" s="368"/>
      <c r="EG1905" s="367"/>
      <c r="EH1905" s="367"/>
      <c r="EI1905" s="367"/>
    </row>
    <row r="1906" spans="1:139" s="164" customFormat="1" ht="45">
      <c r="A1906" s="228">
        <v>40510</v>
      </c>
      <c r="B1906" s="205" t="s">
        <v>962</v>
      </c>
      <c r="C1906" s="205" t="s">
        <v>1161</v>
      </c>
      <c r="D1906" s="207" t="s">
        <v>1878</v>
      </c>
      <c r="E1906" s="323" t="s">
        <v>3840</v>
      </c>
      <c r="F1906" s="323"/>
      <c r="G1906" s="204"/>
      <c r="H1906" s="151"/>
      <c r="I1906" s="151"/>
      <c r="J1906" s="151">
        <v>12</v>
      </c>
      <c r="K1906" s="151">
        <v>3</v>
      </c>
      <c r="L1906" s="1"/>
      <c r="M1906" s="73">
        <f t="shared" si="236"/>
        <v>0</v>
      </c>
      <c r="N1906" s="73">
        <f t="shared" si="241"/>
        <v>0</v>
      </c>
      <c r="O1906" s="73">
        <f t="shared" si="235"/>
        <v>0</v>
      </c>
      <c r="P1906" s="73">
        <f t="shared" si="237"/>
        <v>0</v>
      </c>
      <c r="Q1906" s="73"/>
      <c r="R1906" s="73">
        <v>0</v>
      </c>
      <c r="S1906" s="75">
        <f t="shared" si="239"/>
        <v>0</v>
      </c>
      <c r="T1906" s="77">
        <v>0</v>
      </c>
      <c r="U1906" s="66">
        <v>40510</v>
      </c>
      <c r="V1906" s="79"/>
      <c r="W1906" s="66" t="s">
        <v>1606</v>
      </c>
      <c r="X1906" s="264" t="s">
        <v>1607</v>
      </c>
      <c r="Y1906" s="62"/>
      <c r="Z1906" s="260" t="s">
        <v>18</v>
      </c>
      <c r="AA1906" s="166" t="s">
        <v>2948</v>
      </c>
      <c r="AB1906" s="152"/>
      <c r="AC1906" s="153"/>
      <c r="AD1906" s="154"/>
      <c r="AE1906" s="153"/>
      <c r="AF1906" s="153"/>
      <c r="AG1906" s="153"/>
      <c r="AH1906" s="153"/>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c r="BI1906" s="153"/>
      <c r="BJ1906" s="153"/>
      <c r="BK1906" s="153"/>
      <c r="BL1906" s="153"/>
      <c r="BM1906" s="153"/>
      <c r="BN1906" s="153"/>
      <c r="BO1906" s="153"/>
      <c r="BP1906" s="153"/>
      <c r="BQ1906" s="153"/>
      <c r="BR1906" s="153"/>
      <c r="BS1906" s="153"/>
      <c r="BT1906" s="153"/>
      <c r="BU1906" s="153"/>
      <c r="BV1906" s="153"/>
      <c r="BW1906" s="153"/>
      <c r="BX1906" s="153"/>
      <c r="BY1906" s="153"/>
      <c r="BZ1906" s="153"/>
      <c r="CA1906" s="153"/>
      <c r="CB1906" s="153"/>
      <c r="CC1906" s="153"/>
      <c r="CD1906" s="155"/>
      <c r="CE1906" s="156"/>
      <c r="CF1906" s="155"/>
      <c r="CG1906" s="156"/>
      <c r="CH1906" s="155"/>
      <c r="CI1906" s="156"/>
      <c r="CJ1906" s="157">
        <f t="shared" si="238"/>
        <v>0</v>
      </c>
      <c r="CK1906" s="158"/>
      <c r="CL1906" s="159"/>
      <c r="CM1906" s="160"/>
      <c r="CN1906" s="161"/>
      <c r="CO1906" s="162"/>
      <c r="CP1906" s="161"/>
      <c r="CQ1906" s="158"/>
      <c r="CR1906" s="159"/>
      <c r="CS1906" s="68"/>
      <c r="CT1906" s="163"/>
      <c r="EC1906" s="366" t="str">
        <f t="shared" si="240"/>
        <v>HUILA_LA PLATA</v>
      </c>
      <c r="ED1906" s="367"/>
      <c r="EE1906" s="367"/>
      <c r="EF1906" s="368"/>
      <c r="EG1906" s="367"/>
      <c r="EH1906" s="367"/>
      <c r="EI1906" s="367"/>
    </row>
    <row r="1907" spans="1:139" s="164" customFormat="1" ht="25.5">
      <c r="A1907" s="228">
        <v>40510</v>
      </c>
      <c r="B1907" s="205" t="s">
        <v>962</v>
      </c>
      <c r="C1907" s="205" t="s">
        <v>599</v>
      </c>
      <c r="D1907" s="207" t="s">
        <v>1201</v>
      </c>
      <c r="E1907" s="323" t="s">
        <v>3823</v>
      </c>
      <c r="F1907" s="323"/>
      <c r="G1907" s="204"/>
      <c r="H1907" s="151"/>
      <c r="I1907" s="151"/>
      <c r="J1907" s="151">
        <v>35</v>
      </c>
      <c r="K1907" s="151">
        <v>7</v>
      </c>
      <c r="L1907" s="1"/>
      <c r="M1907" s="73">
        <f t="shared" si="236"/>
        <v>0</v>
      </c>
      <c r="N1907" s="73">
        <f t="shared" si="241"/>
        <v>0</v>
      </c>
      <c r="O1907" s="73">
        <f t="shared" si="235"/>
        <v>0</v>
      </c>
      <c r="P1907" s="73">
        <f t="shared" si="237"/>
        <v>0</v>
      </c>
      <c r="Q1907" s="73"/>
      <c r="R1907" s="73">
        <v>0</v>
      </c>
      <c r="S1907" s="75">
        <f t="shared" si="239"/>
        <v>0</v>
      </c>
      <c r="T1907" s="77">
        <v>0</v>
      </c>
      <c r="U1907" s="66">
        <v>40512</v>
      </c>
      <c r="V1907" s="79"/>
      <c r="W1907" s="66" t="s">
        <v>1585</v>
      </c>
      <c r="X1907" s="24" t="s">
        <v>1586</v>
      </c>
      <c r="Y1907" s="62"/>
      <c r="Z1907" s="169" t="s">
        <v>894</v>
      </c>
      <c r="AA1907" s="166" t="s">
        <v>794</v>
      </c>
      <c r="AB1907" s="152"/>
      <c r="AC1907" s="153"/>
      <c r="AD1907" s="154"/>
      <c r="AE1907" s="153"/>
      <c r="AF1907" s="153"/>
      <c r="AG1907" s="153"/>
      <c r="AH1907" s="153"/>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c r="BI1907" s="153"/>
      <c r="BJ1907" s="153"/>
      <c r="BK1907" s="153"/>
      <c r="BL1907" s="153"/>
      <c r="BM1907" s="153"/>
      <c r="BN1907" s="153"/>
      <c r="BO1907" s="153"/>
      <c r="BP1907" s="153"/>
      <c r="BQ1907" s="153"/>
      <c r="BR1907" s="153"/>
      <c r="BS1907" s="153"/>
      <c r="BT1907" s="153"/>
      <c r="BU1907" s="153"/>
      <c r="BV1907" s="153"/>
      <c r="BW1907" s="153"/>
      <c r="BX1907" s="153"/>
      <c r="BY1907" s="153"/>
      <c r="BZ1907" s="153"/>
      <c r="CA1907" s="153"/>
      <c r="CB1907" s="153"/>
      <c r="CC1907" s="153"/>
      <c r="CD1907" s="155"/>
      <c r="CE1907" s="156"/>
      <c r="CF1907" s="155"/>
      <c r="CG1907" s="156"/>
      <c r="CH1907" s="155"/>
      <c r="CI1907" s="156"/>
      <c r="CJ1907" s="157">
        <f t="shared" si="238"/>
        <v>0</v>
      </c>
      <c r="CK1907" s="158"/>
      <c r="CL1907" s="159"/>
      <c r="CM1907" s="160"/>
      <c r="CN1907" s="161"/>
      <c r="CO1907" s="162"/>
      <c r="CP1907" s="161"/>
      <c r="CQ1907" s="158"/>
      <c r="CR1907" s="159"/>
      <c r="CS1907" s="68"/>
      <c r="CT1907" s="163"/>
      <c r="EC1907" s="366" t="str">
        <f t="shared" si="240"/>
        <v>HUILA_NEIVA</v>
      </c>
      <c r="ED1907" s="367"/>
      <c r="EE1907" s="367"/>
      <c r="EF1907" s="368"/>
      <c r="EG1907" s="367"/>
      <c r="EH1907" s="367"/>
      <c r="EI1907" s="367"/>
    </row>
    <row r="1908" spans="1:139" s="164" customFormat="1" ht="25.5">
      <c r="A1908" s="228">
        <v>40510</v>
      </c>
      <c r="B1908" s="205" t="s">
        <v>1824</v>
      </c>
      <c r="C1908" s="205" t="s">
        <v>2511</v>
      </c>
      <c r="D1908" s="207" t="s">
        <v>1878</v>
      </c>
      <c r="E1908" s="323" t="s">
        <v>3984</v>
      </c>
      <c r="F1908" s="323"/>
      <c r="G1908" s="204">
        <v>1</v>
      </c>
      <c r="H1908" s="151"/>
      <c r="I1908" s="151"/>
      <c r="J1908" s="151">
        <v>237</v>
      </c>
      <c r="K1908" s="151">
        <v>60</v>
      </c>
      <c r="L1908" s="1"/>
      <c r="M1908" s="73">
        <f t="shared" si="236"/>
        <v>0</v>
      </c>
      <c r="N1908" s="73">
        <f t="shared" si="241"/>
        <v>0</v>
      </c>
      <c r="O1908" s="73">
        <f t="shared" ref="O1908:O1971" si="242">CP1908+CR1908</f>
        <v>0</v>
      </c>
      <c r="P1908" s="73">
        <f t="shared" si="237"/>
        <v>0</v>
      </c>
      <c r="Q1908" s="73"/>
      <c r="R1908" s="73">
        <v>0</v>
      </c>
      <c r="S1908" s="75">
        <f t="shared" si="239"/>
        <v>0</v>
      </c>
      <c r="T1908" s="77">
        <v>0</v>
      </c>
      <c r="U1908" s="66">
        <v>40512</v>
      </c>
      <c r="V1908" s="79"/>
      <c r="W1908" s="66" t="s">
        <v>1585</v>
      </c>
      <c r="X1908" s="24" t="s">
        <v>1586</v>
      </c>
      <c r="Y1908" s="62"/>
      <c r="Z1908" s="169" t="s">
        <v>894</v>
      </c>
      <c r="AA1908" s="166" t="s">
        <v>3045</v>
      </c>
      <c r="AB1908" s="152"/>
      <c r="AC1908" s="153"/>
      <c r="AD1908" s="154"/>
      <c r="AE1908" s="153"/>
      <c r="AF1908" s="153"/>
      <c r="AG1908" s="153"/>
      <c r="AH1908" s="153"/>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c r="BI1908" s="153"/>
      <c r="BJ1908" s="153"/>
      <c r="BK1908" s="153"/>
      <c r="BL1908" s="153"/>
      <c r="BM1908" s="153"/>
      <c r="BN1908" s="153"/>
      <c r="BO1908" s="153"/>
      <c r="BP1908" s="153"/>
      <c r="BQ1908" s="153"/>
      <c r="BR1908" s="153"/>
      <c r="BS1908" s="153"/>
      <c r="BT1908" s="153"/>
      <c r="BU1908" s="153"/>
      <c r="BV1908" s="153"/>
      <c r="BW1908" s="153"/>
      <c r="BX1908" s="153"/>
      <c r="BY1908" s="153"/>
      <c r="BZ1908" s="153"/>
      <c r="CA1908" s="153"/>
      <c r="CB1908" s="153"/>
      <c r="CC1908" s="153"/>
      <c r="CD1908" s="155"/>
      <c r="CE1908" s="156"/>
      <c r="CF1908" s="155"/>
      <c r="CG1908" s="156"/>
      <c r="CH1908" s="155"/>
      <c r="CI1908" s="156"/>
      <c r="CJ1908" s="157">
        <f t="shared" si="238"/>
        <v>0</v>
      </c>
      <c r="CK1908" s="158"/>
      <c r="CL1908" s="159"/>
      <c r="CM1908" s="160"/>
      <c r="CN1908" s="161"/>
      <c r="CO1908" s="162"/>
      <c r="CP1908" s="161"/>
      <c r="CQ1908" s="158"/>
      <c r="CR1908" s="159"/>
      <c r="CS1908" s="68"/>
      <c r="CT1908" s="163"/>
      <c r="EC1908" s="366" t="str">
        <f t="shared" si="240"/>
        <v>NARIÑO_SAMANIEGO</v>
      </c>
      <c r="ED1908" s="367"/>
      <c r="EE1908" s="367"/>
      <c r="EF1908" s="368"/>
      <c r="EG1908" s="367"/>
      <c r="EH1908" s="367"/>
      <c r="EI1908" s="367"/>
    </row>
    <row r="1909" spans="1:139" s="164" customFormat="1" ht="48">
      <c r="A1909" s="228">
        <v>40510</v>
      </c>
      <c r="B1909" s="205" t="s">
        <v>1998</v>
      </c>
      <c r="C1909" s="205" t="s">
        <v>1569</v>
      </c>
      <c r="D1909" s="207" t="s">
        <v>1923</v>
      </c>
      <c r="E1909" s="323" t="s">
        <v>4075</v>
      </c>
      <c r="F1909" s="323"/>
      <c r="G1909" s="204"/>
      <c r="H1909" s="151"/>
      <c r="I1909" s="151"/>
      <c r="J1909" s="151"/>
      <c r="K1909" s="151"/>
      <c r="L1909" s="1"/>
      <c r="M1909" s="73">
        <f t="shared" si="236"/>
        <v>0</v>
      </c>
      <c r="N1909" s="73">
        <f t="shared" si="241"/>
        <v>0</v>
      </c>
      <c r="O1909" s="73">
        <f t="shared" si="242"/>
        <v>0</v>
      </c>
      <c r="P1909" s="73">
        <f t="shared" si="237"/>
        <v>0</v>
      </c>
      <c r="Q1909" s="73"/>
      <c r="R1909" s="73">
        <v>0</v>
      </c>
      <c r="S1909" s="75">
        <f t="shared" si="239"/>
        <v>0</v>
      </c>
      <c r="T1909" s="77">
        <v>0</v>
      </c>
      <c r="U1909" s="66">
        <v>40510</v>
      </c>
      <c r="V1909" s="79"/>
      <c r="W1909" s="66" t="s">
        <v>1585</v>
      </c>
      <c r="X1909" s="24" t="s">
        <v>1586</v>
      </c>
      <c r="Y1909" s="62"/>
      <c r="Z1909" s="169" t="s">
        <v>894</v>
      </c>
      <c r="AA1909" s="166" t="s">
        <v>2523</v>
      </c>
      <c r="AB1909" s="152"/>
      <c r="AC1909" s="153"/>
      <c r="AD1909" s="154"/>
      <c r="AE1909" s="153"/>
      <c r="AF1909" s="153"/>
      <c r="AG1909" s="153"/>
      <c r="AH1909" s="153"/>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c r="BI1909" s="153"/>
      <c r="BJ1909" s="153"/>
      <c r="BK1909" s="153"/>
      <c r="BL1909" s="153"/>
      <c r="BM1909" s="153"/>
      <c r="BN1909" s="153"/>
      <c r="BO1909" s="153"/>
      <c r="BP1909" s="153"/>
      <c r="BQ1909" s="153"/>
      <c r="BR1909" s="153"/>
      <c r="BS1909" s="153"/>
      <c r="BT1909" s="153"/>
      <c r="BU1909" s="153"/>
      <c r="BV1909" s="153"/>
      <c r="BW1909" s="153"/>
      <c r="BX1909" s="153"/>
      <c r="BY1909" s="153"/>
      <c r="BZ1909" s="153"/>
      <c r="CA1909" s="153"/>
      <c r="CB1909" s="153"/>
      <c r="CC1909" s="153"/>
      <c r="CD1909" s="155"/>
      <c r="CE1909" s="156"/>
      <c r="CF1909" s="155"/>
      <c r="CG1909" s="156"/>
      <c r="CH1909" s="155"/>
      <c r="CI1909" s="156"/>
      <c r="CJ1909" s="157">
        <f t="shared" si="238"/>
        <v>0</v>
      </c>
      <c r="CK1909" s="158"/>
      <c r="CL1909" s="159"/>
      <c r="CM1909" s="160"/>
      <c r="CN1909" s="161"/>
      <c r="CO1909" s="162"/>
      <c r="CP1909" s="161"/>
      <c r="CQ1909" s="158"/>
      <c r="CR1909" s="159"/>
      <c r="CS1909" s="68"/>
      <c r="CT1909" s="163"/>
      <c r="EC1909" s="366" t="str">
        <f t="shared" si="240"/>
        <v>SANTANDER_CAPITANEJO</v>
      </c>
      <c r="ED1909" s="367"/>
      <c r="EE1909" s="367"/>
      <c r="EF1909" s="368"/>
      <c r="EG1909" s="367"/>
      <c r="EH1909" s="367"/>
      <c r="EI1909" s="367"/>
    </row>
    <row r="1910" spans="1:139" s="164" customFormat="1" ht="38.25">
      <c r="A1910" s="228">
        <v>40510.899305555555</v>
      </c>
      <c r="B1910" s="205" t="s">
        <v>2298</v>
      </c>
      <c r="C1910" s="205" t="s">
        <v>1610</v>
      </c>
      <c r="D1910" s="207" t="s">
        <v>1878</v>
      </c>
      <c r="E1910" s="323"/>
      <c r="F1910" s="323"/>
      <c r="G1910" s="204"/>
      <c r="H1910" s="151"/>
      <c r="I1910" s="151"/>
      <c r="J1910" s="151">
        <v>145</v>
      </c>
      <c r="K1910" s="409">
        <v>34</v>
      </c>
      <c r="L1910" s="1"/>
      <c r="M1910" s="73">
        <f t="shared" si="236"/>
        <v>0</v>
      </c>
      <c r="N1910" s="73">
        <f t="shared" si="241"/>
        <v>0</v>
      </c>
      <c r="O1910" s="73">
        <f t="shared" si="242"/>
        <v>0</v>
      </c>
      <c r="P1910" s="73">
        <f t="shared" si="237"/>
        <v>0</v>
      </c>
      <c r="Q1910" s="73"/>
      <c r="R1910" s="73">
        <v>0</v>
      </c>
      <c r="S1910" s="75">
        <f t="shared" si="239"/>
        <v>0</v>
      </c>
      <c r="T1910" s="77">
        <v>0</v>
      </c>
      <c r="U1910" s="296">
        <v>40624</v>
      </c>
      <c r="V1910" s="297"/>
      <c r="W1910" s="296" t="s">
        <v>1585</v>
      </c>
      <c r="X1910" s="298" t="s">
        <v>1586</v>
      </c>
      <c r="Y1910" s="299"/>
      <c r="Z1910" s="300" t="s">
        <v>894</v>
      </c>
      <c r="AA1910" s="414" t="s">
        <v>5434</v>
      </c>
      <c r="AB1910" s="152"/>
      <c r="AC1910" s="153"/>
      <c r="AD1910" s="154"/>
      <c r="AE1910" s="153"/>
      <c r="AF1910" s="153"/>
      <c r="AG1910" s="153"/>
      <c r="AH1910" s="153"/>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c r="BI1910" s="153"/>
      <c r="BJ1910" s="153"/>
      <c r="BK1910" s="153"/>
      <c r="BL1910" s="153"/>
      <c r="BM1910" s="153"/>
      <c r="BN1910" s="153"/>
      <c r="BO1910" s="153"/>
      <c r="BP1910" s="153"/>
      <c r="BQ1910" s="153"/>
      <c r="BR1910" s="153"/>
      <c r="BS1910" s="153"/>
      <c r="BT1910" s="153"/>
      <c r="BU1910" s="153"/>
      <c r="BV1910" s="153"/>
      <c r="BW1910" s="153"/>
      <c r="BX1910" s="153"/>
      <c r="BY1910" s="153"/>
      <c r="BZ1910" s="153"/>
      <c r="CA1910" s="153"/>
      <c r="CB1910" s="153"/>
      <c r="CC1910" s="153"/>
      <c r="CD1910" s="155"/>
      <c r="CE1910" s="156"/>
      <c r="CF1910" s="155"/>
      <c r="CG1910" s="156"/>
      <c r="CH1910" s="155"/>
      <c r="CI1910" s="156"/>
      <c r="CJ1910" s="157">
        <f t="shared" si="238"/>
        <v>0</v>
      </c>
      <c r="CK1910" s="158"/>
      <c r="CL1910" s="159"/>
      <c r="CM1910" s="160"/>
      <c r="CN1910" s="161"/>
      <c r="CO1910" s="162"/>
      <c r="CP1910" s="161"/>
      <c r="CQ1910" s="158"/>
      <c r="CR1910" s="159"/>
      <c r="CS1910" s="68"/>
      <c r="CT1910" s="163"/>
      <c r="EC1910" s="366" t="str">
        <f t="shared" si="240"/>
        <v>BOGOTA D.C._BOGOTA</v>
      </c>
      <c r="ED1910" s="367"/>
      <c r="EE1910" s="367"/>
      <c r="EF1910" s="368"/>
      <c r="EG1910" s="367"/>
      <c r="EH1910" s="367"/>
      <c r="EI1910" s="367"/>
    </row>
    <row r="1911" spans="1:139" s="164" customFormat="1" ht="38.25">
      <c r="A1911" s="228">
        <v>40511</v>
      </c>
      <c r="B1911" s="205" t="s">
        <v>1551</v>
      </c>
      <c r="C1911" s="205" t="s">
        <v>1605</v>
      </c>
      <c r="D1911" s="207" t="s">
        <v>1201</v>
      </c>
      <c r="E1911" s="323" t="s">
        <v>3110</v>
      </c>
      <c r="F1911" s="323"/>
      <c r="G1911" s="204"/>
      <c r="H1911" s="151"/>
      <c r="I1911" s="151"/>
      <c r="J1911" s="151"/>
      <c r="K1911" s="151"/>
      <c r="L1911" s="1">
        <v>40535</v>
      </c>
      <c r="M1911" s="73">
        <f t="shared" si="236"/>
        <v>47000000</v>
      </c>
      <c r="N1911" s="73">
        <f t="shared" si="241"/>
        <v>1717000000</v>
      </c>
      <c r="O1911" s="73">
        <f t="shared" si="242"/>
        <v>0</v>
      </c>
      <c r="P1911" s="73">
        <f t="shared" si="237"/>
        <v>138560000</v>
      </c>
      <c r="Q1911" s="73">
        <v>22040000</v>
      </c>
      <c r="R1911" s="73">
        <v>0</v>
      </c>
      <c r="S1911" s="75">
        <f t="shared" si="239"/>
        <v>1924600000</v>
      </c>
      <c r="T1911" s="77">
        <v>0</v>
      </c>
      <c r="U1911" s="66">
        <v>40504</v>
      </c>
      <c r="V1911" s="79">
        <v>66066</v>
      </c>
      <c r="W1911" s="66" t="s">
        <v>1606</v>
      </c>
      <c r="X1911" s="24" t="s">
        <v>1607</v>
      </c>
      <c r="Y1911" s="83" t="s">
        <v>439</v>
      </c>
      <c r="Z1911" s="169"/>
      <c r="AA1911" s="170" t="s">
        <v>3067</v>
      </c>
      <c r="AB1911" s="152"/>
      <c r="AC1911" s="153"/>
      <c r="AD1911" s="154"/>
      <c r="AE1911" s="153"/>
      <c r="AF1911" s="153"/>
      <c r="AG1911" s="153"/>
      <c r="AH1911" s="153"/>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c r="BF1911" s="153"/>
      <c r="BG1911" s="153"/>
      <c r="BH1911" s="153"/>
      <c r="BI1911" s="153"/>
      <c r="BJ1911" s="153"/>
      <c r="BK1911" s="153"/>
      <c r="BL1911" s="153"/>
      <c r="BM1911" s="153"/>
      <c r="BN1911" s="153">
        <v>100</v>
      </c>
      <c r="BO1911" s="153">
        <f>100*470000</f>
        <v>47000000</v>
      </c>
      <c r="BP1911" s="153"/>
      <c r="BQ1911" s="153"/>
      <c r="BR1911" s="153"/>
      <c r="BS1911" s="153"/>
      <c r="BT1911" s="153"/>
      <c r="BU1911" s="153"/>
      <c r="BV1911" s="153"/>
      <c r="BW1911" s="153"/>
      <c r="BX1911" s="153"/>
      <c r="BY1911" s="153"/>
      <c r="BZ1911" s="153"/>
      <c r="CA1911" s="153"/>
      <c r="CB1911" s="153"/>
      <c r="CC1911" s="153"/>
      <c r="CD1911" s="155"/>
      <c r="CE1911" s="156"/>
      <c r="CF1911" s="155"/>
      <c r="CG1911" s="156"/>
      <c r="CH1911" s="155"/>
      <c r="CI1911" s="156"/>
      <c r="CJ1911" s="157">
        <f t="shared" si="238"/>
        <v>47000000</v>
      </c>
      <c r="CK1911" s="158">
        <v>150000</v>
      </c>
      <c r="CL1911" s="159">
        <f>100000*910.6+50000*950</f>
        <v>138560000</v>
      </c>
      <c r="CM1911" s="160">
        <f>3000+17200</f>
        <v>20200</v>
      </c>
      <c r="CN1911" s="161">
        <f>3000*85000+17200*85000</f>
        <v>1717000000</v>
      </c>
      <c r="CO1911" s="162"/>
      <c r="CP1911" s="161"/>
      <c r="CQ1911" s="158"/>
      <c r="CR1911" s="159"/>
      <c r="CS1911" s="68"/>
      <c r="CT1911" s="163"/>
      <c r="EC1911" s="366" t="str">
        <f t="shared" si="240"/>
        <v>ATLANTICO_DEPARTAMENTO</v>
      </c>
      <c r="ED1911" s="367"/>
      <c r="EE1911" s="367"/>
      <c r="EF1911" s="368"/>
      <c r="EG1911" s="367"/>
      <c r="EH1911" s="367"/>
      <c r="EI1911" s="367"/>
    </row>
    <row r="1912" spans="1:139" s="164" customFormat="1" ht="25.5">
      <c r="A1912" s="228">
        <v>40511</v>
      </c>
      <c r="B1912" s="205" t="s">
        <v>653</v>
      </c>
      <c r="C1912" s="205" t="s">
        <v>399</v>
      </c>
      <c r="D1912" s="207" t="s">
        <v>1878</v>
      </c>
      <c r="E1912" s="323" t="s">
        <v>3543</v>
      </c>
      <c r="F1912" s="323"/>
      <c r="G1912" s="204"/>
      <c r="H1912" s="151">
        <v>1</v>
      </c>
      <c r="I1912" s="151"/>
      <c r="J1912" s="151"/>
      <c r="K1912" s="151"/>
      <c r="L1912" s="1"/>
      <c r="M1912" s="73">
        <f t="shared" si="236"/>
        <v>0</v>
      </c>
      <c r="N1912" s="73">
        <f t="shared" si="241"/>
        <v>0</v>
      </c>
      <c r="O1912" s="73">
        <f t="shared" si="242"/>
        <v>0</v>
      </c>
      <c r="P1912" s="73">
        <f t="shared" si="237"/>
        <v>0</v>
      </c>
      <c r="Q1912" s="73"/>
      <c r="R1912" s="73">
        <v>0</v>
      </c>
      <c r="S1912" s="75">
        <f t="shared" si="239"/>
        <v>0</v>
      </c>
      <c r="T1912" s="77">
        <v>0</v>
      </c>
      <c r="U1912" s="66"/>
      <c r="V1912" s="79"/>
      <c r="W1912" s="66" t="s">
        <v>1606</v>
      </c>
      <c r="X1912" s="24" t="s">
        <v>1607</v>
      </c>
      <c r="Y1912" s="62"/>
      <c r="Z1912" s="176" t="s">
        <v>3056</v>
      </c>
      <c r="AA1912" s="166" t="s">
        <v>866</v>
      </c>
      <c r="AB1912" s="152"/>
      <c r="AC1912" s="153"/>
      <c r="AD1912" s="154"/>
      <c r="AE1912" s="153"/>
      <c r="AF1912" s="153"/>
      <c r="AG1912" s="153"/>
      <c r="AH1912" s="153"/>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c r="BF1912" s="153"/>
      <c r="BG1912" s="153"/>
      <c r="BH1912" s="153"/>
      <c r="BI1912" s="153"/>
      <c r="BJ1912" s="153"/>
      <c r="BK1912" s="153"/>
      <c r="BL1912" s="153"/>
      <c r="BM1912" s="153"/>
      <c r="BN1912" s="153"/>
      <c r="BO1912" s="153"/>
      <c r="BP1912" s="153"/>
      <c r="BQ1912" s="153"/>
      <c r="BR1912" s="153"/>
      <c r="BS1912" s="153"/>
      <c r="BT1912" s="153"/>
      <c r="BU1912" s="153"/>
      <c r="BV1912" s="153"/>
      <c r="BW1912" s="153"/>
      <c r="BX1912" s="153"/>
      <c r="BY1912" s="153"/>
      <c r="BZ1912" s="153"/>
      <c r="CA1912" s="153"/>
      <c r="CB1912" s="153"/>
      <c r="CC1912" s="153"/>
      <c r="CD1912" s="155"/>
      <c r="CE1912" s="156"/>
      <c r="CF1912" s="155"/>
      <c r="CG1912" s="156"/>
      <c r="CH1912" s="155"/>
      <c r="CI1912" s="156"/>
      <c r="CJ1912" s="157">
        <f t="shared" si="238"/>
        <v>0</v>
      </c>
      <c r="CK1912" s="158"/>
      <c r="CL1912" s="159"/>
      <c r="CM1912" s="160"/>
      <c r="CN1912" s="161"/>
      <c r="CO1912" s="162"/>
      <c r="CP1912" s="161"/>
      <c r="CQ1912" s="158"/>
      <c r="CR1912" s="159"/>
      <c r="CS1912" s="68"/>
      <c r="CT1912" s="163"/>
      <c r="EC1912" s="366" t="str">
        <f t="shared" si="240"/>
        <v>CALDAS_MANIZALES</v>
      </c>
      <c r="ED1912" s="367"/>
      <c r="EE1912" s="367"/>
      <c r="EF1912" s="368"/>
      <c r="EG1912" s="367"/>
      <c r="EH1912" s="367"/>
      <c r="EI1912" s="367"/>
    </row>
    <row r="1913" spans="1:139" s="164" customFormat="1" ht="180">
      <c r="A1913" s="228">
        <v>40511</v>
      </c>
      <c r="B1913" s="205" t="s">
        <v>1314</v>
      </c>
      <c r="C1913" s="205" t="s">
        <v>1615</v>
      </c>
      <c r="D1913" s="207" t="s">
        <v>1201</v>
      </c>
      <c r="E1913" s="323" t="s">
        <v>3590</v>
      </c>
      <c r="F1913" s="323"/>
      <c r="G1913" s="204"/>
      <c r="H1913" s="151"/>
      <c r="I1913" s="151"/>
      <c r="J1913" s="151">
        <v>3470</v>
      </c>
      <c r="K1913" s="151">
        <v>694</v>
      </c>
      <c r="L1913" s="1"/>
      <c r="M1913" s="73">
        <f t="shared" si="236"/>
        <v>0</v>
      </c>
      <c r="N1913" s="73">
        <f t="shared" si="241"/>
        <v>0</v>
      </c>
      <c r="O1913" s="73">
        <f t="shared" si="242"/>
        <v>0</v>
      </c>
      <c r="P1913" s="73">
        <f t="shared" si="237"/>
        <v>0</v>
      </c>
      <c r="Q1913" s="73"/>
      <c r="R1913" s="73">
        <v>0</v>
      </c>
      <c r="S1913" s="75">
        <f t="shared" si="239"/>
        <v>0</v>
      </c>
      <c r="T1913" s="77">
        <v>0</v>
      </c>
      <c r="U1913" s="66"/>
      <c r="V1913" s="79"/>
      <c r="W1913" s="66" t="s">
        <v>1606</v>
      </c>
      <c r="X1913" s="264" t="s">
        <v>1607</v>
      </c>
      <c r="Y1913" s="62"/>
      <c r="Z1913" s="260" t="s">
        <v>18</v>
      </c>
      <c r="AA1913" s="166" t="s">
        <v>2935</v>
      </c>
      <c r="AB1913" s="152"/>
      <c r="AC1913" s="153"/>
      <c r="AD1913" s="154"/>
      <c r="AE1913" s="153"/>
      <c r="AF1913" s="153"/>
      <c r="AG1913" s="153"/>
      <c r="AH1913" s="153"/>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c r="BF1913" s="153"/>
      <c r="BG1913" s="153"/>
      <c r="BH1913" s="153"/>
      <c r="BI1913" s="153"/>
      <c r="BJ1913" s="153"/>
      <c r="BK1913" s="153"/>
      <c r="BL1913" s="153"/>
      <c r="BM1913" s="153"/>
      <c r="BN1913" s="153"/>
      <c r="BO1913" s="153"/>
      <c r="BP1913" s="153"/>
      <c r="BQ1913" s="153"/>
      <c r="BR1913" s="153"/>
      <c r="BS1913" s="153"/>
      <c r="BT1913" s="153"/>
      <c r="BU1913" s="153"/>
      <c r="BV1913" s="153"/>
      <c r="BW1913" s="153"/>
      <c r="BX1913" s="153"/>
      <c r="BY1913" s="153"/>
      <c r="BZ1913" s="153"/>
      <c r="CA1913" s="153"/>
      <c r="CB1913" s="153"/>
      <c r="CC1913" s="153"/>
      <c r="CD1913" s="155"/>
      <c r="CE1913" s="156"/>
      <c r="CF1913" s="155"/>
      <c r="CG1913" s="156"/>
      <c r="CH1913" s="155"/>
      <c r="CI1913" s="156"/>
      <c r="CJ1913" s="157">
        <f t="shared" si="238"/>
        <v>0</v>
      </c>
      <c r="CK1913" s="158"/>
      <c r="CL1913" s="159"/>
      <c r="CM1913" s="160"/>
      <c r="CN1913" s="161"/>
      <c r="CO1913" s="162"/>
      <c r="CP1913" s="161"/>
      <c r="CQ1913" s="158"/>
      <c r="CR1913" s="159"/>
      <c r="CS1913" s="68"/>
      <c r="CT1913" s="163"/>
      <c r="EC1913" s="366" t="str">
        <f t="shared" si="240"/>
        <v>CAUCA_BOLIVAR</v>
      </c>
      <c r="ED1913" s="367"/>
      <c r="EE1913" s="367"/>
      <c r="EF1913" s="368"/>
      <c r="EG1913" s="367"/>
      <c r="EH1913" s="367"/>
      <c r="EI1913" s="367"/>
    </row>
    <row r="1914" spans="1:139" s="164" customFormat="1" ht="25.5">
      <c r="A1914" s="228">
        <v>40511</v>
      </c>
      <c r="B1914" s="205" t="s">
        <v>1314</v>
      </c>
      <c r="C1914" s="205" t="s">
        <v>331</v>
      </c>
      <c r="D1914" s="207" t="s">
        <v>1878</v>
      </c>
      <c r="E1914" s="323" t="s">
        <v>3596</v>
      </c>
      <c r="F1914" s="323"/>
      <c r="G1914" s="204">
        <v>1</v>
      </c>
      <c r="H1914" s="151"/>
      <c r="I1914" s="151"/>
      <c r="J1914" s="151">
        <f>540*5</f>
        <v>2700</v>
      </c>
      <c r="K1914" s="151">
        <v>540</v>
      </c>
      <c r="L1914" s="1"/>
      <c r="M1914" s="73">
        <f t="shared" si="236"/>
        <v>0</v>
      </c>
      <c r="N1914" s="73">
        <f t="shared" si="241"/>
        <v>0</v>
      </c>
      <c r="O1914" s="73">
        <f t="shared" si="242"/>
        <v>0</v>
      </c>
      <c r="P1914" s="73">
        <f t="shared" si="237"/>
        <v>0</v>
      </c>
      <c r="Q1914" s="73"/>
      <c r="R1914" s="73">
        <v>0</v>
      </c>
      <c r="S1914" s="75">
        <f t="shared" si="239"/>
        <v>0</v>
      </c>
      <c r="T1914" s="77">
        <v>0</v>
      </c>
      <c r="U1914" s="66">
        <v>40513</v>
      </c>
      <c r="V1914" s="79"/>
      <c r="W1914" s="66" t="s">
        <v>1585</v>
      </c>
      <c r="X1914" s="24" t="s">
        <v>1586</v>
      </c>
      <c r="Y1914" s="62"/>
      <c r="Z1914" s="169" t="s">
        <v>894</v>
      </c>
      <c r="AA1914" s="166" t="s">
        <v>804</v>
      </c>
      <c r="AB1914" s="152"/>
      <c r="AC1914" s="153"/>
      <c r="AD1914" s="154"/>
      <c r="AE1914" s="153"/>
      <c r="AF1914" s="153"/>
      <c r="AG1914" s="153"/>
      <c r="AH1914" s="153"/>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c r="BF1914" s="153"/>
      <c r="BG1914" s="153"/>
      <c r="BH1914" s="153"/>
      <c r="BI1914" s="153"/>
      <c r="BJ1914" s="153"/>
      <c r="BK1914" s="153"/>
      <c r="BL1914" s="153"/>
      <c r="BM1914" s="153"/>
      <c r="BN1914" s="153"/>
      <c r="BO1914" s="153"/>
      <c r="BP1914" s="153"/>
      <c r="BQ1914" s="153"/>
      <c r="BR1914" s="153"/>
      <c r="BS1914" s="153"/>
      <c r="BT1914" s="153"/>
      <c r="BU1914" s="153"/>
      <c r="BV1914" s="153"/>
      <c r="BW1914" s="153"/>
      <c r="BX1914" s="153"/>
      <c r="BY1914" s="153"/>
      <c r="BZ1914" s="153"/>
      <c r="CA1914" s="153"/>
      <c r="CB1914" s="153"/>
      <c r="CC1914" s="153"/>
      <c r="CD1914" s="155"/>
      <c r="CE1914" s="156"/>
      <c r="CF1914" s="155"/>
      <c r="CG1914" s="156"/>
      <c r="CH1914" s="155"/>
      <c r="CI1914" s="156"/>
      <c r="CJ1914" s="157">
        <f t="shared" si="238"/>
        <v>0</v>
      </c>
      <c r="CK1914" s="158"/>
      <c r="CL1914" s="159"/>
      <c r="CM1914" s="160"/>
      <c r="CN1914" s="161"/>
      <c r="CO1914" s="162"/>
      <c r="CP1914" s="161"/>
      <c r="CQ1914" s="158"/>
      <c r="CR1914" s="159"/>
      <c r="CS1914" s="68"/>
      <c r="CT1914" s="163"/>
      <c r="EC1914" s="366" t="str">
        <f t="shared" si="240"/>
        <v>CAUCA_EL TAMBO</v>
      </c>
      <c r="ED1914" s="367"/>
      <c r="EE1914" s="367"/>
      <c r="EF1914" s="368"/>
      <c r="EG1914" s="367"/>
      <c r="EH1914" s="367"/>
      <c r="EI1914" s="367"/>
    </row>
    <row r="1915" spans="1:139" s="164" customFormat="1" ht="36">
      <c r="A1915" s="228">
        <v>40511</v>
      </c>
      <c r="B1915" s="205" t="s">
        <v>1314</v>
      </c>
      <c r="C1915" s="205" t="s">
        <v>1180</v>
      </c>
      <c r="D1915" s="207" t="s">
        <v>1201</v>
      </c>
      <c r="E1915" s="323" t="s">
        <v>3621</v>
      </c>
      <c r="F1915" s="323"/>
      <c r="G1915" s="204">
        <v>1</v>
      </c>
      <c r="H1915" s="151"/>
      <c r="I1915" s="151"/>
      <c r="J1915" s="151"/>
      <c r="K1915" s="151"/>
      <c r="L1915" s="1"/>
      <c r="M1915" s="73">
        <f t="shared" si="236"/>
        <v>0</v>
      </c>
      <c r="N1915" s="73">
        <f t="shared" si="241"/>
        <v>0</v>
      </c>
      <c r="O1915" s="73">
        <f t="shared" si="242"/>
        <v>0</v>
      </c>
      <c r="P1915" s="73">
        <f t="shared" si="237"/>
        <v>0</v>
      </c>
      <c r="Q1915" s="73"/>
      <c r="R1915" s="73">
        <v>0</v>
      </c>
      <c r="S1915" s="75">
        <f t="shared" si="239"/>
        <v>0</v>
      </c>
      <c r="T1915" s="77">
        <v>0</v>
      </c>
      <c r="U1915" s="66">
        <v>40512</v>
      </c>
      <c r="V1915" s="79"/>
      <c r="W1915" s="66" t="s">
        <v>1585</v>
      </c>
      <c r="X1915" s="24" t="s">
        <v>1586</v>
      </c>
      <c r="Y1915" s="62"/>
      <c r="Z1915" s="169" t="s">
        <v>894</v>
      </c>
      <c r="AA1915" s="166" t="s">
        <v>795</v>
      </c>
      <c r="AB1915" s="152"/>
      <c r="AC1915" s="153"/>
      <c r="AD1915" s="154"/>
      <c r="AE1915" s="153"/>
      <c r="AF1915" s="153"/>
      <c r="AG1915" s="153"/>
      <c r="AH1915" s="153"/>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c r="BF1915" s="153"/>
      <c r="BG1915" s="153"/>
      <c r="BH1915" s="153"/>
      <c r="BI1915" s="153"/>
      <c r="BJ1915" s="153"/>
      <c r="BK1915" s="153"/>
      <c r="BL1915" s="153"/>
      <c r="BM1915" s="153"/>
      <c r="BN1915" s="153"/>
      <c r="BO1915" s="153"/>
      <c r="BP1915" s="153"/>
      <c r="BQ1915" s="153"/>
      <c r="BR1915" s="153"/>
      <c r="BS1915" s="153"/>
      <c r="BT1915" s="153"/>
      <c r="BU1915" s="153"/>
      <c r="BV1915" s="153"/>
      <c r="BW1915" s="153"/>
      <c r="BX1915" s="153"/>
      <c r="BY1915" s="153"/>
      <c r="BZ1915" s="153"/>
      <c r="CA1915" s="153"/>
      <c r="CB1915" s="153"/>
      <c r="CC1915" s="153"/>
      <c r="CD1915" s="155"/>
      <c r="CE1915" s="156"/>
      <c r="CF1915" s="155"/>
      <c r="CG1915" s="156"/>
      <c r="CH1915" s="155"/>
      <c r="CI1915" s="156"/>
      <c r="CJ1915" s="157">
        <f t="shared" si="238"/>
        <v>0</v>
      </c>
      <c r="CK1915" s="158"/>
      <c r="CL1915" s="159"/>
      <c r="CM1915" s="160"/>
      <c r="CN1915" s="161"/>
      <c r="CO1915" s="162"/>
      <c r="CP1915" s="161"/>
      <c r="CQ1915" s="158"/>
      <c r="CR1915" s="159"/>
      <c r="CS1915" s="68"/>
      <c r="CT1915" s="163"/>
      <c r="EC1915" s="366" t="str">
        <f t="shared" si="240"/>
        <v>CAUCA_SUAREZ</v>
      </c>
      <c r="ED1915" s="367"/>
      <c r="EE1915" s="367"/>
      <c r="EF1915" s="368"/>
      <c r="EG1915" s="367"/>
      <c r="EH1915" s="367"/>
      <c r="EI1915" s="367"/>
    </row>
    <row r="1916" spans="1:139" s="164" customFormat="1" ht="48">
      <c r="A1916" s="228">
        <v>40511</v>
      </c>
      <c r="B1916" s="205" t="s">
        <v>1996</v>
      </c>
      <c r="C1916" s="205" t="s">
        <v>939</v>
      </c>
      <c r="D1916" s="207" t="s">
        <v>1201</v>
      </c>
      <c r="E1916" s="323" t="s">
        <v>3813</v>
      </c>
      <c r="F1916" s="323"/>
      <c r="G1916" s="204"/>
      <c r="H1916" s="151"/>
      <c r="I1916" s="151"/>
      <c r="J1916" s="151">
        <f>2780-1110</f>
        <v>1670</v>
      </c>
      <c r="K1916" s="151">
        <f>866-315</f>
        <v>551</v>
      </c>
      <c r="L1916" s="1"/>
      <c r="M1916" s="73">
        <f t="shared" si="236"/>
        <v>23170000</v>
      </c>
      <c r="N1916" s="73">
        <f t="shared" si="241"/>
        <v>56525000</v>
      </c>
      <c r="O1916" s="73">
        <f t="shared" si="242"/>
        <v>0</v>
      </c>
      <c r="P1916" s="73">
        <f t="shared" si="237"/>
        <v>0</v>
      </c>
      <c r="Q1916" s="73"/>
      <c r="R1916" s="73">
        <v>0</v>
      </c>
      <c r="S1916" s="75">
        <f t="shared" si="239"/>
        <v>79695000</v>
      </c>
      <c r="T1916" s="77">
        <v>0</v>
      </c>
      <c r="U1916" s="66">
        <v>40511</v>
      </c>
      <c r="V1916" s="79"/>
      <c r="W1916" s="66" t="s">
        <v>1606</v>
      </c>
      <c r="X1916" s="24" t="s">
        <v>1607</v>
      </c>
      <c r="Y1916" s="62"/>
      <c r="Z1916" s="177" t="s">
        <v>2580</v>
      </c>
      <c r="AA1916" s="166" t="s">
        <v>868</v>
      </c>
      <c r="AB1916" s="152"/>
      <c r="AC1916" s="153"/>
      <c r="AD1916" s="154"/>
      <c r="AE1916" s="153"/>
      <c r="AF1916" s="153"/>
      <c r="AG1916" s="153"/>
      <c r="AH1916" s="153"/>
      <c r="AI1916" s="153"/>
      <c r="AJ1916" s="153"/>
      <c r="AK1916" s="153"/>
      <c r="AL1916" s="153"/>
      <c r="AM1916" s="153"/>
      <c r="AN1916" s="153"/>
      <c r="AO1916" s="153"/>
      <c r="AP1916" s="153">
        <v>200</v>
      </c>
      <c r="AQ1916" s="153">
        <f>200*56000</f>
        <v>11200000</v>
      </c>
      <c r="AR1916" s="153"/>
      <c r="AS1916" s="153"/>
      <c r="AT1916" s="153"/>
      <c r="AU1916" s="153"/>
      <c r="AV1916" s="153"/>
      <c r="AW1916" s="153"/>
      <c r="AX1916" s="153"/>
      <c r="AY1916" s="153"/>
      <c r="AZ1916" s="153"/>
      <c r="BA1916" s="153"/>
      <c r="BB1916" s="153"/>
      <c r="BC1916" s="153"/>
      <c r="BD1916" s="153"/>
      <c r="BE1916" s="153"/>
      <c r="BF1916" s="153"/>
      <c r="BG1916" s="153"/>
      <c r="BH1916" s="153"/>
      <c r="BI1916" s="153"/>
      <c r="BJ1916" s="153"/>
      <c r="BK1916" s="153"/>
      <c r="BL1916" s="153"/>
      <c r="BM1916" s="153"/>
      <c r="BN1916" s="153"/>
      <c r="BO1916" s="153"/>
      <c r="BP1916" s="153"/>
      <c r="BQ1916" s="153"/>
      <c r="BR1916" s="153"/>
      <c r="BS1916" s="153"/>
      <c r="BT1916" s="153"/>
      <c r="BU1916" s="153"/>
      <c r="BV1916" s="153"/>
      <c r="BW1916" s="153"/>
      <c r="BX1916" s="153"/>
      <c r="BY1916" s="153"/>
      <c r="BZ1916" s="153"/>
      <c r="CA1916" s="153"/>
      <c r="CB1916" s="153">
        <v>665</v>
      </c>
      <c r="CC1916" s="153">
        <f>665*18000</f>
        <v>11970000</v>
      </c>
      <c r="CD1916" s="155"/>
      <c r="CE1916" s="156"/>
      <c r="CF1916" s="155"/>
      <c r="CG1916" s="156"/>
      <c r="CH1916" s="155"/>
      <c r="CI1916" s="156"/>
      <c r="CJ1916" s="157">
        <f t="shared" si="238"/>
        <v>23170000</v>
      </c>
      <c r="CK1916" s="158"/>
      <c r="CL1916" s="159"/>
      <c r="CM1916" s="160">
        <v>665</v>
      </c>
      <c r="CN1916" s="161">
        <f>665*85000</f>
        <v>56525000</v>
      </c>
      <c r="CO1916" s="162"/>
      <c r="CP1916" s="161"/>
      <c r="CQ1916" s="158"/>
      <c r="CR1916" s="159"/>
      <c r="CS1916" s="68"/>
      <c r="CT1916" s="163"/>
      <c r="EC1916" s="366" t="str">
        <f t="shared" si="240"/>
        <v>CHOCO_NOVITA</v>
      </c>
      <c r="ED1916" s="367"/>
      <c r="EE1916" s="367"/>
      <c r="EF1916" s="368"/>
      <c r="EG1916" s="367"/>
      <c r="EH1916" s="367"/>
      <c r="EI1916" s="367"/>
    </row>
    <row r="1917" spans="1:139" s="164" customFormat="1" ht="38.25">
      <c r="A1917" s="228">
        <v>40511</v>
      </c>
      <c r="B1917" s="205" t="s">
        <v>1604</v>
      </c>
      <c r="C1917" s="205" t="s">
        <v>1948</v>
      </c>
      <c r="D1917" s="207" t="s">
        <v>1201</v>
      </c>
      <c r="E1917" s="323" t="s">
        <v>3698</v>
      </c>
      <c r="F1917" s="323"/>
      <c r="G1917" s="204"/>
      <c r="H1917" s="151"/>
      <c r="I1917" s="151"/>
      <c r="J1917" s="151">
        <v>59</v>
      </c>
      <c r="K1917" s="151">
        <v>13</v>
      </c>
      <c r="L1917" s="1"/>
      <c r="M1917" s="73">
        <f t="shared" si="236"/>
        <v>0</v>
      </c>
      <c r="N1917" s="73">
        <f t="shared" si="241"/>
        <v>0</v>
      </c>
      <c r="O1917" s="73">
        <f t="shared" si="242"/>
        <v>0</v>
      </c>
      <c r="P1917" s="73">
        <f t="shared" si="237"/>
        <v>0</v>
      </c>
      <c r="Q1917" s="73"/>
      <c r="R1917" s="73">
        <v>0</v>
      </c>
      <c r="S1917" s="75">
        <f t="shared" si="239"/>
        <v>0</v>
      </c>
      <c r="T1917" s="77">
        <v>0</v>
      </c>
      <c r="U1917" s="66">
        <v>40511</v>
      </c>
      <c r="V1917" s="79"/>
      <c r="W1917" s="66" t="s">
        <v>1585</v>
      </c>
      <c r="X1917" s="24" t="s">
        <v>1586</v>
      </c>
      <c r="Y1917" s="62"/>
      <c r="Z1917" s="169" t="s">
        <v>894</v>
      </c>
      <c r="AA1917" s="166" t="s">
        <v>860</v>
      </c>
      <c r="AB1917" s="152"/>
      <c r="AC1917" s="153"/>
      <c r="AD1917" s="154"/>
      <c r="AE1917" s="153"/>
      <c r="AF1917" s="153"/>
      <c r="AG1917" s="153"/>
      <c r="AH1917" s="153"/>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c r="BF1917" s="153"/>
      <c r="BG1917" s="153"/>
      <c r="BH1917" s="153"/>
      <c r="BI1917" s="153"/>
      <c r="BJ1917" s="153"/>
      <c r="BK1917" s="153"/>
      <c r="BL1917" s="153"/>
      <c r="BM1917" s="153"/>
      <c r="BN1917" s="153"/>
      <c r="BO1917" s="153"/>
      <c r="BP1917" s="153"/>
      <c r="BQ1917" s="153"/>
      <c r="BR1917" s="153"/>
      <c r="BS1917" s="153"/>
      <c r="BT1917" s="153"/>
      <c r="BU1917" s="153"/>
      <c r="BV1917" s="153"/>
      <c r="BW1917" s="153"/>
      <c r="BX1917" s="153"/>
      <c r="BY1917" s="153"/>
      <c r="BZ1917" s="153"/>
      <c r="CA1917" s="153"/>
      <c r="CB1917" s="153"/>
      <c r="CC1917" s="153"/>
      <c r="CD1917" s="155"/>
      <c r="CE1917" s="156"/>
      <c r="CF1917" s="155"/>
      <c r="CG1917" s="156"/>
      <c r="CH1917" s="155"/>
      <c r="CI1917" s="156"/>
      <c r="CJ1917" s="157">
        <f t="shared" si="238"/>
        <v>0</v>
      </c>
      <c r="CK1917" s="158"/>
      <c r="CL1917" s="159"/>
      <c r="CM1917" s="160"/>
      <c r="CN1917" s="161"/>
      <c r="CO1917" s="162"/>
      <c r="CP1917" s="161"/>
      <c r="CQ1917" s="158"/>
      <c r="CR1917" s="159"/>
      <c r="CS1917" s="68"/>
      <c r="CT1917" s="163"/>
      <c r="EC1917" s="366" t="str">
        <f t="shared" si="240"/>
        <v>CUNDINAMARCA_COGUA</v>
      </c>
      <c r="ED1917" s="367"/>
      <c r="EE1917" s="367"/>
      <c r="EF1917" s="368"/>
      <c r="EG1917" s="367"/>
      <c r="EH1917" s="367"/>
      <c r="EI1917" s="367"/>
    </row>
    <row r="1918" spans="1:139" s="164" customFormat="1" ht="38.25">
      <c r="A1918" s="228">
        <v>40511</v>
      </c>
      <c r="B1918" s="205" t="s">
        <v>1604</v>
      </c>
      <c r="C1918" s="205" t="s">
        <v>2943</v>
      </c>
      <c r="D1918" s="207" t="s">
        <v>1878</v>
      </c>
      <c r="E1918" s="323" t="s">
        <v>3762</v>
      </c>
      <c r="F1918" s="323"/>
      <c r="G1918" s="204"/>
      <c r="H1918" s="151"/>
      <c r="I1918" s="151"/>
      <c r="J1918" s="151"/>
      <c r="K1918" s="151"/>
      <c r="L1918" s="1"/>
      <c r="M1918" s="73">
        <f t="shared" si="236"/>
        <v>0</v>
      </c>
      <c r="N1918" s="73">
        <f t="shared" si="241"/>
        <v>0</v>
      </c>
      <c r="O1918" s="73">
        <f t="shared" si="242"/>
        <v>0</v>
      </c>
      <c r="P1918" s="73">
        <f t="shared" si="237"/>
        <v>0</v>
      </c>
      <c r="Q1918" s="73"/>
      <c r="R1918" s="73">
        <v>0</v>
      </c>
      <c r="S1918" s="75">
        <f t="shared" si="239"/>
        <v>0</v>
      </c>
      <c r="T1918" s="77">
        <v>0</v>
      </c>
      <c r="U1918" s="66">
        <v>40511</v>
      </c>
      <c r="V1918" s="79"/>
      <c r="W1918" s="66" t="s">
        <v>1585</v>
      </c>
      <c r="X1918" s="24" t="s">
        <v>1586</v>
      </c>
      <c r="Y1918" s="62"/>
      <c r="Z1918" s="169" t="s">
        <v>894</v>
      </c>
      <c r="AA1918" s="179" t="s">
        <v>2989</v>
      </c>
      <c r="AB1918" s="152"/>
      <c r="AC1918" s="153"/>
      <c r="AD1918" s="154"/>
      <c r="AE1918" s="153"/>
      <c r="AF1918" s="153"/>
      <c r="AG1918" s="153"/>
      <c r="AH1918" s="153"/>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c r="BF1918" s="153"/>
      <c r="BG1918" s="153"/>
      <c r="BH1918" s="153"/>
      <c r="BI1918" s="153"/>
      <c r="BJ1918" s="153"/>
      <c r="BK1918" s="153"/>
      <c r="BL1918" s="153"/>
      <c r="BM1918" s="153"/>
      <c r="BN1918" s="153"/>
      <c r="BO1918" s="153"/>
      <c r="BP1918" s="153"/>
      <c r="BQ1918" s="153"/>
      <c r="BR1918" s="153"/>
      <c r="BS1918" s="153"/>
      <c r="BT1918" s="153"/>
      <c r="BU1918" s="153"/>
      <c r="BV1918" s="153"/>
      <c r="BW1918" s="153"/>
      <c r="BX1918" s="153"/>
      <c r="BY1918" s="153"/>
      <c r="BZ1918" s="153"/>
      <c r="CA1918" s="153"/>
      <c r="CB1918" s="153"/>
      <c r="CC1918" s="153"/>
      <c r="CD1918" s="155"/>
      <c r="CE1918" s="156"/>
      <c r="CF1918" s="155"/>
      <c r="CG1918" s="156"/>
      <c r="CH1918" s="155"/>
      <c r="CI1918" s="156"/>
      <c r="CJ1918" s="157">
        <f t="shared" si="238"/>
        <v>0</v>
      </c>
      <c r="CK1918" s="158"/>
      <c r="CL1918" s="159"/>
      <c r="CM1918" s="160"/>
      <c r="CN1918" s="161"/>
      <c r="CO1918" s="162"/>
      <c r="CP1918" s="161"/>
      <c r="CQ1918" s="158"/>
      <c r="CR1918" s="159"/>
      <c r="CS1918" s="68"/>
      <c r="CT1918" s="163"/>
      <c r="EC1918" s="366" t="str">
        <f t="shared" si="240"/>
        <v>CUNDINAMARCA_SILVANIA</v>
      </c>
      <c r="ED1918" s="367"/>
      <c r="EE1918" s="367"/>
      <c r="EF1918" s="368"/>
      <c r="EG1918" s="367"/>
      <c r="EH1918" s="367"/>
      <c r="EI1918" s="367"/>
    </row>
    <row r="1919" spans="1:139" s="164" customFormat="1" ht="38.25">
      <c r="A1919" s="228">
        <v>40511</v>
      </c>
      <c r="B1919" s="205" t="s">
        <v>1824</v>
      </c>
      <c r="C1919" s="205" t="s">
        <v>2978</v>
      </c>
      <c r="D1919" s="207" t="s">
        <v>1201</v>
      </c>
      <c r="E1919" s="323" t="s">
        <v>3983</v>
      </c>
      <c r="F1919" s="323"/>
      <c r="G1919" s="204"/>
      <c r="H1919" s="151"/>
      <c r="I1919" s="151"/>
      <c r="J1919" s="151">
        <v>4800</v>
      </c>
      <c r="K1919" s="151">
        <v>1200</v>
      </c>
      <c r="L1919" s="1"/>
      <c r="M1919" s="73">
        <f t="shared" si="236"/>
        <v>0</v>
      </c>
      <c r="N1919" s="73">
        <f t="shared" si="241"/>
        <v>0</v>
      </c>
      <c r="O1919" s="73">
        <f t="shared" si="242"/>
        <v>0</v>
      </c>
      <c r="P1919" s="73">
        <f t="shared" si="237"/>
        <v>0</v>
      </c>
      <c r="Q1919" s="73"/>
      <c r="R1919" s="73">
        <v>0</v>
      </c>
      <c r="S1919" s="75">
        <f t="shared" si="239"/>
        <v>0</v>
      </c>
      <c r="T1919" s="77">
        <v>0</v>
      </c>
      <c r="U1919" s="66">
        <v>40511</v>
      </c>
      <c r="V1919" s="79"/>
      <c r="W1919" s="66" t="s">
        <v>1585</v>
      </c>
      <c r="X1919" s="24" t="s">
        <v>1586</v>
      </c>
      <c r="Y1919" s="62"/>
      <c r="Z1919" s="169" t="s">
        <v>894</v>
      </c>
      <c r="AA1919" s="166" t="s">
        <v>2979</v>
      </c>
      <c r="AB1919" s="152"/>
      <c r="AC1919" s="153"/>
      <c r="AD1919" s="154"/>
      <c r="AE1919" s="153"/>
      <c r="AF1919" s="153"/>
      <c r="AG1919" s="153"/>
      <c r="AH1919" s="153"/>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c r="BF1919" s="153"/>
      <c r="BG1919" s="153"/>
      <c r="BH1919" s="153"/>
      <c r="BI1919" s="153"/>
      <c r="BJ1919" s="153"/>
      <c r="BK1919" s="153"/>
      <c r="BL1919" s="153"/>
      <c r="BM1919" s="153"/>
      <c r="BN1919" s="153"/>
      <c r="BO1919" s="153"/>
      <c r="BP1919" s="153"/>
      <c r="BQ1919" s="153"/>
      <c r="BR1919" s="153"/>
      <c r="BS1919" s="153"/>
      <c r="BT1919" s="153"/>
      <c r="BU1919" s="153"/>
      <c r="BV1919" s="153"/>
      <c r="BW1919" s="153"/>
      <c r="BX1919" s="153"/>
      <c r="BY1919" s="153"/>
      <c r="BZ1919" s="153"/>
      <c r="CA1919" s="153"/>
      <c r="CB1919" s="153"/>
      <c r="CC1919" s="153"/>
      <c r="CD1919" s="155"/>
      <c r="CE1919" s="156"/>
      <c r="CF1919" s="155"/>
      <c r="CG1919" s="156"/>
      <c r="CH1919" s="155"/>
      <c r="CI1919" s="156"/>
      <c r="CJ1919" s="157">
        <f t="shared" si="238"/>
        <v>0</v>
      </c>
      <c r="CK1919" s="158"/>
      <c r="CL1919" s="159"/>
      <c r="CM1919" s="160"/>
      <c r="CN1919" s="161"/>
      <c r="CO1919" s="162"/>
      <c r="CP1919" s="161"/>
      <c r="CQ1919" s="158"/>
      <c r="CR1919" s="159"/>
      <c r="CS1919" s="68"/>
      <c r="CT1919" s="163"/>
      <c r="EC1919" s="366" t="str">
        <f t="shared" si="240"/>
        <v>NARIÑO_ROBERTO PAYAN</v>
      </c>
      <c r="ED1919" s="367"/>
      <c r="EE1919" s="367"/>
      <c r="EF1919" s="368"/>
      <c r="EG1919" s="367"/>
      <c r="EH1919" s="367"/>
      <c r="EI1919" s="367"/>
    </row>
    <row r="1920" spans="1:139" s="164" customFormat="1" ht="38.25">
      <c r="A1920" s="228">
        <v>40511</v>
      </c>
      <c r="B1920" s="205" t="s">
        <v>965</v>
      </c>
      <c r="C1920" s="205" t="s">
        <v>1327</v>
      </c>
      <c r="D1920" s="207" t="s">
        <v>1316</v>
      </c>
      <c r="E1920" s="323" t="s">
        <v>3998</v>
      </c>
      <c r="F1920" s="323"/>
      <c r="G1920" s="204">
        <v>1</v>
      </c>
      <c r="H1920" s="151">
        <v>2</v>
      </c>
      <c r="I1920" s="151"/>
      <c r="J1920" s="151">
        <v>6</v>
      </c>
      <c r="K1920" s="151">
        <v>2</v>
      </c>
      <c r="L1920" s="1"/>
      <c r="M1920" s="73">
        <f t="shared" si="236"/>
        <v>0</v>
      </c>
      <c r="N1920" s="73">
        <f t="shared" si="241"/>
        <v>0</v>
      </c>
      <c r="O1920" s="73">
        <f t="shared" si="242"/>
        <v>0</v>
      </c>
      <c r="P1920" s="73">
        <f t="shared" si="237"/>
        <v>0</v>
      </c>
      <c r="Q1920" s="73"/>
      <c r="R1920" s="73">
        <v>0</v>
      </c>
      <c r="S1920" s="75">
        <f t="shared" si="239"/>
        <v>0</v>
      </c>
      <c r="T1920" s="77">
        <v>0</v>
      </c>
      <c r="U1920" s="228">
        <v>40512</v>
      </c>
      <c r="V1920" s="79"/>
      <c r="W1920" s="66" t="s">
        <v>1585</v>
      </c>
      <c r="X1920" s="24" t="s">
        <v>1586</v>
      </c>
      <c r="Y1920" s="62"/>
      <c r="Z1920" s="169" t="s">
        <v>894</v>
      </c>
      <c r="AA1920" s="166" t="s">
        <v>797</v>
      </c>
      <c r="AB1920" s="152"/>
      <c r="AC1920" s="153"/>
      <c r="AD1920" s="154"/>
      <c r="AE1920" s="153"/>
      <c r="AF1920" s="153"/>
      <c r="AG1920" s="153"/>
      <c r="AH1920" s="153"/>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c r="BI1920" s="153"/>
      <c r="BJ1920" s="153"/>
      <c r="BK1920" s="153"/>
      <c r="BL1920" s="153"/>
      <c r="BM1920" s="153"/>
      <c r="BN1920" s="153"/>
      <c r="BO1920" s="153"/>
      <c r="BP1920" s="153"/>
      <c r="BQ1920" s="153"/>
      <c r="BR1920" s="153"/>
      <c r="BS1920" s="153"/>
      <c r="BT1920" s="153"/>
      <c r="BU1920" s="153"/>
      <c r="BV1920" s="153"/>
      <c r="BW1920" s="153"/>
      <c r="BX1920" s="153"/>
      <c r="BY1920" s="153"/>
      <c r="BZ1920" s="153"/>
      <c r="CA1920" s="153"/>
      <c r="CB1920" s="153"/>
      <c r="CC1920" s="153"/>
      <c r="CD1920" s="155"/>
      <c r="CE1920" s="156"/>
      <c r="CF1920" s="155"/>
      <c r="CG1920" s="156"/>
      <c r="CH1920" s="155"/>
      <c r="CI1920" s="156"/>
      <c r="CJ1920" s="157">
        <f t="shared" si="238"/>
        <v>0</v>
      </c>
      <c r="CK1920" s="158"/>
      <c r="CL1920" s="159"/>
      <c r="CM1920" s="160"/>
      <c r="CN1920" s="161"/>
      <c r="CO1920" s="162"/>
      <c r="CP1920" s="161"/>
      <c r="CQ1920" s="158"/>
      <c r="CR1920" s="159"/>
      <c r="CS1920" s="68"/>
      <c r="CT1920" s="163"/>
      <c r="EC1920" s="366" t="str">
        <f t="shared" si="240"/>
        <v>NORTE DE SANTANDER_CUCUTA</v>
      </c>
      <c r="ED1920" s="367"/>
      <c r="EE1920" s="367"/>
      <c r="EF1920" s="368"/>
      <c r="EG1920" s="367"/>
      <c r="EH1920" s="367"/>
      <c r="EI1920" s="367"/>
    </row>
    <row r="1921" spans="1:139" s="164" customFormat="1" ht="38.25">
      <c r="A1921" s="228">
        <v>40511</v>
      </c>
      <c r="B1921" s="205" t="s">
        <v>965</v>
      </c>
      <c r="C1921" s="205" t="s">
        <v>2083</v>
      </c>
      <c r="D1921" s="207" t="s">
        <v>1878</v>
      </c>
      <c r="E1921" s="323" t="s">
        <v>4012</v>
      </c>
      <c r="F1921" s="323"/>
      <c r="G1921" s="204"/>
      <c r="H1921" s="151"/>
      <c r="I1921" s="151"/>
      <c r="J1921" s="151">
        <v>55</v>
      </c>
      <c r="K1921" s="151">
        <v>11</v>
      </c>
      <c r="L1921" s="1"/>
      <c r="M1921" s="73">
        <f t="shared" si="236"/>
        <v>0</v>
      </c>
      <c r="N1921" s="73">
        <f t="shared" si="241"/>
        <v>0</v>
      </c>
      <c r="O1921" s="73">
        <f t="shared" si="242"/>
        <v>0</v>
      </c>
      <c r="P1921" s="73">
        <f t="shared" si="237"/>
        <v>0</v>
      </c>
      <c r="Q1921" s="73"/>
      <c r="R1921" s="73">
        <v>0</v>
      </c>
      <c r="S1921" s="75">
        <f t="shared" si="239"/>
        <v>0</v>
      </c>
      <c r="T1921" s="77">
        <v>0</v>
      </c>
      <c r="U1921" s="66">
        <v>40512</v>
      </c>
      <c r="V1921" s="79"/>
      <c r="W1921" s="66" t="s">
        <v>1585</v>
      </c>
      <c r="X1921" s="24" t="s">
        <v>1586</v>
      </c>
      <c r="Y1921" s="62"/>
      <c r="Z1921" s="169" t="s">
        <v>894</v>
      </c>
      <c r="AA1921" s="166" t="s">
        <v>864</v>
      </c>
      <c r="AB1921" s="152"/>
      <c r="AC1921" s="153"/>
      <c r="AD1921" s="154"/>
      <c r="AE1921" s="153"/>
      <c r="AF1921" s="153"/>
      <c r="AG1921" s="153"/>
      <c r="AH1921" s="153"/>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c r="BI1921" s="153"/>
      <c r="BJ1921" s="153"/>
      <c r="BK1921" s="153"/>
      <c r="BL1921" s="153"/>
      <c r="BM1921" s="153"/>
      <c r="BN1921" s="153"/>
      <c r="BO1921" s="153"/>
      <c r="BP1921" s="153"/>
      <c r="BQ1921" s="153"/>
      <c r="BR1921" s="153"/>
      <c r="BS1921" s="153"/>
      <c r="BT1921" s="153"/>
      <c r="BU1921" s="153"/>
      <c r="BV1921" s="153"/>
      <c r="BW1921" s="153"/>
      <c r="BX1921" s="153"/>
      <c r="BY1921" s="153"/>
      <c r="BZ1921" s="153"/>
      <c r="CA1921" s="153"/>
      <c r="CB1921" s="153"/>
      <c r="CC1921" s="153"/>
      <c r="CD1921" s="155"/>
      <c r="CE1921" s="156"/>
      <c r="CF1921" s="155"/>
      <c r="CG1921" s="156"/>
      <c r="CH1921" s="155"/>
      <c r="CI1921" s="156"/>
      <c r="CJ1921" s="157">
        <f t="shared" si="238"/>
        <v>0</v>
      </c>
      <c r="CK1921" s="158"/>
      <c r="CL1921" s="159"/>
      <c r="CM1921" s="160"/>
      <c r="CN1921" s="161"/>
      <c r="CO1921" s="162"/>
      <c r="CP1921" s="161"/>
      <c r="CQ1921" s="158"/>
      <c r="CR1921" s="159"/>
      <c r="CS1921" s="68"/>
      <c r="CT1921" s="163"/>
      <c r="EC1921" s="366" t="str">
        <f t="shared" si="240"/>
        <v>NORTE DE SANTANDER_EL ZULIA</v>
      </c>
      <c r="ED1921" s="367"/>
      <c r="EE1921" s="367"/>
      <c r="EF1921" s="368"/>
      <c r="EG1921" s="367"/>
      <c r="EH1921" s="367"/>
      <c r="EI1921" s="367"/>
    </row>
    <row r="1922" spans="1:139" s="164" customFormat="1" ht="51">
      <c r="A1922" s="228">
        <v>40511</v>
      </c>
      <c r="B1922" s="205" t="s">
        <v>965</v>
      </c>
      <c r="C1922" s="205" t="s">
        <v>1329</v>
      </c>
      <c r="D1922" s="207" t="s">
        <v>1201</v>
      </c>
      <c r="E1922" s="323" t="s">
        <v>4019</v>
      </c>
      <c r="F1922" s="323"/>
      <c r="G1922" s="204"/>
      <c r="H1922" s="151"/>
      <c r="I1922" s="151"/>
      <c r="J1922" s="151">
        <f>3751-20-75-400</f>
        <v>3256</v>
      </c>
      <c r="K1922" s="151">
        <f>890-4-15-80</f>
        <v>791</v>
      </c>
      <c r="L1922" s="1"/>
      <c r="M1922" s="73">
        <f t="shared" si="236"/>
        <v>0</v>
      </c>
      <c r="N1922" s="73">
        <f t="shared" si="241"/>
        <v>0</v>
      </c>
      <c r="O1922" s="73">
        <f t="shared" si="242"/>
        <v>0</v>
      </c>
      <c r="P1922" s="73">
        <f t="shared" si="237"/>
        <v>0</v>
      </c>
      <c r="Q1922" s="73"/>
      <c r="R1922" s="73">
        <v>0</v>
      </c>
      <c r="S1922" s="75">
        <f t="shared" si="239"/>
        <v>0</v>
      </c>
      <c r="T1922" s="77">
        <v>0</v>
      </c>
      <c r="U1922" s="66">
        <v>40512</v>
      </c>
      <c r="V1922" s="79"/>
      <c r="W1922" s="66" t="s">
        <v>1585</v>
      </c>
      <c r="X1922" s="24" t="s">
        <v>1586</v>
      </c>
      <c r="Y1922" s="62"/>
      <c r="Z1922" s="169" t="s">
        <v>894</v>
      </c>
      <c r="AA1922" s="166" t="s">
        <v>796</v>
      </c>
      <c r="AB1922" s="152"/>
      <c r="AC1922" s="153"/>
      <c r="AD1922" s="154"/>
      <c r="AE1922" s="153"/>
      <c r="AF1922" s="153"/>
      <c r="AG1922" s="153"/>
      <c r="AH1922" s="153"/>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c r="BF1922" s="153"/>
      <c r="BG1922" s="153"/>
      <c r="BH1922" s="153"/>
      <c r="BI1922" s="153"/>
      <c r="BJ1922" s="153"/>
      <c r="BK1922" s="153"/>
      <c r="BL1922" s="153"/>
      <c r="BM1922" s="153"/>
      <c r="BN1922" s="153"/>
      <c r="BO1922" s="153"/>
      <c r="BP1922" s="153"/>
      <c r="BQ1922" s="153"/>
      <c r="BR1922" s="153"/>
      <c r="BS1922" s="153"/>
      <c r="BT1922" s="153"/>
      <c r="BU1922" s="153"/>
      <c r="BV1922" s="153"/>
      <c r="BW1922" s="153"/>
      <c r="BX1922" s="153"/>
      <c r="BY1922" s="153"/>
      <c r="BZ1922" s="153"/>
      <c r="CA1922" s="153"/>
      <c r="CB1922" s="153"/>
      <c r="CC1922" s="153"/>
      <c r="CD1922" s="155"/>
      <c r="CE1922" s="156"/>
      <c r="CF1922" s="155"/>
      <c r="CG1922" s="156"/>
      <c r="CH1922" s="155"/>
      <c r="CI1922" s="156"/>
      <c r="CJ1922" s="157">
        <f t="shared" si="238"/>
        <v>0</v>
      </c>
      <c r="CK1922" s="158"/>
      <c r="CL1922" s="159"/>
      <c r="CM1922" s="160"/>
      <c r="CN1922" s="161"/>
      <c r="CO1922" s="162"/>
      <c r="CP1922" s="161"/>
      <c r="CQ1922" s="158"/>
      <c r="CR1922" s="159"/>
      <c r="CS1922" s="68"/>
      <c r="CT1922" s="163"/>
      <c r="EC1922" s="366" t="str">
        <f t="shared" si="240"/>
        <v>NORTE DE SANTANDER_LOS PATIOS</v>
      </c>
      <c r="ED1922" s="367"/>
      <c r="EE1922" s="367"/>
      <c r="EF1922" s="368"/>
      <c r="EG1922" s="367"/>
      <c r="EH1922" s="367"/>
      <c r="EI1922" s="367"/>
    </row>
    <row r="1923" spans="1:139" s="164" customFormat="1" ht="38.25">
      <c r="A1923" s="228">
        <v>40511</v>
      </c>
      <c r="B1923" s="205" t="s">
        <v>1998</v>
      </c>
      <c r="C1923" s="205" t="s">
        <v>1011</v>
      </c>
      <c r="D1923" s="207" t="s">
        <v>1878</v>
      </c>
      <c r="E1923" s="323" t="s">
        <v>4064</v>
      </c>
      <c r="F1923" s="323"/>
      <c r="G1923" s="263"/>
      <c r="H1923" s="151">
        <v>2</v>
      </c>
      <c r="I1923" s="151"/>
      <c r="J1923" s="151">
        <v>5</v>
      </c>
      <c r="K1923" s="151">
        <v>1</v>
      </c>
      <c r="L1923" s="1"/>
      <c r="M1923" s="73">
        <f t="shared" ref="M1923:M1986" si="243">CJ1923</f>
        <v>0</v>
      </c>
      <c r="N1923" s="73">
        <f t="shared" si="241"/>
        <v>0</v>
      </c>
      <c r="O1923" s="73">
        <f t="shared" si="242"/>
        <v>0</v>
      </c>
      <c r="P1923" s="73">
        <f t="shared" ref="P1923:P1986" si="244">CL1923</f>
        <v>0</v>
      </c>
      <c r="Q1923" s="73"/>
      <c r="R1923" s="73">
        <v>0</v>
      </c>
      <c r="S1923" s="75">
        <f t="shared" si="239"/>
        <v>0</v>
      </c>
      <c r="T1923" s="77">
        <v>0</v>
      </c>
      <c r="U1923" s="66">
        <v>40512</v>
      </c>
      <c r="V1923" s="79"/>
      <c r="W1923" s="66" t="s">
        <v>1585</v>
      </c>
      <c r="X1923" s="24" t="s">
        <v>1586</v>
      </c>
      <c r="Y1923" s="62"/>
      <c r="Z1923" s="169" t="s">
        <v>894</v>
      </c>
      <c r="AA1923" s="166" t="s">
        <v>791</v>
      </c>
      <c r="AB1923" s="152"/>
      <c r="AC1923" s="153"/>
      <c r="AD1923" s="154"/>
      <c r="AE1923" s="153"/>
      <c r="AF1923" s="153"/>
      <c r="AG1923" s="153"/>
      <c r="AH1923" s="153"/>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c r="BF1923" s="153"/>
      <c r="BG1923" s="153"/>
      <c r="BH1923" s="153"/>
      <c r="BI1923" s="153"/>
      <c r="BJ1923" s="153"/>
      <c r="BK1923" s="153"/>
      <c r="BL1923" s="153"/>
      <c r="BM1923" s="153"/>
      <c r="BN1923" s="153"/>
      <c r="BO1923" s="153"/>
      <c r="BP1923" s="153"/>
      <c r="BQ1923" s="153"/>
      <c r="BR1923" s="153"/>
      <c r="BS1923" s="153"/>
      <c r="BT1923" s="153"/>
      <c r="BU1923" s="153"/>
      <c r="BV1923" s="153"/>
      <c r="BW1923" s="153"/>
      <c r="BX1923" s="153"/>
      <c r="BY1923" s="153"/>
      <c r="BZ1923" s="153"/>
      <c r="CA1923" s="153"/>
      <c r="CB1923" s="153"/>
      <c r="CC1923" s="153"/>
      <c r="CD1923" s="155"/>
      <c r="CE1923" s="156"/>
      <c r="CF1923" s="155"/>
      <c r="CG1923" s="156"/>
      <c r="CH1923" s="155"/>
      <c r="CI1923" s="156"/>
      <c r="CJ1923" s="157">
        <f t="shared" ref="CJ1923:CJ1986" si="245">AC1923+AE1923+AG1923+AI1923+AK1923+AM1923+AO1923+AQ1923+AS1923+AU1923+AW1923+AY1923+BA1923+BC1923+BE1923+BG1923+BI1923+BK1923+BM1923+BO1923+BQ1923+BS1923+BU1923+BW1923+BY1923+CA1923+CC1923+CE1923+CG1923+CI1923</f>
        <v>0</v>
      </c>
      <c r="CK1923" s="158"/>
      <c r="CL1923" s="159"/>
      <c r="CM1923" s="160"/>
      <c r="CN1923" s="161"/>
      <c r="CO1923" s="162"/>
      <c r="CP1923" s="161"/>
      <c r="CQ1923" s="158"/>
      <c r="CR1923" s="159"/>
      <c r="CS1923" s="68"/>
      <c r="CT1923" s="163"/>
      <c r="EC1923" s="366" t="str">
        <f t="shared" si="240"/>
        <v>SANTANDER_BUCARAMANGA</v>
      </c>
      <c r="ED1923" s="367"/>
      <c r="EE1923" s="367"/>
      <c r="EF1923" s="368"/>
      <c r="EG1923" s="367"/>
      <c r="EH1923" s="367"/>
      <c r="EI1923" s="367"/>
    </row>
    <row r="1924" spans="1:139" s="164" customFormat="1" ht="38.25">
      <c r="A1924" s="228">
        <v>40511</v>
      </c>
      <c r="B1924" s="205" t="s">
        <v>1998</v>
      </c>
      <c r="C1924" s="205" t="s">
        <v>662</v>
      </c>
      <c r="D1924" s="207" t="s">
        <v>1316</v>
      </c>
      <c r="E1924" s="323" t="s">
        <v>4096</v>
      </c>
      <c r="F1924" s="323"/>
      <c r="G1924" s="204"/>
      <c r="H1924" s="151"/>
      <c r="I1924" s="151"/>
      <c r="J1924" s="151">
        <v>5</v>
      </c>
      <c r="K1924" s="151">
        <v>1</v>
      </c>
      <c r="L1924" s="1"/>
      <c r="M1924" s="73">
        <f t="shared" si="243"/>
        <v>0</v>
      </c>
      <c r="N1924" s="73">
        <f t="shared" si="241"/>
        <v>0</v>
      </c>
      <c r="O1924" s="73">
        <f t="shared" si="242"/>
        <v>0</v>
      </c>
      <c r="P1924" s="73">
        <f t="shared" si="244"/>
        <v>0</v>
      </c>
      <c r="Q1924" s="73"/>
      <c r="R1924" s="73">
        <v>0</v>
      </c>
      <c r="S1924" s="75">
        <f t="shared" si="239"/>
        <v>0</v>
      </c>
      <c r="T1924" s="77">
        <v>0</v>
      </c>
      <c r="U1924" s="66">
        <v>40512</v>
      </c>
      <c r="V1924" s="79"/>
      <c r="W1924" s="66" t="s">
        <v>1585</v>
      </c>
      <c r="X1924" s="24" t="s">
        <v>1586</v>
      </c>
      <c r="Y1924" s="62"/>
      <c r="Z1924" s="169" t="s">
        <v>894</v>
      </c>
      <c r="AA1924" s="166" t="s">
        <v>793</v>
      </c>
      <c r="AB1924" s="152"/>
      <c r="AC1924" s="153"/>
      <c r="AD1924" s="154"/>
      <c r="AE1924" s="153"/>
      <c r="AF1924" s="153"/>
      <c r="AG1924" s="153"/>
      <c r="AH1924" s="153"/>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c r="BF1924" s="153"/>
      <c r="BG1924" s="153"/>
      <c r="BH1924" s="153"/>
      <c r="BI1924" s="153"/>
      <c r="BJ1924" s="153"/>
      <c r="BK1924" s="153"/>
      <c r="BL1924" s="153"/>
      <c r="BM1924" s="153"/>
      <c r="BN1924" s="153"/>
      <c r="BO1924" s="153"/>
      <c r="BP1924" s="153"/>
      <c r="BQ1924" s="153"/>
      <c r="BR1924" s="153"/>
      <c r="BS1924" s="153"/>
      <c r="BT1924" s="153"/>
      <c r="BU1924" s="153"/>
      <c r="BV1924" s="153"/>
      <c r="BW1924" s="153"/>
      <c r="BX1924" s="153"/>
      <c r="BY1924" s="153"/>
      <c r="BZ1924" s="153"/>
      <c r="CA1924" s="153"/>
      <c r="CB1924" s="153"/>
      <c r="CC1924" s="153"/>
      <c r="CD1924" s="155"/>
      <c r="CE1924" s="156"/>
      <c r="CF1924" s="155"/>
      <c r="CG1924" s="156"/>
      <c r="CH1924" s="155"/>
      <c r="CI1924" s="156"/>
      <c r="CJ1924" s="157">
        <f t="shared" si="245"/>
        <v>0</v>
      </c>
      <c r="CK1924" s="158"/>
      <c r="CL1924" s="159"/>
      <c r="CM1924" s="160"/>
      <c r="CN1924" s="161"/>
      <c r="CO1924" s="162"/>
      <c r="CP1924" s="161"/>
      <c r="CQ1924" s="158"/>
      <c r="CR1924" s="159"/>
      <c r="CS1924" s="68"/>
      <c r="CT1924" s="163"/>
      <c r="EC1924" s="366" t="str">
        <f t="shared" si="240"/>
        <v>SANTANDER_FLORIDABLANCA</v>
      </c>
      <c r="ED1924" s="367"/>
      <c r="EE1924" s="367"/>
      <c r="EF1924" s="368"/>
      <c r="EG1924" s="367"/>
      <c r="EH1924" s="367"/>
      <c r="EI1924" s="367"/>
    </row>
    <row r="1925" spans="1:139" s="164" customFormat="1" ht="38.25">
      <c r="A1925" s="228">
        <v>40511</v>
      </c>
      <c r="B1925" s="205" t="s">
        <v>1998</v>
      </c>
      <c r="C1925" s="205" t="s">
        <v>2271</v>
      </c>
      <c r="D1925" s="207" t="s">
        <v>1201</v>
      </c>
      <c r="E1925" s="323" t="s">
        <v>4129</v>
      </c>
      <c r="F1925" s="323"/>
      <c r="G1925" s="263">
        <v>1</v>
      </c>
      <c r="H1925" s="151"/>
      <c r="I1925" s="151"/>
      <c r="J1925" s="151"/>
      <c r="K1925" s="151"/>
      <c r="L1925" s="1"/>
      <c r="M1925" s="73">
        <f t="shared" si="243"/>
        <v>0</v>
      </c>
      <c r="N1925" s="73">
        <f t="shared" si="241"/>
        <v>0</v>
      </c>
      <c r="O1925" s="73">
        <f t="shared" si="242"/>
        <v>0</v>
      </c>
      <c r="P1925" s="73">
        <f t="shared" si="244"/>
        <v>0</v>
      </c>
      <c r="Q1925" s="73"/>
      <c r="R1925" s="73">
        <v>0</v>
      </c>
      <c r="S1925" s="75">
        <f t="shared" si="239"/>
        <v>0</v>
      </c>
      <c r="T1925" s="77">
        <v>0</v>
      </c>
      <c r="U1925" s="66">
        <v>40512</v>
      </c>
      <c r="V1925" s="79"/>
      <c r="W1925" s="66" t="s">
        <v>1585</v>
      </c>
      <c r="X1925" s="24" t="s">
        <v>1586</v>
      </c>
      <c r="Y1925" s="62"/>
      <c r="Z1925" s="169" t="s">
        <v>894</v>
      </c>
      <c r="AA1925" s="166" t="s">
        <v>792</v>
      </c>
      <c r="AB1925" s="152"/>
      <c r="AC1925" s="153"/>
      <c r="AD1925" s="154"/>
      <c r="AE1925" s="153"/>
      <c r="AF1925" s="153"/>
      <c r="AG1925" s="153"/>
      <c r="AH1925" s="153"/>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c r="BF1925" s="153"/>
      <c r="BG1925" s="153"/>
      <c r="BH1925" s="153"/>
      <c r="BI1925" s="153"/>
      <c r="BJ1925" s="153"/>
      <c r="BK1925" s="153"/>
      <c r="BL1925" s="153"/>
      <c r="BM1925" s="153"/>
      <c r="BN1925" s="153"/>
      <c r="BO1925" s="153"/>
      <c r="BP1925" s="153"/>
      <c r="BQ1925" s="153"/>
      <c r="BR1925" s="153"/>
      <c r="BS1925" s="153"/>
      <c r="BT1925" s="153"/>
      <c r="BU1925" s="153"/>
      <c r="BV1925" s="153"/>
      <c r="BW1925" s="153"/>
      <c r="BX1925" s="153"/>
      <c r="BY1925" s="153"/>
      <c r="BZ1925" s="153"/>
      <c r="CA1925" s="153"/>
      <c r="CB1925" s="153"/>
      <c r="CC1925" s="153"/>
      <c r="CD1925" s="155"/>
      <c r="CE1925" s="156"/>
      <c r="CF1925" s="155"/>
      <c r="CG1925" s="156"/>
      <c r="CH1925" s="155"/>
      <c r="CI1925" s="156"/>
      <c r="CJ1925" s="157">
        <f t="shared" si="245"/>
        <v>0</v>
      </c>
      <c r="CK1925" s="158"/>
      <c r="CL1925" s="159"/>
      <c r="CM1925" s="160"/>
      <c r="CN1925" s="161"/>
      <c r="CO1925" s="162"/>
      <c r="CP1925" s="161"/>
      <c r="CQ1925" s="158"/>
      <c r="CR1925" s="159"/>
      <c r="CS1925" s="68"/>
      <c r="CT1925" s="163"/>
      <c r="EC1925" s="366" t="str">
        <f t="shared" si="240"/>
        <v>SANTANDER_RIONEGRO</v>
      </c>
      <c r="ED1925" s="367"/>
      <c r="EE1925" s="367"/>
      <c r="EF1925" s="368"/>
      <c r="EG1925" s="367"/>
      <c r="EH1925" s="367"/>
      <c r="EI1925" s="367"/>
    </row>
    <row r="1926" spans="1:139" s="164" customFormat="1" ht="38.25">
      <c r="A1926" s="228">
        <v>40511</v>
      </c>
      <c r="B1926" s="205" t="s">
        <v>1088</v>
      </c>
      <c r="C1926" s="205" t="s">
        <v>1575</v>
      </c>
      <c r="D1926" s="207" t="s">
        <v>1201</v>
      </c>
      <c r="E1926" s="323" t="s">
        <v>4243</v>
      </c>
      <c r="F1926" s="323"/>
      <c r="G1926" s="204"/>
      <c r="H1926" s="151"/>
      <c r="I1926" s="151"/>
      <c r="J1926" s="151">
        <v>120</v>
      </c>
      <c r="K1926" s="151">
        <v>24</v>
      </c>
      <c r="L1926" s="1"/>
      <c r="M1926" s="73">
        <f t="shared" si="243"/>
        <v>0</v>
      </c>
      <c r="N1926" s="73">
        <f t="shared" si="241"/>
        <v>0</v>
      </c>
      <c r="O1926" s="73">
        <f t="shared" si="242"/>
        <v>0</v>
      </c>
      <c r="P1926" s="73">
        <f t="shared" si="244"/>
        <v>0</v>
      </c>
      <c r="Q1926" s="73"/>
      <c r="R1926" s="73">
        <v>0</v>
      </c>
      <c r="S1926" s="75">
        <f t="shared" si="239"/>
        <v>0</v>
      </c>
      <c r="T1926" s="77">
        <v>0</v>
      </c>
      <c r="U1926" s="66">
        <v>40511</v>
      </c>
      <c r="V1926" s="79"/>
      <c r="W1926" s="66" t="s">
        <v>1585</v>
      </c>
      <c r="X1926" s="24" t="s">
        <v>1586</v>
      </c>
      <c r="Y1926" s="62"/>
      <c r="Z1926" s="169" t="s">
        <v>894</v>
      </c>
      <c r="AA1926" s="166" t="s">
        <v>867</v>
      </c>
      <c r="AB1926" s="152"/>
      <c r="AC1926" s="153"/>
      <c r="AD1926" s="154"/>
      <c r="AE1926" s="153"/>
      <c r="AF1926" s="153"/>
      <c r="AG1926" s="153"/>
      <c r="AH1926" s="153"/>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c r="BF1926" s="153"/>
      <c r="BG1926" s="153"/>
      <c r="BH1926" s="153"/>
      <c r="BI1926" s="153"/>
      <c r="BJ1926" s="153"/>
      <c r="BK1926" s="153"/>
      <c r="BL1926" s="153"/>
      <c r="BM1926" s="153"/>
      <c r="BN1926" s="153"/>
      <c r="BO1926" s="153"/>
      <c r="BP1926" s="153"/>
      <c r="BQ1926" s="153"/>
      <c r="BR1926" s="153"/>
      <c r="BS1926" s="153"/>
      <c r="BT1926" s="153"/>
      <c r="BU1926" s="153"/>
      <c r="BV1926" s="153"/>
      <c r="BW1926" s="153"/>
      <c r="BX1926" s="153"/>
      <c r="BY1926" s="153"/>
      <c r="BZ1926" s="153"/>
      <c r="CA1926" s="153"/>
      <c r="CB1926" s="153"/>
      <c r="CC1926" s="153"/>
      <c r="CD1926" s="155"/>
      <c r="CE1926" s="156"/>
      <c r="CF1926" s="155"/>
      <c r="CG1926" s="156"/>
      <c r="CH1926" s="155"/>
      <c r="CI1926" s="156"/>
      <c r="CJ1926" s="157">
        <f t="shared" si="245"/>
        <v>0</v>
      </c>
      <c r="CK1926" s="158"/>
      <c r="CL1926" s="159"/>
      <c r="CM1926" s="160"/>
      <c r="CN1926" s="161"/>
      <c r="CO1926" s="162"/>
      <c r="CP1926" s="161"/>
      <c r="CQ1926" s="158"/>
      <c r="CR1926" s="159"/>
      <c r="CS1926" s="68"/>
      <c r="CT1926" s="163"/>
      <c r="EC1926" s="366" t="str">
        <f t="shared" ref="EC1926:EC1987" si="246">B1926&amp;"_"&amp;C1926</f>
        <v>VALLE DEL CAUCA_GINEBRA</v>
      </c>
      <c r="ED1926" s="367"/>
      <c r="EE1926" s="367"/>
      <c r="EF1926" s="368"/>
      <c r="EG1926" s="367"/>
      <c r="EH1926" s="367"/>
      <c r="EI1926" s="367"/>
    </row>
    <row r="1927" spans="1:139" s="164" customFormat="1" ht="48">
      <c r="A1927" s="228">
        <v>40511</v>
      </c>
      <c r="B1927" s="205" t="s">
        <v>1088</v>
      </c>
      <c r="C1927" s="205" t="s">
        <v>994</v>
      </c>
      <c r="D1927" s="207" t="s">
        <v>1201</v>
      </c>
      <c r="E1927" s="323" t="s">
        <v>4250</v>
      </c>
      <c r="F1927" s="323"/>
      <c r="G1927" s="204"/>
      <c r="H1927" s="151"/>
      <c r="I1927" s="151"/>
      <c r="J1927" s="151">
        <v>40</v>
      </c>
      <c r="K1927" s="151">
        <v>8</v>
      </c>
      <c r="L1927" s="1"/>
      <c r="M1927" s="73">
        <f t="shared" si="243"/>
        <v>0</v>
      </c>
      <c r="N1927" s="73">
        <f t="shared" si="241"/>
        <v>0</v>
      </c>
      <c r="O1927" s="73">
        <f t="shared" si="242"/>
        <v>0</v>
      </c>
      <c r="P1927" s="73">
        <f t="shared" si="244"/>
        <v>0</v>
      </c>
      <c r="Q1927" s="73"/>
      <c r="R1927" s="73">
        <v>0</v>
      </c>
      <c r="S1927" s="75">
        <f t="shared" si="239"/>
        <v>0</v>
      </c>
      <c r="T1927" s="77">
        <v>0</v>
      </c>
      <c r="U1927" s="66">
        <v>40511</v>
      </c>
      <c r="V1927" s="79"/>
      <c r="W1927" s="66" t="s">
        <v>1585</v>
      </c>
      <c r="X1927" s="24" t="s">
        <v>1586</v>
      </c>
      <c r="Y1927" s="62"/>
      <c r="Z1927" s="169" t="s">
        <v>894</v>
      </c>
      <c r="AA1927" s="166" t="s">
        <v>295</v>
      </c>
      <c r="AB1927" s="152"/>
      <c r="AC1927" s="153"/>
      <c r="AD1927" s="154"/>
      <c r="AE1927" s="153"/>
      <c r="AF1927" s="153"/>
      <c r="AG1927" s="153"/>
      <c r="AH1927" s="153"/>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c r="BF1927" s="153"/>
      <c r="BG1927" s="153"/>
      <c r="BH1927" s="153"/>
      <c r="BI1927" s="153"/>
      <c r="BJ1927" s="153"/>
      <c r="BK1927" s="153"/>
      <c r="BL1927" s="153"/>
      <c r="BM1927" s="153"/>
      <c r="BN1927" s="153"/>
      <c r="BO1927" s="153"/>
      <c r="BP1927" s="153"/>
      <c r="BQ1927" s="153"/>
      <c r="BR1927" s="153"/>
      <c r="BS1927" s="153"/>
      <c r="BT1927" s="153"/>
      <c r="BU1927" s="153"/>
      <c r="BV1927" s="153"/>
      <c r="BW1927" s="153"/>
      <c r="BX1927" s="153"/>
      <c r="BY1927" s="153"/>
      <c r="BZ1927" s="153"/>
      <c r="CA1927" s="153"/>
      <c r="CB1927" s="153"/>
      <c r="CC1927" s="153"/>
      <c r="CD1927" s="155"/>
      <c r="CE1927" s="156"/>
      <c r="CF1927" s="155"/>
      <c r="CG1927" s="156"/>
      <c r="CH1927" s="155"/>
      <c r="CI1927" s="156"/>
      <c r="CJ1927" s="157">
        <f t="shared" si="245"/>
        <v>0</v>
      </c>
      <c r="CK1927" s="158"/>
      <c r="CL1927" s="159"/>
      <c r="CM1927" s="160"/>
      <c r="CN1927" s="161"/>
      <c r="CO1927" s="162"/>
      <c r="CP1927" s="161"/>
      <c r="CQ1927" s="158"/>
      <c r="CR1927" s="159"/>
      <c r="CS1927" s="68"/>
      <c r="CT1927" s="163"/>
      <c r="EC1927" s="366" t="str">
        <f t="shared" si="246"/>
        <v>VALLE DEL CAUCA_PALMIRA</v>
      </c>
      <c r="ED1927" s="367"/>
      <c r="EE1927" s="367"/>
      <c r="EF1927" s="368"/>
      <c r="EG1927" s="367"/>
      <c r="EH1927" s="367"/>
      <c r="EI1927" s="367"/>
    </row>
    <row r="1928" spans="1:139" s="164" customFormat="1" ht="38.25">
      <c r="A1928" s="228">
        <v>40511.379861111112</v>
      </c>
      <c r="B1928" s="205" t="s">
        <v>2298</v>
      </c>
      <c r="C1928" s="205" t="s">
        <v>1610</v>
      </c>
      <c r="D1928" s="207" t="s">
        <v>1878</v>
      </c>
      <c r="E1928" s="323"/>
      <c r="F1928" s="323"/>
      <c r="G1928" s="204"/>
      <c r="H1928" s="151"/>
      <c r="I1928" s="151"/>
      <c r="J1928" s="151"/>
      <c r="K1928" s="409"/>
      <c r="L1928" s="1"/>
      <c r="M1928" s="73">
        <f t="shared" si="243"/>
        <v>0</v>
      </c>
      <c r="N1928" s="73">
        <f t="shared" si="241"/>
        <v>0</v>
      </c>
      <c r="O1928" s="73">
        <f t="shared" si="242"/>
        <v>0</v>
      </c>
      <c r="P1928" s="73">
        <f t="shared" si="244"/>
        <v>0</v>
      </c>
      <c r="Q1928" s="73"/>
      <c r="R1928" s="73">
        <v>0</v>
      </c>
      <c r="S1928" s="75">
        <f t="shared" si="239"/>
        <v>0</v>
      </c>
      <c r="T1928" s="77">
        <v>0</v>
      </c>
      <c r="U1928" s="296">
        <v>40624</v>
      </c>
      <c r="V1928" s="297"/>
      <c r="W1928" s="296" t="s">
        <v>1585</v>
      </c>
      <c r="X1928" s="298" t="s">
        <v>1586</v>
      </c>
      <c r="Y1928" s="299"/>
      <c r="Z1928" s="300" t="s">
        <v>894</v>
      </c>
      <c r="AA1928" s="414" t="s">
        <v>5424</v>
      </c>
      <c r="AB1928" s="152"/>
      <c r="AC1928" s="153"/>
      <c r="AD1928" s="154"/>
      <c r="AE1928" s="153"/>
      <c r="AF1928" s="153"/>
      <c r="AG1928" s="153"/>
      <c r="AH1928" s="153"/>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c r="BF1928" s="153"/>
      <c r="BG1928" s="153"/>
      <c r="BH1928" s="153"/>
      <c r="BI1928" s="153"/>
      <c r="BJ1928" s="153"/>
      <c r="BK1928" s="153"/>
      <c r="BL1928" s="153"/>
      <c r="BM1928" s="153"/>
      <c r="BN1928" s="153"/>
      <c r="BO1928" s="153"/>
      <c r="BP1928" s="153"/>
      <c r="BQ1928" s="153"/>
      <c r="BR1928" s="153"/>
      <c r="BS1928" s="153"/>
      <c r="BT1928" s="153"/>
      <c r="BU1928" s="153"/>
      <c r="BV1928" s="153"/>
      <c r="BW1928" s="153"/>
      <c r="BX1928" s="153"/>
      <c r="BY1928" s="153"/>
      <c r="BZ1928" s="153"/>
      <c r="CA1928" s="153"/>
      <c r="CB1928" s="153"/>
      <c r="CC1928" s="153"/>
      <c r="CD1928" s="155"/>
      <c r="CE1928" s="156"/>
      <c r="CF1928" s="155"/>
      <c r="CG1928" s="156"/>
      <c r="CH1928" s="155"/>
      <c r="CI1928" s="156"/>
      <c r="CJ1928" s="157">
        <f t="shared" si="245"/>
        <v>0</v>
      </c>
      <c r="CK1928" s="158"/>
      <c r="CL1928" s="159"/>
      <c r="CM1928" s="160"/>
      <c r="CN1928" s="161"/>
      <c r="CO1928" s="162"/>
      <c r="CP1928" s="161"/>
      <c r="CQ1928" s="158"/>
      <c r="CR1928" s="159"/>
      <c r="CS1928" s="68"/>
      <c r="CT1928" s="163"/>
      <c r="EC1928" s="366" t="str">
        <f t="shared" si="246"/>
        <v>BOGOTA D.C._BOGOTA</v>
      </c>
      <c r="ED1928" s="367"/>
      <c r="EE1928" s="367"/>
      <c r="EF1928" s="368"/>
      <c r="EG1928" s="367"/>
      <c r="EH1928" s="367"/>
      <c r="EI1928" s="367"/>
    </row>
    <row r="1929" spans="1:139" s="164" customFormat="1" ht="25.5">
      <c r="A1929" s="235">
        <v>40512</v>
      </c>
      <c r="B1929" s="269" t="s">
        <v>1972</v>
      </c>
      <c r="C1929" s="269" t="s">
        <v>2358</v>
      </c>
      <c r="D1929" s="270" t="s">
        <v>2606</v>
      </c>
      <c r="E1929" s="327" t="s">
        <v>3227</v>
      </c>
      <c r="F1929" s="327"/>
      <c r="G1929" s="204"/>
      <c r="H1929" s="151"/>
      <c r="I1929" s="151"/>
      <c r="J1929" s="151"/>
      <c r="K1929" s="151"/>
      <c r="L1929" s="1"/>
      <c r="M1929" s="73">
        <f t="shared" si="243"/>
        <v>0</v>
      </c>
      <c r="N1929" s="73">
        <f t="shared" si="241"/>
        <v>0</v>
      </c>
      <c r="O1929" s="73">
        <f t="shared" si="242"/>
        <v>0</v>
      </c>
      <c r="P1929" s="73">
        <f t="shared" si="244"/>
        <v>0</v>
      </c>
      <c r="Q1929" s="73"/>
      <c r="R1929" s="73">
        <v>0</v>
      </c>
      <c r="S1929" s="75">
        <f t="shared" ref="S1929:S1992" si="247">M1929+N1929+O1929+P1929+Q1929+R1929</f>
        <v>0</v>
      </c>
      <c r="T1929" s="77">
        <v>0</v>
      </c>
      <c r="U1929" s="66">
        <v>40513</v>
      </c>
      <c r="V1929" s="79"/>
      <c r="W1929" s="66" t="s">
        <v>1585</v>
      </c>
      <c r="X1929" s="24" t="s">
        <v>1586</v>
      </c>
      <c r="Y1929" s="62"/>
      <c r="Z1929" s="169" t="s">
        <v>894</v>
      </c>
      <c r="AA1929" s="166" t="s">
        <v>856</v>
      </c>
      <c r="AB1929" s="152"/>
      <c r="AC1929" s="153"/>
      <c r="AD1929" s="154"/>
      <c r="AE1929" s="153"/>
      <c r="AF1929" s="153"/>
      <c r="AG1929" s="153"/>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c r="BF1929" s="153"/>
      <c r="BG1929" s="153"/>
      <c r="BH1929" s="153"/>
      <c r="BI1929" s="153"/>
      <c r="BJ1929" s="153"/>
      <c r="BK1929" s="153"/>
      <c r="BL1929" s="153"/>
      <c r="BM1929" s="153"/>
      <c r="BN1929" s="153"/>
      <c r="BO1929" s="153"/>
      <c r="BP1929" s="153"/>
      <c r="BQ1929" s="153"/>
      <c r="BR1929" s="153"/>
      <c r="BS1929" s="153"/>
      <c r="BT1929" s="153"/>
      <c r="BU1929" s="153"/>
      <c r="BV1929" s="153"/>
      <c r="BW1929" s="153"/>
      <c r="BX1929" s="153"/>
      <c r="BY1929" s="153"/>
      <c r="BZ1929" s="153"/>
      <c r="CA1929" s="153"/>
      <c r="CB1929" s="153"/>
      <c r="CC1929" s="153"/>
      <c r="CD1929" s="155"/>
      <c r="CE1929" s="156"/>
      <c r="CF1929" s="155"/>
      <c r="CG1929" s="156"/>
      <c r="CH1929" s="155"/>
      <c r="CI1929" s="156"/>
      <c r="CJ1929" s="157">
        <f t="shared" si="245"/>
        <v>0</v>
      </c>
      <c r="CK1929" s="158"/>
      <c r="CL1929" s="159"/>
      <c r="CM1929" s="160"/>
      <c r="CN1929" s="161"/>
      <c r="CO1929" s="162"/>
      <c r="CP1929" s="161"/>
      <c r="CQ1929" s="158"/>
      <c r="CR1929" s="159"/>
      <c r="CS1929" s="68"/>
      <c r="CT1929" s="163"/>
      <c r="EC1929" s="366" t="str">
        <f t="shared" si="246"/>
        <v>ANTIOQUIA_MEDELLIN</v>
      </c>
      <c r="ED1929" s="367"/>
      <c r="EE1929" s="367"/>
      <c r="EF1929" s="368"/>
      <c r="EG1929" s="367"/>
      <c r="EH1929" s="367"/>
      <c r="EI1929" s="367"/>
    </row>
    <row r="1930" spans="1:139" s="164" customFormat="1" ht="25.5">
      <c r="A1930" s="228">
        <v>40512</v>
      </c>
      <c r="B1930" s="205" t="s">
        <v>1615</v>
      </c>
      <c r="C1930" s="205" t="s">
        <v>174</v>
      </c>
      <c r="D1930" s="207" t="s">
        <v>1201</v>
      </c>
      <c r="E1930" s="323" t="s">
        <v>3379</v>
      </c>
      <c r="F1930" s="323"/>
      <c r="G1930" s="204"/>
      <c r="H1930" s="151"/>
      <c r="I1930" s="151"/>
      <c r="J1930" s="151">
        <f>608*5</f>
        <v>3040</v>
      </c>
      <c r="K1930" s="151">
        <v>608</v>
      </c>
      <c r="L1930" s="1"/>
      <c r="M1930" s="73">
        <f t="shared" si="243"/>
        <v>66000000</v>
      </c>
      <c r="N1930" s="73">
        <f t="shared" si="241"/>
        <v>42500000</v>
      </c>
      <c r="O1930" s="73">
        <f t="shared" si="242"/>
        <v>0</v>
      </c>
      <c r="P1930" s="73">
        <f t="shared" si="244"/>
        <v>0</v>
      </c>
      <c r="Q1930" s="73">
        <f>500*24000</f>
        <v>12000000</v>
      </c>
      <c r="R1930" s="73">
        <v>0</v>
      </c>
      <c r="S1930" s="75">
        <f t="shared" si="247"/>
        <v>120500000</v>
      </c>
      <c r="T1930" s="77">
        <v>0</v>
      </c>
      <c r="U1930" s="66"/>
      <c r="V1930" s="79"/>
      <c r="W1930" s="66" t="s">
        <v>1606</v>
      </c>
      <c r="X1930" s="24" t="s">
        <v>1607</v>
      </c>
      <c r="Y1930" s="62"/>
      <c r="Z1930" s="169"/>
      <c r="AA1930" s="166" t="s">
        <v>29</v>
      </c>
      <c r="AB1930" s="152"/>
      <c r="AC1930" s="153"/>
      <c r="AD1930" s="154"/>
      <c r="AE1930" s="153"/>
      <c r="AF1930" s="153"/>
      <c r="AG1930" s="153"/>
      <c r="AH1930" s="153"/>
      <c r="AI1930" s="153"/>
      <c r="AJ1930" s="153"/>
      <c r="AK1930" s="153"/>
      <c r="AL1930" s="153"/>
      <c r="AM1930" s="153"/>
      <c r="AN1930" s="153">
        <v>500</v>
      </c>
      <c r="AO1930" s="153">
        <f>500*56000</f>
        <v>28000000</v>
      </c>
      <c r="AP1930" s="153"/>
      <c r="AQ1930" s="153"/>
      <c r="AR1930" s="153"/>
      <c r="AS1930" s="153"/>
      <c r="AT1930" s="153"/>
      <c r="AU1930" s="153"/>
      <c r="AV1930" s="153"/>
      <c r="AW1930" s="153"/>
      <c r="AX1930" s="153"/>
      <c r="AY1930" s="153"/>
      <c r="AZ1930" s="153"/>
      <c r="BA1930" s="153"/>
      <c r="BB1930" s="153"/>
      <c r="BC1930" s="153"/>
      <c r="BD1930" s="153"/>
      <c r="BE1930" s="153"/>
      <c r="BF1930" s="153"/>
      <c r="BG1930" s="153"/>
      <c r="BH1930" s="153"/>
      <c r="BI1930" s="153"/>
      <c r="BJ1930" s="153"/>
      <c r="BK1930" s="153"/>
      <c r="BL1930" s="153"/>
      <c r="BM1930" s="153"/>
      <c r="BN1930" s="153"/>
      <c r="BO1930" s="153"/>
      <c r="BP1930" s="153"/>
      <c r="BQ1930" s="153"/>
      <c r="BR1930" s="153"/>
      <c r="BS1930" s="153"/>
      <c r="BT1930" s="153"/>
      <c r="BU1930" s="153"/>
      <c r="BV1930" s="153"/>
      <c r="BW1930" s="153"/>
      <c r="BX1930" s="153">
        <v>500</v>
      </c>
      <c r="BY1930" s="153">
        <f>500*21000</f>
        <v>10500000</v>
      </c>
      <c r="BZ1930" s="153"/>
      <c r="CA1930" s="153"/>
      <c r="CB1930" s="153">
        <v>500</v>
      </c>
      <c r="CC1930" s="153">
        <f>500*18000</f>
        <v>9000000</v>
      </c>
      <c r="CD1930" s="155">
        <v>500</v>
      </c>
      <c r="CE1930" s="156">
        <f>500*37000</f>
        <v>18500000</v>
      </c>
      <c r="CF1930" s="155"/>
      <c r="CG1930" s="156"/>
      <c r="CH1930" s="155"/>
      <c r="CI1930" s="156"/>
      <c r="CJ1930" s="157">
        <f t="shared" si="245"/>
        <v>66000000</v>
      </c>
      <c r="CK1930" s="158"/>
      <c r="CL1930" s="159"/>
      <c r="CM1930" s="160">
        <v>500</v>
      </c>
      <c r="CN1930" s="161">
        <f>500*85000</f>
        <v>42500000</v>
      </c>
      <c r="CO1930" s="162"/>
      <c r="CP1930" s="161"/>
      <c r="CQ1930" s="158"/>
      <c r="CR1930" s="159"/>
      <c r="CS1930" s="68"/>
      <c r="CT1930" s="163"/>
      <c r="EC1930" s="366" t="str">
        <f t="shared" si="246"/>
        <v>BOLIVAR_ARENAL</v>
      </c>
      <c r="ED1930" s="367"/>
      <c r="EE1930" s="367"/>
      <c r="EF1930" s="368"/>
      <c r="EG1930" s="367"/>
      <c r="EH1930" s="367"/>
      <c r="EI1930" s="367"/>
    </row>
    <row r="1931" spans="1:139" s="164" customFormat="1" ht="38.25">
      <c r="A1931" s="228">
        <v>40512</v>
      </c>
      <c r="B1931" s="205" t="s">
        <v>1615</v>
      </c>
      <c r="C1931" s="205" t="s">
        <v>3116</v>
      </c>
      <c r="D1931" s="207" t="s">
        <v>1201</v>
      </c>
      <c r="E1931" s="323" t="s">
        <v>3381</v>
      </c>
      <c r="F1931" s="323"/>
      <c r="G1931" s="204"/>
      <c r="H1931" s="151"/>
      <c r="I1931" s="151"/>
      <c r="J1931" s="151">
        <f>128*5</f>
        <v>640</v>
      </c>
      <c r="K1931" s="151">
        <v>128</v>
      </c>
      <c r="L1931" s="1"/>
      <c r="M1931" s="73">
        <f t="shared" si="243"/>
        <v>0</v>
      </c>
      <c r="N1931" s="73">
        <f t="shared" si="241"/>
        <v>4590000</v>
      </c>
      <c r="O1931" s="73">
        <f t="shared" si="242"/>
        <v>0</v>
      </c>
      <c r="P1931" s="73">
        <f t="shared" si="244"/>
        <v>0</v>
      </c>
      <c r="Q1931" s="73">
        <f>100*24000</f>
        <v>2400000</v>
      </c>
      <c r="R1931" s="73"/>
      <c r="S1931" s="75">
        <f t="shared" si="247"/>
        <v>6990000</v>
      </c>
      <c r="T1931" s="77">
        <v>0</v>
      </c>
      <c r="U1931" s="228"/>
      <c r="V1931" s="79"/>
      <c r="W1931" s="66" t="s">
        <v>1606</v>
      </c>
      <c r="X1931" s="24" t="s">
        <v>1607</v>
      </c>
      <c r="Y1931" s="62"/>
      <c r="Z1931" s="169"/>
      <c r="AA1931" s="166" t="s">
        <v>15</v>
      </c>
      <c r="AB1931" s="178"/>
      <c r="AC1931" s="153"/>
      <c r="AD1931" s="154"/>
      <c r="AE1931" s="153"/>
      <c r="AF1931" s="153"/>
      <c r="AG1931" s="153"/>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c r="BF1931" s="153"/>
      <c r="BG1931" s="153"/>
      <c r="BH1931" s="153"/>
      <c r="BI1931" s="153"/>
      <c r="BJ1931" s="153"/>
      <c r="BK1931" s="153"/>
      <c r="BL1931" s="153"/>
      <c r="BM1931" s="153"/>
      <c r="BN1931" s="153"/>
      <c r="BO1931" s="153"/>
      <c r="BP1931" s="153"/>
      <c r="BQ1931" s="153"/>
      <c r="BR1931" s="153"/>
      <c r="BS1931" s="153"/>
      <c r="BT1931" s="153"/>
      <c r="BU1931" s="153"/>
      <c r="BV1931" s="153"/>
      <c r="BW1931" s="153"/>
      <c r="BX1931" s="153"/>
      <c r="BY1931" s="153"/>
      <c r="BZ1931" s="153"/>
      <c r="CA1931" s="153"/>
      <c r="CB1931" s="153"/>
      <c r="CC1931" s="153"/>
      <c r="CD1931" s="155"/>
      <c r="CE1931" s="156"/>
      <c r="CF1931" s="155"/>
      <c r="CG1931" s="156"/>
      <c r="CH1931" s="155"/>
      <c r="CI1931" s="156"/>
      <c r="CJ1931" s="157">
        <f t="shared" si="245"/>
        <v>0</v>
      </c>
      <c r="CK1931" s="158"/>
      <c r="CL1931" s="159"/>
      <c r="CM1931" s="160">
        <v>54</v>
      </c>
      <c r="CN1931" s="161">
        <f>54*85000</f>
        <v>4590000</v>
      </c>
      <c r="CO1931" s="162"/>
      <c r="CP1931" s="161"/>
      <c r="CQ1931" s="158"/>
      <c r="CR1931" s="159"/>
      <c r="CS1931" s="68"/>
      <c r="CT1931" s="163"/>
      <c r="EC1931" s="366" t="str">
        <f t="shared" si="246"/>
        <v>BOLIVAR_ARROYOHONDO</v>
      </c>
      <c r="ED1931" s="367"/>
      <c r="EE1931" s="367"/>
      <c r="EF1931" s="368"/>
      <c r="EG1931" s="367"/>
      <c r="EH1931" s="367"/>
      <c r="EI1931" s="367"/>
    </row>
    <row r="1932" spans="1:139" s="164" customFormat="1" ht="60">
      <c r="A1932" s="228">
        <v>40512</v>
      </c>
      <c r="B1932" s="205" t="s">
        <v>1192</v>
      </c>
      <c r="C1932" s="205" t="s">
        <v>65</v>
      </c>
      <c r="D1932" s="207" t="s">
        <v>1201</v>
      </c>
      <c r="E1932" s="323" t="s">
        <v>3516</v>
      </c>
      <c r="F1932" s="323"/>
      <c r="G1932" s="204"/>
      <c r="H1932" s="151"/>
      <c r="I1932" s="151"/>
      <c r="J1932" s="151">
        <f>74*5</f>
        <v>370</v>
      </c>
      <c r="K1932" s="151">
        <v>74</v>
      </c>
      <c r="L1932" s="1"/>
      <c r="M1932" s="73">
        <f t="shared" si="243"/>
        <v>0</v>
      </c>
      <c r="N1932" s="73">
        <f t="shared" si="241"/>
        <v>0</v>
      </c>
      <c r="O1932" s="73">
        <f t="shared" si="242"/>
        <v>0</v>
      </c>
      <c r="P1932" s="73">
        <f t="shared" si="244"/>
        <v>0</v>
      </c>
      <c r="Q1932" s="73"/>
      <c r="R1932" s="73">
        <v>0</v>
      </c>
      <c r="S1932" s="75">
        <f t="shared" si="247"/>
        <v>0</v>
      </c>
      <c r="T1932" s="77">
        <v>0</v>
      </c>
      <c r="U1932" s="228">
        <v>40578</v>
      </c>
      <c r="V1932" s="79"/>
      <c r="W1932" s="66" t="s">
        <v>1585</v>
      </c>
      <c r="X1932" s="24" t="s">
        <v>1586</v>
      </c>
      <c r="Y1932" s="62"/>
      <c r="Z1932" s="169" t="s">
        <v>894</v>
      </c>
      <c r="AA1932" s="166" t="s">
        <v>66</v>
      </c>
      <c r="AB1932" s="152"/>
      <c r="AC1932" s="153"/>
      <c r="AD1932" s="154"/>
      <c r="AE1932" s="153"/>
      <c r="AF1932" s="153"/>
      <c r="AG1932" s="153"/>
      <c r="AH1932" s="153"/>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c r="BF1932" s="153"/>
      <c r="BG1932" s="153"/>
      <c r="BH1932" s="153"/>
      <c r="BI1932" s="153"/>
      <c r="BJ1932" s="153"/>
      <c r="BK1932" s="153"/>
      <c r="BL1932" s="153"/>
      <c r="BM1932" s="153"/>
      <c r="BN1932" s="153"/>
      <c r="BO1932" s="153"/>
      <c r="BP1932" s="153"/>
      <c r="BQ1932" s="153"/>
      <c r="BR1932" s="153"/>
      <c r="BS1932" s="153"/>
      <c r="BT1932" s="153"/>
      <c r="BU1932" s="153"/>
      <c r="BV1932" s="153"/>
      <c r="BW1932" s="153"/>
      <c r="BX1932" s="153"/>
      <c r="BY1932" s="153"/>
      <c r="BZ1932" s="153"/>
      <c r="CA1932" s="153"/>
      <c r="CB1932" s="153"/>
      <c r="CC1932" s="153"/>
      <c r="CD1932" s="155"/>
      <c r="CE1932" s="156"/>
      <c r="CF1932" s="155"/>
      <c r="CG1932" s="156"/>
      <c r="CH1932" s="155"/>
      <c r="CI1932" s="156"/>
      <c r="CJ1932" s="157">
        <f t="shared" si="245"/>
        <v>0</v>
      </c>
      <c r="CK1932" s="158"/>
      <c r="CL1932" s="159"/>
      <c r="CM1932" s="160"/>
      <c r="CN1932" s="161"/>
      <c r="CO1932" s="162"/>
      <c r="CP1932" s="161"/>
      <c r="CQ1932" s="158"/>
      <c r="CR1932" s="159"/>
      <c r="CS1932" s="68"/>
      <c r="CT1932" s="163"/>
      <c r="EC1932" s="366" t="str">
        <f t="shared" si="246"/>
        <v>BOYACA_SOCOTA</v>
      </c>
      <c r="ED1932" s="367"/>
      <c r="EE1932" s="367"/>
      <c r="EF1932" s="368"/>
      <c r="EG1932" s="367"/>
      <c r="EH1932" s="367"/>
      <c r="EI1932" s="367"/>
    </row>
    <row r="1933" spans="1:139" s="164" customFormat="1" ht="25.5">
      <c r="A1933" s="228">
        <v>40512</v>
      </c>
      <c r="B1933" s="205" t="s">
        <v>1192</v>
      </c>
      <c r="C1933" s="205" t="s">
        <v>1004</v>
      </c>
      <c r="D1933" s="207" t="s">
        <v>1878</v>
      </c>
      <c r="E1933" s="323" t="s">
        <v>3421</v>
      </c>
      <c r="F1933" s="323"/>
      <c r="G1933" s="204"/>
      <c r="H1933" s="151"/>
      <c r="I1933" s="151"/>
      <c r="J1933" s="151">
        <v>10</v>
      </c>
      <c r="K1933" s="151">
        <v>2</v>
      </c>
      <c r="L1933" s="1"/>
      <c r="M1933" s="73">
        <f t="shared" si="243"/>
        <v>0</v>
      </c>
      <c r="N1933" s="73">
        <f t="shared" si="241"/>
        <v>0</v>
      </c>
      <c r="O1933" s="73">
        <f t="shared" si="242"/>
        <v>0</v>
      </c>
      <c r="P1933" s="73">
        <f t="shared" si="244"/>
        <v>0</v>
      </c>
      <c r="Q1933" s="73"/>
      <c r="R1933" s="73">
        <v>0</v>
      </c>
      <c r="S1933" s="75">
        <f t="shared" si="247"/>
        <v>0</v>
      </c>
      <c r="T1933" s="77">
        <v>0</v>
      </c>
      <c r="U1933" s="66">
        <v>40513</v>
      </c>
      <c r="V1933" s="79"/>
      <c r="W1933" s="66" t="s">
        <v>1585</v>
      </c>
      <c r="X1933" s="24" t="s">
        <v>1586</v>
      </c>
      <c r="Y1933" s="62"/>
      <c r="Z1933" s="169" t="s">
        <v>894</v>
      </c>
      <c r="AA1933" s="166" t="s">
        <v>208</v>
      </c>
      <c r="AB1933" s="152"/>
      <c r="AC1933" s="153"/>
      <c r="AD1933" s="154"/>
      <c r="AE1933" s="153"/>
      <c r="AF1933" s="153"/>
      <c r="AG1933" s="153"/>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c r="BF1933" s="153"/>
      <c r="BG1933" s="153"/>
      <c r="BH1933" s="153"/>
      <c r="BI1933" s="153"/>
      <c r="BJ1933" s="153"/>
      <c r="BK1933" s="153"/>
      <c r="BL1933" s="153"/>
      <c r="BM1933" s="153"/>
      <c r="BN1933" s="153"/>
      <c r="BO1933" s="153"/>
      <c r="BP1933" s="153"/>
      <c r="BQ1933" s="153"/>
      <c r="BR1933" s="153"/>
      <c r="BS1933" s="153"/>
      <c r="BT1933" s="153"/>
      <c r="BU1933" s="153"/>
      <c r="BV1933" s="153"/>
      <c r="BW1933" s="153"/>
      <c r="BX1933" s="153"/>
      <c r="BY1933" s="153"/>
      <c r="BZ1933" s="153"/>
      <c r="CA1933" s="153"/>
      <c r="CB1933" s="153"/>
      <c r="CC1933" s="153"/>
      <c r="CD1933" s="155"/>
      <c r="CE1933" s="156"/>
      <c r="CF1933" s="155"/>
      <c r="CG1933" s="156"/>
      <c r="CH1933" s="155"/>
      <c r="CI1933" s="156"/>
      <c r="CJ1933" s="157">
        <f t="shared" si="245"/>
        <v>0</v>
      </c>
      <c r="CK1933" s="158"/>
      <c r="CL1933" s="159"/>
      <c r="CM1933" s="160"/>
      <c r="CN1933" s="161"/>
      <c r="CO1933" s="162"/>
      <c r="CP1933" s="161"/>
      <c r="CQ1933" s="158"/>
      <c r="CR1933" s="159"/>
      <c r="CS1933" s="68"/>
      <c r="CT1933" s="163"/>
      <c r="EC1933" s="366" t="str">
        <f t="shared" si="246"/>
        <v>BOYACA_TUNJA</v>
      </c>
      <c r="ED1933" s="367"/>
      <c r="EE1933" s="367"/>
      <c r="EF1933" s="368"/>
      <c r="EG1933" s="367"/>
      <c r="EH1933" s="367"/>
      <c r="EI1933" s="367"/>
    </row>
    <row r="1934" spans="1:139" s="164" customFormat="1" ht="38.25">
      <c r="A1934" s="228">
        <v>40512</v>
      </c>
      <c r="B1934" s="205" t="s">
        <v>1192</v>
      </c>
      <c r="C1934" s="205" t="s">
        <v>1168</v>
      </c>
      <c r="D1934" s="207" t="s">
        <v>1201</v>
      </c>
      <c r="E1934" s="323" t="s">
        <v>3471</v>
      </c>
      <c r="F1934" s="323"/>
      <c r="G1934" s="204"/>
      <c r="H1934" s="151"/>
      <c r="I1934" s="151"/>
      <c r="J1934" s="151">
        <v>40</v>
      </c>
      <c r="K1934" s="151">
        <v>8</v>
      </c>
      <c r="L1934" s="1"/>
      <c r="M1934" s="73">
        <f t="shared" si="243"/>
        <v>0</v>
      </c>
      <c r="N1934" s="73">
        <f t="shared" ref="N1934:N1997" si="248">CN1934</f>
        <v>0</v>
      </c>
      <c r="O1934" s="73">
        <f t="shared" si="242"/>
        <v>0</v>
      </c>
      <c r="P1934" s="73">
        <f t="shared" si="244"/>
        <v>0</v>
      </c>
      <c r="Q1934" s="73"/>
      <c r="R1934" s="73">
        <v>0</v>
      </c>
      <c r="S1934" s="75">
        <f t="shared" si="247"/>
        <v>0</v>
      </c>
      <c r="T1934" s="77">
        <v>0</v>
      </c>
      <c r="U1934" s="66">
        <v>40512</v>
      </c>
      <c r="V1934" s="79"/>
      <c r="W1934" s="66" t="s">
        <v>1585</v>
      </c>
      <c r="X1934" s="24" t="s">
        <v>1586</v>
      </c>
      <c r="Y1934" s="62"/>
      <c r="Z1934" s="169" t="s">
        <v>894</v>
      </c>
      <c r="AA1934" s="166" t="s">
        <v>2974</v>
      </c>
      <c r="AB1934" s="152"/>
      <c r="AC1934" s="153"/>
      <c r="AD1934" s="154"/>
      <c r="AE1934" s="153"/>
      <c r="AF1934" s="153"/>
      <c r="AG1934" s="153"/>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c r="BF1934" s="153"/>
      <c r="BG1934" s="153"/>
      <c r="BH1934" s="153"/>
      <c r="BI1934" s="153"/>
      <c r="BJ1934" s="153"/>
      <c r="BK1934" s="153"/>
      <c r="BL1934" s="153"/>
      <c r="BM1934" s="153"/>
      <c r="BN1934" s="153"/>
      <c r="BO1934" s="153"/>
      <c r="BP1934" s="153"/>
      <c r="BQ1934" s="153"/>
      <c r="BR1934" s="153"/>
      <c r="BS1934" s="153"/>
      <c r="BT1934" s="153"/>
      <c r="BU1934" s="153"/>
      <c r="BV1934" s="153"/>
      <c r="BW1934" s="153"/>
      <c r="BX1934" s="153"/>
      <c r="BY1934" s="153"/>
      <c r="BZ1934" s="153"/>
      <c r="CA1934" s="153"/>
      <c r="CB1934" s="153"/>
      <c r="CC1934" s="153"/>
      <c r="CD1934" s="155"/>
      <c r="CE1934" s="156"/>
      <c r="CF1934" s="155"/>
      <c r="CG1934" s="156"/>
      <c r="CH1934" s="155"/>
      <c r="CI1934" s="156"/>
      <c r="CJ1934" s="157">
        <f t="shared" si="245"/>
        <v>0</v>
      </c>
      <c r="CK1934" s="158"/>
      <c r="CL1934" s="159"/>
      <c r="CM1934" s="160"/>
      <c r="CN1934" s="161"/>
      <c r="CO1934" s="162"/>
      <c r="CP1934" s="161"/>
      <c r="CQ1934" s="158"/>
      <c r="CR1934" s="159"/>
      <c r="CS1934" s="68"/>
      <c r="CT1934" s="163"/>
      <c r="EC1934" s="366" t="str">
        <f t="shared" si="246"/>
        <v>BOYACA_VILLA DE LEYVA</v>
      </c>
      <c r="ED1934" s="367"/>
      <c r="EE1934" s="367"/>
      <c r="EF1934" s="368"/>
      <c r="EG1934" s="367"/>
      <c r="EH1934" s="367"/>
      <c r="EI1934" s="367"/>
    </row>
    <row r="1935" spans="1:139" s="164" customFormat="1" ht="25.5">
      <c r="A1935" s="228">
        <v>40512</v>
      </c>
      <c r="B1935" s="205" t="s">
        <v>653</v>
      </c>
      <c r="C1935" s="205" t="s">
        <v>773</v>
      </c>
      <c r="D1935" s="207" t="s">
        <v>1201</v>
      </c>
      <c r="E1935" s="323" t="s">
        <v>3558</v>
      </c>
      <c r="F1935" s="323"/>
      <c r="G1935" s="204">
        <v>1</v>
      </c>
      <c r="H1935" s="151"/>
      <c r="I1935" s="151"/>
      <c r="J1935" s="151">
        <f>19*5</f>
        <v>95</v>
      </c>
      <c r="K1935" s="151">
        <f>18+11</f>
        <v>29</v>
      </c>
      <c r="L1935" s="1"/>
      <c r="M1935" s="73">
        <f t="shared" si="243"/>
        <v>0</v>
      </c>
      <c r="N1935" s="73">
        <f t="shared" si="248"/>
        <v>0</v>
      </c>
      <c r="O1935" s="73">
        <f t="shared" si="242"/>
        <v>0</v>
      </c>
      <c r="P1935" s="73">
        <f t="shared" si="244"/>
        <v>0</v>
      </c>
      <c r="Q1935" s="73"/>
      <c r="R1935" s="73">
        <v>0</v>
      </c>
      <c r="S1935" s="75">
        <f t="shared" si="247"/>
        <v>0</v>
      </c>
      <c r="T1935" s="77">
        <v>0</v>
      </c>
      <c r="U1935" s="228"/>
      <c r="V1935" s="79"/>
      <c r="W1935" s="66" t="s">
        <v>1606</v>
      </c>
      <c r="X1935" s="24" t="s">
        <v>1607</v>
      </c>
      <c r="Y1935" s="62"/>
      <c r="Z1935" s="176" t="s">
        <v>3056</v>
      </c>
      <c r="AA1935" s="166" t="s">
        <v>774</v>
      </c>
      <c r="AB1935" s="152"/>
      <c r="AC1935" s="153"/>
      <c r="AD1935" s="154"/>
      <c r="AE1935" s="153"/>
      <c r="AF1935" s="153"/>
      <c r="AG1935" s="153"/>
      <c r="AH1935" s="153"/>
      <c r="AI1935" s="153"/>
      <c r="AJ1935" s="153"/>
      <c r="AK1935" s="153"/>
      <c r="AL1935" s="153"/>
      <c r="AM1935" s="153"/>
      <c r="AN1935" s="153"/>
      <c r="AO1935" s="153"/>
      <c r="AP1935" s="153"/>
      <c r="AQ1935" s="153"/>
      <c r="AR1935" s="153"/>
      <c r="AS1935" s="153"/>
      <c r="AT1935" s="153"/>
      <c r="AU1935" s="153"/>
      <c r="AV1935" s="153"/>
      <c r="AW1935" s="153"/>
      <c r="AX1935" s="153"/>
      <c r="AY1935" s="153"/>
      <c r="AZ1935" s="153"/>
      <c r="BA1935" s="153"/>
      <c r="BB1935" s="153"/>
      <c r="BC1935" s="153"/>
      <c r="BD1935" s="153"/>
      <c r="BE1935" s="153"/>
      <c r="BF1935" s="153"/>
      <c r="BG1935" s="153"/>
      <c r="BH1935" s="153"/>
      <c r="BI1935" s="153"/>
      <c r="BJ1935" s="153"/>
      <c r="BK1935" s="153"/>
      <c r="BL1935" s="153"/>
      <c r="BM1935" s="153"/>
      <c r="BN1935" s="153"/>
      <c r="BO1935" s="153"/>
      <c r="BP1935" s="153"/>
      <c r="BQ1935" s="153"/>
      <c r="BR1935" s="153"/>
      <c r="BS1935" s="153"/>
      <c r="BT1935" s="153"/>
      <c r="BU1935" s="153"/>
      <c r="BV1935" s="153"/>
      <c r="BW1935" s="153"/>
      <c r="BX1935" s="153"/>
      <c r="BY1935" s="153"/>
      <c r="BZ1935" s="153"/>
      <c r="CA1935" s="153"/>
      <c r="CB1935" s="153"/>
      <c r="CC1935" s="153"/>
      <c r="CD1935" s="155"/>
      <c r="CE1935" s="156"/>
      <c r="CF1935" s="155"/>
      <c r="CG1935" s="156"/>
      <c r="CH1935" s="155"/>
      <c r="CI1935" s="156"/>
      <c r="CJ1935" s="157">
        <f t="shared" si="245"/>
        <v>0</v>
      </c>
      <c r="CK1935" s="158"/>
      <c r="CL1935" s="159"/>
      <c r="CM1935" s="160"/>
      <c r="CN1935" s="161"/>
      <c r="CO1935" s="162"/>
      <c r="CP1935" s="161"/>
      <c r="CQ1935" s="158"/>
      <c r="CR1935" s="159"/>
      <c r="CS1935" s="68"/>
      <c r="CT1935" s="163"/>
      <c r="EC1935" s="366" t="str">
        <f t="shared" si="246"/>
        <v>CALDAS_PACORA</v>
      </c>
      <c r="ED1935" s="367"/>
      <c r="EE1935" s="367"/>
      <c r="EF1935" s="368"/>
      <c r="EG1935" s="367"/>
      <c r="EH1935" s="367"/>
      <c r="EI1935" s="367"/>
    </row>
    <row r="1936" spans="1:139" s="164" customFormat="1" ht="25.5">
      <c r="A1936" s="228">
        <v>40512</v>
      </c>
      <c r="B1936" s="205" t="s">
        <v>1821</v>
      </c>
      <c r="C1936" s="205" t="s">
        <v>353</v>
      </c>
      <c r="D1936" s="207" t="s">
        <v>1923</v>
      </c>
      <c r="E1936" s="323" t="s">
        <v>3647</v>
      </c>
      <c r="F1936" s="323"/>
      <c r="G1936" s="204">
        <v>1</v>
      </c>
      <c r="H1936" s="151"/>
      <c r="I1936" s="151"/>
      <c r="J1936" s="151">
        <v>5</v>
      </c>
      <c r="K1936" s="151">
        <v>1</v>
      </c>
      <c r="L1936" s="1"/>
      <c r="M1936" s="73">
        <f t="shared" si="243"/>
        <v>0</v>
      </c>
      <c r="N1936" s="73">
        <f t="shared" si="248"/>
        <v>0</v>
      </c>
      <c r="O1936" s="73">
        <f t="shared" si="242"/>
        <v>0</v>
      </c>
      <c r="P1936" s="73">
        <f t="shared" si="244"/>
        <v>0</v>
      </c>
      <c r="Q1936" s="73"/>
      <c r="R1936" s="73">
        <v>0</v>
      </c>
      <c r="S1936" s="75">
        <f t="shared" si="247"/>
        <v>0</v>
      </c>
      <c r="T1936" s="77">
        <v>0</v>
      </c>
      <c r="U1936" s="228">
        <v>40513</v>
      </c>
      <c r="V1936" s="79"/>
      <c r="W1936" s="66" t="s">
        <v>1585</v>
      </c>
      <c r="X1936" s="24" t="s">
        <v>1586</v>
      </c>
      <c r="Y1936" s="62"/>
      <c r="Z1936" s="169" t="s">
        <v>894</v>
      </c>
      <c r="AA1936" s="166" t="s">
        <v>803</v>
      </c>
      <c r="AB1936" s="152"/>
      <c r="AC1936" s="153"/>
      <c r="AD1936" s="154"/>
      <c r="AE1936" s="153"/>
      <c r="AF1936" s="153"/>
      <c r="AG1936" s="153"/>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c r="BF1936" s="153"/>
      <c r="BG1936" s="153"/>
      <c r="BH1936" s="153"/>
      <c r="BI1936" s="153"/>
      <c r="BJ1936" s="153"/>
      <c r="BK1936" s="153"/>
      <c r="BL1936" s="153"/>
      <c r="BM1936" s="153"/>
      <c r="BN1936" s="153"/>
      <c r="BO1936" s="153"/>
      <c r="BP1936" s="153"/>
      <c r="BQ1936" s="153"/>
      <c r="BR1936" s="153"/>
      <c r="BS1936" s="153"/>
      <c r="BT1936" s="153"/>
      <c r="BU1936" s="153"/>
      <c r="BV1936" s="153"/>
      <c r="BW1936" s="153"/>
      <c r="BX1936" s="153"/>
      <c r="BY1936" s="153"/>
      <c r="BZ1936" s="153"/>
      <c r="CA1936" s="153"/>
      <c r="CB1936" s="153"/>
      <c r="CC1936" s="153"/>
      <c r="CD1936" s="155"/>
      <c r="CE1936" s="156"/>
      <c r="CF1936" s="155"/>
      <c r="CG1936" s="156"/>
      <c r="CH1936" s="155"/>
      <c r="CI1936" s="156"/>
      <c r="CJ1936" s="157">
        <f t="shared" si="245"/>
        <v>0</v>
      </c>
      <c r="CK1936" s="158"/>
      <c r="CL1936" s="159"/>
      <c r="CM1936" s="160"/>
      <c r="CN1936" s="161"/>
      <c r="CO1936" s="162"/>
      <c r="CP1936" s="161"/>
      <c r="CQ1936" s="158"/>
      <c r="CR1936" s="159"/>
      <c r="CS1936" s="68"/>
      <c r="CT1936" s="163"/>
      <c r="EC1936" s="366" t="str">
        <f t="shared" si="246"/>
        <v>CESAR_RIO DE ORO</v>
      </c>
      <c r="ED1936" s="367"/>
      <c r="EE1936" s="367"/>
      <c r="EF1936" s="368"/>
      <c r="EG1936" s="367"/>
      <c r="EH1936" s="367"/>
      <c r="EI1936" s="367"/>
    </row>
    <row r="1937" spans="1:139" s="164" customFormat="1" ht="25.5">
      <c r="A1937" s="228">
        <v>40512</v>
      </c>
      <c r="B1937" s="205" t="s">
        <v>1604</v>
      </c>
      <c r="C1937" s="205" t="s">
        <v>889</v>
      </c>
      <c r="D1937" s="207" t="s">
        <v>1201</v>
      </c>
      <c r="E1937" s="323" t="s">
        <v>3695</v>
      </c>
      <c r="F1937" s="323"/>
      <c r="G1937" s="204"/>
      <c r="H1937" s="151"/>
      <c r="I1937" s="151"/>
      <c r="J1937" s="151">
        <v>263</v>
      </c>
      <c r="K1937" s="151">
        <v>53</v>
      </c>
      <c r="L1937" s="1"/>
      <c r="M1937" s="73">
        <f t="shared" si="243"/>
        <v>0</v>
      </c>
      <c r="N1937" s="73">
        <f t="shared" si="248"/>
        <v>0</v>
      </c>
      <c r="O1937" s="73">
        <f t="shared" si="242"/>
        <v>0</v>
      </c>
      <c r="P1937" s="73">
        <f t="shared" si="244"/>
        <v>0</v>
      </c>
      <c r="Q1937" s="73"/>
      <c r="R1937" s="73">
        <v>0</v>
      </c>
      <c r="S1937" s="75">
        <f t="shared" si="247"/>
        <v>0</v>
      </c>
      <c r="T1937" s="77">
        <v>0</v>
      </c>
      <c r="U1937" s="228">
        <v>40512</v>
      </c>
      <c r="V1937" s="79"/>
      <c r="W1937" s="66" t="s">
        <v>1585</v>
      </c>
      <c r="X1937" s="24" t="s">
        <v>1586</v>
      </c>
      <c r="Y1937" s="62"/>
      <c r="Z1937" s="169" t="s">
        <v>894</v>
      </c>
      <c r="AA1937" s="166" t="s">
        <v>859</v>
      </c>
      <c r="AB1937" s="152"/>
      <c r="AC1937" s="153"/>
      <c r="AD1937" s="154"/>
      <c r="AE1937" s="153"/>
      <c r="AF1937" s="153"/>
      <c r="AG1937" s="153"/>
      <c r="AH1937" s="153"/>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c r="BF1937" s="153"/>
      <c r="BG1937" s="153"/>
      <c r="BH1937" s="153"/>
      <c r="BI1937" s="153"/>
      <c r="BJ1937" s="153"/>
      <c r="BK1937" s="153"/>
      <c r="BL1937" s="153"/>
      <c r="BM1937" s="153"/>
      <c r="BN1937" s="153"/>
      <c r="BO1937" s="153"/>
      <c r="BP1937" s="153"/>
      <c r="BQ1937" s="153"/>
      <c r="BR1937" s="153"/>
      <c r="BS1937" s="153"/>
      <c r="BT1937" s="153"/>
      <c r="BU1937" s="153"/>
      <c r="BV1937" s="153"/>
      <c r="BW1937" s="153"/>
      <c r="BX1937" s="153"/>
      <c r="BY1937" s="153"/>
      <c r="BZ1937" s="153"/>
      <c r="CA1937" s="153"/>
      <c r="CB1937" s="153"/>
      <c r="CC1937" s="153"/>
      <c r="CD1937" s="155"/>
      <c r="CE1937" s="156"/>
      <c r="CF1937" s="155"/>
      <c r="CG1937" s="156"/>
      <c r="CH1937" s="155"/>
      <c r="CI1937" s="156"/>
      <c r="CJ1937" s="157">
        <f t="shared" si="245"/>
        <v>0</v>
      </c>
      <c r="CK1937" s="158"/>
      <c r="CL1937" s="159"/>
      <c r="CM1937" s="160"/>
      <c r="CN1937" s="161"/>
      <c r="CO1937" s="162"/>
      <c r="CP1937" s="161"/>
      <c r="CQ1937" s="158"/>
      <c r="CR1937" s="159"/>
      <c r="CS1937" s="68"/>
      <c r="CT1937" s="163"/>
      <c r="EC1937" s="366" t="str">
        <f t="shared" si="246"/>
        <v>CUNDINAMARCA_CHIA</v>
      </c>
      <c r="ED1937" s="367"/>
      <c r="EE1937" s="367"/>
      <c r="EF1937" s="368"/>
      <c r="EG1937" s="367"/>
      <c r="EH1937" s="367"/>
      <c r="EI1937" s="367"/>
    </row>
    <row r="1938" spans="1:139" s="164" customFormat="1" ht="38.25">
      <c r="A1938" s="228">
        <v>40512</v>
      </c>
      <c r="B1938" s="205" t="s">
        <v>1604</v>
      </c>
      <c r="C1938" s="205" t="s">
        <v>861</v>
      </c>
      <c r="D1938" s="207" t="s">
        <v>1201</v>
      </c>
      <c r="E1938" s="323" t="s">
        <v>3766</v>
      </c>
      <c r="F1938" s="323"/>
      <c r="G1938" s="204"/>
      <c r="H1938" s="151"/>
      <c r="I1938" s="151"/>
      <c r="J1938" s="151">
        <v>15</v>
      </c>
      <c r="K1938" s="151">
        <v>3</v>
      </c>
      <c r="L1938" s="1"/>
      <c r="M1938" s="73">
        <f t="shared" si="243"/>
        <v>0</v>
      </c>
      <c r="N1938" s="73">
        <f t="shared" si="248"/>
        <v>0</v>
      </c>
      <c r="O1938" s="73">
        <f t="shared" si="242"/>
        <v>0</v>
      </c>
      <c r="P1938" s="73">
        <f t="shared" si="244"/>
        <v>0</v>
      </c>
      <c r="Q1938" s="73"/>
      <c r="R1938" s="73">
        <v>0</v>
      </c>
      <c r="S1938" s="75">
        <f t="shared" si="247"/>
        <v>0</v>
      </c>
      <c r="T1938" s="77">
        <v>0</v>
      </c>
      <c r="U1938" s="228">
        <v>40512</v>
      </c>
      <c r="V1938" s="79"/>
      <c r="W1938" s="66" t="s">
        <v>1585</v>
      </c>
      <c r="X1938" s="24" t="s">
        <v>1586</v>
      </c>
      <c r="Y1938" s="62"/>
      <c r="Z1938" s="169" t="s">
        <v>894</v>
      </c>
      <c r="AA1938" s="166" t="s">
        <v>862</v>
      </c>
      <c r="AB1938" s="152"/>
      <c r="AC1938" s="153"/>
      <c r="AD1938" s="154"/>
      <c r="AE1938" s="153"/>
      <c r="AF1938" s="153"/>
      <c r="AG1938" s="153"/>
      <c r="AH1938" s="153"/>
      <c r="AI1938" s="153"/>
      <c r="AJ1938" s="153"/>
      <c r="AK1938" s="153"/>
      <c r="AL1938" s="153"/>
      <c r="AM1938" s="153"/>
      <c r="AN1938" s="153"/>
      <c r="AO1938" s="153"/>
      <c r="AP1938" s="153"/>
      <c r="AQ1938" s="153"/>
      <c r="AR1938" s="153"/>
      <c r="AS1938" s="153"/>
      <c r="AT1938" s="153"/>
      <c r="AU1938" s="153"/>
      <c r="AV1938" s="153"/>
      <c r="AW1938" s="153"/>
      <c r="AX1938" s="153"/>
      <c r="AY1938" s="153"/>
      <c r="AZ1938" s="153"/>
      <c r="BA1938" s="153"/>
      <c r="BB1938" s="153"/>
      <c r="BC1938" s="153"/>
      <c r="BD1938" s="153"/>
      <c r="BE1938" s="153"/>
      <c r="BF1938" s="153"/>
      <c r="BG1938" s="153"/>
      <c r="BH1938" s="153"/>
      <c r="BI1938" s="153"/>
      <c r="BJ1938" s="153"/>
      <c r="BK1938" s="153"/>
      <c r="BL1938" s="153"/>
      <c r="BM1938" s="153"/>
      <c r="BN1938" s="153"/>
      <c r="BO1938" s="153"/>
      <c r="BP1938" s="153"/>
      <c r="BQ1938" s="153"/>
      <c r="BR1938" s="153"/>
      <c r="BS1938" s="153"/>
      <c r="BT1938" s="153"/>
      <c r="BU1938" s="153"/>
      <c r="BV1938" s="153"/>
      <c r="BW1938" s="153"/>
      <c r="BX1938" s="153"/>
      <c r="BY1938" s="153"/>
      <c r="BZ1938" s="153"/>
      <c r="CA1938" s="153"/>
      <c r="CB1938" s="153"/>
      <c r="CC1938" s="153"/>
      <c r="CD1938" s="155"/>
      <c r="CE1938" s="156"/>
      <c r="CF1938" s="155"/>
      <c r="CG1938" s="156"/>
      <c r="CH1938" s="155"/>
      <c r="CI1938" s="156"/>
      <c r="CJ1938" s="157">
        <f t="shared" si="245"/>
        <v>0</v>
      </c>
      <c r="CK1938" s="158"/>
      <c r="CL1938" s="159"/>
      <c r="CM1938" s="160"/>
      <c r="CN1938" s="161"/>
      <c r="CO1938" s="162"/>
      <c r="CP1938" s="161"/>
      <c r="CQ1938" s="158"/>
      <c r="CR1938" s="159"/>
      <c r="CS1938" s="68"/>
      <c r="CT1938" s="163"/>
      <c r="EC1938" s="366" t="str">
        <f t="shared" si="246"/>
        <v>CUNDINAMARCA_SUBACHOQUE</v>
      </c>
      <c r="ED1938" s="367"/>
      <c r="EE1938" s="367"/>
      <c r="EF1938" s="368"/>
      <c r="EG1938" s="367"/>
      <c r="EH1938" s="367"/>
      <c r="EI1938" s="367"/>
    </row>
    <row r="1939" spans="1:139" s="164" customFormat="1" ht="63.75">
      <c r="A1939" s="228">
        <v>40512</v>
      </c>
      <c r="B1939" s="205" t="s">
        <v>1604</v>
      </c>
      <c r="C1939" s="205" t="s">
        <v>5398</v>
      </c>
      <c r="D1939" s="207" t="s">
        <v>1201</v>
      </c>
      <c r="E1939" s="323" t="s">
        <v>3782</v>
      </c>
      <c r="F1939" s="323"/>
      <c r="G1939" s="204"/>
      <c r="H1939" s="151"/>
      <c r="I1939" s="151"/>
      <c r="J1939" s="151">
        <f>107*4</f>
        <v>428</v>
      </c>
      <c r="K1939" s="151">
        <v>107</v>
      </c>
      <c r="L1939" s="1"/>
      <c r="M1939" s="73">
        <f t="shared" si="243"/>
        <v>0</v>
      </c>
      <c r="N1939" s="73">
        <f t="shared" si="248"/>
        <v>0</v>
      </c>
      <c r="O1939" s="73">
        <f t="shared" si="242"/>
        <v>0</v>
      </c>
      <c r="P1939" s="73">
        <f t="shared" si="244"/>
        <v>0</v>
      </c>
      <c r="Q1939" s="73"/>
      <c r="R1939" s="73">
        <v>0</v>
      </c>
      <c r="S1939" s="75">
        <f t="shared" si="247"/>
        <v>0</v>
      </c>
      <c r="T1939" s="77">
        <v>0</v>
      </c>
      <c r="U1939" s="66">
        <v>40512</v>
      </c>
      <c r="V1939" s="79"/>
      <c r="W1939" s="66" t="s">
        <v>1585</v>
      </c>
      <c r="X1939" s="24" t="s">
        <v>1586</v>
      </c>
      <c r="Y1939" s="62"/>
      <c r="Z1939" s="169" t="s">
        <v>894</v>
      </c>
      <c r="AA1939" s="166" t="s">
        <v>858</v>
      </c>
      <c r="AB1939" s="152"/>
      <c r="AC1939" s="153"/>
      <c r="AD1939" s="154"/>
      <c r="AE1939" s="153"/>
      <c r="AF1939" s="153"/>
      <c r="AG1939" s="153"/>
      <c r="AH1939" s="153"/>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c r="BF1939" s="153"/>
      <c r="BG1939" s="153"/>
      <c r="BH1939" s="153"/>
      <c r="BI1939" s="153"/>
      <c r="BJ1939" s="153"/>
      <c r="BK1939" s="153"/>
      <c r="BL1939" s="153"/>
      <c r="BM1939" s="153"/>
      <c r="BN1939" s="153"/>
      <c r="BO1939" s="153"/>
      <c r="BP1939" s="153"/>
      <c r="BQ1939" s="153"/>
      <c r="BR1939" s="153"/>
      <c r="BS1939" s="153"/>
      <c r="BT1939" s="153"/>
      <c r="BU1939" s="153"/>
      <c r="BV1939" s="153"/>
      <c r="BW1939" s="153"/>
      <c r="BX1939" s="153"/>
      <c r="BY1939" s="153"/>
      <c r="BZ1939" s="153"/>
      <c r="CA1939" s="153"/>
      <c r="CB1939" s="153"/>
      <c r="CC1939" s="153"/>
      <c r="CD1939" s="155"/>
      <c r="CE1939" s="156"/>
      <c r="CF1939" s="155"/>
      <c r="CG1939" s="156"/>
      <c r="CH1939" s="155"/>
      <c r="CI1939" s="156"/>
      <c r="CJ1939" s="157">
        <f t="shared" si="245"/>
        <v>0</v>
      </c>
      <c r="CK1939" s="158"/>
      <c r="CL1939" s="159"/>
      <c r="CM1939" s="160"/>
      <c r="CN1939" s="161"/>
      <c r="CO1939" s="162"/>
      <c r="CP1939" s="161"/>
      <c r="CQ1939" s="158"/>
      <c r="CR1939" s="159"/>
      <c r="CS1939" s="68"/>
      <c r="CT1939" s="163"/>
      <c r="EC1939" s="366" t="str">
        <f t="shared" si="246"/>
        <v>CUNDINAMARCA_VILLA DE SAN DIEGO DE UBATE</v>
      </c>
      <c r="ED1939" s="367"/>
      <c r="EE1939" s="367"/>
      <c r="EF1939" s="368"/>
      <c r="EG1939" s="367"/>
      <c r="EH1939" s="367"/>
      <c r="EI1939" s="367"/>
    </row>
    <row r="1940" spans="1:139" s="164" customFormat="1" ht="25.5">
      <c r="A1940" s="228">
        <v>40512</v>
      </c>
      <c r="B1940" s="205" t="s">
        <v>962</v>
      </c>
      <c r="C1940" s="205" t="s">
        <v>561</v>
      </c>
      <c r="D1940" s="207" t="s">
        <v>1201</v>
      </c>
      <c r="E1940" s="323" t="s">
        <v>3855</v>
      </c>
      <c r="F1940" s="323"/>
      <c r="G1940" s="204"/>
      <c r="H1940" s="151"/>
      <c r="I1940" s="151"/>
      <c r="J1940" s="151">
        <v>130</v>
      </c>
      <c r="K1940" s="151">
        <v>26</v>
      </c>
      <c r="L1940" s="1"/>
      <c r="M1940" s="73">
        <f t="shared" si="243"/>
        <v>0</v>
      </c>
      <c r="N1940" s="73">
        <f t="shared" si="248"/>
        <v>0</v>
      </c>
      <c r="O1940" s="73">
        <f t="shared" si="242"/>
        <v>0</v>
      </c>
      <c r="P1940" s="73">
        <f t="shared" si="244"/>
        <v>0</v>
      </c>
      <c r="Q1940" s="73"/>
      <c r="R1940" s="73">
        <v>0</v>
      </c>
      <c r="S1940" s="75">
        <f t="shared" si="247"/>
        <v>0</v>
      </c>
      <c r="T1940" s="77">
        <v>0</v>
      </c>
      <c r="U1940" s="66">
        <v>40581</v>
      </c>
      <c r="V1940" s="79"/>
      <c r="W1940" s="66" t="s">
        <v>1585</v>
      </c>
      <c r="X1940" s="24" t="s">
        <v>1586</v>
      </c>
      <c r="Y1940" s="62"/>
      <c r="Z1940" s="169" t="s">
        <v>894</v>
      </c>
      <c r="AA1940" s="166" t="s">
        <v>54</v>
      </c>
      <c r="AB1940" s="152"/>
      <c r="AC1940" s="153"/>
      <c r="AD1940" s="154"/>
      <c r="AE1940" s="153"/>
      <c r="AF1940" s="153"/>
      <c r="AG1940" s="153"/>
      <c r="AH1940" s="153"/>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c r="BF1940" s="153"/>
      <c r="BG1940" s="153"/>
      <c r="BH1940" s="153"/>
      <c r="BI1940" s="153"/>
      <c r="BJ1940" s="153"/>
      <c r="BK1940" s="153"/>
      <c r="BL1940" s="153"/>
      <c r="BM1940" s="153"/>
      <c r="BN1940" s="153"/>
      <c r="BO1940" s="153"/>
      <c r="BP1940" s="153"/>
      <c r="BQ1940" s="153"/>
      <c r="BR1940" s="153"/>
      <c r="BS1940" s="153"/>
      <c r="BT1940" s="153"/>
      <c r="BU1940" s="153"/>
      <c r="BV1940" s="153"/>
      <c r="BW1940" s="153"/>
      <c r="BX1940" s="153"/>
      <c r="BY1940" s="153"/>
      <c r="BZ1940" s="153"/>
      <c r="CA1940" s="153"/>
      <c r="CB1940" s="153"/>
      <c r="CC1940" s="153"/>
      <c r="CD1940" s="155"/>
      <c r="CE1940" s="156"/>
      <c r="CF1940" s="155"/>
      <c r="CG1940" s="156"/>
      <c r="CH1940" s="155"/>
      <c r="CI1940" s="156"/>
      <c r="CJ1940" s="157">
        <f t="shared" si="245"/>
        <v>0</v>
      </c>
      <c r="CK1940" s="158"/>
      <c r="CL1940" s="159"/>
      <c r="CM1940" s="160"/>
      <c r="CN1940" s="161"/>
      <c r="CO1940" s="162"/>
      <c r="CP1940" s="161"/>
      <c r="CQ1940" s="158"/>
      <c r="CR1940" s="159"/>
      <c r="CS1940" s="68"/>
      <c r="CT1940" s="163"/>
      <c r="EC1940" s="366" t="str">
        <f t="shared" si="246"/>
        <v>HUILA_TELLO</v>
      </c>
      <c r="ED1940" s="367"/>
      <c r="EE1940" s="367"/>
      <c r="EF1940" s="368"/>
      <c r="EG1940" s="367"/>
      <c r="EH1940" s="367"/>
      <c r="EI1940" s="367"/>
    </row>
    <row r="1941" spans="1:139" s="164" customFormat="1" ht="38.25">
      <c r="A1941" s="228">
        <v>40512</v>
      </c>
      <c r="B1941" s="102" t="s">
        <v>4321</v>
      </c>
      <c r="C1941" s="205" t="s">
        <v>296</v>
      </c>
      <c r="D1941" s="207" t="s">
        <v>1201</v>
      </c>
      <c r="E1941" s="323" t="s">
        <v>3861</v>
      </c>
      <c r="F1941" s="323"/>
      <c r="G1941" s="204"/>
      <c r="H1941" s="151"/>
      <c r="I1941" s="151"/>
      <c r="J1941" s="151">
        <f>27*5</f>
        <v>135</v>
      </c>
      <c r="K1941" s="151">
        <f>227-95-105</f>
        <v>27</v>
      </c>
      <c r="L1941" s="1"/>
      <c r="M1941" s="73">
        <f t="shared" si="243"/>
        <v>0</v>
      </c>
      <c r="N1941" s="73">
        <f t="shared" si="248"/>
        <v>0</v>
      </c>
      <c r="O1941" s="73">
        <f t="shared" si="242"/>
        <v>0</v>
      </c>
      <c r="P1941" s="73">
        <f t="shared" si="244"/>
        <v>0</v>
      </c>
      <c r="Q1941" s="73"/>
      <c r="R1941" s="73">
        <v>0</v>
      </c>
      <c r="S1941" s="75">
        <f t="shared" si="247"/>
        <v>0</v>
      </c>
      <c r="T1941" s="77">
        <v>0</v>
      </c>
      <c r="U1941" s="66">
        <v>40562</v>
      </c>
      <c r="V1941" s="79">
        <v>3905</v>
      </c>
      <c r="W1941" s="66" t="s">
        <v>1585</v>
      </c>
      <c r="X1941" s="24" t="s">
        <v>1586</v>
      </c>
      <c r="Y1941" s="62"/>
      <c r="Z1941" s="169" t="s">
        <v>30</v>
      </c>
      <c r="AA1941" s="166" t="s">
        <v>902</v>
      </c>
      <c r="AB1941" s="152"/>
      <c r="AC1941" s="153"/>
      <c r="AD1941" s="154"/>
      <c r="AE1941" s="153"/>
      <c r="AF1941" s="153"/>
      <c r="AG1941" s="153"/>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c r="BF1941" s="153"/>
      <c r="BG1941" s="153"/>
      <c r="BH1941" s="153"/>
      <c r="BI1941" s="153"/>
      <c r="BJ1941" s="153"/>
      <c r="BK1941" s="153"/>
      <c r="BL1941" s="153"/>
      <c r="BM1941" s="153"/>
      <c r="BN1941" s="153"/>
      <c r="BO1941" s="153"/>
      <c r="BP1941" s="153"/>
      <c r="BQ1941" s="153"/>
      <c r="BR1941" s="153"/>
      <c r="BS1941" s="153"/>
      <c r="BT1941" s="153"/>
      <c r="BU1941" s="153"/>
      <c r="BV1941" s="153"/>
      <c r="BW1941" s="153"/>
      <c r="BX1941" s="153"/>
      <c r="BY1941" s="153"/>
      <c r="BZ1941" s="153"/>
      <c r="CA1941" s="153"/>
      <c r="CB1941" s="153"/>
      <c r="CC1941" s="153"/>
      <c r="CD1941" s="155"/>
      <c r="CE1941" s="156"/>
      <c r="CF1941" s="155"/>
      <c r="CG1941" s="156"/>
      <c r="CH1941" s="155"/>
      <c r="CI1941" s="156"/>
      <c r="CJ1941" s="157">
        <f t="shared" si="245"/>
        <v>0</v>
      </c>
      <c r="CK1941" s="158"/>
      <c r="CL1941" s="159"/>
      <c r="CM1941" s="160"/>
      <c r="CN1941" s="161"/>
      <c r="CO1941" s="162"/>
      <c r="CP1941" s="161"/>
      <c r="CQ1941" s="158"/>
      <c r="CR1941" s="159"/>
      <c r="CS1941" s="68"/>
      <c r="CT1941" s="163">
        <v>1543</v>
      </c>
      <c r="EC1941" s="366" t="str">
        <f t="shared" si="246"/>
        <v>LA GUAJIRA_ALBANIA</v>
      </c>
      <c r="ED1941" s="367"/>
      <c r="EE1941" s="367"/>
      <c r="EF1941" s="368"/>
      <c r="EG1941" s="367"/>
      <c r="EH1941" s="367"/>
      <c r="EI1941" s="367"/>
    </row>
    <row r="1942" spans="1:139" s="164" customFormat="1" ht="25.5">
      <c r="A1942" s="228">
        <v>40512</v>
      </c>
      <c r="B1942" s="205" t="s">
        <v>1824</v>
      </c>
      <c r="C1942" s="205" t="s">
        <v>260</v>
      </c>
      <c r="D1942" s="207" t="s">
        <v>1878</v>
      </c>
      <c r="E1942" s="323" t="s">
        <v>3949</v>
      </c>
      <c r="F1942" s="323"/>
      <c r="G1942" s="204"/>
      <c r="H1942" s="151"/>
      <c r="I1942" s="151"/>
      <c r="J1942" s="151">
        <v>765</v>
      </c>
      <c r="K1942" s="151">
        <v>195</v>
      </c>
      <c r="L1942" s="1"/>
      <c r="M1942" s="73">
        <f t="shared" si="243"/>
        <v>0</v>
      </c>
      <c r="N1942" s="73">
        <f t="shared" si="248"/>
        <v>0</v>
      </c>
      <c r="O1942" s="73">
        <f t="shared" si="242"/>
        <v>0</v>
      </c>
      <c r="P1942" s="73">
        <f t="shared" si="244"/>
        <v>0</v>
      </c>
      <c r="Q1942" s="73"/>
      <c r="R1942" s="73">
        <v>0</v>
      </c>
      <c r="S1942" s="75">
        <f t="shared" si="247"/>
        <v>0</v>
      </c>
      <c r="T1942" s="77">
        <v>0</v>
      </c>
      <c r="U1942" s="66">
        <v>40512</v>
      </c>
      <c r="V1942" s="79"/>
      <c r="W1942" s="66" t="s">
        <v>1585</v>
      </c>
      <c r="X1942" s="24" t="s">
        <v>1586</v>
      </c>
      <c r="Y1942" s="62"/>
      <c r="Z1942" s="169" t="s">
        <v>894</v>
      </c>
      <c r="AA1942" s="166" t="s">
        <v>261</v>
      </c>
      <c r="AB1942" s="152"/>
      <c r="AC1942" s="153"/>
      <c r="AD1942" s="154"/>
      <c r="AE1942" s="153"/>
      <c r="AF1942" s="153"/>
      <c r="AG1942" s="153"/>
      <c r="AH1942" s="153"/>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c r="BF1942" s="153"/>
      <c r="BG1942" s="153"/>
      <c r="BH1942" s="153"/>
      <c r="BI1942" s="153"/>
      <c r="BJ1942" s="153"/>
      <c r="BK1942" s="153"/>
      <c r="BL1942" s="153"/>
      <c r="BM1942" s="153"/>
      <c r="BN1942" s="153"/>
      <c r="BO1942" s="153"/>
      <c r="BP1942" s="153"/>
      <c r="BQ1942" s="153"/>
      <c r="BR1942" s="153"/>
      <c r="BS1942" s="153"/>
      <c r="BT1942" s="153"/>
      <c r="BU1942" s="153"/>
      <c r="BV1942" s="153"/>
      <c r="BW1942" s="153"/>
      <c r="BX1942" s="153"/>
      <c r="BY1942" s="153"/>
      <c r="BZ1942" s="153"/>
      <c r="CA1942" s="153"/>
      <c r="CB1942" s="153"/>
      <c r="CC1942" s="153"/>
      <c r="CD1942" s="155"/>
      <c r="CE1942" s="156"/>
      <c r="CF1942" s="155"/>
      <c r="CG1942" s="156"/>
      <c r="CH1942" s="155"/>
      <c r="CI1942" s="156"/>
      <c r="CJ1942" s="157">
        <f t="shared" si="245"/>
        <v>0</v>
      </c>
      <c r="CK1942" s="158"/>
      <c r="CL1942" s="159"/>
      <c r="CM1942" s="160"/>
      <c r="CN1942" s="161"/>
      <c r="CO1942" s="162"/>
      <c r="CP1942" s="161"/>
      <c r="CQ1942" s="158"/>
      <c r="CR1942" s="159"/>
      <c r="CS1942" s="68"/>
      <c r="CT1942" s="163"/>
      <c r="EC1942" s="366" t="str">
        <f t="shared" si="246"/>
        <v>NARIÑO_CHACHAGUI</v>
      </c>
      <c r="ED1942" s="367"/>
      <c r="EE1942" s="367"/>
      <c r="EF1942" s="368"/>
      <c r="EG1942" s="367"/>
      <c r="EH1942" s="367"/>
      <c r="EI1942" s="367"/>
    </row>
    <row r="1943" spans="1:139" s="164" customFormat="1" ht="36">
      <c r="A1943" s="228">
        <v>40512</v>
      </c>
      <c r="B1943" s="205" t="s">
        <v>1824</v>
      </c>
      <c r="C1943" s="205" t="s">
        <v>331</v>
      </c>
      <c r="D1943" s="207" t="s">
        <v>1878</v>
      </c>
      <c r="E1943" s="323" t="s">
        <v>3954</v>
      </c>
      <c r="F1943" s="323"/>
      <c r="G1943" s="204"/>
      <c r="H1943" s="151"/>
      <c r="I1943" s="151"/>
      <c r="J1943" s="151">
        <v>339</v>
      </c>
      <c r="K1943" s="151">
        <v>89</v>
      </c>
      <c r="L1943" s="1"/>
      <c r="M1943" s="73">
        <f t="shared" si="243"/>
        <v>0</v>
      </c>
      <c r="N1943" s="73">
        <f t="shared" si="248"/>
        <v>0</v>
      </c>
      <c r="O1943" s="73">
        <f t="shared" si="242"/>
        <v>0</v>
      </c>
      <c r="P1943" s="73">
        <f t="shared" si="244"/>
        <v>0</v>
      </c>
      <c r="Q1943" s="73"/>
      <c r="R1943" s="73">
        <v>0</v>
      </c>
      <c r="S1943" s="75">
        <f t="shared" si="247"/>
        <v>0</v>
      </c>
      <c r="T1943" s="77">
        <v>0</v>
      </c>
      <c r="U1943" s="66">
        <v>40512</v>
      </c>
      <c r="V1943" s="79"/>
      <c r="W1943" s="66" t="s">
        <v>1585</v>
      </c>
      <c r="X1943" s="24" t="s">
        <v>1586</v>
      </c>
      <c r="Y1943" s="62"/>
      <c r="Z1943" s="169" t="s">
        <v>894</v>
      </c>
      <c r="AA1943" s="166" t="s">
        <v>262</v>
      </c>
      <c r="AB1943" s="152"/>
      <c r="AC1943" s="153"/>
      <c r="AD1943" s="154"/>
      <c r="AE1943" s="153"/>
      <c r="AF1943" s="153"/>
      <c r="AG1943" s="153"/>
      <c r="AH1943" s="153"/>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c r="BF1943" s="153"/>
      <c r="BG1943" s="153"/>
      <c r="BH1943" s="153"/>
      <c r="BI1943" s="153"/>
      <c r="BJ1943" s="153"/>
      <c r="BK1943" s="153"/>
      <c r="BL1943" s="153"/>
      <c r="BM1943" s="153"/>
      <c r="BN1943" s="153"/>
      <c r="BO1943" s="153"/>
      <c r="BP1943" s="153"/>
      <c r="BQ1943" s="153"/>
      <c r="BR1943" s="153"/>
      <c r="BS1943" s="153"/>
      <c r="BT1943" s="153"/>
      <c r="BU1943" s="153"/>
      <c r="BV1943" s="153"/>
      <c r="BW1943" s="153"/>
      <c r="BX1943" s="153"/>
      <c r="BY1943" s="153"/>
      <c r="BZ1943" s="153"/>
      <c r="CA1943" s="153"/>
      <c r="CB1943" s="153"/>
      <c r="CC1943" s="153"/>
      <c r="CD1943" s="155"/>
      <c r="CE1943" s="156"/>
      <c r="CF1943" s="155"/>
      <c r="CG1943" s="156"/>
      <c r="CH1943" s="155"/>
      <c r="CI1943" s="156"/>
      <c r="CJ1943" s="157">
        <f t="shared" si="245"/>
        <v>0</v>
      </c>
      <c r="CK1943" s="158"/>
      <c r="CL1943" s="159"/>
      <c r="CM1943" s="160"/>
      <c r="CN1943" s="161"/>
      <c r="CO1943" s="162"/>
      <c r="CP1943" s="161"/>
      <c r="CQ1943" s="158"/>
      <c r="CR1943" s="159"/>
      <c r="CS1943" s="68"/>
      <c r="CT1943" s="163"/>
      <c r="EC1943" s="366" t="str">
        <f t="shared" si="246"/>
        <v>NARIÑO_EL TAMBO</v>
      </c>
      <c r="ED1943" s="367"/>
      <c r="EE1943" s="367"/>
      <c r="EF1943" s="368"/>
      <c r="EG1943" s="367"/>
      <c r="EH1943" s="367"/>
      <c r="EI1943" s="367"/>
    </row>
    <row r="1944" spans="1:139" s="164" customFormat="1" ht="38.25">
      <c r="A1944" s="228">
        <v>40512</v>
      </c>
      <c r="B1944" s="205" t="s">
        <v>965</v>
      </c>
      <c r="C1944" s="205" t="s">
        <v>1327</v>
      </c>
      <c r="D1944" s="207" t="s">
        <v>1201</v>
      </c>
      <c r="E1944" s="323" t="s">
        <v>3998</v>
      </c>
      <c r="F1944" s="323"/>
      <c r="G1944" s="204"/>
      <c r="H1944" s="151"/>
      <c r="I1944" s="151"/>
      <c r="J1944" s="151">
        <v>20</v>
      </c>
      <c r="K1944" s="151">
        <v>4</v>
      </c>
      <c r="L1944" s="1"/>
      <c r="M1944" s="73">
        <f t="shared" si="243"/>
        <v>0</v>
      </c>
      <c r="N1944" s="73">
        <f t="shared" si="248"/>
        <v>0</v>
      </c>
      <c r="O1944" s="73">
        <f t="shared" si="242"/>
        <v>0</v>
      </c>
      <c r="P1944" s="73">
        <f t="shared" si="244"/>
        <v>0</v>
      </c>
      <c r="Q1944" s="73"/>
      <c r="R1944" s="73">
        <v>0</v>
      </c>
      <c r="S1944" s="75">
        <f t="shared" si="247"/>
        <v>0</v>
      </c>
      <c r="T1944" s="77">
        <v>0</v>
      </c>
      <c r="U1944" s="66">
        <v>40513</v>
      </c>
      <c r="V1944" s="79"/>
      <c r="W1944" s="66" t="s">
        <v>1585</v>
      </c>
      <c r="X1944" s="24" t="s">
        <v>1586</v>
      </c>
      <c r="Y1944" s="62"/>
      <c r="Z1944" s="169" t="s">
        <v>894</v>
      </c>
      <c r="AA1944" s="166" t="s">
        <v>855</v>
      </c>
      <c r="AB1944" s="152"/>
      <c r="AC1944" s="153"/>
      <c r="AD1944" s="154"/>
      <c r="AE1944" s="153"/>
      <c r="AF1944" s="153"/>
      <c r="AG1944" s="153"/>
      <c r="AH1944" s="153"/>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c r="BF1944" s="153"/>
      <c r="BG1944" s="153"/>
      <c r="BH1944" s="153"/>
      <c r="BI1944" s="153"/>
      <c r="BJ1944" s="153"/>
      <c r="BK1944" s="153"/>
      <c r="BL1944" s="153"/>
      <c r="BM1944" s="153"/>
      <c r="BN1944" s="153"/>
      <c r="BO1944" s="153"/>
      <c r="BP1944" s="153"/>
      <c r="BQ1944" s="153"/>
      <c r="BR1944" s="153"/>
      <c r="BS1944" s="153"/>
      <c r="BT1944" s="153"/>
      <c r="BU1944" s="153"/>
      <c r="BV1944" s="153"/>
      <c r="BW1944" s="153"/>
      <c r="BX1944" s="153"/>
      <c r="BY1944" s="153"/>
      <c r="BZ1944" s="153"/>
      <c r="CA1944" s="153"/>
      <c r="CB1944" s="153"/>
      <c r="CC1944" s="153"/>
      <c r="CD1944" s="155"/>
      <c r="CE1944" s="156"/>
      <c r="CF1944" s="155"/>
      <c r="CG1944" s="156"/>
      <c r="CH1944" s="155"/>
      <c r="CI1944" s="156"/>
      <c r="CJ1944" s="157">
        <f t="shared" si="245"/>
        <v>0</v>
      </c>
      <c r="CK1944" s="158"/>
      <c r="CL1944" s="159"/>
      <c r="CM1944" s="160"/>
      <c r="CN1944" s="161"/>
      <c r="CO1944" s="162"/>
      <c r="CP1944" s="161"/>
      <c r="CQ1944" s="158"/>
      <c r="CR1944" s="159"/>
      <c r="CS1944" s="68"/>
      <c r="CT1944" s="163"/>
      <c r="EC1944" s="366" t="str">
        <f t="shared" si="246"/>
        <v>NORTE DE SANTANDER_CUCUTA</v>
      </c>
      <c r="ED1944" s="367"/>
      <c r="EE1944" s="367"/>
      <c r="EF1944" s="368"/>
      <c r="EG1944" s="367"/>
      <c r="EH1944" s="367"/>
      <c r="EI1944" s="367"/>
    </row>
    <row r="1945" spans="1:139" s="164" customFormat="1" ht="63.75">
      <c r="A1945" s="228">
        <v>40512</v>
      </c>
      <c r="B1945" s="205" t="s">
        <v>965</v>
      </c>
      <c r="C1945" s="205" t="s">
        <v>828</v>
      </c>
      <c r="D1945" s="207" t="s">
        <v>1201</v>
      </c>
      <c r="E1945" s="323" t="s">
        <v>4025</v>
      </c>
      <c r="F1945" s="323"/>
      <c r="G1945" s="204"/>
      <c r="H1945" s="151"/>
      <c r="I1945" s="151"/>
      <c r="J1945" s="151">
        <f>6411-75-200</f>
        <v>6136</v>
      </c>
      <c r="K1945" s="151">
        <f>1500-55</f>
        <v>1445</v>
      </c>
      <c r="L1945" s="1"/>
      <c r="M1945" s="73">
        <f t="shared" si="243"/>
        <v>0</v>
      </c>
      <c r="N1945" s="73">
        <f t="shared" si="248"/>
        <v>0</v>
      </c>
      <c r="O1945" s="73">
        <f t="shared" si="242"/>
        <v>0</v>
      </c>
      <c r="P1945" s="73">
        <f t="shared" si="244"/>
        <v>0</v>
      </c>
      <c r="Q1945" s="73"/>
      <c r="R1945" s="73">
        <v>0</v>
      </c>
      <c r="S1945" s="75">
        <f t="shared" si="247"/>
        <v>0</v>
      </c>
      <c r="T1945" s="77">
        <v>0</v>
      </c>
      <c r="U1945" s="66">
        <v>40513</v>
      </c>
      <c r="V1945" s="79"/>
      <c r="W1945" s="66" t="s">
        <v>1585</v>
      </c>
      <c r="X1945" s="24" t="s">
        <v>1586</v>
      </c>
      <c r="Y1945" s="62"/>
      <c r="Z1945" s="169" t="s">
        <v>894</v>
      </c>
      <c r="AA1945" s="166" t="s">
        <v>285</v>
      </c>
      <c r="AB1945" s="152"/>
      <c r="AC1945" s="153"/>
      <c r="AD1945" s="154"/>
      <c r="AE1945" s="153"/>
      <c r="AF1945" s="153"/>
      <c r="AG1945" s="153"/>
      <c r="AH1945" s="153"/>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c r="BF1945" s="153"/>
      <c r="BG1945" s="153"/>
      <c r="BH1945" s="153"/>
      <c r="BI1945" s="153"/>
      <c r="BJ1945" s="153"/>
      <c r="BK1945" s="153"/>
      <c r="BL1945" s="153"/>
      <c r="BM1945" s="153"/>
      <c r="BN1945" s="153"/>
      <c r="BO1945" s="153"/>
      <c r="BP1945" s="153"/>
      <c r="BQ1945" s="153"/>
      <c r="BR1945" s="153"/>
      <c r="BS1945" s="153"/>
      <c r="BT1945" s="153"/>
      <c r="BU1945" s="153"/>
      <c r="BV1945" s="153"/>
      <c r="BW1945" s="153"/>
      <c r="BX1945" s="153"/>
      <c r="BY1945" s="153"/>
      <c r="BZ1945" s="153"/>
      <c r="CA1945" s="153"/>
      <c r="CB1945" s="153"/>
      <c r="CC1945" s="153"/>
      <c r="CD1945" s="155"/>
      <c r="CE1945" s="156"/>
      <c r="CF1945" s="155"/>
      <c r="CG1945" s="156"/>
      <c r="CH1945" s="155"/>
      <c r="CI1945" s="156"/>
      <c r="CJ1945" s="157">
        <f t="shared" si="245"/>
        <v>0</v>
      </c>
      <c r="CK1945" s="158"/>
      <c r="CL1945" s="159"/>
      <c r="CM1945" s="160"/>
      <c r="CN1945" s="161"/>
      <c r="CO1945" s="162"/>
      <c r="CP1945" s="161"/>
      <c r="CQ1945" s="158"/>
      <c r="CR1945" s="159"/>
      <c r="CS1945" s="68"/>
      <c r="CT1945" s="163"/>
      <c r="EC1945" s="366" t="str">
        <f t="shared" si="246"/>
        <v>NORTE DE SANTANDER_PUERTO SANTANDER</v>
      </c>
      <c r="ED1945" s="367"/>
      <c r="EE1945" s="367"/>
      <c r="EF1945" s="368"/>
      <c r="EG1945" s="367"/>
      <c r="EH1945" s="367"/>
      <c r="EI1945" s="367"/>
    </row>
    <row r="1946" spans="1:139" s="164" customFormat="1" ht="84">
      <c r="A1946" s="228">
        <v>40512</v>
      </c>
      <c r="B1946" s="205" t="s">
        <v>965</v>
      </c>
      <c r="C1946" s="205" t="s">
        <v>2077</v>
      </c>
      <c r="D1946" s="207" t="s">
        <v>1201</v>
      </c>
      <c r="E1946" s="323" t="s">
        <v>4034</v>
      </c>
      <c r="F1946" s="323"/>
      <c r="G1946" s="204"/>
      <c r="H1946" s="151"/>
      <c r="I1946" s="151"/>
      <c r="J1946" s="151">
        <f>11283-1250</f>
        <v>10033</v>
      </c>
      <c r="K1946" s="151">
        <f>2361-250</f>
        <v>2111</v>
      </c>
      <c r="L1946" s="1"/>
      <c r="M1946" s="73">
        <f t="shared" si="243"/>
        <v>0</v>
      </c>
      <c r="N1946" s="73">
        <f t="shared" si="248"/>
        <v>0</v>
      </c>
      <c r="O1946" s="73">
        <f t="shared" si="242"/>
        <v>0</v>
      </c>
      <c r="P1946" s="73">
        <f t="shared" si="244"/>
        <v>0</v>
      </c>
      <c r="Q1946" s="73"/>
      <c r="R1946" s="73">
        <v>0</v>
      </c>
      <c r="S1946" s="75">
        <f t="shared" si="247"/>
        <v>0</v>
      </c>
      <c r="T1946" s="77">
        <v>0</v>
      </c>
      <c r="U1946" s="66">
        <v>40513</v>
      </c>
      <c r="V1946" s="79"/>
      <c r="W1946" s="66" t="s">
        <v>1585</v>
      </c>
      <c r="X1946" s="24" t="s">
        <v>1586</v>
      </c>
      <c r="Y1946" s="62"/>
      <c r="Z1946" s="169" t="s">
        <v>894</v>
      </c>
      <c r="AA1946" s="166" t="s">
        <v>802</v>
      </c>
      <c r="AB1946" s="152"/>
      <c r="AC1946" s="153"/>
      <c r="AD1946" s="154"/>
      <c r="AE1946" s="153"/>
      <c r="AF1946" s="153"/>
      <c r="AG1946" s="153"/>
      <c r="AH1946" s="153"/>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c r="BF1946" s="153"/>
      <c r="BG1946" s="153"/>
      <c r="BH1946" s="153"/>
      <c r="BI1946" s="153"/>
      <c r="BJ1946" s="153"/>
      <c r="BK1946" s="153"/>
      <c r="BL1946" s="153"/>
      <c r="BM1946" s="153"/>
      <c r="BN1946" s="153"/>
      <c r="BO1946" s="153"/>
      <c r="BP1946" s="153"/>
      <c r="BQ1946" s="153"/>
      <c r="BR1946" s="153"/>
      <c r="BS1946" s="153"/>
      <c r="BT1946" s="153"/>
      <c r="BU1946" s="153"/>
      <c r="BV1946" s="153"/>
      <c r="BW1946" s="153"/>
      <c r="BX1946" s="153"/>
      <c r="BY1946" s="153"/>
      <c r="BZ1946" s="153"/>
      <c r="CA1946" s="153"/>
      <c r="CB1946" s="153"/>
      <c r="CC1946" s="153"/>
      <c r="CD1946" s="155"/>
      <c r="CE1946" s="156"/>
      <c r="CF1946" s="155"/>
      <c r="CG1946" s="156"/>
      <c r="CH1946" s="155"/>
      <c r="CI1946" s="156"/>
      <c r="CJ1946" s="157">
        <f t="shared" si="245"/>
        <v>0</v>
      </c>
      <c r="CK1946" s="158"/>
      <c r="CL1946" s="159"/>
      <c r="CM1946" s="160"/>
      <c r="CN1946" s="161"/>
      <c r="CO1946" s="162"/>
      <c r="CP1946" s="161"/>
      <c r="CQ1946" s="158"/>
      <c r="CR1946" s="159"/>
      <c r="CS1946" s="68"/>
      <c r="CT1946" s="163"/>
      <c r="EC1946" s="366" t="str">
        <f t="shared" si="246"/>
        <v>NORTE DE SANTANDER_TIBU</v>
      </c>
      <c r="ED1946" s="367"/>
      <c r="EE1946" s="367"/>
      <c r="EF1946" s="368"/>
      <c r="EG1946" s="367"/>
      <c r="EH1946" s="367"/>
      <c r="EI1946" s="367"/>
    </row>
    <row r="1947" spans="1:139" s="164" customFormat="1" ht="25.5">
      <c r="A1947" s="228">
        <v>40512</v>
      </c>
      <c r="B1947" s="205" t="s">
        <v>2400</v>
      </c>
      <c r="C1947" s="205" t="s">
        <v>1545</v>
      </c>
      <c r="D1947" s="207" t="s">
        <v>1201</v>
      </c>
      <c r="E1947" s="323" t="s">
        <v>4177</v>
      </c>
      <c r="F1947" s="323"/>
      <c r="G1947" s="204"/>
      <c r="H1947" s="151"/>
      <c r="I1947" s="151"/>
      <c r="J1947" s="151">
        <v>15</v>
      </c>
      <c r="K1947" s="151">
        <v>3</v>
      </c>
      <c r="L1947" s="1"/>
      <c r="M1947" s="73">
        <f t="shared" si="243"/>
        <v>0</v>
      </c>
      <c r="N1947" s="73">
        <f t="shared" si="248"/>
        <v>0</v>
      </c>
      <c r="O1947" s="73">
        <f t="shared" si="242"/>
        <v>0</v>
      </c>
      <c r="P1947" s="73">
        <f t="shared" si="244"/>
        <v>0</v>
      </c>
      <c r="Q1947" s="73"/>
      <c r="R1947" s="73">
        <v>0</v>
      </c>
      <c r="S1947" s="75">
        <f t="shared" si="247"/>
        <v>0</v>
      </c>
      <c r="T1947" s="77">
        <v>0</v>
      </c>
      <c r="U1947" s="66">
        <v>40513</v>
      </c>
      <c r="V1947" s="79"/>
      <c r="W1947" s="66" t="s">
        <v>1585</v>
      </c>
      <c r="X1947" s="24" t="s">
        <v>1586</v>
      </c>
      <c r="Y1947" s="62"/>
      <c r="Z1947" s="169" t="s">
        <v>894</v>
      </c>
      <c r="AA1947" s="166" t="s">
        <v>856</v>
      </c>
      <c r="AB1947" s="152"/>
      <c r="AC1947" s="153"/>
      <c r="AD1947" s="154"/>
      <c r="AE1947" s="153"/>
      <c r="AF1947" s="153"/>
      <c r="AG1947" s="153"/>
      <c r="AH1947" s="153"/>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c r="BF1947" s="153"/>
      <c r="BG1947" s="153"/>
      <c r="BH1947" s="153"/>
      <c r="BI1947" s="153"/>
      <c r="BJ1947" s="153"/>
      <c r="BK1947" s="153"/>
      <c r="BL1947" s="153"/>
      <c r="BM1947" s="153"/>
      <c r="BN1947" s="153"/>
      <c r="BO1947" s="153"/>
      <c r="BP1947" s="153"/>
      <c r="BQ1947" s="153"/>
      <c r="BR1947" s="153"/>
      <c r="BS1947" s="153"/>
      <c r="BT1947" s="153"/>
      <c r="BU1947" s="153"/>
      <c r="BV1947" s="153"/>
      <c r="BW1947" s="153"/>
      <c r="BX1947" s="153"/>
      <c r="BY1947" s="153"/>
      <c r="BZ1947" s="153"/>
      <c r="CA1947" s="153"/>
      <c r="CB1947" s="153"/>
      <c r="CC1947" s="153"/>
      <c r="CD1947" s="155"/>
      <c r="CE1947" s="156"/>
      <c r="CF1947" s="155"/>
      <c r="CG1947" s="156"/>
      <c r="CH1947" s="155"/>
      <c r="CI1947" s="156"/>
      <c r="CJ1947" s="157">
        <f t="shared" si="245"/>
        <v>0</v>
      </c>
      <c r="CK1947" s="158"/>
      <c r="CL1947" s="159"/>
      <c r="CM1947" s="160"/>
      <c r="CN1947" s="161"/>
      <c r="CO1947" s="162"/>
      <c r="CP1947" s="161"/>
      <c r="CQ1947" s="158"/>
      <c r="CR1947" s="159"/>
      <c r="CS1947" s="68"/>
      <c r="CT1947" s="163"/>
      <c r="EC1947" s="366" t="str">
        <f t="shared" si="246"/>
        <v>TOLIMA_IBAGUE</v>
      </c>
      <c r="ED1947" s="367"/>
      <c r="EE1947" s="367"/>
      <c r="EF1947" s="368"/>
      <c r="EG1947" s="367"/>
      <c r="EH1947" s="367"/>
      <c r="EI1947" s="367"/>
    </row>
    <row r="1948" spans="1:139" s="164" customFormat="1" ht="72">
      <c r="A1948" s="228">
        <v>40512</v>
      </c>
      <c r="B1948" s="205" t="s">
        <v>1088</v>
      </c>
      <c r="C1948" s="205" t="s">
        <v>1089</v>
      </c>
      <c r="D1948" s="207" t="s">
        <v>1878</v>
      </c>
      <c r="E1948" s="323" t="s">
        <v>4249</v>
      </c>
      <c r="F1948" s="323"/>
      <c r="G1948" s="204"/>
      <c r="H1948" s="151"/>
      <c r="I1948" s="151"/>
      <c r="J1948" s="151">
        <f>717*5</f>
        <v>3585</v>
      </c>
      <c r="K1948" s="151">
        <v>717</v>
      </c>
      <c r="L1948" s="1">
        <v>40536</v>
      </c>
      <c r="M1948" s="73">
        <f t="shared" si="243"/>
        <v>0</v>
      </c>
      <c r="N1948" s="73">
        <f t="shared" si="248"/>
        <v>0</v>
      </c>
      <c r="O1948" s="73">
        <f t="shared" si="242"/>
        <v>0</v>
      </c>
      <c r="P1948" s="73">
        <f t="shared" si="244"/>
        <v>0</v>
      </c>
      <c r="Q1948" s="73"/>
      <c r="R1948" s="73">
        <v>100000000</v>
      </c>
      <c r="S1948" s="75">
        <f t="shared" si="247"/>
        <v>100000000</v>
      </c>
      <c r="T1948" s="77">
        <v>0</v>
      </c>
      <c r="U1948" s="228"/>
      <c r="V1948" s="79"/>
      <c r="W1948" s="66" t="s">
        <v>1606</v>
      </c>
      <c r="X1948" s="24" t="s">
        <v>1607</v>
      </c>
      <c r="Y1948" s="62">
        <v>525</v>
      </c>
      <c r="Z1948" s="169"/>
      <c r="AA1948" s="166" t="s">
        <v>3080</v>
      </c>
      <c r="AB1948" s="152"/>
      <c r="AC1948" s="153"/>
      <c r="AD1948" s="154"/>
      <c r="AE1948" s="153"/>
      <c r="AF1948" s="153"/>
      <c r="AG1948" s="153"/>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c r="BF1948" s="153"/>
      <c r="BG1948" s="153"/>
      <c r="BH1948" s="153"/>
      <c r="BI1948" s="153"/>
      <c r="BJ1948" s="153"/>
      <c r="BK1948" s="153"/>
      <c r="BL1948" s="153"/>
      <c r="BM1948" s="153"/>
      <c r="BN1948" s="153"/>
      <c r="BO1948" s="153"/>
      <c r="BP1948" s="153"/>
      <c r="BQ1948" s="153"/>
      <c r="BR1948" s="153"/>
      <c r="BS1948" s="153"/>
      <c r="BT1948" s="153"/>
      <c r="BU1948" s="153"/>
      <c r="BV1948" s="153"/>
      <c r="BW1948" s="153"/>
      <c r="BX1948" s="153"/>
      <c r="BY1948" s="153"/>
      <c r="BZ1948" s="153"/>
      <c r="CA1948" s="153"/>
      <c r="CB1948" s="153"/>
      <c r="CC1948" s="153"/>
      <c r="CD1948" s="155"/>
      <c r="CE1948" s="156"/>
      <c r="CF1948" s="155"/>
      <c r="CG1948" s="156"/>
      <c r="CH1948" s="155"/>
      <c r="CI1948" s="156"/>
      <c r="CJ1948" s="157">
        <f t="shared" si="245"/>
        <v>0</v>
      </c>
      <c r="CK1948" s="158"/>
      <c r="CL1948" s="159"/>
      <c r="CM1948" s="160"/>
      <c r="CN1948" s="161"/>
      <c r="CO1948" s="162"/>
      <c r="CP1948" s="161"/>
      <c r="CQ1948" s="158"/>
      <c r="CR1948" s="159"/>
      <c r="CS1948" s="68"/>
      <c r="CT1948" s="163"/>
      <c r="EC1948" s="366" t="str">
        <f t="shared" si="246"/>
        <v>VALLE DEL CAUCA_OBANDO</v>
      </c>
      <c r="ED1948" s="367"/>
      <c r="EE1948" s="367"/>
      <c r="EF1948" s="368"/>
      <c r="EG1948" s="367"/>
      <c r="EH1948" s="367"/>
      <c r="EI1948" s="367"/>
    </row>
    <row r="1949" spans="1:139" s="164" customFormat="1" ht="38.25">
      <c r="A1949" s="228">
        <v>40512.925694444442</v>
      </c>
      <c r="B1949" s="205" t="s">
        <v>2298</v>
      </c>
      <c r="C1949" s="205" t="s">
        <v>1610</v>
      </c>
      <c r="D1949" s="207" t="s">
        <v>1878</v>
      </c>
      <c r="E1949" s="323"/>
      <c r="F1949" s="323"/>
      <c r="G1949" s="204"/>
      <c r="H1949" s="151"/>
      <c r="I1949" s="151"/>
      <c r="J1949" s="151"/>
      <c r="K1949" s="409"/>
      <c r="L1949" s="1"/>
      <c r="M1949" s="73">
        <f t="shared" si="243"/>
        <v>0</v>
      </c>
      <c r="N1949" s="73">
        <f t="shared" si="248"/>
        <v>0</v>
      </c>
      <c r="O1949" s="73">
        <f t="shared" si="242"/>
        <v>0</v>
      </c>
      <c r="P1949" s="73">
        <f t="shared" si="244"/>
        <v>0</v>
      </c>
      <c r="Q1949" s="73"/>
      <c r="R1949" s="73">
        <v>0</v>
      </c>
      <c r="S1949" s="75">
        <f t="shared" si="247"/>
        <v>0</v>
      </c>
      <c r="T1949" s="77">
        <v>0</v>
      </c>
      <c r="U1949" s="296">
        <v>40624</v>
      </c>
      <c r="V1949" s="297"/>
      <c r="W1949" s="296" t="s">
        <v>1585</v>
      </c>
      <c r="X1949" s="298" t="s">
        <v>1586</v>
      </c>
      <c r="Y1949" s="299"/>
      <c r="Z1949" s="300" t="s">
        <v>894</v>
      </c>
      <c r="AA1949" s="414" t="s">
        <v>5435</v>
      </c>
      <c r="AB1949" s="152"/>
      <c r="AC1949" s="153"/>
      <c r="AD1949" s="154"/>
      <c r="AE1949" s="153"/>
      <c r="AF1949" s="153"/>
      <c r="AG1949" s="153"/>
      <c r="AH1949" s="153"/>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c r="BF1949" s="153"/>
      <c r="BG1949" s="153"/>
      <c r="BH1949" s="153"/>
      <c r="BI1949" s="153"/>
      <c r="BJ1949" s="153"/>
      <c r="BK1949" s="153"/>
      <c r="BL1949" s="153"/>
      <c r="BM1949" s="153"/>
      <c r="BN1949" s="153"/>
      <c r="BO1949" s="153"/>
      <c r="BP1949" s="153"/>
      <c r="BQ1949" s="153"/>
      <c r="BR1949" s="153"/>
      <c r="BS1949" s="153"/>
      <c r="BT1949" s="153"/>
      <c r="BU1949" s="153"/>
      <c r="BV1949" s="153"/>
      <c r="BW1949" s="153"/>
      <c r="BX1949" s="153"/>
      <c r="BY1949" s="153"/>
      <c r="BZ1949" s="153"/>
      <c r="CA1949" s="153"/>
      <c r="CB1949" s="153"/>
      <c r="CC1949" s="153"/>
      <c r="CD1949" s="155"/>
      <c r="CE1949" s="156"/>
      <c r="CF1949" s="155"/>
      <c r="CG1949" s="156"/>
      <c r="CH1949" s="155"/>
      <c r="CI1949" s="156"/>
      <c r="CJ1949" s="157">
        <f t="shared" si="245"/>
        <v>0</v>
      </c>
      <c r="CK1949" s="158"/>
      <c r="CL1949" s="159"/>
      <c r="CM1949" s="160"/>
      <c r="CN1949" s="161"/>
      <c r="CO1949" s="162"/>
      <c r="CP1949" s="161"/>
      <c r="CQ1949" s="158"/>
      <c r="CR1949" s="159"/>
      <c r="CS1949" s="68"/>
      <c r="CT1949" s="163"/>
      <c r="EC1949" s="366" t="str">
        <f t="shared" si="246"/>
        <v>BOGOTA D.C._BOGOTA</v>
      </c>
      <c r="ED1949" s="367"/>
      <c r="EE1949" s="367"/>
      <c r="EF1949" s="368"/>
      <c r="EG1949" s="367"/>
      <c r="EH1949" s="367"/>
      <c r="EI1949" s="367"/>
    </row>
    <row r="1950" spans="1:139" s="164" customFormat="1" ht="25.5">
      <c r="A1950" s="228">
        <v>40513</v>
      </c>
      <c r="B1950" s="205" t="s">
        <v>1551</v>
      </c>
      <c r="C1950" s="205" t="s">
        <v>2737</v>
      </c>
      <c r="D1950" s="207" t="s">
        <v>1201</v>
      </c>
      <c r="E1950" s="323" t="s">
        <v>3353</v>
      </c>
      <c r="F1950" s="323"/>
      <c r="G1950" s="204"/>
      <c r="H1950" s="151"/>
      <c r="I1950" s="151"/>
      <c r="J1950" s="151">
        <v>1273</v>
      </c>
      <c r="K1950" s="151">
        <v>319</v>
      </c>
      <c r="L1950" s="1"/>
      <c r="M1950" s="73">
        <f t="shared" si="243"/>
        <v>0</v>
      </c>
      <c r="N1950" s="73">
        <f t="shared" si="248"/>
        <v>0</v>
      </c>
      <c r="O1950" s="73">
        <f t="shared" si="242"/>
        <v>0</v>
      </c>
      <c r="P1950" s="73">
        <f t="shared" si="244"/>
        <v>0</v>
      </c>
      <c r="Q1950" s="73"/>
      <c r="R1950" s="73">
        <v>0</v>
      </c>
      <c r="S1950" s="75">
        <f t="shared" si="247"/>
        <v>0</v>
      </c>
      <c r="T1950" s="77">
        <v>0</v>
      </c>
      <c r="U1950" s="66">
        <v>40513</v>
      </c>
      <c r="V1950" s="79"/>
      <c r="W1950" s="66" t="s">
        <v>1606</v>
      </c>
      <c r="X1950" s="24" t="s">
        <v>1607</v>
      </c>
      <c r="Y1950" s="62"/>
      <c r="Z1950" s="176" t="s">
        <v>460</v>
      </c>
      <c r="AA1950" s="166"/>
      <c r="AB1950" s="152"/>
      <c r="AC1950" s="153"/>
      <c r="AD1950" s="154"/>
      <c r="AE1950" s="153"/>
      <c r="AF1950" s="153"/>
      <c r="AG1950" s="153"/>
      <c r="AH1950" s="153"/>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c r="BF1950" s="153"/>
      <c r="BG1950" s="153"/>
      <c r="BH1950" s="153"/>
      <c r="BI1950" s="153"/>
      <c r="BJ1950" s="153"/>
      <c r="BK1950" s="153"/>
      <c r="BL1950" s="153"/>
      <c r="BM1950" s="153"/>
      <c r="BN1950" s="153"/>
      <c r="BO1950" s="153"/>
      <c r="BP1950" s="153"/>
      <c r="BQ1950" s="153"/>
      <c r="BR1950" s="153"/>
      <c r="BS1950" s="153"/>
      <c r="BT1950" s="153"/>
      <c r="BU1950" s="153"/>
      <c r="BV1950" s="153"/>
      <c r="BW1950" s="153"/>
      <c r="BX1950" s="153"/>
      <c r="BY1950" s="153"/>
      <c r="BZ1950" s="153"/>
      <c r="CA1950" s="153"/>
      <c r="CB1950" s="153"/>
      <c r="CC1950" s="153"/>
      <c r="CD1950" s="155"/>
      <c r="CE1950" s="156"/>
      <c r="CF1950" s="155"/>
      <c r="CG1950" s="156"/>
      <c r="CH1950" s="155"/>
      <c r="CI1950" s="156"/>
      <c r="CJ1950" s="157">
        <f t="shared" si="245"/>
        <v>0</v>
      </c>
      <c r="CK1950" s="158"/>
      <c r="CL1950" s="159"/>
      <c r="CM1950" s="160"/>
      <c r="CN1950" s="161"/>
      <c r="CO1950" s="162"/>
      <c r="CP1950" s="161"/>
      <c r="CQ1950" s="158"/>
      <c r="CR1950" s="159"/>
      <c r="CS1950" s="68"/>
      <c r="CT1950" s="163"/>
      <c r="EC1950" s="366" t="str">
        <f t="shared" si="246"/>
        <v>ATLANTICO_BARANOA</v>
      </c>
      <c r="ED1950" s="367"/>
      <c r="EE1950" s="367"/>
      <c r="EF1950" s="368"/>
      <c r="EG1950" s="367"/>
      <c r="EH1950" s="367"/>
      <c r="EI1950" s="367"/>
    </row>
    <row r="1951" spans="1:139" s="164" customFormat="1" ht="38.25">
      <c r="A1951" s="228">
        <v>40513</v>
      </c>
      <c r="B1951" s="205" t="s">
        <v>1551</v>
      </c>
      <c r="C1951" s="205" t="s">
        <v>1590</v>
      </c>
      <c r="D1951" s="207" t="s">
        <v>1878</v>
      </c>
      <c r="E1951" s="323" t="s">
        <v>3352</v>
      </c>
      <c r="F1951" s="323"/>
      <c r="G1951" s="204"/>
      <c r="H1951" s="151"/>
      <c r="I1951" s="151"/>
      <c r="J1951" s="151">
        <v>10</v>
      </c>
      <c r="K1951" s="151">
        <v>20</v>
      </c>
      <c r="L1951" s="1"/>
      <c r="M1951" s="73">
        <f t="shared" si="243"/>
        <v>0</v>
      </c>
      <c r="N1951" s="73">
        <f t="shared" si="248"/>
        <v>0</v>
      </c>
      <c r="O1951" s="73">
        <f t="shared" si="242"/>
        <v>0</v>
      </c>
      <c r="P1951" s="73">
        <f t="shared" si="244"/>
        <v>0</v>
      </c>
      <c r="Q1951" s="73"/>
      <c r="R1951" s="73">
        <v>0</v>
      </c>
      <c r="S1951" s="75">
        <f t="shared" si="247"/>
        <v>0</v>
      </c>
      <c r="T1951" s="77">
        <v>0</v>
      </c>
      <c r="U1951" s="66">
        <v>40513</v>
      </c>
      <c r="V1951" s="79"/>
      <c r="W1951" s="66" t="s">
        <v>1585</v>
      </c>
      <c r="X1951" s="24" t="s">
        <v>1586</v>
      </c>
      <c r="Y1951" s="62"/>
      <c r="Z1951" s="169" t="s">
        <v>894</v>
      </c>
      <c r="AA1951" s="166" t="s">
        <v>280</v>
      </c>
      <c r="AB1951" s="152"/>
      <c r="AC1951" s="153"/>
      <c r="AD1951" s="154"/>
      <c r="AE1951" s="153"/>
      <c r="AF1951" s="153"/>
      <c r="AG1951" s="153"/>
      <c r="AH1951" s="153"/>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c r="BF1951" s="153"/>
      <c r="BG1951" s="153"/>
      <c r="BH1951" s="153"/>
      <c r="BI1951" s="153"/>
      <c r="BJ1951" s="153"/>
      <c r="BK1951" s="153"/>
      <c r="BL1951" s="153"/>
      <c r="BM1951" s="153"/>
      <c r="BN1951" s="153"/>
      <c r="BO1951" s="153"/>
      <c r="BP1951" s="153"/>
      <c r="BQ1951" s="153"/>
      <c r="BR1951" s="153"/>
      <c r="BS1951" s="153"/>
      <c r="BT1951" s="153"/>
      <c r="BU1951" s="153"/>
      <c r="BV1951" s="153"/>
      <c r="BW1951" s="153"/>
      <c r="BX1951" s="153"/>
      <c r="BY1951" s="153"/>
      <c r="BZ1951" s="153"/>
      <c r="CA1951" s="153"/>
      <c r="CB1951" s="153"/>
      <c r="CC1951" s="153"/>
      <c r="CD1951" s="155"/>
      <c r="CE1951" s="156"/>
      <c r="CF1951" s="155"/>
      <c r="CG1951" s="156"/>
      <c r="CH1951" s="155"/>
      <c r="CI1951" s="156"/>
      <c r="CJ1951" s="157">
        <f t="shared" si="245"/>
        <v>0</v>
      </c>
      <c r="CK1951" s="158"/>
      <c r="CL1951" s="159"/>
      <c r="CM1951" s="160"/>
      <c r="CN1951" s="161"/>
      <c r="CO1951" s="162"/>
      <c r="CP1951" s="161"/>
      <c r="CQ1951" s="158"/>
      <c r="CR1951" s="159"/>
      <c r="CS1951" s="68"/>
      <c r="CT1951" s="163"/>
      <c r="EC1951" s="366" t="str">
        <f t="shared" si="246"/>
        <v>ATLANTICO_BARRANQUILLA</v>
      </c>
      <c r="ED1951" s="367"/>
      <c r="EE1951" s="367"/>
      <c r="EF1951" s="368"/>
      <c r="EG1951" s="367"/>
      <c r="EH1951" s="367"/>
      <c r="EI1951" s="367"/>
    </row>
    <row r="1952" spans="1:139" s="164" customFormat="1" ht="38.25">
      <c r="A1952" s="228">
        <v>40513</v>
      </c>
      <c r="B1952" s="205" t="s">
        <v>1551</v>
      </c>
      <c r="C1952" s="205" t="s">
        <v>1548</v>
      </c>
      <c r="D1952" s="207" t="s">
        <v>1201</v>
      </c>
      <c r="E1952" s="323" t="s">
        <v>3355</v>
      </c>
      <c r="F1952" s="323"/>
      <c r="G1952" s="204"/>
      <c r="H1952" s="151"/>
      <c r="I1952" s="151"/>
      <c r="J1952" s="416">
        <f>3461*3.6</f>
        <v>12459.6</v>
      </c>
      <c r="K1952" s="151">
        <v>3461</v>
      </c>
      <c r="L1952" s="1"/>
      <c r="M1952" s="73">
        <f t="shared" si="243"/>
        <v>0</v>
      </c>
      <c r="N1952" s="73">
        <f t="shared" si="248"/>
        <v>0</v>
      </c>
      <c r="O1952" s="73">
        <f t="shared" si="242"/>
        <v>0</v>
      </c>
      <c r="P1952" s="73">
        <f t="shared" si="244"/>
        <v>0</v>
      </c>
      <c r="Q1952" s="73"/>
      <c r="R1952" s="73">
        <v>0</v>
      </c>
      <c r="S1952" s="75">
        <f t="shared" si="247"/>
        <v>0</v>
      </c>
      <c r="T1952" s="77">
        <v>0</v>
      </c>
      <c r="U1952" s="66">
        <v>40513</v>
      </c>
      <c r="V1952" s="79"/>
      <c r="W1952" s="66" t="s">
        <v>1606</v>
      </c>
      <c r="X1952" s="24" t="s">
        <v>1607</v>
      </c>
      <c r="Y1952" s="62"/>
      <c r="Z1952" s="176" t="s">
        <v>460</v>
      </c>
      <c r="AA1952" s="166"/>
      <c r="AB1952" s="152"/>
      <c r="AC1952" s="153"/>
      <c r="AD1952" s="154"/>
      <c r="AE1952" s="153"/>
      <c r="AF1952" s="153"/>
      <c r="AG1952" s="153"/>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c r="BF1952" s="153"/>
      <c r="BG1952" s="153"/>
      <c r="BH1952" s="153"/>
      <c r="BI1952" s="153"/>
      <c r="BJ1952" s="153"/>
      <c r="BK1952" s="153"/>
      <c r="BL1952" s="153"/>
      <c r="BM1952" s="153"/>
      <c r="BN1952" s="153"/>
      <c r="BO1952" s="153"/>
      <c r="BP1952" s="153"/>
      <c r="BQ1952" s="153"/>
      <c r="BR1952" s="153"/>
      <c r="BS1952" s="153"/>
      <c r="BT1952" s="153"/>
      <c r="BU1952" s="153"/>
      <c r="BV1952" s="153"/>
      <c r="BW1952" s="153"/>
      <c r="BX1952" s="153"/>
      <c r="BY1952" s="153"/>
      <c r="BZ1952" s="153"/>
      <c r="CA1952" s="153"/>
      <c r="CB1952" s="153"/>
      <c r="CC1952" s="153"/>
      <c r="CD1952" s="155"/>
      <c r="CE1952" s="156"/>
      <c r="CF1952" s="155"/>
      <c r="CG1952" s="156"/>
      <c r="CH1952" s="155"/>
      <c r="CI1952" s="156"/>
      <c r="CJ1952" s="157">
        <f t="shared" si="245"/>
        <v>0</v>
      </c>
      <c r="CK1952" s="158"/>
      <c r="CL1952" s="159"/>
      <c r="CM1952" s="160"/>
      <c r="CN1952" s="161"/>
      <c r="CO1952" s="162"/>
      <c r="CP1952" s="161"/>
      <c r="CQ1952" s="158"/>
      <c r="CR1952" s="159"/>
      <c r="CS1952" s="68"/>
      <c r="CT1952" s="163"/>
      <c r="EC1952" s="366" t="str">
        <f t="shared" si="246"/>
        <v>ATLANTICO_CANDELARIA</v>
      </c>
      <c r="ED1952" s="367"/>
      <c r="EE1952" s="367"/>
      <c r="EF1952" s="368"/>
      <c r="EG1952" s="367"/>
      <c r="EH1952" s="367"/>
      <c r="EI1952" s="367"/>
    </row>
    <row r="1953" spans="1:139" s="164" customFormat="1" ht="25.5">
      <c r="A1953" s="228">
        <v>40513</v>
      </c>
      <c r="B1953" s="205" t="s">
        <v>1551</v>
      </c>
      <c r="C1953" s="205" t="s">
        <v>1549</v>
      </c>
      <c r="D1953" s="207" t="s">
        <v>1201</v>
      </c>
      <c r="E1953" s="323" t="s">
        <v>3360</v>
      </c>
      <c r="F1953" s="323"/>
      <c r="G1953" s="204">
        <v>1</v>
      </c>
      <c r="H1953" s="151"/>
      <c r="I1953" s="151"/>
      <c r="J1953" s="416">
        <f>3403*3.7</f>
        <v>12591.1</v>
      </c>
      <c r="K1953" s="151">
        <f>3761-150-150-58</f>
        <v>3403</v>
      </c>
      <c r="L1953" s="1"/>
      <c r="M1953" s="73">
        <f t="shared" si="243"/>
        <v>0</v>
      </c>
      <c r="N1953" s="73">
        <f t="shared" si="248"/>
        <v>0</v>
      </c>
      <c r="O1953" s="73">
        <f t="shared" si="242"/>
        <v>0</v>
      </c>
      <c r="P1953" s="73">
        <f t="shared" si="244"/>
        <v>0</v>
      </c>
      <c r="Q1953" s="73"/>
      <c r="R1953" s="73">
        <v>0</v>
      </c>
      <c r="S1953" s="75">
        <f t="shared" si="247"/>
        <v>0</v>
      </c>
      <c r="T1953" s="77">
        <v>0</v>
      </c>
      <c r="U1953" s="66">
        <v>40513</v>
      </c>
      <c r="V1953" s="79"/>
      <c r="W1953" s="66" t="s">
        <v>1606</v>
      </c>
      <c r="X1953" s="24" t="s">
        <v>1607</v>
      </c>
      <c r="Y1953" s="62"/>
      <c r="Z1953" s="176" t="s">
        <v>460</v>
      </c>
      <c r="AA1953" s="166" t="s">
        <v>248</v>
      </c>
      <c r="AB1953" s="152"/>
      <c r="AC1953" s="153"/>
      <c r="AD1953" s="154"/>
      <c r="AE1953" s="153"/>
      <c r="AF1953" s="153"/>
      <c r="AG1953" s="153"/>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c r="BF1953" s="153"/>
      <c r="BG1953" s="153"/>
      <c r="BH1953" s="153"/>
      <c r="BI1953" s="153"/>
      <c r="BJ1953" s="153"/>
      <c r="BK1953" s="153"/>
      <c r="BL1953" s="153"/>
      <c r="BM1953" s="153"/>
      <c r="BN1953" s="153"/>
      <c r="BO1953" s="153"/>
      <c r="BP1953" s="153"/>
      <c r="BQ1953" s="153"/>
      <c r="BR1953" s="153"/>
      <c r="BS1953" s="153"/>
      <c r="BT1953" s="153"/>
      <c r="BU1953" s="153"/>
      <c r="BV1953" s="153"/>
      <c r="BW1953" s="153"/>
      <c r="BX1953" s="153"/>
      <c r="BY1953" s="153"/>
      <c r="BZ1953" s="153"/>
      <c r="CA1953" s="153"/>
      <c r="CB1953" s="153"/>
      <c r="CC1953" s="153"/>
      <c r="CD1953" s="155"/>
      <c r="CE1953" s="156"/>
      <c r="CF1953" s="155"/>
      <c r="CG1953" s="156"/>
      <c r="CH1953" s="155"/>
      <c r="CI1953" s="156"/>
      <c r="CJ1953" s="157">
        <f t="shared" si="245"/>
        <v>0</v>
      </c>
      <c r="CK1953" s="158"/>
      <c r="CL1953" s="159"/>
      <c r="CM1953" s="160"/>
      <c r="CN1953" s="161"/>
      <c r="CO1953" s="162"/>
      <c r="CP1953" s="161"/>
      <c r="CQ1953" s="158"/>
      <c r="CR1953" s="159"/>
      <c r="CS1953" s="68"/>
      <c r="CT1953" s="163"/>
      <c r="EC1953" s="366" t="str">
        <f t="shared" si="246"/>
        <v>ATLANTICO_MANATI</v>
      </c>
      <c r="ED1953" s="367"/>
      <c r="EE1953" s="367"/>
      <c r="EF1953" s="368"/>
      <c r="EG1953" s="367"/>
      <c r="EH1953" s="367"/>
      <c r="EI1953" s="367"/>
    </row>
    <row r="1954" spans="1:139" s="164" customFormat="1" ht="38.25">
      <c r="A1954" s="228">
        <v>40513</v>
      </c>
      <c r="B1954" s="205" t="s">
        <v>1551</v>
      </c>
      <c r="C1954" s="205" t="s">
        <v>3112</v>
      </c>
      <c r="D1954" s="207" t="s">
        <v>1201</v>
      </c>
      <c r="E1954" s="323" t="s">
        <v>3363</v>
      </c>
      <c r="F1954" s="323"/>
      <c r="G1954" s="204"/>
      <c r="H1954" s="151"/>
      <c r="I1954" s="151"/>
      <c r="J1954" s="151">
        <f>150*5</f>
        <v>750</v>
      </c>
      <c r="K1954" s="151">
        <v>150</v>
      </c>
      <c r="L1954" s="1"/>
      <c r="M1954" s="73">
        <f t="shared" si="243"/>
        <v>0</v>
      </c>
      <c r="N1954" s="73">
        <f t="shared" si="248"/>
        <v>0</v>
      </c>
      <c r="O1954" s="73">
        <f t="shared" si="242"/>
        <v>0</v>
      </c>
      <c r="P1954" s="73">
        <f t="shared" si="244"/>
        <v>0</v>
      </c>
      <c r="Q1954" s="73"/>
      <c r="R1954" s="73">
        <v>0</v>
      </c>
      <c r="S1954" s="75">
        <f t="shared" si="247"/>
        <v>0</v>
      </c>
      <c r="T1954" s="77">
        <v>0</v>
      </c>
      <c r="U1954" s="228">
        <v>40513</v>
      </c>
      <c r="V1954" s="79"/>
      <c r="W1954" s="66" t="s">
        <v>1606</v>
      </c>
      <c r="X1954" s="24" t="s">
        <v>1607</v>
      </c>
      <c r="Y1954" s="62"/>
      <c r="Z1954" s="176" t="s">
        <v>460</v>
      </c>
      <c r="AA1954" s="166"/>
      <c r="AB1954" s="152"/>
      <c r="AC1954" s="153"/>
      <c r="AD1954" s="154"/>
      <c r="AE1954" s="153"/>
      <c r="AF1954" s="153"/>
      <c r="AG1954" s="153"/>
      <c r="AH1954" s="153"/>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c r="BF1954" s="153"/>
      <c r="BG1954" s="153"/>
      <c r="BH1954" s="153"/>
      <c r="BI1954" s="153"/>
      <c r="BJ1954" s="153"/>
      <c r="BK1954" s="153"/>
      <c r="BL1954" s="153"/>
      <c r="BM1954" s="153"/>
      <c r="BN1954" s="153"/>
      <c r="BO1954" s="153"/>
      <c r="BP1954" s="153"/>
      <c r="BQ1954" s="153"/>
      <c r="BR1954" s="153"/>
      <c r="BS1954" s="153"/>
      <c r="BT1954" s="153"/>
      <c r="BU1954" s="153"/>
      <c r="BV1954" s="153"/>
      <c r="BW1954" s="153"/>
      <c r="BX1954" s="153"/>
      <c r="BY1954" s="153"/>
      <c r="BZ1954" s="153"/>
      <c r="CA1954" s="153"/>
      <c r="CB1954" s="153"/>
      <c r="CC1954" s="153"/>
      <c r="CD1954" s="155"/>
      <c r="CE1954" s="156"/>
      <c r="CF1954" s="155"/>
      <c r="CG1954" s="156"/>
      <c r="CH1954" s="155"/>
      <c r="CI1954" s="156"/>
      <c r="CJ1954" s="157">
        <f t="shared" si="245"/>
        <v>0</v>
      </c>
      <c r="CK1954" s="158"/>
      <c r="CL1954" s="159"/>
      <c r="CM1954" s="160"/>
      <c r="CN1954" s="161"/>
      <c r="CO1954" s="162"/>
      <c r="CP1954" s="161"/>
      <c r="CQ1954" s="158"/>
      <c r="CR1954" s="159"/>
      <c r="CS1954" s="68"/>
      <c r="CT1954" s="163"/>
      <c r="EC1954" s="366" t="str">
        <f t="shared" si="246"/>
        <v>ATLANTICO_POLONUEVO</v>
      </c>
      <c r="ED1954" s="367"/>
      <c r="EE1954" s="367"/>
      <c r="EF1954" s="368"/>
      <c r="EG1954" s="367"/>
      <c r="EH1954" s="367"/>
      <c r="EI1954" s="367"/>
    </row>
    <row r="1955" spans="1:139" s="164" customFormat="1" ht="36">
      <c r="A1955" s="228">
        <v>40513</v>
      </c>
      <c r="B1955" s="205" t="s">
        <v>1615</v>
      </c>
      <c r="C1955" s="205" t="s">
        <v>1642</v>
      </c>
      <c r="D1955" s="207" t="s">
        <v>1201</v>
      </c>
      <c r="E1955" s="323" t="s">
        <v>3376</v>
      </c>
      <c r="F1955" s="323"/>
      <c r="G1955" s="204"/>
      <c r="H1955" s="151"/>
      <c r="I1955" s="151"/>
      <c r="J1955" s="151">
        <v>2500</v>
      </c>
      <c r="K1955" s="151">
        <v>500</v>
      </c>
      <c r="L1955" s="1"/>
      <c r="M1955" s="73">
        <f t="shared" si="243"/>
        <v>0</v>
      </c>
      <c r="N1955" s="73">
        <f t="shared" si="248"/>
        <v>0</v>
      </c>
      <c r="O1955" s="73">
        <f t="shared" si="242"/>
        <v>0</v>
      </c>
      <c r="P1955" s="73">
        <f t="shared" si="244"/>
        <v>0</v>
      </c>
      <c r="Q1955" s="73"/>
      <c r="R1955" s="73">
        <v>0</v>
      </c>
      <c r="S1955" s="75">
        <f t="shared" si="247"/>
        <v>0</v>
      </c>
      <c r="T1955" s="77">
        <v>0</v>
      </c>
      <c r="U1955" s="228">
        <v>40514</v>
      </c>
      <c r="V1955" s="79"/>
      <c r="W1955" s="66" t="s">
        <v>1585</v>
      </c>
      <c r="X1955" s="24" t="s">
        <v>1586</v>
      </c>
      <c r="Y1955" s="62"/>
      <c r="Z1955" s="169" t="s">
        <v>894</v>
      </c>
      <c r="AA1955" s="166" t="s">
        <v>2921</v>
      </c>
      <c r="AB1955" s="152"/>
      <c r="AC1955" s="153"/>
      <c r="AD1955" s="154"/>
      <c r="AE1955" s="153"/>
      <c r="AF1955" s="153"/>
      <c r="AG1955" s="153"/>
      <c r="AH1955" s="153"/>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c r="BF1955" s="153"/>
      <c r="BG1955" s="153"/>
      <c r="BH1955" s="153"/>
      <c r="BI1955" s="153"/>
      <c r="BJ1955" s="153"/>
      <c r="BK1955" s="153"/>
      <c r="BL1955" s="153"/>
      <c r="BM1955" s="153"/>
      <c r="BN1955" s="153"/>
      <c r="BO1955" s="153"/>
      <c r="BP1955" s="153"/>
      <c r="BQ1955" s="153"/>
      <c r="BR1955" s="153"/>
      <c r="BS1955" s="153"/>
      <c r="BT1955" s="153"/>
      <c r="BU1955" s="153"/>
      <c r="BV1955" s="153"/>
      <c r="BW1955" s="153"/>
      <c r="BX1955" s="153"/>
      <c r="BY1955" s="153"/>
      <c r="BZ1955" s="153"/>
      <c r="CA1955" s="153"/>
      <c r="CB1955" s="153"/>
      <c r="CC1955" s="153"/>
      <c r="CD1955" s="155"/>
      <c r="CE1955" s="156"/>
      <c r="CF1955" s="155"/>
      <c r="CG1955" s="156"/>
      <c r="CH1955" s="155"/>
      <c r="CI1955" s="156"/>
      <c r="CJ1955" s="157">
        <f t="shared" si="245"/>
        <v>0</v>
      </c>
      <c r="CK1955" s="158"/>
      <c r="CL1955" s="159"/>
      <c r="CM1955" s="160"/>
      <c r="CN1955" s="161"/>
      <c r="CO1955" s="162"/>
      <c r="CP1955" s="161"/>
      <c r="CQ1955" s="158"/>
      <c r="CR1955" s="159"/>
      <c r="CS1955" s="68"/>
      <c r="CT1955" s="163"/>
      <c r="EC1955" s="366" t="str">
        <f t="shared" si="246"/>
        <v>BOLIVAR_CARTAGENA</v>
      </c>
      <c r="ED1955" s="367"/>
      <c r="EE1955" s="367"/>
      <c r="EF1955" s="368"/>
      <c r="EG1955" s="367"/>
      <c r="EH1955" s="367"/>
      <c r="EI1955" s="367"/>
    </row>
    <row r="1956" spans="1:139" s="164" customFormat="1" ht="25.5">
      <c r="A1956" s="228">
        <v>40513</v>
      </c>
      <c r="B1956" s="205" t="s">
        <v>1192</v>
      </c>
      <c r="C1956" s="205" t="s">
        <v>1600</v>
      </c>
      <c r="D1956" s="207" t="s">
        <v>1878</v>
      </c>
      <c r="E1956" s="323" t="s">
        <v>3485</v>
      </c>
      <c r="F1956" s="323"/>
      <c r="G1956" s="204"/>
      <c r="H1956" s="151"/>
      <c r="I1956" s="151"/>
      <c r="J1956" s="151">
        <f>103*5</f>
        <v>515</v>
      </c>
      <c r="K1956" s="151">
        <v>103</v>
      </c>
      <c r="L1956" s="1"/>
      <c r="M1956" s="73">
        <f t="shared" si="243"/>
        <v>0</v>
      </c>
      <c r="N1956" s="73">
        <f t="shared" si="248"/>
        <v>0</v>
      </c>
      <c r="O1956" s="73">
        <f t="shared" si="242"/>
        <v>0</v>
      </c>
      <c r="P1956" s="73">
        <f t="shared" si="244"/>
        <v>0</v>
      </c>
      <c r="Q1956" s="73"/>
      <c r="R1956" s="73">
        <v>0</v>
      </c>
      <c r="S1956" s="75">
        <f t="shared" si="247"/>
        <v>0</v>
      </c>
      <c r="T1956" s="77">
        <v>0</v>
      </c>
      <c r="U1956" s="228">
        <v>40584</v>
      </c>
      <c r="V1956" s="79"/>
      <c r="W1956" s="66" t="s">
        <v>1585</v>
      </c>
      <c r="X1956" s="24" t="s">
        <v>1586</v>
      </c>
      <c r="Y1956" s="62"/>
      <c r="Z1956" s="169" t="s">
        <v>894</v>
      </c>
      <c r="AA1956" s="166" t="s">
        <v>54</v>
      </c>
      <c r="AB1956" s="152"/>
      <c r="AC1956" s="153"/>
      <c r="AD1956" s="154"/>
      <c r="AE1956" s="153"/>
      <c r="AF1956" s="153"/>
      <c r="AG1956" s="153"/>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c r="BI1956" s="153"/>
      <c r="BJ1956" s="153"/>
      <c r="BK1956" s="153"/>
      <c r="BL1956" s="153"/>
      <c r="BM1956" s="153"/>
      <c r="BN1956" s="153"/>
      <c r="BO1956" s="153"/>
      <c r="BP1956" s="153"/>
      <c r="BQ1956" s="153"/>
      <c r="BR1956" s="153"/>
      <c r="BS1956" s="153"/>
      <c r="BT1956" s="153"/>
      <c r="BU1956" s="153"/>
      <c r="BV1956" s="153"/>
      <c r="BW1956" s="153"/>
      <c r="BX1956" s="153"/>
      <c r="BY1956" s="153"/>
      <c r="BZ1956" s="153"/>
      <c r="CA1956" s="153"/>
      <c r="CB1956" s="153"/>
      <c r="CC1956" s="153"/>
      <c r="CD1956" s="155"/>
      <c r="CE1956" s="156"/>
      <c r="CF1956" s="155"/>
      <c r="CG1956" s="156"/>
      <c r="CH1956" s="155"/>
      <c r="CI1956" s="156"/>
      <c r="CJ1956" s="157">
        <f t="shared" si="245"/>
        <v>0</v>
      </c>
      <c r="CK1956" s="158"/>
      <c r="CL1956" s="159"/>
      <c r="CM1956" s="160"/>
      <c r="CN1956" s="161"/>
      <c r="CO1956" s="162"/>
      <c r="CP1956" s="161"/>
      <c r="CQ1956" s="158"/>
      <c r="CR1956" s="159"/>
      <c r="CS1956" s="68"/>
      <c r="CT1956" s="163"/>
      <c r="EC1956" s="366" t="str">
        <f t="shared" si="246"/>
        <v>BOYACA_PAEZ</v>
      </c>
      <c r="ED1956" s="367"/>
      <c r="EE1956" s="367"/>
      <c r="EF1956" s="368"/>
      <c r="EG1956" s="367"/>
      <c r="EH1956" s="367"/>
      <c r="EI1956" s="367"/>
    </row>
    <row r="1957" spans="1:139" s="164" customFormat="1" ht="25.5">
      <c r="A1957" s="228">
        <v>40513</v>
      </c>
      <c r="B1957" s="205" t="s">
        <v>1996</v>
      </c>
      <c r="C1957" s="205" t="s">
        <v>765</v>
      </c>
      <c r="D1957" s="207" t="s">
        <v>1201</v>
      </c>
      <c r="E1957" s="323" t="s">
        <v>3799</v>
      </c>
      <c r="F1957" s="323"/>
      <c r="G1957" s="204"/>
      <c r="H1957" s="151"/>
      <c r="I1957" s="151"/>
      <c r="J1957" s="151">
        <v>4279</v>
      </c>
      <c r="K1957" s="151">
        <v>892</v>
      </c>
      <c r="L1957" s="1"/>
      <c r="M1957" s="73">
        <f t="shared" si="243"/>
        <v>9272000</v>
      </c>
      <c r="N1957" s="73">
        <f t="shared" si="248"/>
        <v>17340000</v>
      </c>
      <c r="O1957" s="73">
        <f t="shared" si="242"/>
        <v>0</v>
      </c>
      <c r="P1957" s="73">
        <f t="shared" si="244"/>
        <v>0</v>
      </c>
      <c r="Q1957" s="73"/>
      <c r="R1957" s="73">
        <v>0</v>
      </c>
      <c r="S1957" s="75">
        <f t="shared" si="247"/>
        <v>26612000</v>
      </c>
      <c r="T1957" s="77">
        <v>0</v>
      </c>
      <c r="U1957" s="66">
        <v>40515</v>
      </c>
      <c r="V1957" s="79"/>
      <c r="W1957" s="66" t="s">
        <v>1606</v>
      </c>
      <c r="X1957" s="24" t="s">
        <v>1607</v>
      </c>
      <c r="Y1957" s="62"/>
      <c r="Z1957" s="169"/>
      <c r="AA1957" s="166" t="s">
        <v>767</v>
      </c>
      <c r="AB1957" s="152"/>
      <c r="AC1957" s="153"/>
      <c r="AD1957" s="154"/>
      <c r="AE1957" s="153"/>
      <c r="AF1957" s="153"/>
      <c r="AG1957" s="153"/>
      <c r="AH1957" s="153"/>
      <c r="AI1957" s="153"/>
      <c r="AJ1957" s="153"/>
      <c r="AK1957" s="153"/>
      <c r="AL1957" s="153"/>
      <c r="AM1957" s="153"/>
      <c r="AN1957" s="153"/>
      <c r="AO1957" s="153"/>
      <c r="AP1957" s="153">
        <v>100</v>
      </c>
      <c r="AQ1957" s="153">
        <f>100*56000</f>
        <v>5600000</v>
      </c>
      <c r="AR1957" s="153"/>
      <c r="AS1957" s="153"/>
      <c r="AT1957" s="153"/>
      <c r="AU1957" s="153"/>
      <c r="AV1957" s="153"/>
      <c r="AW1957" s="153"/>
      <c r="AX1957" s="153"/>
      <c r="AY1957" s="153"/>
      <c r="AZ1957" s="153"/>
      <c r="BA1957" s="153"/>
      <c r="BB1957" s="153"/>
      <c r="BC1957" s="153"/>
      <c r="BD1957" s="153"/>
      <c r="BE1957" s="153"/>
      <c r="BF1957" s="153"/>
      <c r="BG1957" s="153"/>
      <c r="BH1957" s="153"/>
      <c r="BI1957" s="153"/>
      <c r="BJ1957" s="153"/>
      <c r="BK1957" s="153"/>
      <c r="BL1957" s="153"/>
      <c r="BM1957" s="153"/>
      <c r="BN1957" s="153"/>
      <c r="BO1957" s="153"/>
      <c r="BP1957" s="153"/>
      <c r="BQ1957" s="153"/>
      <c r="BR1957" s="153"/>
      <c r="BS1957" s="153"/>
      <c r="BT1957" s="153"/>
      <c r="BU1957" s="153"/>
      <c r="BV1957" s="153"/>
      <c r="BW1957" s="153"/>
      <c r="BX1957" s="153"/>
      <c r="BY1957" s="153"/>
      <c r="BZ1957" s="153"/>
      <c r="CA1957" s="153"/>
      <c r="CB1957" s="153">
        <v>204</v>
      </c>
      <c r="CC1957" s="153">
        <f>204*18000</f>
        <v>3672000</v>
      </c>
      <c r="CD1957" s="155"/>
      <c r="CE1957" s="156"/>
      <c r="CF1957" s="155"/>
      <c r="CG1957" s="156"/>
      <c r="CH1957" s="155"/>
      <c r="CI1957" s="156"/>
      <c r="CJ1957" s="157">
        <f t="shared" si="245"/>
        <v>9272000</v>
      </c>
      <c r="CK1957" s="158"/>
      <c r="CL1957" s="159"/>
      <c r="CM1957" s="160">
        <v>204</v>
      </c>
      <c r="CN1957" s="161">
        <f>204*85000</f>
        <v>17340000</v>
      </c>
      <c r="CO1957" s="162"/>
      <c r="CP1957" s="161"/>
      <c r="CQ1957" s="158"/>
      <c r="CR1957" s="159"/>
      <c r="CS1957" s="68"/>
      <c r="CT1957" s="163"/>
      <c r="EC1957" s="366" t="str">
        <f t="shared" si="246"/>
        <v>CHOCO_BAJO BAUDO</v>
      </c>
      <c r="ED1957" s="367"/>
      <c r="EE1957" s="367"/>
      <c r="EF1957" s="368"/>
      <c r="EG1957" s="367"/>
      <c r="EH1957" s="367"/>
      <c r="EI1957" s="367"/>
    </row>
    <row r="1958" spans="1:139" s="164" customFormat="1" ht="51">
      <c r="A1958" s="228">
        <v>40513</v>
      </c>
      <c r="B1958" s="102" t="s">
        <v>1295</v>
      </c>
      <c r="C1958" s="205" t="s">
        <v>244</v>
      </c>
      <c r="D1958" s="207" t="s">
        <v>1201</v>
      </c>
      <c r="E1958" s="323" t="s">
        <v>3664</v>
      </c>
      <c r="F1958" s="323"/>
      <c r="G1958" s="204"/>
      <c r="H1958" s="151"/>
      <c r="I1958" s="151"/>
      <c r="J1958" s="151">
        <v>270</v>
      </c>
      <c r="K1958" s="151">
        <v>60</v>
      </c>
      <c r="L1958" s="1"/>
      <c r="M1958" s="73">
        <f t="shared" si="243"/>
        <v>0</v>
      </c>
      <c r="N1958" s="73">
        <f t="shared" si="248"/>
        <v>0</v>
      </c>
      <c r="O1958" s="73">
        <f t="shared" si="242"/>
        <v>0</v>
      </c>
      <c r="P1958" s="73">
        <f t="shared" si="244"/>
        <v>0</v>
      </c>
      <c r="Q1958" s="73"/>
      <c r="R1958" s="73">
        <v>0</v>
      </c>
      <c r="S1958" s="75">
        <f t="shared" si="247"/>
        <v>0</v>
      </c>
      <c r="T1958" s="77">
        <v>0</v>
      </c>
      <c r="U1958" s="66">
        <v>40515</v>
      </c>
      <c r="V1958" s="79"/>
      <c r="W1958" s="66" t="s">
        <v>1606</v>
      </c>
      <c r="X1958" s="264" t="s">
        <v>1607</v>
      </c>
      <c r="Y1958" s="62"/>
      <c r="Z1958" s="260" t="s">
        <v>18</v>
      </c>
      <c r="AA1958" s="166" t="s">
        <v>245</v>
      </c>
      <c r="AB1958" s="152"/>
      <c r="AC1958" s="153"/>
      <c r="AD1958" s="154"/>
      <c r="AE1958" s="153"/>
      <c r="AF1958" s="153"/>
      <c r="AG1958" s="153"/>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c r="BF1958" s="153"/>
      <c r="BG1958" s="153"/>
      <c r="BH1958" s="153"/>
      <c r="BI1958" s="153"/>
      <c r="BJ1958" s="153"/>
      <c r="BK1958" s="153"/>
      <c r="BL1958" s="153"/>
      <c r="BM1958" s="153"/>
      <c r="BN1958" s="153"/>
      <c r="BO1958" s="153"/>
      <c r="BP1958" s="153"/>
      <c r="BQ1958" s="153"/>
      <c r="BR1958" s="153"/>
      <c r="BS1958" s="153"/>
      <c r="BT1958" s="153"/>
      <c r="BU1958" s="153"/>
      <c r="BV1958" s="153"/>
      <c r="BW1958" s="153"/>
      <c r="BX1958" s="153"/>
      <c r="BY1958" s="153"/>
      <c r="BZ1958" s="153"/>
      <c r="CA1958" s="153"/>
      <c r="CB1958" s="153"/>
      <c r="CC1958" s="153"/>
      <c r="CD1958" s="155"/>
      <c r="CE1958" s="156"/>
      <c r="CF1958" s="155"/>
      <c r="CG1958" s="156"/>
      <c r="CH1958" s="155"/>
      <c r="CI1958" s="156"/>
      <c r="CJ1958" s="157">
        <f t="shared" si="245"/>
        <v>0</v>
      </c>
      <c r="CK1958" s="158"/>
      <c r="CL1958" s="159"/>
      <c r="CM1958" s="160"/>
      <c r="CN1958" s="161"/>
      <c r="CO1958" s="162"/>
      <c r="CP1958" s="161"/>
      <c r="CQ1958" s="158"/>
      <c r="CR1958" s="159"/>
      <c r="CS1958" s="68"/>
      <c r="CT1958" s="163"/>
      <c r="EC1958" s="366" t="str">
        <f t="shared" si="246"/>
        <v>CORDOBA_LOS CORDOBAS</v>
      </c>
      <c r="ED1958" s="367"/>
      <c r="EE1958" s="367"/>
      <c r="EF1958" s="368"/>
      <c r="EG1958" s="367"/>
      <c r="EH1958" s="367"/>
      <c r="EI1958" s="367"/>
    </row>
    <row r="1959" spans="1:139" s="164" customFormat="1" ht="51">
      <c r="A1959" s="228">
        <v>40513</v>
      </c>
      <c r="B1959" s="205" t="s">
        <v>1604</v>
      </c>
      <c r="C1959" s="205" t="s">
        <v>3145</v>
      </c>
      <c r="D1959" s="207" t="s">
        <v>1878</v>
      </c>
      <c r="E1959" s="323" t="s">
        <v>3758</v>
      </c>
      <c r="F1959" s="323"/>
      <c r="G1959" s="204">
        <v>1</v>
      </c>
      <c r="H1959" s="151"/>
      <c r="I1959" s="151"/>
      <c r="J1959" s="151">
        <v>380</v>
      </c>
      <c r="K1959" s="151">
        <v>117</v>
      </c>
      <c r="L1959" s="1"/>
      <c r="M1959" s="73">
        <f t="shared" si="243"/>
        <v>0</v>
      </c>
      <c r="N1959" s="73">
        <f t="shared" si="248"/>
        <v>0</v>
      </c>
      <c r="O1959" s="73">
        <f t="shared" si="242"/>
        <v>0</v>
      </c>
      <c r="P1959" s="73">
        <f t="shared" si="244"/>
        <v>0</v>
      </c>
      <c r="Q1959" s="73"/>
      <c r="R1959" s="73">
        <v>0</v>
      </c>
      <c r="S1959" s="75">
        <f t="shared" si="247"/>
        <v>0</v>
      </c>
      <c r="T1959" s="77">
        <v>0</v>
      </c>
      <c r="U1959" s="66">
        <v>40513</v>
      </c>
      <c r="V1959" s="79"/>
      <c r="W1959" s="66" t="s">
        <v>1585</v>
      </c>
      <c r="X1959" s="24" t="s">
        <v>1586</v>
      </c>
      <c r="Y1959" s="62"/>
      <c r="Z1959" s="169" t="s">
        <v>894</v>
      </c>
      <c r="AA1959" s="166" t="s">
        <v>857</v>
      </c>
      <c r="AB1959" s="152"/>
      <c r="AC1959" s="153"/>
      <c r="AD1959" s="154"/>
      <c r="AE1959" s="153"/>
      <c r="AF1959" s="153"/>
      <c r="AG1959" s="153"/>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c r="BF1959" s="153"/>
      <c r="BG1959" s="153"/>
      <c r="BH1959" s="153"/>
      <c r="BI1959" s="153"/>
      <c r="BJ1959" s="153"/>
      <c r="BK1959" s="153"/>
      <c r="BL1959" s="153"/>
      <c r="BM1959" s="153"/>
      <c r="BN1959" s="153"/>
      <c r="BO1959" s="153"/>
      <c r="BP1959" s="153"/>
      <c r="BQ1959" s="153"/>
      <c r="BR1959" s="153"/>
      <c r="BS1959" s="153"/>
      <c r="BT1959" s="153"/>
      <c r="BU1959" s="153"/>
      <c r="BV1959" s="153"/>
      <c r="BW1959" s="153"/>
      <c r="BX1959" s="153"/>
      <c r="BY1959" s="153"/>
      <c r="BZ1959" s="153"/>
      <c r="CA1959" s="153"/>
      <c r="CB1959" s="153"/>
      <c r="CC1959" s="153"/>
      <c r="CD1959" s="155"/>
      <c r="CE1959" s="156"/>
      <c r="CF1959" s="155"/>
      <c r="CG1959" s="156"/>
      <c r="CH1959" s="155"/>
      <c r="CI1959" s="156"/>
      <c r="CJ1959" s="157">
        <f t="shared" si="245"/>
        <v>0</v>
      </c>
      <c r="CK1959" s="158"/>
      <c r="CL1959" s="159"/>
      <c r="CM1959" s="160"/>
      <c r="CN1959" s="161"/>
      <c r="CO1959" s="162"/>
      <c r="CP1959" s="161"/>
      <c r="CQ1959" s="158"/>
      <c r="CR1959" s="159"/>
      <c r="CS1959" s="68"/>
      <c r="CT1959" s="163"/>
      <c r="EC1959" s="366" t="str">
        <f t="shared" si="246"/>
        <v>CUNDINAMARCA_SAN JUAN DE RIO SECO</v>
      </c>
      <c r="ED1959" s="367"/>
      <c r="EE1959" s="367"/>
      <c r="EF1959" s="368"/>
      <c r="EG1959" s="367"/>
      <c r="EH1959" s="367"/>
      <c r="EI1959" s="367"/>
    </row>
    <row r="1960" spans="1:139" s="164" customFormat="1" ht="132">
      <c r="A1960" s="228">
        <v>40513</v>
      </c>
      <c r="B1960" s="205" t="s">
        <v>1824</v>
      </c>
      <c r="C1960" s="205" t="s">
        <v>263</v>
      </c>
      <c r="D1960" s="207" t="s">
        <v>1878</v>
      </c>
      <c r="E1960" s="323" t="s">
        <v>3975</v>
      </c>
      <c r="F1960" s="323"/>
      <c r="G1960" s="204"/>
      <c r="H1960" s="151"/>
      <c r="I1960" s="151"/>
      <c r="J1960" s="151">
        <v>914</v>
      </c>
      <c r="K1960" s="151">
        <v>198</v>
      </c>
      <c r="L1960" s="1"/>
      <c r="M1960" s="73">
        <f t="shared" si="243"/>
        <v>0</v>
      </c>
      <c r="N1960" s="73">
        <f t="shared" si="248"/>
        <v>0</v>
      </c>
      <c r="O1960" s="73">
        <f t="shared" si="242"/>
        <v>0</v>
      </c>
      <c r="P1960" s="73">
        <f t="shared" si="244"/>
        <v>0</v>
      </c>
      <c r="Q1960" s="73"/>
      <c r="R1960" s="73">
        <v>0</v>
      </c>
      <c r="S1960" s="75">
        <f t="shared" si="247"/>
        <v>0</v>
      </c>
      <c r="T1960" s="77">
        <v>0</v>
      </c>
      <c r="U1960" s="66">
        <v>40539</v>
      </c>
      <c r="V1960" s="79"/>
      <c r="W1960" s="66" t="s">
        <v>1585</v>
      </c>
      <c r="X1960" s="24" t="s">
        <v>1586</v>
      </c>
      <c r="Y1960" s="62"/>
      <c r="Z1960" s="169" t="s">
        <v>894</v>
      </c>
      <c r="AA1960" s="166" t="s">
        <v>2986</v>
      </c>
      <c r="AB1960" s="152"/>
      <c r="AC1960" s="153"/>
      <c r="AD1960" s="154"/>
      <c r="AE1960" s="153"/>
      <c r="AF1960" s="153"/>
      <c r="AG1960" s="153"/>
      <c r="AH1960" s="153"/>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c r="BF1960" s="153"/>
      <c r="BG1960" s="153"/>
      <c r="BH1960" s="153"/>
      <c r="BI1960" s="153"/>
      <c r="BJ1960" s="153"/>
      <c r="BK1960" s="153"/>
      <c r="BL1960" s="153"/>
      <c r="BM1960" s="153"/>
      <c r="BN1960" s="153"/>
      <c r="BO1960" s="153"/>
      <c r="BP1960" s="153"/>
      <c r="BQ1960" s="153"/>
      <c r="BR1960" s="153"/>
      <c r="BS1960" s="153"/>
      <c r="BT1960" s="153"/>
      <c r="BU1960" s="153"/>
      <c r="BV1960" s="153"/>
      <c r="BW1960" s="153"/>
      <c r="BX1960" s="153"/>
      <c r="BY1960" s="153"/>
      <c r="BZ1960" s="153"/>
      <c r="CA1960" s="153"/>
      <c r="CB1960" s="153"/>
      <c r="CC1960" s="153"/>
      <c r="CD1960" s="155"/>
      <c r="CE1960" s="156"/>
      <c r="CF1960" s="155"/>
      <c r="CG1960" s="156"/>
      <c r="CH1960" s="155"/>
      <c r="CI1960" s="156"/>
      <c r="CJ1960" s="157">
        <f t="shared" si="245"/>
        <v>0</v>
      </c>
      <c r="CK1960" s="158"/>
      <c r="CL1960" s="159"/>
      <c r="CM1960" s="160"/>
      <c r="CN1960" s="161"/>
      <c r="CO1960" s="162"/>
      <c r="CP1960" s="161"/>
      <c r="CQ1960" s="158"/>
      <c r="CR1960" s="159"/>
      <c r="CS1960" s="68"/>
      <c r="CT1960" s="163"/>
      <c r="EC1960" s="366" t="str">
        <f t="shared" si="246"/>
        <v>NARIÑO_OSPINA</v>
      </c>
      <c r="ED1960" s="367"/>
      <c r="EE1960" s="367"/>
      <c r="EF1960" s="368"/>
      <c r="EG1960" s="367"/>
      <c r="EH1960" s="367"/>
      <c r="EI1960" s="367"/>
    </row>
    <row r="1961" spans="1:139" s="164" customFormat="1" ht="25.5">
      <c r="A1961" s="228">
        <v>40513</v>
      </c>
      <c r="B1961" s="205" t="s">
        <v>1824</v>
      </c>
      <c r="C1961" s="205" t="s">
        <v>2987</v>
      </c>
      <c r="D1961" s="207" t="s">
        <v>1878</v>
      </c>
      <c r="E1961" s="323" t="s">
        <v>3978</v>
      </c>
      <c r="F1961" s="323"/>
      <c r="G1961" s="204"/>
      <c r="H1961" s="151"/>
      <c r="I1961" s="151"/>
      <c r="J1961" s="151">
        <v>1063</v>
      </c>
      <c r="K1961" s="151">
        <v>266</v>
      </c>
      <c r="L1961" s="1"/>
      <c r="M1961" s="73">
        <f t="shared" si="243"/>
        <v>0</v>
      </c>
      <c r="N1961" s="73">
        <f t="shared" si="248"/>
        <v>0</v>
      </c>
      <c r="O1961" s="73">
        <f t="shared" si="242"/>
        <v>0</v>
      </c>
      <c r="P1961" s="73">
        <f t="shared" si="244"/>
        <v>0</v>
      </c>
      <c r="Q1961" s="73"/>
      <c r="R1961" s="73">
        <v>0</v>
      </c>
      <c r="S1961" s="75">
        <f t="shared" si="247"/>
        <v>0</v>
      </c>
      <c r="T1961" s="77">
        <v>0</v>
      </c>
      <c r="U1961" s="66">
        <v>40546</v>
      </c>
      <c r="V1961" s="79"/>
      <c r="W1961" s="66" t="s">
        <v>1585</v>
      </c>
      <c r="X1961" s="24" t="s">
        <v>1586</v>
      </c>
      <c r="Y1961" s="62"/>
      <c r="Z1961" s="169" t="s">
        <v>894</v>
      </c>
      <c r="AA1961" s="166" t="s">
        <v>2988</v>
      </c>
      <c r="AB1961" s="152"/>
      <c r="AC1961" s="153"/>
      <c r="AD1961" s="154"/>
      <c r="AE1961" s="153"/>
      <c r="AF1961" s="153"/>
      <c r="AG1961" s="153"/>
      <c r="AH1961" s="153"/>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c r="BF1961" s="153"/>
      <c r="BG1961" s="153"/>
      <c r="BH1961" s="153"/>
      <c r="BI1961" s="153"/>
      <c r="BJ1961" s="153"/>
      <c r="BK1961" s="153"/>
      <c r="BL1961" s="153"/>
      <c r="BM1961" s="153"/>
      <c r="BN1961" s="153"/>
      <c r="BO1961" s="153"/>
      <c r="BP1961" s="153"/>
      <c r="BQ1961" s="153"/>
      <c r="BR1961" s="153"/>
      <c r="BS1961" s="153"/>
      <c r="BT1961" s="153"/>
      <c r="BU1961" s="153"/>
      <c r="BV1961" s="153"/>
      <c r="BW1961" s="153"/>
      <c r="BX1961" s="153"/>
      <c r="BY1961" s="153"/>
      <c r="BZ1961" s="153"/>
      <c r="CA1961" s="153"/>
      <c r="CB1961" s="153"/>
      <c r="CC1961" s="153"/>
      <c r="CD1961" s="155"/>
      <c r="CE1961" s="156"/>
      <c r="CF1961" s="155"/>
      <c r="CG1961" s="156"/>
      <c r="CH1961" s="155"/>
      <c r="CI1961" s="156"/>
      <c r="CJ1961" s="157">
        <f t="shared" si="245"/>
        <v>0</v>
      </c>
      <c r="CK1961" s="158"/>
      <c r="CL1961" s="159"/>
      <c r="CM1961" s="160"/>
      <c r="CN1961" s="161"/>
      <c r="CO1961" s="162"/>
      <c r="CP1961" s="161"/>
      <c r="CQ1961" s="158"/>
      <c r="CR1961" s="159"/>
      <c r="CS1961" s="68"/>
      <c r="CT1961" s="163"/>
      <c r="EC1961" s="366" t="str">
        <f t="shared" si="246"/>
        <v>NARIÑO_POTOSI</v>
      </c>
      <c r="ED1961" s="367"/>
      <c r="EE1961" s="367"/>
      <c r="EF1961" s="368"/>
      <c r="EG1961" s="367"/>
      <c r="EH1961" s="367"/>
      <c r="EI1961" s="367"/>
    </row>
    <row r="1962" spans="1:139" s="164" customFormat="1" ht="51">
      <c r="A1962" s="228">
        <v>40513</v>
      </c>
      <c r="B1962" s="205" t="s">
        <v>965</v>
      </c>
      <c r="C1962" s="205" t="s">
        <v>1028</v>
      </c>
      <c r="D1962" s="207" t="s">
        <v>1878</v>
      </c>
      <c r="E1962" s="323" t="s">
        <v>4002</v>
      </c>
      <c r="F1962" s="323"/>
      <c r="G1962" s="204"/>
      <c r="H1962" s="151"/>
      <c r="I1962" s="151"/>
      <c r="J1962" s="151">
        <f>1238-355-10</f>
        <v>873</v>
      </c>
      <c r="K1962" s="151">
        <v>187</v>
      </c>
      <c r="L1962" s="1"/>
      <c r="M1962" s="73">
        <f t="shared" si="243"/>
        <v>0</v>
      </c>
      <c r="N1962" s="73">
        <f t="shared" si="248"/>
        <v>0</v>
      </c>
      <c r="O1962" s="73">
        <f t="shared" si="242"/>
        <v>0</v>
      </c>
      <c r="P1962" s="73">
        <f t="shared" si="244"/>
        <v>0</v>
      </c>
      <c r="Q1962" s="73"/>
      <c r="R1962" s="73">
        <v>0</v>
      </c>
      <c r="S1962" s="75">
        <f t="shared" si="247"/>
        <v>0</v>
      </c>
      <c r="T1962" s="77">
        <v>0</v>
      </c>
      <c r="U1962" s="66">
        <v>40529</v>
      </c>
      <c r="V1962" s="79"/>
      <c r="W1962" s="66" t="s">
        <v>1606</v>
      </c>
      <c r="X1962" s="264" t="s">
        <v>1607</v>
      </c>
      <c r="Y1962" s="62"/>
      <c r="Z1962" s="260" t="s">
        <v>18</v>
      </c>
      <c r="AA1962" s="166" t="s">
        <v>288</v>
      </c>
      <c r="AB1962" s="152"/>
      <c r="AC1962" s="153"/>
      <c r="AD1962" s="154"/>
      <c r="AE1962" s="153"/>
      <c r="AF1962" s="153"/>
      <c r="AG1962" s="153"/>
      <c r="AH1962" s="153"/>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c r="BF1962" s="153"/>
      <c r="BG1962" s="153"/>
      <c r="BH1962" s="153"/>
      <c r="BI1962" s="153"/>
      <c r="BJ1962" s="153"/>
      <c r="BK1962" s="153"/>
      <c r="BL1962" s="153"/>
      <c r="BM1962" s="153"/>
      <c r="BN1962" s="153"/>
      <c r="BO1962" s="153"/>
      <c r="BP1962" s="153"/>
      <c r="BQ1962" s="153"/>
      <c r="BR1962" s="153"/>
      <c r="BS1962" s="153"/>
      <c r="BT1962" s="153"/>
      <c r="BU1962" s="153"/>
      <c r="BV1962" s="153"/>
      <c r="BW1962" s="153"/>
      <c r="BX1962" s="153"/>
      <c r="BY1962" s="153"/>
      <c r="BZ1962" s="153"/>
      <c r="CA1962" s="153"/>
      <c r="CB1962" s="153"/>
      <c r="CC1962" s="153"/>
      <c r="CD1962" s="155"/>
      <c r="CE1962" s="156"/>
      <c r="CF1962" s="155"/>
      <c r="CG1962" s="156"/>
      <c r="CH1962" s="155"/>
      <c r="CI1962" s="156"/>
      <c r="CJ1962" s="157">
        <f t="shared" si="245"/>
        <v>0</v>
      </c>
      <c r="CK1962" s="158"/>
      <c r="CL1962" s="159"/>
      <c r="CM1962" s="160"/>
      <c r="CN1962" s="161"/>
      <c r="CO1962" s="162"/>
      <c r="CP1962" s="161"/>
      <c r="CQ1962" s="158"/>
      <c r="CR1962" s="159"/>
      <c r="CS1962" s="68"/>
      <c r="CT1962" s="163"/>
      <c r="EC1962" s="366" t="str">
        <f t="shared" si="246"/>
        <v>NORTE DE SANTANDER_BUCARASICA</v>
      </c>
      <c r="ED1962" s="367"/>
      <c r="EE1962" s="367"/>
      <c r="EF1962" s="368"/>
      <c r="EG1962" s="367"/>
      <c r="EH1962" s="367"/>
      <c r="EI1962" s="367"/>
    </row>
    <row r="1963" spans="1:139" s="164" customFormat="1" ht="51">
      <c r="A1963" s="228">
        <v>40513</v>
      </c>
      <c r="B1963" s="205" t="s">
        <v>965</v>
      </c>
      <c r="C1963" s="205" t="s">
        <v>978</v>
      </c>
      <c r="D1963" s="207" t="s">
        <v>1878</v>
      </c>
      <c r="E1963" s="323" t="s">
        <v>4008</v>
      </c>
      <c r="F1963" s="323"/>
      <c r="G1963" s="204"/>
      <c r="H1963" s="151"/>
      <c r="I1963" s="151"/>
      <c r="J1963" s="151">
        <v>100</v>
      </c>
      <c r="K1963" s="151">
        <v>20</v>
      </c>
      <c r="L1963" s="1"/>
      <c r="M1963" s="73">
        <f t="shared" si="243"/>
        <v>0</v>
      </c>
      <c r="N1963" s="73">
        <f t="shared" si="248"/>
        <v>0</v>
      </c>
      <c r="O1963" s="73">
        <f t="shared" si="242"/>
        <v>0</v>
      </c>
      <c r="P1963" s="73">
        <f t="shared" si="244"/>
        <v>0</v>
      </c>
      <c r="Q1963" s="73"/>
      <c r="R1963" s="73">
        <v>0</v>
      </c>
      <c r="S1963" s="75">
        <f t="shared" si="247"/>
        <v>0</v>
      </c>
      <c r="T1963" s="77">
        <v>0</v>
      </c>
      <c r="U1963" s="66">
        <v>40529</v>
      </c>
      <c r="V1963" s="79"/>
      <c r="W1963" s="66" t="s">
        <v>1606</v>
      </c>
      <c r="X1963" s="264" t="s">
        <v>1607</v>
      </c>
      <c r="Y1963" s="62"/>
      <c r="Z1963" s="260" t="s">
        <v>18</v>
      </c>
      <c r="AA1963" s="166" t="s">
        <v>2928</v>
      </c>
      <c r="AB1963" s="152"/>
      <c r="AC1963" s="153"/>
      <c r="AD1963" s="154"/>
      <c r="AE1963" s="153"/>
      <c r="AF1963" s="153"/>
      <c r="AG1963" s="153"/>
      <c r="AH1963" s="153"/>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c r="BF1963" s="153"/>
      <c r="BG1963" s="153"/>
      <c r="BH1963" s="153"/>
      <c r="BI1963" s="153"/>
      <c r="BJ1963" s="153"/>
      <c r="BK1963" s="153"/>
      <c r="BL1963" s="153"/>
      <c r="BM1963" s="153"/>
      <c r="BN1963" s="153"/>
      <c r="BO1963" s="153"/>
      <c r="BP1963" s="153"/>
      <c r="BQ1963" s="153"/>
      <c r="BR1963" s="153"/>
      <c r="BS1963" s="153"/>
      <c r="BT1963" s="153"/>
      <c r="BU1963" s="153"/>
      <c r="BV1963" s="153"/>
      <c r="BW1963" s="153"/>
      <c r="BX1963" s="153"/>
      <c r="BY1963" s="153"/>
      <c r="BZ1963" s="153"/>
      <c r="CA1963" s="153"/>
      <c r="CB1963" s="153"/>
      <c r="CC1963" s="153"/>
      <c r="CD1963" s="155"/>
      <c r="CE1963" s="156"/>
      <c r="CF1963" s="155"/>
      <c r="CG1963" s="156"/>
      <c r="CH1963" s="155"/>
      <c r="CI1963" s="156"/>
      <c r="CJ1963" s="157">
        <f t="shared" si="245"/>
        <v>0</v>
      </c>
      <c r="CK1963" s="158"/>
      <c r="CL1963" s="159"/>
      <c r="CM1963" s="160"/>
      <c r="CN1963" s="161"/>
      <c r="CO1963" s="162"/>
      <c r="CP1963" s="161"/>
      <c r="CQ1963" s="158"/>
      <c r="CR1963" s="159"/>
      <c r="CS1963" s="68"/>
      <c r="CT1963" s="163"/>
      <c r="EC1963" s="366" t="str">
        <f t="shared" si="246"/>
        <v>NORTE DE SANTANDER_CUCUTILLA</v>
      </c>
      <c r="ED1963" s="367"/>
      <c r="EE1963" s="367"/>
      <c r="EF1963" s="368"/>
      <c r="EG1963" s="367"/>
      <c r="EH1963" s="367"/>
      <c r="EI1963" s="367"/>
    </row>
    <row r="1964" spans="1:139" s="164" customFormat="1" ht="51">
      <c r="A1964" s="228">
        <v>40513</v>
      </c>
      <c r="B1964" s="205" t="s">
        <v>965</v>
      </c>
      <c r="C1964" s="205" t="s">
        <v>762</v>
      </c>
      <c r="D1964" s="207" t="s">
        <v>1201</v>
      </c>
      <c r="E1964" s="323" t="s">
        <v>4024</v>
      </c>
      <c r="F1964" s="323"/>
      <c r="G1964" s="204"/>
      <c r="H1964" s="151"/>
      <c r="I1964" s="151"/>
      <c r="J1964" s="151">
        <v>360</v>
      </c>
      <c r="K1964" s="151">
        <v>80</v>
      </c>
      <c r="L1964" s="1"/>
      <c r="M1964" s="73">
        <f t="shared" si="243"/>
        <v>0</v>
      </c>
      <c r="N1964" s="73">
        <f t="shared" si="248"/>
        <v>0</v>
      </c>
      <c r="O1964" s="73">
        <f t="shared" si="242"/>
        <v>0</v>
      </c>
      <c r="P1964" s="73">
        <f t="shared" si="244"/>
        <v>0</v>
      </c>
      <c r="Q1964" s="73"/>
      <c r="R1964" s="73">
        <v>0</v>
      </c>
      <c r="S1964" s="75">
        <f t="shared" si="247"/>
        <v>0</v>
      </c>
      <c r="T1964" s="77">
        <v>0</v>
      </c>
      <c r="U1964" s="66">
        <v>40529</v>
      </c>
      <c r="V1964" s="79"/>
      <c r="W1964" s="66" t="s">
        <v>1606</v>
      </c>
      <c r="X1964" s="264" t="s">
        <v>1607</v>
      </c>
      <c r="Y1964" s="62"/>
      <c r="Z1964" s="260" t="s">
        <v>18</v>
      </c>
      <c r="AA1964" s="166" t="s">
        <v>767</v>
      </c>
      <c r="AB1964" s="152"/>
      <c r="AC1964" s="153"/>
      <c r="AD1964" s="154"/>
      <c r="AE1964" s="153"/>
      <c r="AF1964" s="153"/>
      <c r="AG1964" s="153"/>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c r="BF1964" s="153"/>
      <c r="BG1964" s="153"/>
      <c r="BH1964" s="153"/>
      <c r="BI1964" s="153"/>
      <c r="BJ1964" s="153"/>
      <c r="BK1964" s="153"/>
      <c r="BL1964" s="153"/>
      <c r="BM1964" s="153"/>
      <c r="BN1964" s="153"/>
      <c r="BO1964" s="153"/>
      <c r="BP1964" s="153"/>
      <c r="BQ1964" s="153"/>
      <c r="BR1964" s="153"/>
      <c r="BS1964" s="153"/>
      <c r="BT1964" s="153"/>
      <c r="BU1964" s="153"/>
      <c r="BV1964" s="153"/>
      <c r="BW1964" s="153"/>
      <c r="BX1964" s="153"/>
      <c r="BY1964" s="153"/>
      <c r="BZ1964" s="153"/>
      <c r="CA1964" s="153"/>
      <c r="CB1964" s="153"/>
      <c r="CC1964" s="153"/>
      <c r="CD1964" s="155"/>
      <c r="CE1964" s="156"/>
      <c r="CF1964" s="155"/>
      <c r="CG1964" s="156"/>
      <c r="CH1964" s="155"/>
      <c r="CI1964" s="156"/>
      <c r="CJ1964" s="157">
        <f t="shared" si="245"/>
        <v>0</v>
      </c>
      <c r="CK1964" s="158"/>
      <c r="CL1964" s="159"/>
      <c r="CM1964" s="160"/>
      <c r="CN1964" s="161"/>
      <c r="CO1964" s="162"/>
      <c r="CP1964" s="161"/>
      <c r="CQ1964" s="158"/>
      <c r="CR1964" s="159"/>
      <c r="CS1964" s="68"/>
      <c r="CT1964" s="163"/>
      <c r="EC1964" s="366" t="str">
        <f t="shared" si="246"/>
        <v>NORTE DE SANTANDER_PAMPLONITA</v>
      </c>
      <c r="ED1964" s="367"/>
      <c r="EE1964" s="367"/>
      <c r="EF1964" s="368"/>
      <c r="EG1964" s="367"/>
      <c r="EH1964" s="367"/>
      <c r="EI1964" s="367"/>
    </row>
    <row r="1965" spans="1:139" s="164" customFormat="1" ht="51">
      <c r="A1965" s="228">
        <v>40513</v>
      </c>
      <c r="B1965" s="205" t="s">
        <v>965</v>
      </c>
      <c r="C1965" s="205" t="s">
        <v>763</v>
      </c>
      <c r="D1965" s="207" t="s">
        <v>1201</v>
      </c>
      <c r="E1965" s="323" t="s">
        <v>4030</v>
      </c>
      <c r="F1965" s="323"/>
      <c r="G1965" s="204"/>
      <c r="H1965" s="151"/>
      <c r="I1965" s="151"/>
      <c r="J1965" s="151">
        <v>316</v>
      </c>
      <c r="K1965" s="151">
        <v>127</v>
      </c>
      <c r="L1965" s="1"/>
      <c r="M1965" s="73">
        <f t="shared" si="243"/>
        <v>0</v>
      </c>
      <c r="N1965" s="73">
        <f t="shared" si="248"/>
        <v>0</v>
      </c>
      <c r="O1965" s="73">
        <f t="shared" si="242"/>
        <v>0</v>
      </c>
      <c r="P1965" s="73">
        <f t="shared" si="244"/>
        <v>0</v>
      </c>
      <c r="Q1965" s="73"/>
      <c r="R1965" s="73">
        <v>0</v>
      </c>
      <c r="S1965" s="75">
        <f t="shared" si="247"/>
        <v>0</v>
      </c>
      <c r="T1965" s="77">
        <v>0</v>
      </c>
      <c r="U1965" s="66">
        <v>40529</v>
      </c>
      <c r="V1965" s="79"/>
      <c r="W1965" s="66" t="s">
        <v>1606</v>
      </c>
      <c r="X1965" s="264" t="s">
        <v>1607</v>
      </c>
      <c r="Y1965" s="62"/>
      <c r="Z1965" s="260" t="s">
        <v>18</v>
      </c>
      <c r="AA1965" s="166" t="s">
        <v>767</v>
      </c>
      <c r="AB1965" s="152"/>
      <c r="AC1965" s="153"/>
      <c r="AD1965" s="154"/>
      <c r="AE1965" s="153"/>
      <c r="AF1965" s="153"/>
      <c r="AG1965" s="153"/>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c r="BF1965" s="153"/>
      <c r="BG1965" s="153"/>
      <c r="BH1965" s="153"/>
      <c r="BI1965" s="153"/>
      <c r="BJ1965" s="153"/>
      <c r="BK1965" s="153"/>
      <c r="BL1965" s="153"/>
      <c r="BM1965" s="153"/>
      <c r="BN1965" s="153"/>
      <c r="BO1965" s="153"/>
      <c r="BP1965" s="153"/>
      <c r="BQ1965" s="153"/>
      <c r="BR1965" s="153"/>
      <c r="BS1965" s="153"/>
      <c r="BT1965" s="153"/>
      <c r="BU1965" s="153"/>
      <c r="BV1965" s="153"/>
      <c r="BW1965" s="153"/>
      <c r="BX1965" s="153"/>
      <c r="BY1965" s="153"/>
      <c r="BZ1965" s="153"/>
      <c r="CA1965" s="153"/>
      <c r="CB1965" s="153"/>
      <c r="CC1965" s="153"/>
      <c r="CD1965" s="155"/>
      <c r="CE1965" s="156"/>
      <c r="CF1965" s="155"/>
      <c r="CG1965" s="156"/>
      <c r="CH1965" s="155"/>
      <c r="CI1965" s="156"/>
      <c r="CJ1965" s="157">
        <f t="shared" si="245"/>
        <v>0</v>
      </c>
      <c r="CK1965" s="158"/>
      <c r="CL1965" s="159"/>
      <c r="CM1965" s="160"/>
      <c r="CN1965" s="161"/>
      <c r="CO1965" s="162"/>
      <c r="CP1965" s="161"/>
      <c r="CQ1965" s="158"/>
      <c r="CR1965" s="159"/>
      <c r="CS1965" s="68"/>
      <c r="CT1965" s="163"/>
      <c r="EC1965" s="366" t="str">
        <f t="shared" si="246"/>
        <v>NORTE DE SANTANDER_SANTIAGO</v>
      </c>
      <c r="ED1965" s="367"/>
      <c r="EE1965" s="367"/>
      <c r="EF1965" s="368"/>
      <c r="EG1965" s="367"/>
      <c r="EH1965" s="367"/>
      <c r="EI1965" s="367"/>
    </row>
    <row r="1966" spans="1:139" s="164" customFormat="1" ht="45">
      <c r="A1966" s="228">
        <v>40513</v>
      </c>
      <c r="B1966" s="205" t="s">
        <v>965</v>
      </c>
      <c r="C1966" s="205" t="s">
        <v>764</v>
      </c>
      <c r="D1966" s="207" t="s">
        <v>1201</v>
      </c>
      <c r="E1966" s="323" t="s">
        <v>4032</v>
      </c>
      <c r="F1966" s="323"/>
      <c r="G1966" s="204"/>
      <c r="H1966" s="151"/>
      <c r="I1966" s="151"/>
      <c r="J1966" s="151">
        <f>60*5</f>
        <v>300</v>
      </c>
      <c r="K1966" s="151">
        <v>60</v>
      </c>
      <c r="L1966" s="1"/>
      <c r="M1966" s="73">
        <f t="shared" si="243"/>
        <v>0</v>
      </c>
      <c r="N1966" s="73">
        <f t="shared" si="248"/>
        <v>0</v>
      </c>
      <c r="O1966" s="73">
        <f t="shared" si="242"/>
        <v>0</v>
      </c>
      <c r="P1966" s="73">
        <f t="shared" si="244"/>
        <v>0</v>
      </c>
      <c r="Q1966" s="73"/>
      <c r="R1966" s="73">
        <v>0</v>
      </c>
      <c r="S1966" s="75">
        <f t="shared" si="247"/>
        <v>0</v>
      </c>
      <c r="T1966" s="77">
        <v>0</v>
      </c>
      <c r="U1966" s="66">
        <v>40529</v>
      </c>
      <c r="V1966" s="79"/>
      <c r="W1966" s="66" t="s">
        <v>1606</v>
      </c>
      <c r="X1966" s="264" t="s">
        <v>1607</v>
      </c>
      <c r="Y1966" s="62"/>
      <c r="Z1966" s="260" t="s">
        <v>18</v>
      </c>
      <c r="AA1966" s="166" t="s">
        <v>767</v>
      </c>
      <c r="AB1966" s="152"/>
      <c r="AC1966" s="153"/>
      <c r="AD1966" s="154"/>
      <c r="AE1966" s="153"/>
      <c r="AF1966" s="153"/>
      <c r="AG1966" s="153"/>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c r="BF1966" s="153"/>
      <c r="BG1966" s="153"/>
      <c r="BH1966" s="153"/>
      <c r="BI1966" s="153"/>
      <c r="BJ1966" s="153"/>
      <c r="BK1966" s="153"/>
      <c r="BL1966" s="153"/>
      <c r="BM1966" s="153"/>
      <c r="BN1966" s="153"/>
      <c r="BO1966" s="153"/>
      <c r="BP1966" s="153"/>
      <c r="BQ1966" s="153"/>
      <c r="BR1966" s="153"/>
      <c r="BS1966" s="153"/>
      <c r="BT1966" s="153"/>
      <c r="BU1966" s="153"/>
      <c r="BV1966" s="153"/>
      <c r="BW1966" s="153"/>
      <c r="BX1966" s="153"/>
      <c r="BY1966" s="153"/>
      <c r="BZ1966" s="153"/>
      <c r="CA1966" s="153"/>
      <c r="CB1966" s="153"/>
      <c r="CC1966" s="153"/>
      <c r="CD1966" s="155"/>
      <c r="CE1966" s="156"/>
      <c r="CF1966" s="155"/>
      <c r="CG1966" s="156"/>
      <c r="CH1966" s="155"/>
      <c r="CI1966" s="156"/>
      <c r="CJ1966" s="157">
        <f t="shared" si="245"/>
        <v>0</v>
      </c>
      <c r="CK1966" s="158"/>
      <c r="CL1966" s="159"/>
      <c r="CM1966" s="160"/>
      <c r="CN1966" s="161"/>
      <c r="CO1966" s="162"/>
      <c r="CP1966" s="161"/>
      <c r="CQ1966" s="158"/>
      <c r="CR1966" s="159"/>
      <c r="CS1966" s="68"/>
      <c r="CT1966" s="163"/>
      <c r="EC1966" s="366" t="str">
        <f t="shared" si="246"/>
        <v>NORTE DE SANTANDER_SILOS</v>
      </c>
      <c r="ED1966" s="367"/>
      <c r="EE1966" s="367"/>
      <c r="EF1966" s="368"/>
      <c r="EG1966" s="367"/>
      <c r="EH1966" s="367"/>
      <c r="EI1966" s="367"/>
    </row>
    <row r="1967" spans="1:139" s="164" customFormat="1" ht="25.5">
      <c r="A1967" s="228">
        <v>40513</v>
      </c>
      <c r="B1967" s="205" t="s">
        <v>1612</v>
      </c>
      <c r="C1967" s="205" t="s">
        <v>1149</v>
      </c>
      <c r="D1967" s="207" t="s">
        <v>1878</v>
      </c>
      <c r="E1967" s="323" t="s">
        <v>4049</v>
      </c>
      <c r="F1967" s="323"/>
      <c r="G1967" s="204"/>
      <c r="H1967" s="151"/>
      <c r="I1967" s="151"/>
      <c r="J1967" s="151">
        <f>20*5</f>
        <v>100</v>
      </c>
      <c r="K1967" s="151">
        <v>20</v>
      </c>
      <c r="L1967" s="1"/>
      <c r="M1967" s="73">
        <f t="shared" si="243"/>
        <v>0</v>
      </c>
      <c r="N1967" s="73">
        <f t="shared" si="248"/>
        <v>0</v>
      </c>
      <c r="O1967" s="73">
        <f t="shared" si="242"/>
        <v>0</v>
      </c>
      <c r="P1967" s="73">
        <f t="shared" si="244"/>
        <v>0</v>
      </c>
      <c r="Q1967" s="73"/>
      <c r="R1967" s="73">
        <v>0</v>
      </c>
      <c r="S1967" s="75">
        <f t="shared" si="247"/>
        <v>0</v>
      </c>
      <c r="T1967" s="77">
        <v>0</v>
      </c>
      <c r="U1967" s="66">
        <v>40514</v>
      </c>
      <c r="V1967" s="79"/>
      <c r="W1967" s="66" t="s">
        <v>1585</v>
      </c>
      <c r="X1967" s="24" t="s">
        <v>1586</v>
      </c>
      <c r="Y1967" s="62"/>
      <c r="Z1967" s="169" t="s">
        <v>894</v>
      </c>
      <c r="AA1967" s="166" t="s">
        <v>865</v>
      </c>
      <c r="AB1967" s="152"/>
      <c r="AC1967" s="153"/>
      <c r="AD1967" s="154"/>
      <c r="AE1967" s="153"/>
      <c r="AF1967" s="153"/>
      <c r="AG1967" s="153"/>
      <c r="AH1967" s="153"/>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c r="BF1967" s="153"/>
      <c r="BG1967" s="153"/>
      <c r="BH1967" s="153"/>
      <c r="BI1967" s="153"/>
      <c r="BJ1967" s="153"/>
      <c r="BK1967" s="153"/>
      <c r="BL1967" s="153"/>
      <c r="BM1967" s="153"/>
      <c r="BN1967" s="153"/>
      <c r="BO1967" s="153"/>
      <c r="BP1967" s="153"/>
      <c r="BQ1967" s="153"/>
      <c r="BR1967" s="153"/>
      <c r="BS1967" s="153"/>
      <c r="BT1967" s="153"/>
      <c r="BU1967" s="153"/>
      <c r="BV1967" s="153"/>
      <c r="BW1967" s="153"/>
      <c r="BX1967" s="153"/>
      <c r="BY1967" s="153"/>
      <c r="BZ1967" s="153"/>
      <c r="CA1967" s="153"/>
      <c r="CB1967" s="153"/>
      <c r="CC1967" s="153"/>
      <c r="CD1967" s="155"/>
      <c r="CE1967" s="156"/>
      <c r="CF1967" s="155"/>
      <c r="CG1967" s="156"/>
      <c r="CH1967" s="155"/>
      <c r="CI1967" s="156"/>
      <c r="CJ1967" s="157">
        <f t="shared" si="245"/>
        <v>0</v>
      </c>
      <c r="CK1967" s="158"/>
      <c r="CL1967" s="159"/>
      <c r="CM1967" s="160"/>
      <c r="CN1967" s="161"/>
      <c r="CO1967" s="162"/>
      <c r="CP1967" s="161"/>
      <c r="CQ1967" s="158"/>
      <c r="CR1967" s="159"/>
      <c r="CS1967" s="68"/>
      <c r="CT1967" s="163"/>
      <c r="EC1967" s="366" t="str">
        <f t="shared" si="246"/>
        <v>QUINDIO_SALENTO</v>
      </c>
      <c r="ED1967" s="367"/>
      <c r="EE1967" s="367"/>
      <c r="EF1967" s="368"/>
      <c r="EG1967" s="367"/>
      <c r="EH1967" s="367"/>
      <c r="EI1967" s="367"/>
    </row>
    <row r="1968" spans="1:139" s="164" customFormat="1" ht="36">
      <c r="A1968" s="228">
        <v>40513</v>
      </c>
      <c r="B1968" s="205" t="s">
        <v>1609</v>
      </c>
      <c r="C1968" s="205" t="s">
        <v>2004</v>
      </c>
      <c r="D1968" s="207" t="s">
        <v>1878</v>
      </c>
      <c r="E1968" s="323" t="s">
        <v>4050</v>
      </c>
      <c r="F1968" s="323"/>
      <c r="G1968" s="204"/>
      <c r="H1968" s="151"/>
      <c r="I1968" s="151"/>
      <c r="J1968" s="151">
        <v>25</v>
      </c>
      <c r="K1968" s="151">
        <v>5</v>
      </c>
      <c r="L1968" s="1"/>
      <c r="M1968" s="73">
        <f t="shared" si="243"/>
        <v>0</v>
      </c>
      <c r="N1968" s="73">
        <f t="shared" si="248"/>
        <v>0</v>
      </c>
      <c r="O1968" s="73">
        <f t="shared" si="242"/>
        <v>0</v>
      </c>
      <c r="P1968" s="73">
        <f t="shared" si="244"/>
        <v>0</v>
      </c>
      <c r="Q1968" s="73"/>
      <c r="R1968" s="73">
        <v>0</v>
      </c>
      <c r="S1968" s="75">
        <f t="shared" si="247"/>
        <v>0</v>
      </c>
      <c r="T1968" s="77">
        <v>0</v>
      </c>
      <c r="U1968" s="228">
        <v>40514</v>
      </c>
      <c r="V1968" s="79"/>
      <c r="W1968" s="66" t="s">
        <v>1585</v>
      </c>
      <c r="X1968" s="24" t="s">
        <v>1586</v>
      </c>
      <c r="Y1968" s="62"/>
      <c r="Z1968" s="169" t="s">
        <v>894</v>
      </c>
      <c r="AA1968" s="166" t="s">
        <v>863</v>
      </c>
      <c r="AB1968" s="152"/>
      <c r="AC1968" s="153"/>
      <c r="AD1968" s="154"/>
      <c r="AE1968" s="153"/>
      <c r="AF1968" s="153"/>
      <c r="AG1968" s="153"/>
      <c r="AH1968" s="153"/>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c r="BF1968" s="153"/>
      <c r="BG1968" s="153"/>
      <c r="BH1968" s="153"/>
      <c r="BI1968" s="153"/>
      <c r="BJ1968" s="153"/>
      <c r="BK1968" s="153"/>
      <c r="BL1968" s="153"/>
      <c r="BM1968" s="153"/>
      <c r="BN1968" s="153"/>
      <c r="BO1968" s="153"/>
      <c r="BP1968" s="153"/>
      <c r="BQ1968" s="153"/>
      <c r="BR1968" s="153"/>
      <c r="BS1968" s="153"/>
      <c r="BT1968" s="153"/>
      <c r="BU1968" s="153"/>
      <c r="BV1968" s="153"/>
      <c r="BW1968" s="153"/>
      <c r="BX1968" s="153"/>
      <c r="BY1968" s="153"/>
      <c r="BZ1968" s="153"/>
      <c r="CA1968" s="153"/>
      <c r="CB1968" s="153"/>
      <c r="CC1968" s="153"/>
      <c r="CD1968" s="155"/>
      <c r="CE1968" s="156"/>
      <c r="CF1968" s="155"/>
      <c r="CG1968" s="156"/>
      <c r="CH1968" s="155"/>
      <c r="CI1968" s="156"/>
      <c r="CJ1968" s="157">
        <f t="shared" si="245"/>
        <v>0</v>
      </c>
      <c r="CK1968" s="158"/>
      <c r="CL1968" s="159"/>
      <c r="CM1968" s="160"/>
      <c r="CN1968" s="161"/>
      <c r="CO1968" s="162"/>
      <c r="CP1968" s="161"/>
      <c r="CQ1968" s="158"/>
      <c r="CR1968" s="159"/>
      <c r="CS1968" s="68"/>
      <c r="CT1968" s="163"/>
      <c r="EC1968" s="366" t="str">
        <f t="shared" si="246"/>
        <v>RISARALDA_PEREIRA</v>
      </c>
      <c r="ED1968" s="367"/>
      <c r="EE1968" s="367"/>
      <c r="EF1968" s="368"/>
      <c r="EG1968" s="367"/>
      <c r="EH1968" s="367"/>
      <c r="EI1968" s="367"/>
    </row>
    <row r="1969" spans="1:139" s="164" customFormat="1" ht="48">
      <c r="A1969" s="228">
        <v>40513</v>
      </c>
      <c r="B1969" s="205" t="s">
        <v>1998</v>
      </c>
      <c r="C1969" s="205" t="s">
        <v>2271</v>
      </c>
      <c r="D1969" s="207" t="s">
        <v>1201</v>
      </c>
      <c r="E1969" s="323" t="s">
        <v>4129</v>
      </c>
      <c r="F1969" s="323"/>
      <c r="G1969" s="263"/>
      <c r="H1969" s="151"/>
      <c r="I1969" s="151"/>
      <c r="J1969" s="151">
        <f>3446*5</f>
        <v>17230</v>
      </c>
      <c r="K1969" s="175">
        <f>3579-80-3-50</f>
        <v>3446</v>
      </c>
      <c r="L1969" s="1"/>
      <c r="M1969" s="73">
        <f t="shared" si="243"/>
        <v>61360000</v>
      </c>
      <c r="N1969" s="73">
        <f t="shared" si="248"/>
        <v>68000000</v>
      </c>
      <c r="O1969" s="73">
        <f t="shared" si="242"/>
        <v>0</v>
      </c>
      <c r="P1969" s="73">
        <f t="shared" si="244"/>
        <v>0</v>
      </c>
      <c r="Q1969" s="73"/>
      <c r="R1969" s="73">
        <v>0</v>
      </c>
      <c r="S1969" s="75">
        <f t="shared" si="247"/>
        <v>129360000</v>
      </c>
      <c r="T1969" s="77">
        <v>0</v>
      </c>
      <c r="U1969" s="228"/>
      <c r="V1969" s="79"/>
      <c r="W1969" s="66" t="s">
        <v>1606</v>
      </c>
      <c r="X1969" s="24" t="s">
        <v>1607</v>
      </c>
      <c r="Y1969" s="62"/>
      <c r="Z1969" s="169"/>
      <c r="AA1969" s="166" t="s">
        <v>3021</v>
      </c>
      <c r="AB1969" s="152"/>
      <c r="AC1969" s="153"/>
      <c r="AD1969" s="154"/>
      <c r="AE1969" s="153"/>
      <c r="AF1969" s="153"/>
      <c r="AG1969" s="153"/>
      <c r="AH1969" s="153"/>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c r="BF1969" s="153"/>
      <c r="BG1969" s="153"/>
      <c r="BH1969" s="153"/>
      <c r="BI1969" s="153"/>
      <c r="BJ1969" s="153"/>
      <c r="BK1969" s="153"/>
      <c r="BL1969" s="153"/>
      <c r="BM1969" s="153"/>
      <c r="BN1969" s="153"/>
      <c r="BO1969" s="153"/>
      <c r="BP1969" s="153"/>
      <c r="BQ1969" s="153"/>
      <c r="BR1969" s="153"/>
      <c r="BS1969" s="153"/>
      <c r="BT1969" s="153"/>
      <c r="BU1969" s="153"/>
      <c r="BV1969" s="153"/>
      <c r="BW1969" s="153"/>
      <c r="BX1969" s="153"/>
      <c r="BY1969" s="153"/>
      <c r="BZ1969" s="153"/>
      <c r="CA1969" s="153"/>
      <c r="CB1969" s="153"/>
      <c r="CC1969" s="153"/>
      <c r="CD1969" s="155">
        <v>800</v>
      </c>
      <c r="CE1969" s="156">
        <f>800*37000</f>
        <v>29600000</v>
      </c>
      <c r="CF1969" s="155">
        <v>800</v>
      </c>
      <c r="CG1969" s="156">
        <f>800*39700</f>
        <v>31760000</v>
      </c>
      <c r="CH1969" s="155"/>
      <c r="CI1969" s="156"/>
      <c r="CJ1969" s="157">
        <f t="shared" si="245"/>
        <v>61360000</v>
      </c>
      <c r="CK1969" s="158"/>
      <c r="CL1969" s="159"/>
      <c r="CM1969" s="160">
        <v>800</v>
      </c>
      <c r="CN1969" s="161">
        <f>800*85000</f>
        <v>68000000</v>
      </c>
      <c r="CO1969" s="162"/>
      <c r="CP1969" s="161"/>
      <c r="CQ1969" s="158"/>
      <c r="CR1969" s="159"/>
      <c r="CS1969" s="68"/>
      <c r="CT1969" s="163">
        <v>1447</v>
      </c>
      <c r="EC1969" s="366" t="str">
        <f t="shared" si="246"/>
        <v>SANTANDER_RIONEGRO</v>
      </c>
      <c r="ED1969" s="367"/>
      <c r="EE1969" s="367"/>
      <c r="EF1969" s="368"/>
      <c r="EG1969" s="367"/>
      <c r="EH1969" s="367"/>
      <c r="EI1969" s="367"/>
    </row>
    <row r="1970" spans="1:139" s="164" customFormat="1" ht="38.25">
      <c r="A1970" s="228">
        <v>40513</v>
      </c>
      <c r="B1970" s="205" t="s">
        <v>1088</v>
      </c>
      <c r="C1970" s="205" t="s">
        <v>760</v>
      </c>
      <c r="D1970" s="207" t="s">
        <v>1201</v>
      </c>
      <c r="E1970" s="323" t="s">
        <v>4239</v>
      </c>
      <c r="F1970" s="323"/>
      <c r="G1970" s="204"/>
      <c r="H1970" s="151"/>
      <c r="I1970" s="151"/>
      <c r="J1970" s="151">
        <f>322*5</f>
        <v>1610</v>
      </c>
      <c r="K1970" s="151">
        <v>322</v>
      </c>
      <c r="L1970" s="1"/>
      <c r="M1970" s="73">
        <f t="shared" si="243"/>
        <v>925000</v>
      </c>
      <c r="N1970" s="73">
        <f t="shared" si="248"/>
        <v>2125000</v>
      </c>
      <c r="O1970" s="73">
        <f t="shared" si="242"/>
        <v>0</v>
      </c>
      <c r="P1970" s="73">
        <f t="shared" si="244"/>
        <v>0</v>
      </c>
      <c r="Q1970" s="73"/>
      <c r="R1970" s="73">
        <v>0</v>
      </c>
      <c r="S1970" s="75">
        <f t="shared" si="247"/>
        <v>3050000</v>
      </c>
      <c r="T1970" s="77">
        <v>0</v>
      </c>
      <c r="U1970" s="228"/>
      <c r="V1970" s="79"/>
      <c r="W1970" s="66" t="s">
        <v>1606</v>
      </c>
      <c r="X1970" s="24" t="s">
        <v>1607</v>
      </c>
      <c r="Y1970" s="62"/>
      <c r="Z1970" s="169"/>
      <c r="AA1970" s="166" t="s">
        <v>767</v>
      </c>
      <c r="AB1970" s="152"/>
      <c r="AC1970" s="153"/>
      <c r="AD1970" s="154"/>
      <c r="AE1970" s="153"/>
      <c r="AF1970" s="153"/>
      <c r="AG1970" s="153"/>
      <c r="AH1970" s="153"/>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c r="BF1970" s="153"/>
      <c r="BG1970" s="153"/>
      <c r="BH1970" s="153"/>
      <c r="BI1970" s="153"/>
      <c r="BJ1970" s="153"/>
      <c r="BK1970" s="153"/>
      <c r="BL1970" s="153"/>
      <c r="BM1970" s="153"/>
      <c r="BN1970" s="153"/>
      <c r="BO1970" s="153"/>
      <c r="BP1970" s="153"/>
      <c r="BQ1970" s="153"/>
      <c r="BR1970" s="153"/>
      <c r="BS1970" s="153"/>
      <c r="BT1970" s="153"/>
      <c r="BU1970" s="153"/>
      <c r="BV1970" s="153"/>
      <c r="BW1970" s="153"/>
      <c r="BX1970" s="153"/>
      <c r="BY1970" s="153"/>
      <c r="BZ1970" s="153"/>
      <c r="CA1970" s="153"/>
      <c r="CB1970" s="153"/>
      <c r="CC1970" s="153"/>
      <c r="CD1970" s="155">
        <v>25</v>
      </c>
      <c r="CE1970" s="156">
        <f>25*37000</f>
        <v>925000</v>
      </c>
      <c r="CF1970" s="155"/>
      <c r="CG1970" s="156"/>
      <c r="CH1970" s="155"/>
      <c r="CI1970" s="156"/>
      <c r="CJ1970" s="157">
        <f t="shared" si="245"/>
        <v>925000</v>
      </c>
      <c r="CK1970" s="158"/>
      <c r="CL1970" s="159"/>
      <c r="CM1970" s="160">
        <v>25</v>
      </c>
      <c r="CN1970" s="161">
        <f>25*85000</f>
        <v>2125000</v>
      </c>
      <c r="CO1970" s="162"/>
      <c r="CP1970" s="161"/>
      <c r="CQ1970" s="158"/>
      <c r="CR1970" s="159"/>
      <c r="CS1970" s="68"/>
      <c r="CT1970" s="163"/>
      <c r="EC1970" s="366" t="str">
        <f t="shared" si="246"/>
        <v>VALLE DEL CAUCA_EL CAIRO</v>
      </c>
      <c r="ED1970" s="367"/>
      <c r="EE1970" s="367"/>
      <c r="EF1970" s="368"/>
      <c r="EG1970" s="367"/>
      <c r="EH1970" s="367"/>
      <c r="EI1970" s="367"/>
    </row>
    <row r="1971" spans="1:139" s="164" customFormat="1" ht="38.25">
      <c r="A1971" s="228">
        <v>40513</v>
      </c>
      <c r="B1971" s="205" t="s">
        <v>1088</v>
      </c>
      <c r="C1971" s="205" t="s">
        <v>761</v>
      </c>
      <c r="D1971" s="207" t="s">
        <v>1201</v>
      </c>
      <c r="E1971" s="323" t="s">
        <v>4262</v>
      </c>
      <c r="F1971" s="323"/>
      <c r="G1971" s="204"/>
      <c r="H1971" s="151"/>
      <c r="I1971" s="151"/>
      <c r="J1971" s="151">
        <f>342*5</f>
        <v>1710</v>
      </c>
      <c r="K1971" s="151">
        <v>342</v>
      </c>
      <c r="L1971" s="1"/>
      <c r="M1971" s="73">
        <f t="shared" si="243"/>
        <v>0</v>
      </c>
      <c r="N1971" s="73">
        <f t="shared" si="248"/>
        <v>0</v>
      </c>
      <c r="O1971" s="73">
        <f t="shared" si="242"/>
        <v>0</v>
      </c>
      <c r="P1971" s="73">
        <f t="shared" si="244"/>
        <v>0</v>
      </c>
      <c r="Q1971" s="73"/>
      <c r="R1971" s="73">
        <v>0</v>
      </c>
      <c r="S1971" s="75">
        <f t="shared" si="247"/>
        <v>0</v>
      </c>
      <c r="T1971" s="77">
        <v>0</v>
      </c>
      <c r="U1971" s="228">
        <v>40514</v>
      </c>
      <c r="V1971" s="79"/>
      <c r="W1971" s="66" t="s">
        <v>1585</v>
      </c>
      <c r="X1971" s="24" t="s">
        <v>1586</v>
      </c>
      <c r="Y1971" s="62"/>
      <c r="Z1971" s="169" t="s">
        <v>894</v>
      </c>
      <c r="AA1971" s="166" t="s">
        <v>767</v>
      </c>
      <c r="AB1971" s="152"/>
      <c r="AC1971" s="153"/>
      <c r="AD1971" s="154"/>
      <c r="AE1971" s="153"/>
      <c r="AF1971" s="153"/>
      <c r="AG1971" s="153"/>
      <c r="AH1971" s="153"/>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c r="BF1971" s="153"/>
      <c r="BG1971" s="153"/>
      <c r="BH1971" s="153"/>
      <c r="BI1971" s="153"/>
      <c r="BJ1971" s="153"/>
      <c r="BK1971" s="153"/>
      <c r="BL1971" s="153"/>
      <c r="BM1971" s="153"/>
      <c r="BN1971" s="153"/>
      <c r="BO1971" s="153"/>
      <c r="BP1971" s="153"/>
      <c r="BQ1971" s="153"/>
      <c r="BR1971" s="153"/>
      <c r="BS1971" s="153"/>
      <c r="BT1971" s="153"/>
      <c r="BU1971" s="153"/>
      <c r="BV1971" s="153"/>
      <c r="BW1971" s="153"/>
      <c r="BX1971" s="153"/>
      <c r="BY1971" s="153"/>
      <c r="BZ1971" s="153"/>
      <c r="CA1971" s="153"/>
      <c r="CB1971" s="153"/>
      <c r="CC1971" s="153"/>
      <c r="CD1971" s="155"/>
      <c r="CE1971" s="156"/>
      <c r="CF1971" s="155"/>
      <c r="CG1971" s="156"/>
      <c r="CH1971" s="155"/>
      <c r="CI1971" s="156"/>
      <c r="CJ1971" s="157">
        <f t="shared" si="245"/>
        <v>0</v>
      </c>
      <c r="CK1971" s="158"/>
      <c r="CL1971" s="159"/>
      <c r="CM1971" s="160"/>
      <c r="CN1971" s="161"/>
      <c r="CO1971" s="162"/>
      <c r="CP1971" s="161"/>
      <c r="CQ1971" s="158"/>
      <c r="CR1971" s="159"/>
      <c r="CS1971" s="68"/>
      <c r="CT1971" s="163"/>
      <c r="EC1971" s="366" t="str">
        <f t="shared" si="246"/>
        <v>VALLE DEL CAUCA_VIJES</v>
      </c>
      <c r="ED1971" s="367"/>
      <c r="EE1971" s="367"/>
      <c r="EF1971" s="368"/>
      <c r="EG1971" s="367"/>
      <c r="EH1971" s="367"/>
      <c r="EI1971" s="367"/>
    </row>
    <row r="1972" spans="1:139" s="164" customFormat="1" ht="48">
      <c r="A1972" s="228">
        <v>40514</v>
      </c>
      <c r="B1972" s="205" t="s">
        <v>1192</v>
      </c>
      <c r="C1972" s="205" t="s">
        <v>63</v>
      </c>
      <c r="D1972" s="207" t="s">
        <v>1201</v>
      </c>
      <c r="E1972" s="323" t="s">
        <v>3454</v>
      </c>
      <c r="F1972" s="323"/>
      <c r="G1972" s="204"/>
      <c r="H1972" s="151"/>
      <c r="I1972" s="151"/>
      <c r="J1972" s="151">
        <f>137*5</f>
        <v>685</v>
      </c>
      <c r="K1972" s="151">
        <v>137</v>
      </c>
      <c r="L1972" s="1"/>
      <c r="M1972" s="73">
        <f t="shared" si="243"/>
        <v>0</v>
      </c>
      <c r="N1972" s="73">
        <f t="shared" si="248"/>
        <v>0</v>
      </c>
      <c r="O1972" s="73">
        <f t="shared" ref="O1972:O2035" si="249">CP1972+CR1972</f>
        <v>0</v>
      </c>
      <c r="P1972" s="73">
        <f t="shared" si="244"/>
        <v>0</v>
      </c>
      <c r="Q1972" s="73"/>
      <c r="R1972" s="73">
        <v>0</v>
      </c>
      <c r="S1972" s="75">
        <f t="shared" si="247"/>
        <v>0</v>
      </c>
      <c r="T1972" s="77">
        <v>0</v>
      </c>
      <c r="U1972" s="228">
        <v>40578</v>
      </c>
      <c r="V1972" s="79"/>
      <c r="W1972" s="66" t="s">
        <v>1585</v>
      </c>
      <c r="X1972" s="24" t="s">
        <v>1586</v>
      </c>
      <c r="Y1972" s="62"/>
      <c r="Z1972" s="169" t="s">
        <v>894</v>
      </c>
      <c r="AA1972" s="166" t="s">
        <v>64</v>
      </c>
      <c r="AB1972" s="152"/>
      <c r="AC1972" s="153"/>
      <c r="AD1972" s="154"/>
      <c r="AE1972" s="153"/>
      <c r="AF1972" s="153"/>
      <c r="AG1972" s="153"/>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c r="BF1972" s="153"/>
      <c r="BG1972" s="153"/>
      <c r="BH1972" s="153"/>
      <c r="BI1972" s="153"/>
      <c r="BJ1972" s="153"/>
      <c r="BK1972" s="153"/>
      <c r="BL1972" s="153"/>
      <c r="BM1972" s="153"/>
      <c r="BN1972" s="153"/>
      <c r="BO1972" s="153"/>
      <c r="BP1972" s="153"/>
      <c r="BQ1972" s="153"/>
      <c r="BR1972" s="153"/>
      <c r="BS1972" s="153"/>
      <c r="BT1972" s="153"/>
      <c r="BU1972" s="153"/>
      <c r="BV1972" s="153"/>
      <c r="BW1972" s="153"/>
      <c r="BX1972" s="153"/>
      <c r="BY1972" s="153"/>
      <c r="BZ1972" s="153"/>
      <c r="CA1972" s="153"/>
      <c r="CB1972" s="153"/>
      <c r="CC1972" s="153"/>
      <c r="CD1972" s="155"/>
      <c r="CE1972" s="156"/>
      <c r="CF1972" s="155"/>
      <c r="CG1972" s="156"/>
      <c r="CH1972" s="155"/>
      <c r="CI1972" s="156"/>
      <c r="CJ1972" s="157">
        <f t="shared" si="245"/>
        <v>0</v>
      </c>
      <c r="CK1972" s="158"/>
      <c r="CL1972" s="159"/>
      <c r="CM1972" s="160"/>
      <c r="CN1972" s="161"/>
      <c r="CO1972" s="162"/>
      <c r="CP1972" s="161"/>
      <c r="CQ1972" s="158"/>
      <c r="CR1972" s="159"/>
      <c r="CS1972" s="68"/>
      <c r="CT1972" s="163"/>
      <c r="EC1972" s="366" t="str">
        <f t="shared" si="246"/>
        <v>BOYACA_EL ESPINO</v>
      </c>
      <c r="ED1972" s="367"/>
      <c r="EE1972" s="367"/>
      <c r="EF1972" s="368"/>
      <c r="EG1972" s="367"/>
      <c r="EH1972" s="367"/>
      <c r="EI1972" s="367"/>
    </row>
    <row r="1973" spans="1:139" s="164" customFormat="1" ht="25.5">
      <c r="A1973" s="228">
        <v>40514</v>
      </c>
      <c r="B1973" s="205" t="s">
        <v>1192</v>
      </c>
      <c r="C1973" s="205" t="s">
        <v>2043</v>
      </c>
      <c r="D1973" s="207" t="s">
        <v>1878</v>
      </c>
      <c r="E1973" s="323" t="s">
        <v>3483</v>
      </c>
      <c r="F1973" s="323"/>
      <c r="G1973" s="204"/>
      <c r="H1973" s="151"/>
      <c r="I1973" s="151"/>
      <c r="J1973" s="151">
        <f>25*5</f>
        <v>125</v>
      </c>
      <c r="K1973" s="151">
        <v>25</v>
      </c>
      <c r="L1973" s="1"/>
      <c r="M1973" s="73">
        <f t="shared" si="243"/>
        <v>0</v>
      </c>
      <c r="N1973" s="73">
        <f t="shared" si="248"/>
        <v>0</v>
      </c>
      <c r="O1973" s="73">
        <f t="shared" si="249"/>
        <v>0</v>
      </c>
      <c r="P1973" s="73">
        <f t="shared" si="244"/>
        <v>0</v>
      </c>
      <c r="Q1973" s="73"/>
      <c r="R1973" s="73">
        <v>0</v>
      </c>
      <c r="S1973" s="75">
        <f t="shared" si="247"/>
        <v>0</v>
      </c>
      <c r="T1973" s="77">
        <v>0</v>
      </c>
      <c r="U1973" s="228">
        <v>40514</v>
      </c>
      <c r="V1973" s="79"/>
      <c r="W1973" s="66" t="s">
        <v>1585</v>
      </c>
      <c r="X1973" s="24" t="s">
        <v>1586</v>
      </c>
      <c r="Y1973" s="62"/>
      <c r="Z1973" s="169" t="s">
        <v>894</v>
      </c>
      <c r="AA1973" s="166" t="s">
        <v>2973</v>
      </c>
      <c r="AB1973" s="152"/>
      <c r="AC1973" s="153"/>
      <c r="AD1973" s="154"/>
      <c r="AE1973" s="153"/>
      <c r="AF1973" s="153"/>
      <c r="AG1973" s="153"/>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c r="BF1973" s="153"/>
      <c r="BG1973" s="153"/>
      <c r="BH1973" s="153"/>
      <c r="BI1973" s="153"/>
      <c r="BJ1973" s="153"/>
      <c r="BK1973" s="153"/>
      <c r="BL1973" s="153"/>
      <c r="BM1973" s="153"/>
      <c r="BN1973" s="153"/>
      <c r="BO1973" s="153"/>
      <c r="BP1973" s="153"/>
      <c r="BQ1973" s="153"/>
      <c r="BR1973" s="153"/>
      <c r="BS1973" s="153"/>
      <c r="BT1973" s="153"/>
      <c r="BU1973" s="153"/>
      <c r="BV1973" s="153"/>
      <c r="BW1973" s="153"/>
      <c r="BX1973" s="153"/>
      <c r="BY1973" s="153"/>
      <c r="BZ1973" s="153"/>
      <c r="CA1973" s="153"/>
      <c r="CB1973" s="153"/>
      <c r="CC1973" s="153"/>
      <c r="CD1973" s="155"/>
      <c r="CE1973" s="156"/>
      <c r="CF1973" s="155"/>
      <c r="CG1973" s="156"/>
      <c r="CH1973" s="155"/>
      <c r="CI1973" s="156"/>
      <c r="CJ1973" s="157">
        <f t="shared" si="245"/>
        <v>0</v>
      </c>
      <c r="CK1973" s="158"/>
      <c r="CL1973" s="159"/>
      <c r="CM1973" s="160"/>
      <c r="CN1973" s="161"/>
      <c r="CO1973" s="162"/>
      <c r="CP1973" s="161"/>
      <c r="CQ1973" s="158"/>
      <c r="CR1973" s="159"/>
      <c r="CS1973" s="68"/>
      <c r="CT1973" s="163"/>
      <c r="EC1973" s="366" t="str">
        <f t="shared" si="246"/>
        <v>BOYACA_OTANCHE</v>
      </c>
      <c r="ED1973" s="367"/>
      <c r="EE1973" s="367"/>
      <c r="EF1973" s="368"/>
      <c r="EG1973" s="367"/>
      <c r="EH1973" s="367"/>
      <c r="EI1973" s="367"/>
    </row>
    <row r="1974" spans="1:139" s="164" customFormat="1" ht="51">
      <c r="A1974" s="228">
        <v>40514</v>
      </c>
      <c r="B1974" s="205" t="s">
        <v>1192</v>
      </c>
      <c r="C1974" s="205" t="s">
        <v>885</v>
      </c>
      <c r="D1974" s="207" t="s">
        <v>1878</v>
      </c>
      <c r="E1974" s="323" t="s">
        <v>3507</v>
      </c>
      <c r="F1974" s="323"/>
      <c r="G1974" s="204"/>
      <c r="H1974" s="151"/>
      <c r="I1974" s="151"/>
      <c r="J1974" s="151">
        <v>100</v>
      </c>
      <c r="K1974" s="151">
        <v>20</v>
      </c>
      <c r="L1974" s="1"/>
      <c r="M1974" s="73">
        <f t="shared" si="243"/>
        <v>0</v>
      </c>
      <c r="N1974" s="73">
        <f t="shared" si="248"/>
        <v>0</v>
      </c>
      <c r="O1974" s="73">
        <f t="shared" si="249"/>
        <v>0</v>
      </c>
      <c r="P1974" s="73">
        <f t="shared" si="244"/>
        <v>0</v>
      </c>
      <c r="Q1974" s="73"/>
      <c r="R1974" s="73">
        <v>0</v>
      </c>
      <c r="S1974" s="75">
        <f t="shared" si="247"/>
        <v>0</v>
      </c>
      <c r="T1974" s="77">
        <v>0</v>
      </c>
      <c r="U1974" s="66">
        <v>40514</v>
      </c>
      <c r="V1974" s="79"/>
      <c r="W1974" s="66" t="s">
        <v>1585</v>
      </c>
      <c r="X1974" s="24" t="s">
        <v>1586</v>
      </c>
      <c r="Y1974" s="62"/>
      <c r="Z1974" s="169" t="s">
        <v>894</v>
      </c>
      <c r="AA1974" s="166" t="s">
        <v>2972</v>
      </c>
      <c r="AB1974" s="152"/>
      <c r="AC1974" s="153"/>
      <c r="AD1974" s="154"/>
      <c r="AE1974" s="153"/>
      <c r="AF1974" s="153"/>
      <c r="AG1974" s="153"/>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c r="BF1974" s="153"/>
      <c r="BG1974" s="153"/>
      <c r="BH1974" s="153"/>
      <c r="BI1974" s="153"/>
      <c r="BJ1974" s="153"/>
      <c r="BK1974" s="153"/>
      <c r="BL1974" s="153"/>
      <c r="BM1974" s="153"/>
      <c r="BN1974" s="153"/>
      <c r="BO1974" s="153"/>
      <c r="BP1974" s="153"/>
      <c r="BQ1974" s="153"/>
      <c r="BR1974" s="153"/>
      <c r="BS1974" s="153"/>
      <c r="BT1974" s="153"/>
      <c r="BU1974" s="153"/>
      <c r="BV1974" s="153"/>
      <c r="BW1974" s="153"/>
      <c r="BX1974" s="153"/>
      <c r="BY1974" s="153"/>
      <c r="BZ1974" s="153"/>
      <c r="CA1974" s="153"/>
      <c r="CB1974" s="153"/>
      <c r="CC1974" s="153"/>
      <c r="CD1974" s="155"/>
      <c r="CE1974" s="156"/>
      <c r="CF1974" s="155"/>
      <c r="CG1974" s="156"/>
      <c r="CH1974" s="155"/>
      <c r="CI1974" s="156"/>
      <c r="CJ1974" s="157">
        <f t="shared" si="245"/>
        <v>0</v>
      </c>
      <c r="CK1974" s="158"/>
      <c r="CL1974" s="159"/>
      <c r="CM1974" s="160"/>
      <c r="CN1974" s="161"/>
      <c r="CO1974" s="162"/>
      <c r="CP1974" s="161"/>
      <c r="CQ1974" s="158"/>
      <c r="CR1974" s="159"/>
      <c r="CS1974" s="68"/>
      <c r="CT1974" s="163"/>
      <c r="EC1974" s="366" t="str">
        <f t="shared" si="246"/>
        <v>BOYACA_SAN PABLO DE BORBUR</v>
      </c>
      <c r="ED1974" s="367"/>
      <c r="EE1974" s="367"/>
      <c r="EF1974" s="368"/>
      <c r="EG1974" s="367"/>
      <c r="EH1974" s="367"/>
      <c r="EI1974" s="367"/>
    </row>
    <row r="1975" spans="1:139" s="164" customFormat="1" ht="45">
      <c r="A1975" s="228">
        <v>40514</v>
      </c>
      <c r="B1975" s="205" t="s">
        <v>1314</v>
      </c>
      <c r="C1975" s="205" t="s">
        <v>2937</v>
      </c>
      <c r="D1975" s="207" t="s">
        <v>1201</v>
      </c>
      <c r="E1975" s="323" t="s">
        <v>3587</v>
      </c>
      <c r="F1975" s="323"/>
      <c r="G1975" s="204"/>
      <c r="H1975" s="151"/>
      <c r="I1975" s="151"/>
      <c r="J1975" s="151">
        <v>1231</v>
      </c>
      <c r="K1975" s="151">
        <v>1231</v>
      </c>
      <c r="L1975" s="1"/>
      <c r="M1975" s="73">
        <f t="shared" si="243"/>
        <v>0</v>
      </c>
      <c r="N1975" s="73">
        <f t="shared" si="248"/>
        <v>0</v>
      </c>
      <c r="O1975" s="73">
        <f t="shared" si="249"/>
        <v>0</v>
      </c>
      <c r="P1975" s="73">
        <f t="shared" si="244"/>
        <v>0</v>
      </c>
      <c r="Q1975" s="73"/>
      <c r="R1975" s="73">
        <v>0</v>
      </c>
      <c r="S1975" s="75">
        <f t="shared" si="247"/>
        <v>0</v>
      </c>
      <c r="T1975" s="77">
        <v>0</v>
      </c>
      <c r="U1975" s="66"/>
      <c r="V1975" s="79"/>
      <c r="W1975" s="66" t="s">
        <v>1606</v>
      </c>
      <c r="X1975" s="264" t="s">
        <v>1607</v>
      </c>
      <c r="Y1975" s="62"/>
      <c r="Z1975" s="260" t="s">
        <v>18</v>
      </c>
      <c r="AA1975" s="166" t="s">
        <v>902</v>
      </c>
      <c r="AB1975" s="152"/>
      <c r="AC1975" s="153"/>
      <c r="AD1975" s="154"/>
      <c r="AE1975" s="153"/>
      <c r="AF1975" s="153"/>
      <c r="AG1975" s="153"/>
      <c r="AH1975" s="153"/>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c r="BF1975" s="153"/>
      <c r="BG1975" s="153"/>
      <c r="BH1975" s="153"/>
      <c r="BI1975" s="153"/>
      <c r="BJ1975" s="153"/>
      <c r="BK1975" s="153"/>
      <c r="BL1975" s="153"/>
      <c r="BM1975" s="153"/>
      <c r="BN1975" s="153"/>
      <c r="BO1975" s="153"/>
      <c r="BP1975" s="153"/>
      <c r="BQ1975" s="153"/>
      <c r="BR1975" s="153"/>
      <c r="BS1975" s="153"/>
      <c r="BT1975" s="153"/>
      <c r="BU1975" s="153"/>
      <c r="BV1975" s="153"/>
      <c r="BW1975" s="153"/>
      <c r="BX1975" s="153"/>
      <c r="BY1975" s="153"/>
      <c r="BZ1975" s="153"/>
      <c r="CA1975" s="153"/>
      <c r="CB1975" s="153"/>
      <c r="CC1975" s="153"/>
      <c r="CD1975" s="155"/>
      <c r="CE1975" s="156"/>
      <c r="CF1975" s="155"/>
      <c r="CG1975" s="156"/>
      <c r="CH1975" s="155"/>
      <c r="CI1975" s="156"/>
      <c r="CJ1975" s="157">
        <f t="shared" si="245"/>
        <v>0</v>
      </c>
      <c r="CK1975" s="158"/>
      <c r="CL1975" s="159"/>
      <c r="CM1975" s="160"/>
      <c r="CN1975" s="161"/>
      <c r="CO1975" s="162"/>
      <c r="CP1975" s="161"/>
      <c r="CQ1975" s="158"/>
      <c r="CR1975" s="159"/>
      <c r="CS1975" s="68"/>
      <c r="CT1975" s="163"/>
      <c r="EC1975" s="366" t="str">
        <f t="shared" si="246"/>
        <v>CAUCA_ALMAGUER</v>
      </c>
      <c r="ED1975" s="367"/>
      <c r="EE1975" s="367"/>
      <c r="EF1975" s="368"/>
      <c r="EG1975" s="367"/>
      <c r="EH1975" s="367"/>
      <c r="EI1975" s="367"/>
    </row>
    <row r="1976" spans="1:139" s="164" customFormat="1" ht="38.25">
      <c r="A1976" s="228">
        <v>40514</v>
      </c>
      <c r="B1976" s="205" t="s">
        <v>1604</v>
      </c>
      <c r="C1976" s="205" t="s">
        <v>2351</v>
      </c>
      <c r="D1976" s="207" t="s">
        <v>1201</v>
      </c>
      <c r="E1976" s="323" t="s">
        <v>3764</v>
      </c>
      <c r="F1976" s="323"/>
      <c r="G1976" s="204"/>
      <c r="H1976" s="151"/>
      <c r="I1976" s="151"/>
      <c r="J1976" s="151">
        <v>35</v>
      </c>
      <c r="K1976" s="151">
        <v>8</v>
      </c>
      <c r="L1976" s="1"/>
      <c r="M1976" s="73">
        <f t="shared" si="243"/>
        <v>0</v>
      </c>
      <c r="N1976" s="73">
        <f t="shared" si="248"/>
        <v>0</v>
      </c>
      <c r="O1976" s="73">
        <f t="shared" si="249"/>
        <v>0</v>
      </c>
      <c r="P1976" s="73">
        <f t="shared" si="244"/>
        <v>0</v>
      </c>
      <c r="Q1976" s="73"/>
      <c r="R1976" s="73">
        <v>0</v>
      </c>
      <c r="S1976" s="75">
        <f t="shared" si="247"/>
        <v>0</v>
      </c>
      <c r="T1976" s="77">
        <v>0</v>
      </c>
      <c r="U1976" s="66">
        <v>40514</v>
      </c>
      <c r="V1976" s="79"/>
      <c r="W1976" s="66" t="s">
        <v>1585</v>
      </c>
      <c r="X1976" s="24" t="s">
        <v>1586</v>
      </c>
      <c r="Y1976" s="62"/>
      <c r="Z1976" s="169" t="s">
        <v>894</v>
      </c>
      <c r="AA1976" s="166" t="s">
        <v>479</v>
      </c>
      <c r="AB1976" s="152"/>
      <c r="AC1976" s="153"/>
      <c r="AD1976" s="154"/>
      <c r="AE1976" s="153"/>
      <c r="AF1976" s="153"/>
      <c r="AG1976" s="153"/>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c r="BF1976" s="153"/>
      <c r="BG1976" s="153"/>
      <c r="BH1976" s="153"/>
      <c r="BI1976" s="153"/>
      <c r="BJ1976" s="153"/>
      <c r="BK1976" s="153"/>
      <c r="BL1976" s="153"/>
      <c r="BM1976" s="153"/>
      <c r="BN1976" s="153"/>
      <c r="BO1976" s="153"/>
      <c r="BP1976" s="153"/>
      <c r="BQ1976" s="153"/>
      <c r="BR1976" s="153"/>
      <c r="BS1976" s="153"/>
      <c r="BT1976" s="153"/>
      <c r="BU1976" s="153"/>
      <c r="BV1976" s="153"/>
      <c r="BW1976" s="153"/>
      <c r="BX1976" s="153"/>
      <c r="BY1976" s="153"/>
      <c r="BZ1976" s="153"/>
      <c r="CA1976" s="153"/>
      <c r="CB1976" s="153"/>
      <c r="CC1976" s="153"/>
      <c r="CD1976" s="155"/>
      <c r="CE1976" s="156"/>
      <c r="CF1976" s="155"/>
      <c r="CG1976" s="156"/>
      <c r="CH1976" s="155"/>
      <c r="CI1976" s="156"/>
      <c r="CJ1976" s="157">
        <f t="shared" si="245"/>
        <v>0</v>
      </c>
      <c r="CK1976" s="158"/>
      <c r="CL1976" s="159"/>
      <c r="CM1976" s="160"/>
      <c r="CN1976" s="161"/>
      <c r="CO1976" s="162"/>
      <c r="CP1976" s="161"/>
      <c r="CQ1976" s="158"/>
      <c r="CR1976" s="159"/>
      <c r="CS1976" s="68"/>
      <c r="CT1976" s="163"/>
      <c r="EC1976" s="366" t="str">
        <f t="shared" si="246"/>
        <v>CUNDINAMARCA_SOACHA</v>
      </c>
      <c r="ED1976" s="367"/>
      <c r="EE1976" s="367"/>
      <c r="EF1976" s="368"/>
      <c r="EG1976" s="367"/>
      <c r="EH1976" s="367"/>
      <c r="EI1976" s="367"/>
    </row>
    <row r="1977" spans="1:139" s="164" customFormat="1" ht="45">
      <c r="A1977" s="228">
        <v>40514</v>
      </c>
      <c r="B1977" s="205" t="s">
        <v>962</v>
      </c>
      <c r="C1977" s="205" t="s">
        <v>1161</v>
      </c>
      <c r="D1977" s="207" t="s">
        <v>1201</v>
      </c>
      <c r="E1977" s="323" t="s">
        <v>3840</v>
      </c>
      <c r="F1977" s="323"/>
      <c r="G1977" s="204"/>
      <c r="H1977" s="151"/>
      <c r="I1977" s="151"/>
      <c r="J1977" s="151">
        <f>120*5</f>
        <v>600</v>
      </c>
      <c r="K1977" s="151">
        <f>124-1-3</f>
        <v>120</v>
      </c>
      <c r="L1977" s="1"/>
      <c r="M1977" s="73">
        <f t="shared" si="243"/>
        <v>0</v>
      </c>
      <c r="N1977" s="73">
        <f t="shared" si="248"/>
        <v>0</v>
      </c>
      <c r="O1977" s="73">
        <f t="shared" si="249"/>
        <v>0</v>
      </c>
      <c r="P1977" s="73">
        <f t="shared" si="244"/>
        <v>0</v>
      </c>
      <c r="Q1977" s="73"/>
      <c r="R1977" s="73">
        <v>0</v>
      </c>
      <c r="S1977" s="75">
        <f t="shared" si="247"/>
        <v>0</v>
      </c>
      <c r="T1977" s="77">
        <v>0</v>
      </c>
      <c r="U1977" s="66">
        <v>40514</v>
      </c>
      <c r="V1977" s="79"/>
      <c r="W1977" s="66" t="s">
        <v>1606</v>
      </c>
      <c r="X1977" s="264" t="s">
        <v>1607</v>
      </c>
      <c r="Y1977" s="62"/>
      <c r="Z1977" s="260" t="s">
        <v>18</v>
      </c>
      <c r="AA1977" s="166" t="s">
        <v>2962</v>
      </c>
      <c r="AB1977" s="152"/>
      <c r="AC1977" s="153"/>
      <c r="AD1977" s="154"/>
      <c r="AE1977" s="153"/>
      <c r="AF1977" s="153"/>
      <c r="AG1977" s="153"/>
      <c r="AH1977" s="153"/>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c r="BF1977" s="153"/>
      <c r="BG1977" s="153"/>
      <c r="BH1977" s="153"/>
      <c r="BI1977" s="153"/>
      <c r="BJ1977" s="153"/>
      <c r="BK1977" s="153"/>
      <c r="BL1977" s="153"/>
      <c r="BM1977" s="153"/>
      <c r="BN1977" s="153"/>
      <c r="BO1977" s="153"/>
      <c r="BP1977" s="153"/>
      <c r="BQ1977" s="153"/>
      <c r="BR1977" s="153"/>
      <c r="BS1977" s="153"/>
      <c r="BT1977" s="153"/>
      <c r="BU1977" s="153"/>
      <c r="BV1977" s="153"/>
      <c r="BW1977" s="153"/>
      <c r="BX1977" s="153"/>
      <c r="BY1977" s="153"/>
      <c r="BZ1977" s="153"/>
      <c r="CA1977" s="153"/>
      <c r="CB1977" s="153"/>
      <c r="CC1977" s="153"/>
      <c r="CD1977" s="155"/>
      <c r="CE1977" s="156"/>
      <c r="CF1977" s="155"/>
      <c r="CG1977" s="156"/>
      <c r="CH1977" s="155"/>
      <c r="CI1977" s="156"/>
      <c r="CJ1977" s="157">
        <f t="shared" si="245"/>
        <v>0</v>
      </c>
      <c r="CK1977" s="158"/>
      <c r="CL1977" s="159"/>
      <c r="CM1977" s="160"/>
      <c r="CN1977" s="161"/>
      <c r="CO1977" s="162"/>
      <c r="CP1977" s="161"/>
      <c r="CQ1977" s="158"/>
      <c r="CR1977" s="159"/>
      <c r="CS1977" s="68"/>
      <c r="CT1977" s="163"/>
      <c r="EC1977" s="366" t="str">
        <f t="shared" si="246"/>
        <v>HUILA_LA PLATA</v>
      </c>
      <c r="ED1977" s="367"/>
      <c r="EE1977" s="367"/>
      <c r="EF1977" s="368"/>
      <c r="EG1977" s="367"/>
      <c r="EH1977" s="367"/>
      <c r="EI1977" s="367"/>
    </row>
    <row r="1978" spans="1:139" s="164" customFormat="1" ht="45">
      <c r="A1978" s="228">
        <v>40514</v>
      </c>
      <c r="B1978" s="205" t="s">
        <v>962</v>
      </c>
      <c r="C1978" s="205" t="s">
        <v>1796</v>
      </c>
      <c r="D1978" s="207" t="s">
        <v>1201</v>
      </c>
      <c r="E1978" s="323" t="s">
        <v>3857</v>
      </c>
      <c r="F1978" s="323"/>
      <c r="G1978" s="204"/>
      <c r="H1978" s="151"/>
      <c r="I1978" s="151"/>
      <c r="J1978" s="151">
        <v>42</v>
      </c>
      <c r="K1978" s="151">
        <v>14</v>
      </c>
      <c r="L1978" s="1"/>
      <c r="M1978" s="73">
        <f t="shared" si="243"/>
        <v>0</v>
      </c>
      <c r="N1978" s="73">
        <f t="shared" si="248"/>
        <v>0</v>
      </c>
      <c r="O1978" s="73">
        <f t="shared" si="249"/>
        <v>0</v>
      </c>
      <c r="P1978" s="73">
        <f t="shared" si="244"/>
        <v>0</v>
      </c>
      <c r="Q1978" s="73"/>
      <c r="R1978" s="73">
        <v>0</v>
      </c>
      <c r="S1978" s="75">
        <f t="shared" si="247"/>
        <v>0</v>
      </c>
      <c r="T1978" s="77">
        <v>0</v>
      </c>
      <c r="U1978" s="66">
        <v>40514</v>
      </c>
      <c r="V1978" s="79"/>
      <c r="W1978" s="66" t="s">
        <v>1606</v>
      </c>
      <c r="X1978" s="264" t="s">
        <v>1607</v>
      </c>
      <c r="Y1978" s="62"/>
      <c r="Z1978" s="260" t="s">
        <v>18</v>
      </c>
      <c r="AA1978" s="166" t="s">
        <v>543</v>
      </c>
      <c r="AB1978" s="152"/>
      <c r="AC1978" s="153"/>
      <c r="AD1978" s="154"/>
      <c r="AE1978" s="153"/>
      <c r="AF1978" s="153"/>
      <c r="AG1978" s="153"/>
      <c r="AH1978" s="153"/>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c r="BF1978" s="153"/>
      <c r="BG1978" s="153"/>
      <c r="BH1978" s="153"/>
      <c r="BI1978" s="153"/>
      <c r="BJ1978" s="153"/>
      <c r="BK1978" s="153"/>
      <c r="BL1978" s="153"/>
      <c r="BM1978" s="153"/>
      <c r="BN1978" s="153"/>
      <c r="BO1978" s="153"/>
      <c r="BP1978" s="153"/>
      <c r="BQ1978" s="153"/>
      <c r="BR1978" s="153"/>
      <c r="BS1978" s="153"/>
      <c r="BT1978" s="153"/>
      <c r="BU1978" s="153"/>
      <c r="BV1978" s="153"/>
      <c r="BW1978" s="153"/>
      <c r="BX1978" s="153"/>
      <c r="BY1978" s="153"/>
      <c r="BZ1978" s="153"/>
      <c r="CA1978" s="153"/>
      <c r="CB1978" s="153"/>
      <c r="CC1978" s="153"/>
      <c r="CD1978" s="155"/>
      <c r="CE1978" s="156"/>
      <c r="CF1978" s="155"/>
      <c r="CG1978" s="156"/>
      <c r="CH1978" s="155"/>
      <c r="CI1978" s="156"/>
      <c r="CJ1978" s="157">
        <f t="shared" si="245"/>
        <v>0</v>
      </c>
      <c r="CK1978" s="158"/>
      <c r="CL1978" s="159"/>
      <c r="CM1978" s="160"/>
      <c r="CN1978" s="161"/>
      <c r="CO1978" s="162"/>
      <c r="CP1978" s="161"/>
      <c r="CQ1978" s="158"/>
      <c r="CR1978" s="159"/>
      <c r="CS1978" s="68"/>
      <c r="CT1978" s="163"/>
      <c r="EC1978" s="366" t="str">
        <f t="shared" si="246"/>
        <v>HUILA_TIMANA</v>
      </c>
      <c r="ED1978" s="367"/>
      <c r="EE1978" s="367"/>
      <c r="EF1978" s="368"/>
      <c r="EG1978" s="367"/>
      <c r="EH1978" s="367"/>
      <c r="EI1978" s="367"/>
    </row>
    <row r="1979" spans="1:139" s="164" customFormat="1" ht="45">
      <c r="A1979" s="228">
        <v>40514</v>
      </c>
      <c r="B1979" s="205" t="s">
        <v>965</v>
      </c>
      <c r="C1979" s="205" t="s">
        <v>265</v>
      </c>
      <c r="D1979" s="207" t="s">
        <v>2606</v>
      </c>
      <c r="E1979" s="323" t="s">
        <v>4004</v>
      </c>
      <c r="F1979" s="323"/>
      <c r="G1979" s="204">
        <v>1</v>
      </c>
      <c r="H1979" s="151"/>
      <c r="I1979" s="151"/>
      <c r="J1979" s="151">
        <v>5</v>
      </c>
      <c r="K1979" s="151">
        <v>1</v>
      </c>
      <c r="L1979" s="1"/>
      <c r="M1979" s="73">
        <f t="shared" si="243"/>
        <v>0</v>
      </c>
      <c r="N1979" s="73">
        <f t="shared" si="248"/>
        <v>0</v>
      </c>
      <c r="O1979" s="73">
        <f t="shared" si="249"/>
        <v>0</v>
      </c>
      <c r="P1979" s="73">
        <f t="shared" si="244"/>
        <v>0</v>
      </c>
      <c r="Q1979" s="73"/>
      <c r="R1979" s="73">
        <v>0</v>
      </c>
      <c r="S1979" s="75">
        <f t="shared" si="247"/>
        <v>0</v>
      </c>
      <c r="T1979" s="77">
        <v>0</v>
      </c>
      <c r="U1979" s="66">
        <v>40529</v>
      </c>
      <c r="V1979" s="79"/>
      <c r="W1979" s="66" t="s">
        <v>1606</v>
      </c>
      <c r="X1979" s="264" t="s">
        <v>1607</v>
      </c>
      <c r="Y1979" s="62"/>
      <c r="Z1979" s="260" t="s">
        <v>18</v>
      </c>
      <c r="AA1979" s="166" t="s">
        <v>266</v>
      </c>
      <c r="AB1979" s="152"/>
      <c r="AC1979" s="153"/>
      <c r="AD1979" s="154"/>
      <c r="AE1979" s="153"/>
      <c r="AF1979" s="153"/>
      <c r="AG1979" s="153"/>
      <c r="AH1979" s="153"/>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c r="BF1979" s="153"/>
      <c r="BG1979" s="153"/>
      <c r="BH1979" s="153"/>
      <c r="BI1979" s="153"/>
      <c r="BJ1979" s="153"/>
      <c r="BK1979" s="153"/>
      <c r="BL1979" s="153"/>
      <c r="BM1979" s="153"/>
      <c r="BN1979" s="153"/>
      <c r="BO1979" s="153"/>
      <c r="BP1979" s="153"/>
      <c r="BQ1979" s="153"/>
      <c r="BR1979" s="153"/>
      <c r="BS1979" s="153"/>
      <c r="BT1979" s="153"/>
      <c r="BU1979" s="153"/>
      <c r="BV1979" s="153"/>
      <c r="BW1979" s="153"/>
      <c r="BX1979" s="153"/>
      <c r="BY1979" s="153"/>
      <c r="BZ1979" s="153"/>
      <c r="CA1979" s="153"/>
      <c r="CB1979" s="153"/>
      <c r="CC1979" s="153"/>
      <c r="CD1979" s="155"/>
      <c r="CE1979" s="156"/>
      <c r="CF1979" s="155"/>
      <c r="CG1979" s="156"/>
      <c r="CH1979" s="155"/>
      <c r="CI1979" s="156"/>
      <c r="CJ1979" s="157">
        <f t="shared" si="245"/>
        <v>0</v>
      </c>
      <c r="CK1979" s="158"/>
      <c r="CL1979" s="159"/>
      <c r="CM1979" s="160"/>
      <c r="CN1979" s="161"/>
      <c r="CO1979" s="162"/>
      <c r="CP1979" s="161"/>
      <c r="CQ1979" s="158"/>
      <c r="CR1979" s="159"/>
      <c r="CS1979" s="68"/>
      <c r="CT1979" s="163"/>
      <c r="EC1979" s="366" t="str">
        <f t="shared" si="246"/>
        <v>NORTE DE SANTANDER_CACHIRA</v>
      </c>
      <c r="ED1979" s="367"/>
      <c r="EE1979" s="367"/>
      <c r="EF1979" s="368"/>
      <c r="EG1979" s="367"/>
      <c r="EH1979" s="367"/>
      <c r="EI1979" s="367"/>
    </row>
    <row r="1980" spans="1:139" s="164" customFormat="1" ht="45">
      <c r="A1980" s="228">
        <v>40514</v>
      </c>
      <c r="B1980" s="205" t="s">
        <v>965</v>
      </c>
      <c r="C1980" s="205" t="s">
        <v>265</v>
      </c>
      <c r="D1980" s="207" t="s">
        <v>1878</v>
      </c>
      <c r="E1980" s="323" t="s">
        <v>4004</v>
      </c>
      <c r="F1980" s="323"/>
      <c r="G1980" s="204">
        <v>1</v>
      </c>
      <c r="H1980" s="151"/>
      <c r="I1980" s="151"/>
      <c r="J1980" s="151">
        <f>2992-5</f>
        <v>2987</v>
      </c>
      <c r="K1980" s="151">
        <v>741</v>
      </c>
      <c r="L1980" s="1"/>
      <c r="M1980" s="73">
        <f t="shared" si="243"/>
        <v>0</v>
      </c>
      <c r="N1980" s="73">
        <f t="shared" si="248"/>
        <v>0</v>
      </c>
      <c r="O1980" s="73">
        <f t="shared" si="249"/>
        <v>0</v>
      </c>
      <c r="P1980" s="73">
        <f t="shared" si="244"/>
        <v>0</v>
      </c>
      <c r="Q1980" s="73"/>
      <c r="R1980" s="73">
        <v>0</v>
      </c>
      <c r="S1980" s="75">
        <f t="shared" si="247"/>
        <v>0</v>
      </c>
      <c r="T1980" s="77">
        <v>0</v>
      </c>
      <c r="U1980" s="66">
        <v>40529</v>
      </c>
      <c r="V1980" s="79"/>
      <c r="W1980" s="66" t="s">
        <v>1606</v>
      </c>
      <c r="X1980" s="264" t="s">
        <v>1607</v>
      </c>
      <c r="Y1980" s="62"/>
      <c r="Z1980" s="260" t="s">
        <v>18</v>
      </c>
      <c r="AA1980" s="166" t="s">
        <v>267</v>
      </c>
      <c r="AB1980" s="152"/>
      <c r="AC1980" s="153"/>
      <c r="AD1980" s="154"/>
      <c r="AE1980" s="153"/>
      <c r="AF1980" s="153"/>
      <c r="AG1980" s="153"/>
      <c r="AH1980" s="153"/>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c r="BF1980" s="153"/>
      <c r="BG1980" s="153"/>
      <c r="BH1980" s="153"/>
      <c r="BI1980" s="153"/>
      <c r="BJ1980" s="153"/>
      <c r="BK1980" s="153"/>
      <c r="BL1980" s="153"/>
      <c r="BM1980" s="153"/>
      <c r="BN1980" s="153"/>
      <c r="BO1980" s="153"/>
      <c r="BP1980" s="153"/>
      <c r="BQ1980" s="153"/>
      <c r="BR1980" s="153"/>
      <c r="BS1980" s="153"/>
      <c r="BT1980" s="153"/>
      <c r="BU1980" s="153"/>
      <c r="BV1980" s="153"/>
      <c r="BW1980" s="153"/>
      <c r="BX1980" s="153"/>
      <c r="BY1980" s="153"/>
      <c r="BZ1980" s="153"/>
      <c r="CA1980" s="153"/>
      <c r="CB1980" s="153"/>
      <c r="CC1980" s="153"/>
      <c r="CD1980" s="155"/>
      <c r="CE1980" s="156"/>
      <c r="CF1980" s="155"/>
      <c r="CG1980" s="156"/>
      <c r="CH1980" s="155"/>
      <c r="CI1980" s="156"/>
      <c r="CJ1980" s="157">
        <f t="shared" si="245"/>
        <v>0</v>
      </c>
      <c r="CK1980" s="158"/>
      <c r="CL1980" s="159"/>
      <c r="CM1980" s="160"/>
      <c r="CN1980" s="161"/>
      <c r="CO1980" s="162"/>
      <c r="CP1980" s="161"/>
      <c r="CQ1980" s="158"/>
      <c r="CR1980" s="159"/>
      <c r="CS1980" s="68"/>
      <c r="CT1980" s="163"/>
      <c r="EC1980" s="366" t="str">
        <f t="shared" si="246"/>
        <v>NORTE DE SANTANDER_CACHIRA</v>
      </c>
      <c r="ED1980" s="367"/>
      <c r="EE1980" s="367"/>
      <c r="EF1980" s="368"/>
      <c r="EG1980" s="367"/>
      <c r="EH1980" s="367"/>
      <c r="EI1980" s="367"/>
    </row>
    <row r="1981" spans="1:139" s="164" customFormat="1" ht="51">
      <c r="A1981" s="228">
        <v>40514</v>
      </c>
      <c r="B1981" s="205" t="s">
        <v>965</v>
      </c>
      <c r="C1981" s="205" t="s">
        <v>1448</v>
      </c>
      <c r="D1981" s="207" t="s">
        <v>1878</v>
      </c>
      <c r="E1981" s="323" t="s">
        <v>4007</v>
      </c>
      <c r="F1981" s="323"/>
      <c r="G1981" s="204">
        <v>1</v>
      </c>
      <c r="H1981" s="151">
        <v>4</v>
      </c>
      <c r="I1981" s="151"/>
      <c r="J1981" s="151"/>
      <c r="K1981" s="151"/>
      <c r="L1981" s="1"/>
      <c r="M1981" s="73">
        <f t="shared" si="243"/>
        <v>0</v>
      </c>
      <c r="N1981" s="73">
        <f t="shared" si="248"/>
        <v>0</v>
      </c>
      <c r="O1981" s="73">
        <f t="shared" si="249"/>
        <v>0</v>
      </c>
      <c r="P1981" s="73">
        <f t="shared" si="244"/>
        <v>0</v>
      </c>
      <c r="Q1981" s="73"/>
      <c r="R1981" s="73">
        <v>0</v>
      </c>
      <c r="S1981" s="75">
        <f t="shared" si="247"/>
        <v>0</v>
      </c>
      <c r="T1981" s="77">
        <v>0</v>
      </c>
      <c r="U1981" s="228">
        <v>40529</v>
      </c>
      <c r="V1981" s="79"/>
      <c r="W1981" s="66" t="s">
        <v>1606</v>
      </c>
      <c r="X1981" s="264" t="s">
        <v>1607</v>
      </c>
      <c r="Y1981" s="62"/>
      <c r="Z1981" s="260" t="s">
        <v>18</v>
      </c>
      <c r="AA1981" s="166" t="s">
        <v>264</v>
      </c>
      <c r="AB1981" s="152"/>
      <c r="AC1981" s="153"/>
      <c r="AD1981" s="154"/>
      <c r="AE1981" s="153"/>
      <c r="AF1981" s="153"/>
      <c r="AG1981" s="153"/>
      <c r="AH1981" s="153"/>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c r="BF1981" s="153"/>
      <c r="BG1981" s="153"/>
      <c r="BH1981" s="153"/>
      <c r="BI1981" s="153"/>
      <c r="BJ1981" s="153"/>
      <c r="BK1981" s="153"/>
      <c r="BL1981" s="153"/>
      <c r="BM1981" s="153"/>
      <c r="BN1981" s="153"/>
      <c r="BO1981" s="153"/>
      <c r="BP1981" s="153"/>
      <c r="BQ1981" s="153"/>
      <c r="BR1981" s="153"/>
      <c r="BS1981" s="153"/>
      <c r="BT1981" s="153"/>
      <c r="BU1981" s="153"/>
      <c r="BV1981" s="153"/>
      <c r="BW1981" s="153"/>
      <c r="BX1981" s="153"/>
      <c r="BY1981" s="153"/>
      <c r="BZ1981" s="153"/>
      <c r="CA1981" s="153"/>
      <c r="CB1981" s="153"/>
      <c r="CC1981" s="153"/>
      <c r="CD1981" s="155"/>
      <c r="CE1981" s="156"/>
      <c r="CF1981" s="155"/>
      <c r="CG1981" s="156"/>
      <c r="CH1981" s="155"/>
      <c r="CI1981" s="156"/>
      <c r="CJ1981" s="157">
        <f t="shared" si="245"/>
        <v>0</v>
      </c>
      <c r="CK1981" s="158"/>
      <c r="CL1981" s="159"/>
      <c r="CM1981" s="160"/>
      <c r="CN1981" s="161"/>
      <c r="CO1981" s="162"/>
      <c r="CP1981" s="161"/>
      <c r="CQ1981" s="158"/>
      <c r="CR1981" s="159"/>
      <c r="CS1981" s="68"/>
      <c r="CT1981" s="163"/>
      <c r="EC1981" s="366" t="str">
        <f t="shared" si="246"/>
        <v>NORTE DE SANTANDER_CONVENCION</v>
      </c>
      <c r="ED1981" s="367"/>
      <c r="EE1981" s="367"/>
      <c r="EF1981" s="368"/>
      <c r="EG1981" s="367"/>
      <c r="EH1981" s="367"/>
      <c r="EI1981" s="367"/>
    </row>
    <row r="1982" spans="1:139" s="164" customFormat="1" ht="48">
      <c r="A1982" s="228">
        <v>40514</v>
      </c>
      <c r="B1982" s="205" t="s">
        <v>965</v>
      </c>
      <c r="C1982" s="205" t="s">
        <v>1327</v>
      </c>
      <c r="D1982" s="207" t="s">
        <v>1878</v>
      </c>
      <c r="E1982" s="323" t="s">
        <v>3998</v>
      </c>
      <c r="F1982" s="323"/>
      <c r="G1982" s="204"/>
      <c r="H1982" s="151"/>
      <c r="I1982" s="151"/>
      <c r="J1982" s="151">
        <v>740</v>
      </c>
      <c r="K1982" s="151">
        <v>148</v>
      </c>
      <c r="L1982" s="1"/>
      <c r="M1982" s="73">
        <f t="shared" si="243"/>
        <v>0</v>
      </c>
      <c r="N1982" s="73">
        <f t="shared" si="248"/>
        <v>0</v>
      </c>
      <c r="O1982" s="73">
        <f t="shared" si="249"/>
        <v>0</v>
      </c>
      <c r="P1982" s="73">
        <f t="shared" si="244"/>
        <v>0</v>
      </c>
      <c r="Q1982" s="73"/>
      <c r="R1982" s="73">
        <v>0</v>
      </c>
      <c r="S1982" s="75">
        <f t="shared" si="247"/>
        <v>0</v>
      </c>
      <c r="T1982" s="77">
        <v>0</v>
      </c>
      <c r="U1982" s="228">
        <v>40529</v>
      </c>
      <c r="V1982" s="79"/>
      <c r="W1982" s="66" t="s">
        <v>1606</v>
      </c>
      <c r="X1982" s="264" t="s">
        <v>1607</v>
      </c>
      <c r="Y1982" s="62"/>
      <c r="Z1982" s="260" t="s">
        <v>18</v>
      </c>
      <c r="AA1982" s="166" t="s">
        <v>284</v>
      </c>
      <c r="AB1982" s="152"/>
      <c r="AC1982" s="153"/>
      <c r="AD1982" s="154"/>
      <c r="AE1982" s="153"/>
      <c r="AF1982" s="153"/>
      <c r="AG1982" s="153"/>
      <c r="AH1982" s="153"/>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c r="BF1982" s="153"/>
      <c r="BG1982" s="153"/>
      <c r="BH1982" s="153"/>
      <c r="BI1982" s="153"/>
      <c r="BJ1982" s="153"/>
      <c r="BK1982" s="153"/>
      <c r="BL1982" s="153"/>
      <c r="BM1982" s="153"/>
      <c r="BN1982" s="153"/>
      <c r="BO1982" s="153"/>
      <c r="BP1982" s="153"/>
      <c r="BQ1982" s="153"/>
      <c r="BR1982" s="153"/>
      <c r="BS1982" s="153"/>
      <c r="BT1982" s="153"/>
      <c r="BU1982" s="153"/>
      <c r="BV1982" s="153"/>
      <c r="BW1982" s="153"/>
      <c r="BX1982" s="153"/>
      <c r="BY1982" s="153"/>
      <c r="BZ1982" s="153"/>
      <c r="CA1982" s="153"/>
      <c r="CB1982" s="153"/>
      <c r="CC1982" s="153"/>
      <c r="CD1982" s="155"/>
      <c r="CE1982" s="156"/>
      <c r="CF1982" s="155"/>
      <c r="CG1982" s="156"/>
      <c r="CH1982" s="155"/>
      <c r="CI1982" s="156"/>
      <c r="CJ1982" s="157">
        <f t="shared" si="245"/>
        <v>0</v>
      </c>
      <c r="CK1982" s="158"/>
      <c r="CL1982" s="159"/>
      <c r="CM1982" s="160"/>
      <c r="CN1982" s="161"/>
      <c r="CO1982" s="162"/>
      <c r="CP1982" s="161"/>
      <c r="CQ1982" s="158"/>
      <c r="CR1982" s="159"/>
      <c r="CS1982" s="68"/>
      <c r="CT1982" s="163"/>
      <c r="EC1982" s="366" t="str">
        <f t="shared" si="246"/>
        <v>NORTE DE SANTANDER_CUCUTA</v>
      </c>
      <c r="ED1982" s="367"/>
      <c r="EE1982" s="367"/>
      <c r="EF1982" s="368"/>
      <c r="EG1982" s="367"/>
      <c r="EH1982" s="367"/>
      <c r="EI1982" s="367"/>
    </row>
    <row r="1983" spans="1:139" s="164" customFormat="1" ht="51">
      <c r="A1983" s="228">
        <v>40514</v>
      </c>
      <c r="B1983" s="205" t="s">
        <v>965</v>
      </c>
      <c r="C1983" s="205" t="s">
        <v>1329</v>
      </c>
      <c r="D1983" s="207" t="s">
        <v>1878</v>
      </c>
      <c r="E1983" s="323" t="s">
        <v>4019</v>
      </c>
      <c r="F1983" s="323"/>
      <c r="G1983" s="204"/>
      <c r="H1983" s="151"/>
      <c r="I1983" s="151"/>
      <c r="J1983" s="151">
        <v>75</v>
      </c>
      <c r="K1983" s="151">
        <v>15</v>
      </c>
      <c r="L1983" s="1"/>
      <c r="M1983" s="73">
        <f t="shared" si="243"/>
        <v>0</v>
      </c>
      <c r="N1983" s="73">
        <f t="shared" si="248"/>
        <v>0</v>
      </c>
      <c r="O1983" s="73">
        <f t="shared" si="249"/>
        <v>0</v>
      </c>
      <c r="P1983" s="73">
        <f t="shared" si="244"/>
        <v>0</v>
      </c>
      <c r="Q1983" s="73"/>
      <c r="R1983" s="73">
        <v>0</v>
      </c>
      <c r="S1983" s="75">
        <f t="shared" si="247"/>
        <v>0</v>
      </c>
      <c r="T1983" s="77">
        <v>0</v>
      </c>
      <c r="U1983" s="228">
        <v>40529</v>
      </c>
      <c r="V1983" s="79"/>
      <c r="W1983" s="66" t="s">
        <v>1606</v>
      </c>
      <c r="X1983" s="264" t="s">
        <v>1607</v>
      </c>
      <c r="Y1983" s="62"/>
      <c r="Z1983" s="260" t="s">
        <v>18</v>
      </c>
      <c r="AA1983" s="166" t="s">
        <v>268</v>
      </c>
      <c r="AB1983" s="152"/>
      <c r="AC1983" s="153"/>
      <c r="AD1983" s="154"/>
      <c r="AE1983" s="153"/>
      <c r="AF1983" s="153"/>
      <c r="AG1983" s="153"/>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c r="BF1983" s="153"/>
      <c r="BG1983" s="153"/>
      <c r="BH1983" s="153"/>
      <c r="BI1983" s="153"/>
      <c r="BJ1983" s="153"/>
      <c r="BK1983" s="153"/>
      <c r="BL1983" s="153"/>
      <c r="BM1983" s="153"/>
      <c r="BN1983" s="153"/>
      <c r="BO1983" s="153"/>
      <c r="BP1983" s="153"/>
      <c r="BQ1983" s="153"/>
      <c r="BR1983" s="153"/>
      <c r="BS1983" s="153"/>
      <c r="BT1983" s="153"/>
      <c r="BU1983" s="153"/>
      <c r="BV1983" s="153"/>
      <c r="BW1983" s="153"/>
      <c r="BX1983" s="153"/>
      <c r="BY1983" s="153"/>
      <c r="BZ1983" s="153"/>
      <c r="CA1983" s="153"/>
      <c r="CB1983" s="153"/>
      <c r="CC1983" s="153"/>
      <c r="CD1983" s="155"/>
      <c r="CE1983" s="156"/>
      <c r="CF1983" s="155"/>
      <c r="CG1983" s="156"/>
      <c r="CH1983" s="155"/>
      <c r="CI1983" s="156"/>
      <c r="CJ1983" s="157">
        <f t="shared" si="245"/>
        <v>0</v>
      </c>
      <c r="CK1983" s="158"/>
      <c r="CL1983" s="159"/>
      <c r="CM1983" s="160"/>
      <c r="CN1983" s="161"/>
      <c r="CO1983" s="162"/>
      <c r="CP1983" s="161"/>
      <c r="CQ1983" s="158"/>
      <c r="CR1983" s="159"/>
      <c r="CS1983" s="68"/>
      <c r="CT1983" s="163"/>
      <c r="EC1983" s="366" t="str">
        <f t="shared" si="246"/>
        <v>NORTE DE SANTANDER_LOS PATIOS</v>
      </c>
      <c r="ED1983" s="367"/>
      <c r="EE1983" s="367"/>
      <c r="EF1983" s="368"/>
      <c r="EG1983" s="367"/>
      <c r="EH1983" s="367"/>
      <c r="EI1983" s="367"/>
    </row>
    <row r="1984" spans="1:139" s="164" customFormat="1" ht="63.75">
      <c r="A1984" s="228">
        <v>40514</v>
      </c>
      <c r="B1984" s="205" t="s">
        <v>965</v>
      </c>
      <c r="C1984" s="205" t="s">
        <v>1328</v>
      </c>
      <c r="D1984" s="207" t="s">
        <v>1201</v>
      </c>
      <c r="E1984" s="323" t="s">
        <v>4037</v>
      </c>
      <c r="F1984" s="323"/>
      <c r="G1984" s="204"/>
      <c r="H1984" s="151">
        <v>1</v>
      </c>
      <c r="I1984" s="151"/>
      <c r="J1984" s="151">
        <f>2293-40</f>
        <v>2253</v>
      </c>
      <c r="K1984" s="151">
        <f>562-8</f>
        <v>554</v>
      </c>
      <c r="L1984" s="1"/>
      <c r="M1984" s="73">
        <f t="shared" si="243"/>
        <v>0</v>
      </c>
      <c r="N1984" s="73">
        <f t="shared" si="248"/>
        <v>0</v>
      </c>
      <c r="O1984" s="73">
        <f t="shared" si="249"/>
        <v>0</v>
      </c>
      <c r="P1984" s="73">
        <f t="shared" si="244"/>
        <v>0</v>
      </c>
      <c r="Q1984" s="73"/>
      <c r="R1984" s="73">
        <v>0</v>
      </c>
      <c r="S1984" s="75">
        <f t="shared" si="247"/>
        <v>0</v>
      </c>
      <c r="T1984" s="77">
        <v>0</v>
      </c>
      <c r="U1984" s="66">
        <v>40529</v>
      </c>
      <c r="V1984" s="79"/>
      <c r="W1984" s="66" t="s">
        <v>1606</v>
      </c>
      <c r="X1984" s="264" t="s">
        <v>1607</v>
      </c>
      <c r="Y1984" s="62"/>
      <c r="Z1984" s="260" t="s">
        <v>18</v>
      </c>
      <c r="AA1984" s="166" t="s">
        <v>286</v>
      </c>
      <c r="AB1984" s="152"/>
      <c r="AC1984" s="153"/>
      <c r="AD1984" s="154"/>
      <c r="AE1984" s="153"/>
      <c r="AF1984" s="153"/>
      <c r="AG1984" s="153"/>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c r="BF1984" s="153"/>
      <c r="BG1984" s="153"/>
      <c r="BH1984" s="153"/>
      <c r="BI1984" s="153"/>
      <c r="BJ1984" s="153"/>
      <c r="BK1984" s="153"/>
      <c r="BL1984" s="153"/>
      <c r="BM1984" s="153"/>
      <c r="BN1984" s="153"/>
      <c r="BO1984" s="153"/>
      <c r="BP1984" s="153"/>
      <c r="BQ1984" s="153"/>
      <c r="BR1984" s="153"/>
      <c r="BS1984" s="153"/>
      <c r="BT1984" s="153"/>
      <c r="BU1984" s="153"/>
      <c r="BV1984" s="153"/>
      <c r="BW1984" s="153"/>
      <c r="BX1984" s="153"/>
      <c r="BY1984" s="153"/>
      <c r="BZ1984" s="153"/>
      <c r="CA1984" s="153"/>
      <c r="CB1984" s="153"/>
      <c r="CC1984" s="153"/>
      <c r="CD1984" s="155"/>
      <c r="CE1984" s="156"/>
      <c r="CF1984" s="155"/>
      <c r="CG1984" s="156"/>
      <c r="CH1984" s="155"/>
      <c r="CI1984" s="156"/>
      <c r="CJ1984" s="157">
        <f t="shared" si="245"/>
        <v>0</v>
      </c>
      <c r="CK1984" s="158"/>
      <c r="CL1984" s="159"/>
      <c r="CM1984" s="160"/>
      <c r="CN1984" s="161"/>
      <c r="CO1984" s="162"/>
      <c r="CP1984" s="161"/>
      <c r="CQ1984" s="158"/>
      <c r="CR1984" s="159"/>
      <c r="CS1984" s="68"/>
      <c r="CT1984" s="163"/>
      <c r="EC1984" s="366" t="str">
        <f t="shared" si="246"/>
        <v>NORTE DE SANTANDER_VILLA DEL ROSARIO</v>
      </c>
      <c r="ED1984" s="367"/>
      <c r="EE1984" s="367"/>
      <c r="EF1984" s="368"/>
      <c r="EG1984" s="367"/>
      <c r="EH1984" s="367"/>
      <c r="EI1984" s="367"/>
    </row>
    <row r="1985" spans="1:139" s="164" customFormat="1" ht="25.5">
      <c r="A1985" s="228">
        <v>40514</v>
      </c>
      <c r="B1985" s="205" t="s">
        <v>1612</v>
      </c>
      <c r="C1985" s="205" t="s">
        <v>1613</v>
      </c>
      <c r="D1985" s="207" t="s">
        <v>1878</v>
      </c>
      <c r="E1985" s="323" t="s">
        <v>4038</v>
      </c>
      <c r="F1985" s="323"/>
      <c r="G1985" s="204"/>
      <c r="H1985" s="151"/>
      <c r="I1985" s="151"/>
      <c r="J1985" s="151"/>
      <c r="K1985" s="151"/>
      <c r="L1985" s="1"/>
      <c r="M1985" s="73">
        <f t="shared" si="243"/>
        <v>0</v>
      </c>
      <c r="N1985" s="73">
        <f t="shared" si="248"/>
        <v>0</v>
      </c>
      <c r="O1985" s="73">
        <f t="shared" si="249"/>
        <v>0</v>
      </c>
      <c r="P1985" s="73">
        <f t="shared" si="244"/>
        <v>0</v>
      </c>
      <c r="Q1985" s="73"/>
      <c r="R1985" s="73">
        <v>0</v>
      </c>
      <c r="S1985" s="75">
        <f t="shared" si="247"/>
        <v>0</v>
      </c>
      <c r="T1985" s="77">
        <v>0</v>
      </c>
      <c r="U1985" s="66">
        <v>40514</v>
      </c>
      <c r="V1985" s="79"/>
      <c r="W1985" s="66" t="s">
        <v>1585</v>
      </c>
      <c r="X1985" s="24" t="s">
        <v>1586</v>
      </c>
      <c r="Y1985" s="62"/>
      <c r="Z1985" s="169" t="s">
        <v>894</v>
      </c>
      <c r="AA1985" s="166" t="s">
        <v>246</v>
      </c>
      <c r="AB1985" s="152"/>
      <c r="AC1985" s="153"/>
      <c r="AD1985" s="154"/>
      <c r="AE1985" s="153"/>
      <c r="AF1985" s="153"/>
      <c r="AG1985" s="153"/>
      <c r="AH1985" s="153"/>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c r="BF1985" s="153"/>
      <c r="BG1985" s="153"/>
      <c r="BH1985" s="153"/>
      <c r="BI1985" s="153"/>
      <c r="BJ1985" s="153"/>
      <c r="BK1985" s="153"/>
      <c r="BL1985" s="153"/>
      <c r="BM1985" s="153"/>
      <c r="BN1985" s="153"/>
      <c r="BO1985" s="153"/>
      <c r="BP1985" s="153"/>
      <c r="BQ1985" s="153"/>
      <c r="BR1985" s="153"/>
      <c r="BS1985" s="153"/>
      <c r="BT1985" s="153"/>
      <c r="BU1985" s="153"/>
      <c r="BV1985" s="153"/>
      <c r="BW1985" s="153"/>
      <c r="BX1985" s="153"/>
      <c r="BY1985" s="153"/>
      <c r="BZ1985" s="153"/>
      <c r="CA1985" s="153"/>
      <c r="CB1985" s="153"/>
      <c r="CC1985" s="153"/>
      <c r="CD1985" s="155"/>
      <c r="CE1985" s="156"/>
      <c r="CF1985" s="155"/>
      <c r="CG1985" s="156"/>
      <c r="CH1985" s="155"/>
      <c r="CI1985" s="156"/>
      <c r="CJ1985" s="157">
        <f t="shared" si="245"/>
        <v>0</v>
      </c>
      <c r="CK1985" s="158"/>
      <c r="CL1985" s="159"/>
      <c r="CM1985" s="160"/>
      <c r="CN1985" s="161"/>
      <c r="CO1985" s="162"/>
      <c r="CP1985" s="161"/>
      <c r="CQ1985" s="158"/>
      <c r="CR1985" s="159"/>
      <c r="CS1985" s="68"/>
      <c r="CT1985" s="163"/>
      <c r="EC1985" s="366" t="str">
        <f t="shared" si="246"/>
        <v>QUINDIO_ARMENIA</v>
      </c>
      <c r="ED1985" s="367"/>
      <c r="EE1985" s="367"/>
      <c r="EF1985" s="368"/>
      <c r="EG1985" s="367"/>
      <c r="EH1985" s="367"/>
      <c r="EI1985" s="367"/>
    </row>
    <row r="1986" spans="1:139" s="164" customFormat="1" ht="25.5">
      <c r="A1986" s="228">
        <v>40514</v>
      </c>
      <c r="B1986" s="205" t="s">
        <v>1609</v>
      </c>
      <c r="C1986" s="205" t="s">
        <v>2004</v>
      </c>
      <c r="D1986" s="207" t="s">
        <v>1878</v>
      </c>
      <c r="E1986" s="323" t="s">
        <v>4050</v>
      </c>
      <c r="F1986" s="323"/>
      <c r="G1986" s="204"/>
      <c r="H1986" s="151"/>
      <c r="I1986" s="151"/>
      <c r="J1986" s="151">
        <v>10</v>
      </c>
      <c r="K1986" s="151">
        <v>2</v>
      </c>
      <c r="L1986" s="1"/>
      <c r="M1986" s="73">
        <f t="shared" si="243"/>
        <v>0</v>
      </c>
      <c r="N1986" s="73">
        <f t="shared" si="248"/>
        <v>0</v>
      </c>
      <c r="O1986" s="73">
        <f t="shared" si="249"/>
        <v>0</v>
      </c>
      <c r="P1986" s="73">
        <f t="shared" si="244"/>
        <v>0</v>
      </c>
      <c r="Q1986" s="73"/>
      <c r="R1986" s="73">
        <v>0</v>
      </c>
      <c r="S1986" s="75">
        <f t="shared" si="247"/>
        <v>0</v>
      </c>
      <c r="T1986" s="77">
        <v>0</v>
      </c>
      <c r="U1986" s="66">
        <v>40514</v>
      </c>
      <c r="V1986" s="79"/>
      <c r="W1986" s="66" t="s">
        <v>1585</v>
      </c>
      <c r="X1986" s="24" t="s">
        <v>1586</v>
      </c>
      <c r="Y1986" s="62"/>
      <c r="Z1986" s="169" t="s">
        <v>894</v>
      </c>
      <c r="AA1986" s="166" t="s">
        <v>247</v>
      </c>
      <c r="AB1986" s="152"/>
      <c r="AC1986" s="153"/>
      <c r="AD1986" s="154"/>
      <c r="AE1986" s="153"/>
      <c r="AF1986" s="153"/>
      <c r="AG1986" s="153"/>
      <c r="AH1986" s="153"/>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c r="BF1986" s="153"/>
      <c r="BG1986" s="153"/>
      <c r="BH1986" s="153"/>
      <c r="BI1986" s="153"/>
      <c r="BJ1986" s="153"/>
      <c r="BK1986" s="153"/>
      <c r="BL1986" s="153"/>
      <c r="BM1986" s="153"/>
      <c r="BN1986" s="153"/>
      <c r="BO1986" s="153"/>
      <c r="BP1986" s="153"/>
      <c r="BQ1986" s="153"/>
      <c r="BR1986" s="153"/>
      <c r="BS1986" s="153"/>
      <c r="BT1986" s="153"/>
      <c r="BU1986" s="153"/>
      <c r="BV1986" s="153"/>
      <c r="BW1986" s="153"/>
      <c r="BX1986" s="153"/>
      <c r="BY1986" s="153"/>
      <c r="BZ1986" s="153"/>
      <c r="CA1986" s="153"/>
      <c r="CB1986" s="153"/>
      <c r="CC1986" s="153"/>
      <c r="CD1986" s="155"/>
      <c r="CE1986" s="156"/>
      <c r="CF1986" s="155"/>
      <c r="CG1986" s="156"/>
      <c r="CH1986" s="155"/>
      <c r="CI1986" s="156"/>
      <c r="CJ1986" s="157">
        <f t="shared" si="245"/>
        <v>0</v>
      </c>
      <c r="CK1986" s="158"/>
      <c r="CL1986" s="159"/>
      <c r="CM1986" s="160"/>
      <c r="CN1986" s="161"/>
      <c r="CO1986" s="162"/>
      <c r="CP1986" s="161"/>
      <c r="CQ1986" s="158"/>
      <c r="CR1986" s="159"/>
      <c r="CS1986" s="68"/>
      <c r="CT1986" s="163"/>
      <c r="EC1986" s="366" t="str">
        <f t="shared" si="246"/>
        <v>RISARALDA_PEREIRA</v>
      </c>
      <c r="ED1986" s="367"/>
      <c r="EE1986" s="367"/>
      <c r="EF1986" s="368"/>
      <c r="EG1986" s="367"/>
      <c r="EH1986" s="367"/>
      <c r="EI1986" s="367"/>
    </row>
    <row r="1987" spans="1:139" s="164" customFormat="1" ht="25.5">
      <c r="A1987" s="228">
        <v>40514</v>
      </c>
      <c r="B1987" s="205" t="s">
        <v>1609</v>
      </c>
      <c r="C1987" s="205" t="s">
        <v>2196</v>
      </c>
      <c r="D1987" s="207" t="s">
        <v>1878</v>
      </c>
      <c r="E1987" s="323" t="s">
        <v>4061</v>
      </c>
      <c r="F1987" s="323"/>
      <c r="G1987" s="204">
        <v>1</v>
      </c>
      <c r="H1987" s="151">
        <v>1</v>
      </c>
      <c r="I1987" s="151"/>
      <c r="J1987" s="151"/>
      <c r="K1987" s="151"/>
      <c r="L1987" s="1"/>
      <c r="M1987" s="73">
        <f t="shared" ref="M1987:M2050" si="250">CJ1987</f>
        <v>0</v>
      </c>
      <c r="N1987" s="73">
        <f t="shared" si="248"/>
        <v>0</v>
      </c>
      <c r="O1987" s="73">
        <f t="shared" si="249"/>
        <v>0</v>
      </c>
      <c r="P1987" s="73">
        <f t="shared" ref="P1987:P2050" si="251">CL1987</f>
        <v>0</v>
      </c>
      <c r="Q1987" s="73"/>
      <c r="R1987" s="73">
        <v>0</v>
      </c>
      <c r="S1987" s="75">
        <f t="shared" si="247"/>
        <v>0</v>
      </c>
      <c r="T1987" s="77">
        <v>0</v>
      </c>
      <c r="U1987" s="66">
        <v>40514</v>
      </c>
      <c r="V1987" s="79"/>
      <c r="W1987" s="66" t="s">
        <v>1585</v>
      </c>
      <c r="X1987" s="24" t="s">
        <v>1586</v>
      </c>
      <c r="Y1987" s="62"/>
      <c r="Z1987" s="169" t="s">
        <v>894</v>
      </c>
      <c r="AA1987" s="166" t="s">
        <v>251</v>
      </c>
      <c r="AB1987" s="152"/>
      <c r="AC1987" s="153"/>
      <c r="AD1987" s="154"/>
      <c r="AE1987" s="153"/>
      <c r="AF1987" s="153"/>
      <c r="AG1987" s="153"/>
      <c r="AH1987" s="153"/>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c r="BF1987" s="153"/>
      <c r="BG1987" s="153"/>
      <c r="BH1987" s="153"/>
      <c r="BI1987" s="153"/>
      <c r="BJ1987" s="153"/>
      <c r="BK1987" s="153"/>
      <c r="BL1987" s="153"/>
      <c r="BM1987" s="153"/>
      <c r="BN1987" s="153"/>
      <c r="BO1987" s="153"/>
      <c r="BP1987" s="153"/>
      <c r="BQ1987" s="153"/>
      <c r="BR1987" s="153"/>
      <c r="BS1987" s="153"/>
      <c r="BT1987" s="153"/>
      <c r="BU1987" s="153"/>
      <c r="BV1987" s="153"/>
      <c r="BW1987" s="153"/>
      <c r="BX1987" s="153"/>
      <c r="BY1987" s="153"/>
      <c r="BZ1987" s="153"/>
      <c r="CA1987" s="153"/>
      <c r="CB1987" s="153"/>
      <c r="CC1987" s="153"/>
      <c r="CD1987" s="155"/>
      <c r="CE1987" s="156"/>
      <c r="CF1987" s="155"/>
      <c r="CG1987" s="156"/>
      <c r="CH1987" s="155"/>
      <c r="CI1987" s="156"/>
      <c r="CJ1987" s="157">
        <f t="shared" ref="CJ1987:CJ2050" si="252">AC1987+AE1987+AG1987+AI1987+AK1987+AM1987+AO1987+AQ1987+AS1987+AU1987+AW1987+AY1987+BA1987+BC1987+BE1987+BG1987+BI1987+BK1987+BM1987+BO1987+BQ1987+BS1987+BU1987+BW1987+BY1987+CA1987+CC1987+CE1987+CG1987+CI1987</f>
        <v>0</v>
      </c>
      <c r="CK1987" s="158"/>
      <c r="CL1987" s="159"/>
      <c r="CM1987" s="160"/>
      <c r="CN1987" s="161"/>
      <c r="CO1987" s="162"/>
      <c r="CP1987" s="161"/>
      <c r="CQ1987" s="158"/>
      <c r="CR1987" s="159"/>
      <c r="CS1987" s="68"/>
      <c r="CT1987" s="163"/>
      <c r="EC1987" s="366" t="str">
        <f t="shared" si="246"/>
        <v>RISARALDA_QUINCHIA</v>
      </c>
      <c r="ED1987" s="367"/>
      <c r="EE1987" s="367"/>
      <c r="EF1987" s="368"/>
      <c r="EG1987" s="367"/>
      <c r="EH1987" s="367"/>
      <c r="EI1987" s="367"/>
    </row>
    <row r="1988" spans="1:139" s="164" customFormat="1" ht="45">
      <c r="A1988" s="228">
        <v>40514</v>
      </c>
      <c r="B1988" s="205" t="s">
        <v>2400</v>
      </c>
      <c r="C1988" s="205" t="s">
        <v>736</v>
      </c>
      <c r="D1988" s="207" t="s">
        <v>1878</v>
      </c>
      <c r="E1988" s="323" t="s">
        <v>4186</v>
      </c>
      <c r="F1988" s="323"/>
      <c r="G1988" s="204">
        <v>2</v>
      </c>
      <c r="H1988" s="151">
        <v>1</v>
      </c>
      <c r="I1988" s="151"/>
      <c r="J1988" s="151">
        <f>689-180</f>
        <v>509</v>
      </c>
      <c r="K1988" s="151">
        <f>153-35</f>
        <v>118</v>
      </c>
      <c r="L1988" s="1"/>
      <c r="M1988" s="73">
        <f t="shared" si="250"/>
        <v>0</v>
      </c>
      <c r="N1988" s="73">
        <f t="shared" si="248"/>
        <v>0</v>
      </c>
      <c r="O1988" s="73">
        <f t="shared" si="249"/>
        <v>0</v>
      </c>
      <c r="P1988" s="73">
        <f t="shared" si="251"/>
        <v>0</v>
      </c>
      <c r="Q1988" s="73"/>
      <c r="R1988" s="73">
        <v>0</v>
      </c>
      <c r="S1988" s="75">
        <f t="shared" si="247"/>
        <v>0</v>
      </c>
      <c r="T1988" s="77">
        <v>0</v>
      </c>
      <c r="U1988" s="66"/>
      <c r="V1988" s="79"/>
      <c r="W1988" s="66" t="s">
        <v>1606</v>
      </c>
      <c r="X1988" s="264" t="s">
        <v>1607</v>
      </c>
      <c r="Y1988" s="62"/>
      <c r="Z1988" s="260" t="s">
        <v>18</v>
      </c>
      <c r="AA1988" s="166" t="s">
        <v>869</v>
      </c>
      <c r="AB1988" s="152"/>
      <c r="AC1988" s="153"/>
      <c r="AD1988" s="154"/>
      <c r="AE1988" s="153"/>
      <c r="AF1988" s="153"/>
      <c r="AG1988" s="153"/>
      <c r="AH1988" s="153"/>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c r="BF1988" s="153"/>
      <c r="BG1988" s="153"/>
      <c r="BH1988" s="153"/>
      <c r="BI1988" s="153"/>
      <c r="BJ1988" s="153"/>
      <c r="BK1988" s="153"/>
      <c r="BL1988" s="153"/>
      <c r="BM1988" s="153"/>
      <c r="BN1988" s="153"/>
      <c r="BO1988" s="153"/>
      <c r="BP1988" s="153"/>
      <c r="BQ1988" s="153"/>
      <c r="BR1988" s="153"/>
      <c r="BS1988" s="153"/>
      <c r="BT1988" s="153"/>
      <c r="BU1988" s="153"/>
      <c r="BV1988" s="153"/>
      <c r="BW1988" s="153"/>
      <c r="BX1988" s="153"/>
      <c r="BY1988" s="153"/>
      <c r="BZ1988" s="153"/>
      <c r="CA1988" s="153"/>
      <c r="CB1988" s="153"/>
      <c r="CC1988" s="153"/>
      <c r="CD1988" s="155"/>
      <c r="CE1988" s="156"/>
      <c r="CF1988" s="155"/>
      <c r="CG1988" s="156"/>
      <c r="CH1988" s="155"/>
      <c r="CI1988" s="156"/>
      <c r="CJ1988" s="157">
        <f t="shared" si="252"/>
        <v>0</v>
      </c>
      <c r="CK1988" s="158"/>
      <c r="CL1988" s="159"/>
      <c r="CM1988" s="160"/>
      <c r="CN1988" s="161"/>
      <c r="CO1988" s="162"/>
      <c r="CP1988" s="161"/>
      <c r="CQ1988" s="158"/>
      <c r="CR1988" s="159"/>
      <c r="CS1988" s="68"/>
      <c r="CT1988" s="163"/>
      <c r="EC1988" s="366" t="str">
        <f t="shared" ref="EC1988:EC2050" si="253">B1988&amp;"_"&amp;C1988</f>
        <v>TOLIMA_CASABIANCA</v>
      </c>
      <c r="ED1988" s="367"/>
      <c r="EE1988" s="367"/>
      <c r="EF1988" s="368"/>
      <c r="EG1988" s="367"/>
      <c r="EH1988" s="367"/>
      <c r="EI1988" s="367"/>
    </row>
    <row r="1989" spans="1:139" s="164" customFormat="1" ht="51">
      <c r="A1989" s="228">
        <v>40514</v>
      </c>
      <c r="B1989" s="205" t="s">
        <v>1088</v>
      </c>
      <c r="C1989" s="205" t="s">
        <v>1544</v>
      </c>
      <c r="D1989" s="207" t="s">
        <v>1201</v>
      </c>
      <c r="E1989" s="323" t="s">
        <v>4230</v>
      </c>
      <c r="F1989" s="323"/>
      <c r="G1989" s="204"/>
      <c r="H1989" s="151"/>
      <c r="I1989" s="151"/>
      <c r="J1989" s="151">
        <v>392</v>
      </c>
      <c r="K1989" s="151">
        <v>110</v>
      </c>
      <c r="L1989" s="1"/>
      <c r="M1989" s="73">
        <f t="shared" si="250"/>
        <v>0</v>
      </c>
      <c r="N1989" s="73">
        <f t="shared" si="248"/>
        <v>0</v>
      </c>
      <c r="O1989" s="73">
        <f t="shared" si="249"/>
        <v>0</v>
      </c>
      <c r="P1989" s="73">
        <f t="shared" si="251"/>
        <v>0</v>
      </c>
      <c r="Q1989" s="73"/>
      <c r="R1989" s="73">
        <v>0</v>
      </c>
      <c r="S1989" s="75">
        <f t="shared" si="247"/>
        <v>0</v>
      </c>
      <c r="T1989" s="77">
        <v>0</v>
      </c>
      <c r="U1989" s="66">
        <v>40514</v>
      </c>
      <c r="V1989" s="79"/>
      <c r="W1989" s="66" t="s">
        <v>1585</v>
      </c>
      <c r="X1989" s="24" t="s">
        <v>1586</v>
      </c>
      <c r="Y1989" s="62"/>
      <c r="Z1989" s="169" t="s">
        <v>894</v>
      </c>
      <c r="AA1989" s="166" t="s">
        <v>269</v>
      </c>
      <c r="AB1989" s="152"/>
      <c r="AC1989" s="153"/>
      <c r="AD1989" s="154"/>
      <c r="AE1989" s="153"/>
      <c r="AF1989" s="153"/>
      <c r="AG1989" s="153"/>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c r="BF1989" s="153"/>
      <c r="BG1989" s="153"/>
      <c r="BH1989" s="153"/>
      <c r="BI1989" s="153"/>
      <c r="BJ1989" s="153"/>
      <c r="BK1989" s="153"/>
      <c r="BL1989" s="153"/>
      <c r="BM1989" s="153"/>
      <c r="BN1989" s="153"/>
      <c r="BO1989" s="153"/>
      <c r="BP1989" s="153"/>
      <c r="BQ1989" s="153"/>
      <c r="BR1989" s="153"/>
      <c r="BS1989" s="153"/>
      <c r="BT1989" s="153"/>
      <c r="BU1989" s="153"/>
      <c r="BV1989" s="153"/>
      <c r="BW1989" s="153"/>
      <c r="BX1989" s="153"/>
      <c r="BY1989" s="153"/>
      <c r="BZ1989" s="153"/>
      <c r="CA1989" s="153"/>
      <c r="CB1989" s="153"/>
      <c r="CC1989" s="153"/>
      <c r="CD1989" s="155"/>
      <c r="CE1989" s="156"/>
      <c r="CF1989" s="155"/>
      <c r="CG1989" s="156"/>
      <c r="CH1989" s="155"/>
      <c r="CI1989" s="156"/>
      <c r="CJ1989" s="157">
        <f t="shared" si="252"/>
        <v>0</v>
      </c>
      <c r="CK1989" s="158"/>
      <c r="CL1989" s="159"/>
      <c r="CM1989" s="160"/>
      <c r="CN1989" s="161"/>
      <c r="CO1989" s="162"/>
      <c r="CP1989" s="161"/>
      <c r="CQ1989" s="158"/>
      <c r="CR1989" s="159"/>
      <c r="CS1989" s="68"/>
      <c r="CT1989" s="163"/>
      <c r="EC1989" s="366" t="str">
        <f t="shared" si="253"/>
        <v>VALLE DEL CAUCA_BUENAVENTURA</v>
      </c>
      <c r="ED1989" s="367"/>
      <c r="EE1989" s="367"/>
      <c r="EF1989" s="368"/>
      <c r="EG1989" s="367"/>
      <c r="EH1989" s="367"/>
      <c r="EI1989" s="367"/>
    </row>
    <row r="1990" spans="1:139" s="164" customFormat="1" ht="38.25">
      <c r="A1990" s="228">
        <v>40514.947916666664</v>
      </c>
      <c r="B1990" s="205" t="s">
        <v>2298</v>
      </c>
      <c r="C1990" s="205" t="s">
        <v>1610</v>
      </c>
      <c r="D1990" s="207" t="s">
        <v>1878</v>
      </c>
      <c r="E1990" s="323"/>
      <c r="F1990" s="323"/>
      <c r="G1990" s="204"/>
      <c r="H1990" s="151"/>
      <c r="I1990" s="151"/>
      <c r="J1990" s="151">
        <v>93</v>
      </c>
      <c r="K1990" s="409">
        <v>18</v>
      </c>
      <c r="L1990" s="1"/>
      <c r="M1990" s="73">
        <f t="shared" si="250"/>
        <v>0</v>
      </c>
      <c r="N1990" s="73">
        <f t="shared" si="248"/>
        <v>0</v>
      </c>
      <c r="O1990" s="73">
        <f t="shared" si="249"/>
        <v>0</v>
      </c>
      <c r="P1990" s="73">
        <f t="shared" si="251"/>
        <v>0</v>
      </c>
      <c r="Q1990" s="73"/>
      <c r="R1990" s="73">
        <v>0</v>
      </c>
      <c r="S1990" s="75">
        <f t="shared" si="247"/>
        <v>0</v>
      </c>
      <c r="T1990" s="77">
        <v>0</v>
      </c>
      <c r="U1990" s="296">
        <v>40624</v>
      </c>
      <c r="V1990" s="297"/>
      <c r="W1990" s="296" t="s">
        <v>1585</v>
      </c>
      <c r="X1990" s="298" t="s">
        <v>1586</v>
      </c>
      <c r="Y1990" s="299"/>
      <c r="Z1990" s="300" t="s">
        <v>894</v>
      </c>
      <c r="AA1990" s="414" t="s">
        <v>5436</v>
      </c>
      <c r="AB1990" s="152"/>
      <c r="AC1990" s="153"/>
      <c r="AD1990" s="154"/>
      <c r="AE1990" s="153"/>
      <c r="AF1990" s="153"/>
      <c r="AG1990" s="153"/>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c r="BF1990" s="153"/>
      <c r="BG1990" s="153"/>
      <c r="BH1990" s="153"/>
      <c r="BI1990" s="153"/>
      <c r="BJ1990" s="153"/>
      <c r="BK1990" s="153"/>
      <c r="BL1990" s="153"/>
      <c r="BM1990" s="153"/>
      <c r="BN1990" s="153"/>
      <c r="BO1990" s="153"/>
      <c r="BP1990" s="153"/>
      <c r="BQ1990" s="153"/>
      <c r="BR1990" s="153"/>
      <c r="BS1990" s="153"/>
      <c r="BT1990" s="153"/>
      <c r="BU1990" s="153"/>
      <c r="BV1990" s="153"/>
      <c r="BW1990" s="153"/>
      <c r="BX1990" s="153"/>
      <c r="BY1990" s="153"/>
      <c r="BZ1990" s="153"/>
      <c r="CA1990" s="153"/>
      <c r="CB1990" s="153"/>
      <c r="CC1990" s="153"/>
      <c r="CD1990" s="155"/>
      <c r="CE1990" s="156"/>
      <c r="CF1990" s="155"/>
      <c r="CG1990" s="156"/>
      <c r="CH1990" s="155"/>
      <c r="CI1990" s="156"/>
      <c r="CJ1990" s="157">
        <f t="shared" si="252"/>
        <v>0</v>
      </c>
      <c r="CK1990" s="158"/>
      <c r="CL1990" s="159"/>
      <c r="CM1990" s="160"/>
      <c r="CN1990" s="161"/>
      <c r="CO1990" s="162"/>
      <c r="CP1990" s="161"/>
      <c r="CQ1990" s="158"/>
      <c r="CR1990" s="159"/>
      <c r="CS1990" s="68"/>
      <c r="CT1990" s="163"/>
      <c r="EC1990" s="366" t="str">
        <f t="shared" si="253"/>
        <v>BOGOTA D.C._BOGOTA</v>
      </c>
      <c r="ED1990" s="367"/>
      <c r="EE1990" s="367"/>
      <c r="EF1990" s="368"/>
      <c r="EG1990" s="367"/>
      <c r="EH1990" s="367"/>
      <c r="EI1990" s="367"/>
    </row>
    <row r="1991" spans="1:139" s="164" customFormat="1" ht="36">
      <c r="A1991" s="228">
        <v>40515</v>
      </c>
      <c r="B1991" s="205" t="s">
        <v>1615</v>
      </c>
      <c r="C1991" s="205" t="s">
        <v>604</v>
      </c>
      <c r="D1991" s="207" t="s">
        <v>1201</v>
      </c>
      <c r="E1991" s="323" t="s">
        <v>3380</v>
      </c>
      <c r="F1991" s="323"/>
      <c r="G1991" s="204"/>
      <c r="H1991" s="151"/>
      <c r="I1991" s="151"/>
      <c r="J1991" s="151">
        <v>1000</v>
      </c>
      <c r="K1991" s="151">
        <v>200</v>
      </c>
      <c r="L1991" s="1"/>
      <c r="M1991" s="73">
        <f t="shared" si="250"/>
        <v>0</v>
      </c>
      <c r="N1991" s="73">
        <f t="shared" si="248"/>
        <v>0</v>
      </c>
      <c r="O1991" s="73">
        <f t="shared" si="249"/>
        <v>0</v>
      </c>
      <c r="P1991" s="73">
        <f t="shared" si="251"/>
        <v>0</v>
      </c>
      <c r="Q1991" s="73"/>
      <c r="R1991" s="73">
        <v>0</v>
      </c>
      <c r="S1991" s="75">
        <f t="shared" si="247"/>
        <v>0</v>
      </c>
      <c r="T1991" s="77">
        <v>0</v>
      </c>
      <c r="U1991" s="66">
        <v>40515</v>
      </c>
      <c r="V1991" s="79"/>
      <c r="W1991" s="66" t="s">
        <v>1585</v>
      </c>
      <c r="X1991" s="24" t="s">
        <v>1586</v>
      </c>
      <c r="Y1991" s="62"/>
      <c r="Z1991" s="169" t="s">
        <v>894</v>
      </c>
      <c r="AA1991" s="166" t="s">
        <v>2922</v>
      </c>
      <c r="AB1991" s="152"/>
      <c r="AC1991" s="153"/>
      <c r="AD1991" s="154"/>
      <c r="AE1991" s="153"/>
      <c r="AF1991" s="153"/>
      <c r="AG1991" s="153"/>
      <c r="AH1991" s="153"/>
      <c r="AI1991" s="153"/>
      <c r="AJ1991" s="153"/>
      <c r="AK1991" s="153"/>
      <c r="AL1991" s="153"/>
      <c r="AM1991" s="153"/>
      <c r="AN1991" s="153"/>
      <c r="AO1991" s="153"/>
      <c r="AP1991" s="153"/>
      <c r="AQ1991" s="153"/>
      <c r="AR1991" s="153"/>
      <c r="AS1991" s="153"/>
      <c r="AT1991" s="153"/>
      <c r="AU1991" s="153"/>
      <c r="AV1991" s="153"/>
      <c r="AW1991" s="153"/>
      <c r="AX1991" s="153"/>
      <c r="AY1991" s="153"/>
      <c r="AZ1991" s="153"/>
      <c r="BA1991" s="153"/>
      <c r="BB1991" s="153"/>
      <c r="BC1991" s="153"/>
      <c r="BD1991" s="153"/>
      <c r="BE1991" s="153"/>
      <c r="BF1991" s="153"/>
      <c r="BG1991" s="153"/>
      <c r="BH1991" s="153"/>
      <c r="BI1991" s="153"/>
      <c r="BJ1991" s="153"/>
      <c r="BK1991" s="153"/>
      <c r="BL1991" s="153"/>
      <c r="BM1991" s="153"/>
      <c r="BN1991" s="153"/>
      <c r="BO1991" s="153"/>
      <c r="BP1991" s="153"/>
      <c r="BQ1991" s="153"/>
      <c r="BR1991" s="153"/>
      <c r="BS1991" s="153"/>
      <c r="BT1991" s="153"/>
      <c r="BU1991" s="153"/>
      <c r="BV1991" s="153"/>
      <c r="BW1991" s="153"/>
      <c r="BX1991" s="153"/>
      <c r="BY1991" s="153"/>
      <c r="BZ1991" s="153"/>
      <c r="CA1991" s="153"/>
      <c r="CB1991" s="153"/>
      <c r="CC1991" s="153"/>
      <c r="CD1991" s="155"/>
      <c r="CE1991" s="156"/>
      <c r="CF1991" s="155"/>
      <c r="CG1991" s="156"/>
      <c r="CH1991" s="155"/>
      <c r="CI1991" s="156"/>
      <c r="CJ1991" s="157">
        <f t="shared" si="252"/>
        <v>0</v>
      </c>
      <c r="CK1991" s="158"/>
      <c r="CL1991" s="159"/>
      <c r="CM1991" s="160"/>
      <c r="CN1991" s="161"/>
      <c r="CO1991" s="162"/>
      <c r="CP1991" s="161"/>
      <c r="CQ1991" s="158"/>
      <c r="CR1991" s="159"/>
      <c r="CS1991" s="68"/>
      <c r="CT1991" s="163"/>
      <c r="EC1991" s="366" t="str">
        <f t="shared" si="253"/>
        <v>BOLIVAR_ARJONA</v>
      </c>
      <c r="ED1991" s="367"/>
      <c r="EE1991" s="367"/>
      <c r="EF1991" s="368"/>
      <c r="EG1991" s="367"/>
      <c r="EH1991" s="367"/>
      <c r="EI1991" s="367"/>
    </row>
    <row r="1992" spans="1:139" s="164" customFormat="1" ht="108">
      <c r="A1992" s="228">
        <v>40515</v>
      </c>
      <c r="B1992" s="205" t="s">
        <v>1615</v>
      </c>
      <c r="C1992" s="205" t="s">
        <v>1295</v>
      </c>
      <c r="D1992" s="207" t="s">
        <v>1201</v>
      </c>
      <c r="E1992" s="323" t="s">
        <v>3386</v>
      </c>
      <c r="F1992" s="323"/>
      <c r="G1992" s="204"/>
      <c r="H1992" s="151"/>
      <c r="I1992" s="151"/>
      <c r="J1992" s="151">
        <f>532*5</f>
        <v>2660</v>
      </c>
      <c r="K1992" s="151">
        <f>1375-843</f>
        <v>532</v>
      </c>
      <c r="L1992" s="1">
        <v>40523</v>
      </c>
      <c r="M1992" s="73">
        <f t="shared" si="250"/>
        <v>0</v>
      </c>
      <c r="N1992" s="73">
        <f t="shared" si="248"/>
        <v>0</v>
      </c>
      <c r="O1992" s="73">
        <f t="shared" si="249"/>
        <v>0</v>
      </c>
      <c r="P1992" s="73">
        <f t="shared" si="251"/>
        <v>0</v>
      </c>
      <c r="Q1992" s="73"/>
      <c r="R1992" s="73">
        <v>60000000</v>
      </c>
      <c r="S1992" s="75">
        <f t="shared" si="247"/>
        <v>60000000</v>
      </c>
      <c r="T1992" s="77">
        <v>0</v>
      </c>
      <c r="U1992" s="66">
        <v>40512</v>
      </c>
      <c r="V1992" s="79">
        <v>68263</v>
      </c>
      <c r="W1992" s="66" t="s">
        <v>1606</v>
      </c>
      <c r="X1992" s="24" t="s">
        <v>1607</v>
      </c>
      <c r="Y1992" s="62">
        <v>46893</v>
      </c>
      <c r="Z1992" s="169" t="s">
        <v>1224</v>
      </c>
      <c r="AA1992" s="166" t="s">
        <v>31</v>
      </c>
      <c r="AB1992" s="152"/>
      <c r="AC1992" s="153"/>
      <c r="AD1992" s="154"/>
      <c r="AE1992" s="153"/>
      <c r="AF1992" s="153"/>
      <c r="AG1992" s="153"/>
      <c r="AH1992" s="153"/>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c r="BF1992" s="153"/>
      <c r="BG1992" s="153"/>
      <c r="BH1992" s="153"/>
      <c r="BI1992" s="153"/>
      <c r="BJ1992" s="153"/>
      <c r="BK1992" s="153"/>
      <c r="BL1992" s="153"/>
      <c r="BM1992" s="153"/>
      <c r="BN1992" s="153"/>
      <c r="BO1992" s="153"/>
      <c r="BP1992" s="153"/>
      <c r="BQ1992" s="153"/>
      <c r="BR1992" s="153"/>
      <c r="BS1992" s="153"/>
      <c r="BT1992" s="153"/>
      <c r="BU1992" s="153"/>
      <c r="BV1992" s="153"/>
      <c r="BW1992" s="153"/>
      <c r="BX1992" s="153"/>
      <c r="BY1992" s="153"/>
      <c r="BZ1992" s="153"/>
      <c r="CA1992" s="153"/>
      <c r="CB1992" s="153"/>
      <c r="CC1992" s="153"/>
      <c r="CD1992" s="155"/>
      <c r="CE1992" s="156"/>
      <c r="CF1992" s="155"/>
      <c r="CG1992" s="156"/>
      <c r="CH1992" s="155"/>
      <c r="CI1992" s="156"/>
      <c r="CJ1992" s="157">
        <f t="shared" si="252"/>
        <v>0</v>
      </c>
      <c r="CK1992" s="158"/>
      <c r="CL1992" s="159"/>
      <c r="CM1992" s="160"/>
      <c r="CN1992" s="161"/>
      <c r="CO1992" s="162"/>
      <c r="CP1992" s="161"/>
      <c r="CQ1992" s="158"/>
      <c r="CR1992" s="159"/>
      <c r="CS1992" s="68">
        <v>2</v>
      </c>
      <c r="CT1992" s="163"/>
      <c r="EC1992" s="366" t="str">
        <f t="shared" si="253"/>
        <v>BOLIVAR_CORDOBA</v>
      </c>
      <c r="ED1992" s="367"/>
      <c r="EE1992" s="367"/>
      <c r="EF1992" s="368"/>
      <c r="EG1992" s="367"/>
      <c r="EH1992" s="367"/>
      <c r="EI1992" s="367"/>
    </row>
    <row r="1993" spans="1:139" s="164" customFormat="1" ht="36">
      <c r="A1993" s="228">
        <v>40515</v>
      </c>
      <c r="B1993" s="205" t="s">
        <v>1615</v>
      </c>
      <c r="C1993" s="205" t="s">
        <v>1559</v>
      </c>
      <c r="D1993" s="207" t="s">
        <v>1201</v>
      </c>
      <c r="E1993" s="323" t="s">
        <v>3389</v>
      </c>
      <c r="F1993" s="323"/>
      <c r="G1993" s="204"/>
      <c r="H1993" s="151"/>
      <c r="I1993" s="151"/>
      <c r="J1993" s="151">
        <f>94*5</f>
        <v>470</v>
      </c>
      <c r="K1993" s="151">
        <f>767-673</f>
        <v>94</v>
      </c>
      <c r="L1993" s="1"/>
      <c r="M1993" s="73">
        <f t="shared" si="250"/>
        <v>0</v>
      </c>
      <c r="N1993" s="73">
        <f t="shared" si="248"/>
        <v>0</v>
      </c>
      <c r="O1993" s="73">
        <f t="shared" si="249"/>
        <v>0</v>
      </c>
      <c r="P1993" s="73">
        <f t="shared" si="251"/>
        <v>0</v>
      </c>
      <c r="Q1993" s="73"/>
      <c r="R1993" s="73">
        <v>0</v>
      </c>
      <c r="S1993" s="75">
        <f t="shared" ref="S1993:S2056" si="254">M1993+N1993+O1993+P1993+Q1993+R1993</f>
        <v>0</v>
      </c>
      <c r="T1993" s="77">
        <v>0</v>
      </c>
      <c r="U1993" s="66">
        <v>40515</v>
      </c>
      <c r="V1993" s="79"/>
      <c r="W1993" s="66" t="s">
        <v>1585</v>
      </c>
      <c r="X1993" s="24" t="s">
        <v>1586</v>
      </c>
      <c r="Y1993" s="62"/>
      <c r="Z1993" s="169" t="s">
        <v>894</v>
      </c>
      <c r="AA1993" s="166" t="s">
        <v>2917</v>
      </c>
      <c r="AB1993" s="152"/>
      <c r="AC1993" s="153"/>
      <c r="AD1993" s="154"/>
      <c r="AE1993" s="153"/>
      <c r="AF1993" s="153"/>
      <c r="AG1993" s="153"/>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c r="BF1993" s="153"/>
      <c r="BG1993" s="153"/>
      <c r="BH1993" s="153"/>
      <c r="BI1993" s="153"/>
      <c r="BJ1993" s="153"/>
      <c r="BK1993" s="153"/>
      <c r="BL1993" s="153"/>
      <c r="BM1993" s="153"/>
      <c r="BN1993" s="153"/>
      <c r="BO1993" s="153"/>
      <c r="BP1993" s="153"/>
      <c r="BQ1993" s="153"/>
      <c r="BR1993" s="153"/>
      <c r="BS1993" s="153"/>
      <c r="BT1993" s="153"/>
      <c r="BU1993" s="153"/>
      <c r="BV1993" s="153"/>
      <c r="BW1993" s="153"/>
      <c r="BX1993" s="153"/>
      <c r="BY1993" s="153"/>
      <c r="BZ1993" s="153"/>
      <c r="CA1993" s="153"/>
      <c r="CB1993" s="153"/>
      <c r="CC1993" s="153"/>
      <c r="CD1993" s="155"/>
      <c r="CE1993" s="156"/>
      <c r="CF1993" s="155"/>
      <c r="CG1993" s="156"/>
      <c r="CH1993" s="155"/>
      <c r="CI1993" s="156"/>
      <c r="CJ1993" s="157">
        <f t="shared" si="252"/>
        <v>0</v>
      </c>
      <c r="CK1993" s="158"/>
      <c r="CL1993" s="159"/>
      <c r="CM1993" s="160"/>
      <c r="CN1993" s="161"/>
      <c r="CO1993" s="162"/>
      <c r="CP1993" s="161"/>
      <c r="CQ1993" s="158"/>
      <c r="CR1993" s="159"/>
      <c r="CS1993" s="68"/>
      <c r="CT1993" s="163"/>
      <c r="EC1993" s="366" t="str">
        <f t="shared" si="253"/>
        <v>BOLIVAR_EL GUAMO</v>
      </c>
      <c r="ED1993" s="367"/>
      <c r="EE1993" s="367"/>
      <c r="EF1993" s="368"/>
      <c r="EG1993" s="367"/>
      <c r="EH1993" s="367"/>
      <c r="EI1993" s="367"/>
    </row>
    <row r="1994" spans="1:139" s="164" customFormat="1" ht="51">
      <c r="A1994" s="228">
        <v>40515</v>
      </c>
      <c r="B1994" s="205" t="s">
        <v>1615</v>
      </c>
      <c r="C1994" s="205" t="s">
        <v>1560</v>
      </c>
      <c r="D1994" s="207" t="s">
        <v>1201</v>
      </c>
      <c r="E1994" s="323" t="s">
        <v>3403</v>
      </c>
      <c r="F1994" s="323"/>
      <c r="G1994" s="204"/>
      <c r="H1994" s="151"/>
      <c r="I1994" s="151"/>
      <c r="J1994" s="151">
        <f>1256*5</f>
        <v>6280</v>
      </c>
      <c r="K1994" s="151">
        <f>1260-4</f>
        <v>1256</v>
      </c>
      <c r="L1994" s="1"/>
      <c r="M1994" s="73">
        <f t="shared" si="250"/>
        <v>0</v>
      </c>
      <c r="N1994" s="73">
        <f t="shared" si="248"/>
        <v>0</v>
      </c>
      <c r="O1994" s="73">
        <f t="shared" si="249"/>
        <v>0</v>
      </c>
      <c r="P1994" s="73">
        <f t="shared" si="251"/>
        <v>0</v>
      </c>
      <c r="Q1994" s="73"/>
      <c r="R1994" s="73">
        <v>0</v>
      </c>
      <c r="S1994" s="75">
        <f t="shared" si="254"/>
        <v>0</v>
      </c>
      <c r="T1994" s="77">
        <v>0</v>
      </c>
      <c r="U1994" s="228">
        <v>40515</v>
      </c>
      <c r="V1994" s="79"/>
      <c r="W1994" s="66" t="s">
        <v>1585</v>
      </c>
      <c r="X1994" s="24" t="s">
        <v>1586</v>
      </c>
      <c r="Y1994" s="62"/>
      <c r="Z1994" s="169" t="s">
        <v>894</v>
      </c>
      <c r="AA1994" s="166" t="s">
        <v>2920</v>
      </c>
      <c r="AB1994" s="152"/>
      <c r="AC1994" s="153"/>
      <c r="AD1994" s="154"/>
      <c r="AE1994" s="153"/>
      <c r="AF1994" s="153"/>
      <c r="AG1994" s="153"/>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c r="BF1994" s="153"/>
      <c r="BG1994" s="153"/>
      <c r="BH1994" s="153"/>
      <c r="BI1994" s="153"/>
      <c r="BJ1994" s="153"/>
      <c r="BK1994" s="153"/>
      <c r="BL1994" s="153"/>
      <c r="BM1994" s="153"/>
      <c r="BN1994" s="153"/>
      <c r="BO1994" s="153"/>
      <c r="BP1994" s="153"/>
      <c r="BQ1994" s="153"/>
      <c r="BR1994" s="153"/>
      <c r="BS1994" s="153"/>
      <c r="BT1994" s="153"/>
      <c r="BU1994" s="153"/>
      <c r="BV1994" s="153"/>
      <c r="BW1994" s="153"/>
      <c r="BX1994" s="153"/>
      <c r="BY1994" s="153"/>
      <c r="BZ1994" s="153"/>
      <c r="CA1994" s="153"/>
      <c r="CB1994" s="153"/>
      <c r="CC1994" s="153"/>
      <c r="CD1994" s="155"/>
      <c r="CE1994" s="156"/>
      <c r="CF1994" s="155"/>
      <c r="CG1994" s="156"/>
      <c r="CH1994" s="155"/>
      <c r="CI1994" s="156"/>
      <c r="CJ1994" s="157">
        <f t="shared" si="252"/>
        <v>0</v>
      </c>
      <c r="CK1994" s="158"/>
      <c r="CL1994" s="159"/>
      <c r="CM1994" s="160"/>
      <c r="CN1994" s="161"/>
      <c r="CO1994" s="162"/>
      <c r="CP1994" s="161"/>
      <c r="CQ1994" s="158"/>
      <c r="CR1994" s="159"/>
      <c r="CS1994" s="68"/>
      <c r="CT1994" s="163"/>
      <c r="EC1994" s="366" t="str">
        <f t="shared" si="253"/>
        <v>BOLIVAR_SAN ESTANISLAO</v>
      </c>
      <c r="ED1994" s="367"/>
      <c r="EE1994" s="367"/>
      <c r="EF1994" s="368"/>
      <c r="EG1994" s="367"/>
      <c r="EH1994" s="367"/>
      <c r="EI1994" s="367"/>
    </row>
    <row r="1995" spans="1:139" s="164" customFormat="1" ht="51">
      <c r="A1995" s="228">
        <v>40515</v>
      </c>
      <c r="B1995" s="205" t="s">
        <v>1615</v>
      </c>
      <c r="C1995" s="205" t="s">
        <v>2081</v>
      </c>
      <c r="D1995" s="207" t="s">
        <v>1201</v>
      </c>
      <c r="E1995" s="323" t="s">
        <v>3407</v>
      </c>
      <c r="F1995" s="323"/>
      <c r="G1995" s="204"/>
      <c r="H1995" s="151"/>
      <c r="I1995" s="151"/>
      <c r="J1995" s="151">
        <f>696*5</f>
        <v>3480</v>
      </c>
      <c r="K1995" s="151">
        <f>978-120-100-62</f>
        <v>696</v>
      </c>
      <c r="L1995" s="1"/>
      <c r="M1995" s="73">
        <f t="shared" si="250"/>
        <v>0</v>
      </c>
      <c r="N1995" s="73">
        <f t="shared" si="248"/>
        <v>0</v>
      </c>
      <c r="O1995" s="73">
        <f t="shared" si="249"/>
        <v>0</v>
      </c>
      <c r="P1995" s="73">
        <f t="shared" si="251"/>
        <v>0</v>
      </c>
      <c r="Q1995" s="73"/>
      <c r="R1995" s="73">
        <v>0</v>
      </c>
      <c r="S1995" s="75">
        <f t="shared" si="254"/>
        <v>0</v>
      </c>
      <c r="T1995" s="77">
        <v>0</v>
      </c>
      <c r="U1995" s="228">
        <v>40515</v>
      </c>
      <c r="V1995" s="79"/>
      <c r="W1995" s="66" t="s">
        <v>1585</v>
      </c>
      <c r="X1995" s="24" t="s">
        <v>1586</v>
      </c>
      <c r="Y1995" s="62"/>
      <c r="Z1995" s="169" t="s">
        <v>894</v>
      </c>
      <c r="AA1995" s="166" t="s">
        <v>2918</v>
      </c>
      <c r="AB1995" s="152"/>
      <c r="AC1995" s="153"/>
      <c r="AD1995" s="154"/>
      <c r="AE1995" s="153"/>
      <c r="AF1995" s="153"/>
      <c r="AG1995" s="153"/>
      <c r="AH1995" s="153"/>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c r="BF1995" s="153"/>
      <c r="BG1995" s="153"/>
      <c r="BH1995" s="153"/>
      <c r="BI1995" s="153"/>
      <c r="BJ1995" s="153"/>
      <c r="BK1995" s="153"/>
      <c r="BL1995" s="153"/>
      <c r="BM1995" s="153"/>
      <c r="BN1995" s="153"/>
      <c r="BO1995" s="153"/>
      <c r="BP1995" s="153"/>
      <c r="BQ1995" s="153"/>
      <c r="BR1995" s="153"/>
      <c r="BS1995" s="153"/>
      <c r="BT1995" s="153"/>
      <c r="BU1995" s="153"/>
      <c r="BV1995" s="153"/>
      <c r="BW1995" s="153"/>
      <c r="BX1995" s="153"/>
      <c r="BY1995" s="153"/>
      <c r="BZ1995" s="153"/>
      <c r="CA1995" s="153"/>
      <c r="CB1995" s="153"/>
      <c r="CC1995" s="153"/>
      <c r="CD1995" s="155"/>
      <c r="CE1995" s="156"/>
      <c r="CF1995" s="155"/>
      <c r="CG1995" s="156"/>
      <c r="CH1995" s="155"/>
      <c r="CI1995" s="156"/>
      <c r="CJ1995" s="157">
        <f t="shared" si="252"/>
        <v>0</v>
      </c>
      <c r="CK1995" s="158"/>
      <c r="CL1995" s="159"/>
      <c r="CM1995" s="160"/>
      <c r="CN1995" s="161"/>
      <c r="CO1995" s="162"/>
      <c r="CP1995" s="161"/>
      <c r="CQ1995" s="158"/>
      <c r="CR1995" s="159"/>
      <c r="CS1995" s="68"/>
      <c r="CT1995" s="163"/>
      <c r="EC1995" s="366" t="str">
        <f t="shared" si="253"/>
        <v>BOLIVAR_SAN JUAN NEPOMUCENO</v>
      </c>
      <c r="ED1995" s="367"/>
      <c r="EE1995" s="367"/>
      <c r="EF1995" s="368"/>
      <c r="EG1995" s="367"/>
      <c r="EH1995" s="367"/>
      <c r="EI1995" s="367"/>
    </row>
    <row r="1996" spans="1:139" s="164" customFormat="1" ht="25.5">
      <c r="A1996" s="228">
        <v>40515</v>
      </c>
      <c r="B1996" s="205" t="s">
        <v>1192</v>
      </c>
      <c r="C1996" s="205" t="s">
        <v>2121</v>
      </c>
      <c r="D1996" s="207" t="s">
        <v>1878</v>
      </c>
      <c r="E1996" s="323" t="s">
        <v>3470</v>
      </c>
      <c r="F1996" s="323"/>
      <c r="G1996" s="204"/>
      <c r="H1996" s="151"/>
      <c r="I1996" s="151"/>
      <c r="J1996" s="151">
        <f>62*5</f>
        <v>310</v>
      </c>
      <c r="K1996" s="151">
        <v>62</v>
      </c>
      <c r="L1996" s="1"/>
      <c r="M1996" s="73">
        <f t="shared" si="250"/>
        <v>0</v>
      </c>
      <c r="N1996" s="73">
        <f t="shared" si="248"/>
        <v>0</v>
      </c>
      <c r="O1996" s="73">
        <f t="shared" si="249"/>
        <v>0</v>
      </c>
      <c r="P1996" s="73">
        <f t="shared" si="251"/>
        <v>0</v>
      </c>
      <c r="Q1996" s="73"/>
      <c r="R1996" s="73">
        <v>0</v>
      </c>
      <c r="S1996" s="75">
        <f t="shared" si="254"/>
        <v>0</v>
      </c>
      <c r="T1996" s="77">
        <v>0</v>
      </c>
      <c r="U1996" s="66">
        <v>40515</v>
      </c>
      <c r="V1996" s="79"/>
      <c r="W1996" s="66" t="s">
        <v>1585</v>
      </c>
      <c r="X1996" s="24" t="s">
        <v>1586</v>
      </c>
      <c r="Y1996" s="62"/>
      <c r="Z1996" s="169" t="s">
        <v>894</v>
      </c>
      <c r="AA1996" s="166" t="s">
        <v>277</v>
      </c>
      <c r="AB1996" s="152"/>
      <c r="AC1996" s="153"/>
      <c r="AD1996" s="154"/>
      <c r="AE1996" s="153"/>
      <c r="AF1996" s="153"/>
      <c r="AG1996" s="153"/>
      <c r="AH1996" s="153"/>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c r="BF1996" s="153"/>
      <c r="BG1996" s="153"/>
      <c r="BH1996" s="153"/>
      <c r="BI1996" s="153"/>
      <c r="BJ1996" s="153"/>
      <c r="BK1996" s="153"/>
      <c r="BL1996" s="153"/>
      <c r="BM1996" s="153"/>
      <c r="BN1996" s="153"/>
      <c r="BO1996" s="153"/>
      <c r="BP1996" s="153"/>
      <c r="BQ1996" s="153"/>
      <c r="BR1996" s="153"/>
      <c r="BS1996" s="153"/>
      <c r="BT1996" s="153"/>
      <c r="BU1996" s="153"/>
      <c r="BV1996" s="153"/>
      <c r="BW1996" s="153"/>
      <c r="BX1996" s="153"/>
      <c r="BY1996" s="153"/>
      <c r="BZ1996" s="153"/>
      <c r="CA1996" s="153"/>
      <c r="CB1996" s="153"/>
      <c r="CC1996" s="153"/>
      <c r="CD1996" s="155"/>
      <c r="CE1996" s="156"/>
      <c r="CF1996" s="155"/>
      <c r="CG1996" s="156"/>
      <c r="CH1996" s="155"/>
      <c r="CI1996" s="156"/>
      <c r="CJ1996" s="157">
        <f t="shared" si="252"/>
        <v>0</v>
      </c>
      <c r="CK1996" s="158"/>
      <c r="CL1996" s="159"/>
      <c r="CM1996" s="160"/>
      <c r="CN1996" s="161"/>
      <c r="CO1996" s="162"/>
      <c r="CP1996" s="161"/>
      <c r="CQ1996" s="158"/>
      <c r="CR1996" s="159"/>
      <c r="CS1996" s="68"/>
      <c r="CT1996" s="163"/>
      <c r="EC1996" s="366" t="str">
        <f t="shared" si="253"/>
        <v>BOYACA_LA UVITA</v>
      </c>
      <c r="ED1996" s="367"/>
      <c r="EE1996" s="367"/>
      <c r="EF1996" s="368"/>
      <c r="EG1996" s="367"/>
      <c r="EH1996" s="367"/>
      <c r="EI1996" s="367"/>
    </row>
    <row r="1997" spans="1:139" s="164" customFormat="1" ht="25.5">
      <c r="A1997" s="228">
        <v>40515</v>
      </c>
      <c r="B1997" s="205" t="s">
        <v>1192</v>
      </c>
      <c r="C1997" s="205" t="s">
        <v>69</v>
      </c>
      <c r="D1997" s="207" t="s">
        <v>1201</v>
      </c>
      <c r="E1997" s="323" t="s">
        <v>3493</v>
      </c>
      <c r="F1997" s="323"/>
      <c r="G1997" s="204"/>
      <c r="H1997" s="151"/>
      <c r="I1997" s="151"/>
      <c r="J1997" s="151">
        <f>125*5</f>
        <v>625</v>
      </c>
      <c r="K1997" s="151">
        <v>125</v>
      </c>
      <c r="L1997" s="1"/>
      <c r="M1997" s="73">
        <f t="shared" si="250"/>
        <v>0</v>
      </c>
      <c r="N1997" s="73">
        <f t="shared" si="248"/>
        <v>0</v>
      </c>
      <c r="O1997" s="73">
        <f t="shared" si="249"/>
        <v>0</v>
      </c>
      <c r="P1997" s="73">
        <f t="shared" si="251"/>
        <v>0</v>
      </c>
      <c r="Q1997" s="73"/>
      <c r="R1997" s="73">
        <v>0</v>
      </c>
      <c r="S1997" s="75">
        <f t="shared" si="254"/>
        <v>0</v>
      </c>
      <c r="T1997" s="77">
        <v>0</v>
      </c>
      <c r="U1997" s="66">
        <v>40578</v>
      </c>
      <c r="V1997" s="79"/>
      <c r="W1997" s="66" t="s">
        <v>1585</v>
      </c>
      <c r="X1997" s="24" t="s">
        <v>1586</v>
      </c>
      <c r="Y1997" s="62"/>
      <c r="Z1997" s="169" t="s">
        <v>894</v>
      </c>
      <c r="AA1997" s="166" t="s">
        <v>54</v>
      </c>
      <c r="AB1997" s="152"/>
      <c r="AC1997" s="153"/>
      <c r="AD1997" s="154"/>
      <c r="AE1997" s="153"/>
      <c r="AF1997" s="153"/>
      <c r="AG1997" s="153"/>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c r="BF1997" s="153"/>
      <c r="BG1997" s="153"/>
      <c r="BH1997" s="153"/>
      <c r="BI1997" s="153"/>
      <c r="BJ1997" s="153"/>
      <c r="BK1997" s="153"/>
      <c r="BL1997" s="153"/>
      <c r="BM1997" s="153"/>
      <c r="BN1997" s="153"/>
      <c r="BO1997" s="153"/>
      <c r="BP1997" s="153"/>
      <c r="BQ1997" s="153"/>
      <c r="BR1997" s="153"/>
      <c r="BS1997" s="153"/>
      <c r="BT1997" s="153"/>
      <c r="BU1997" s="153"/>
      <c r="BV1997" s="153"/>
      <c r="BW1997" s="153"/>
      <c r="BX1997" s="153"/>
      <c r="BY1997" s="153"/>
      <c r="BZ1997" s="153"/>
      <c r="CA1997" s="153"/>
      <c r="CB1997" s="153"/>
      <c r="CC1997" s="153"/>
      <c r="CD1997" s="155"/>
      <c r="CE1997" s="156"/>
      <c r="CF1997" s="155"/>
      <c r="CG1997" s="156"/>
      <c r="CH1997" s="155"/>
      <c r="CI1997" s="156"/>
      <c r="CJ1997" s="157">
        <f t="shared" si="252"/>
        <v>0</v>
      </c>
      <c r="CK1997" s="158"/>
      <c r="CL1997" s="159"/>
      <c r="CM1997" s="160"/>
      <c r="CN1997" s="161"/>
      <c r="CO1997" s="162"/>
      <c r="CP1997" s="161"/>
      <c r="CQ1997" s="158"/>
      <c r="CR1997" s="159"/>
      <c r="CS1997" s="68"/>
      <c r="CT1997" s="163"/>
      <c r="EC1997" s="366" t="str">
        <f t="shared" si="253"/>
        <v>BOYACA_PISBA</v>
      </c>
      <c r="ED1997" s="367"/>
      <c r="EE1997" s="367"/>
      <c r="EF1997" s="368"/>
      <c r="EG1997" s="367"/>
      <c r="EH1997" s="367"/>
      <c r="EI1997" s="367"/>
    </row>
    <row r="1998" spans="1:139" s="164" customFormat="1" ht="45">
      <c r="A1998" s="228">
        <v>40515</v>
      </c>
      <c r="B1998" s="205" t="s">
        <v>1314</v>
      </c>
      <c r="C1998" s="205" t="s">
        <v>2003</v>
      </c>
      <c r="D1998" s="207" t="s">
        <v>1201</v>
      </c>
      <c r="E1998" s="323" t="s">
        <v>3588</v>
      </c>
      <c r="F1998" s="323"/>
      <c r="G1998" s="204"/>
      <c r="H1998" s="151"/>
      <c r="I1998" s="151"/>
      <c r="J1998" s="151">
        <f>940*5</f>
        <v>4700</v>
      </c>
      <c r="K1998" s="151">
        <f>1240-300</f>
        <v>940</v>
      </c>
      <c r="L1998" s="1"/>
      <c r="M1998" s="73">
        <f t="shared" si="250"/>
        <v>0</v>
      </c>
      <c r="N1998" s="73">
        <f t="shared" ref="N1998:N2061" si="255">CN1998</f>
        <v>0</v>
      </c>
      <c r="O1998" s="73">
        <f t="shared" si="249"/>
        <v>0</v>
      </c>
      <c r="P1998" s="73">
        <f t="shared" si="251"/>
        <v>0</v>
      </c>
      <c r="Q1998" s="73"/>
      <c r="R1998" s="73">
        <v>0</v>
      </c>
      <c r="S1998" s="75">
        <f t="shared" si="254"/>
        <v>0</v>
      </c>
      <c r="T1998" s="77">
        <v>0</v>
      </c>
      <c r="U1998" s="66"/>
      <c r="V1998" s="79"/>
      <c r="W1998" s="66" t="s">
        <v>1606</v>
      </c>
      <c r="X1998" s="264" t="s">
        <v>1607</v>
      </c>
      <c r="Y1998" s="62"/>
      <c r="Z1998" s="260" t="s">
        <v>18</v>
      </c>
      <c r="AA1998" s="166"/>
      <c r="AB1998" s="152"/>
      <c r="AC1998" s="153"/>
      <c r="AD1998" s="154"/>
      <c r="AE1998" s="153"/>
      <c r="AF1998" s="153"/>
      <c r="AG1998" s="153"/>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c r="BF1998" s="153"/>
      <c r="BG1998" s="153"/>
      <c r="BH1998" s="153"/>
      <c r="BI1998" s="153"/>
      <c r="BJ1998" s="153"/>
      <c r="BK1998" s="153"/>
      <c r="BL1998" s="153"/>
      <c r="BM1998" s="153"/>
      <c r="BN1998" s="153"/>
      <c r="BO1998" s="153"/>
      <c r="BP1998" s="153"/>
      <c r="BQ1998" s="153"/>
      <c r="BR1998" s="153"/>
      <c r="BS1998" s="153"/>
      <c r="BT1998" s="153"/>
      <c r="BU1998" s="153"/>
      <c r="BV1998" s="153"/>
      <c r="BW1998" s="153"/>
      <c r="BX1998" s="153"/>
      <c r="BY1998" s="153"/>
      <c r="BZ1998" s="153"/>
      <c r="CA1998" s="153"/>
      <c r="CB1998" s="153"/>
      <c r="CC1998" s="153"/>
      <c r="CD1998" s="155"/>
      <c r="CE1998" s="156"/>
      <c r="CF1998" s="155"/>
      <c r="CG1998" s="156"/>
      <c r="CH1998" s="155"/>
      <c r="CI1998" s="156"/>
      <c r="CJ1998" s="157">
        <f t="shared" si="252"/>
        <v>0</v>
      </c>
      <c r="CK1998" s="158"/>
      <c r="CL1998" s="159"/>
      <c r="CM1998" s="160"/>
      <c r="CN1998" s="161"/>
      <c r="CO1998" s="162"/>
      <c r="CP1998" s="161"/>
      <c r="CQ1998" s="158"/>
      <c r="CR1998" s="159"/>
      <c r="CS1998" s="68"/>
      <c r="CT1998" s="163">
        <v>1498</v>
      </c>
      <c r="EC1998" s="366" t="str">
        <f t="shared" si="253"/>
        <v>CAUCA_ARGELIA</v>
      </c>
      <c r="ED1998" s="367"/>
      <c r="EE1998" s="367"/>
      <c r="EF1998" s="368"/>
      <c r="EG1998" s="367"/>
      <c r="EH1998" s="367"/>
      <c r="EI1998" s="367"/>
    </row>
    <row r="1999" spans="1:139" s="164" customFormat="1" ht="45">
      <c r="A1999" s="228">
        <v>40515</v>
      </c>
      <c r="B1999" s="205" t="s">
        <v>1314</v>
      </c>
      <c r="C1999" s="205" t="s">
        <v>742</v>
      </c>
      <c r="D1999" s="207" t="s">
        <v>1878</v>
      </c>
      <c r="E1999" s="323" t="s">
        <v>3589</v>
      </c>
      <c r="F1999" s="323"/>
      <c r="G1999" s="204"/>
      <c r="H1999" s="151"/>
      <c r="I1999" s="151"/>
      <c r="J1999" s="151">
        <f>1358*5</f>
        <v>6790</v>
      </c>
      <c r="K1999" s="151">
        <f>1466-108</f>
        <v>1358</v>
      </c>
      <c r="L1999" s="1"/>
      <c r="M1999" s="73">
        <f t="shared" si="250"/>
        <v>0</v>
      </c>
      <c r="N1999" s="73">
        <f t="shared" si="255"/>
        <v>0</v>
      </c>
      <c r="O1999" s="73">
        <f t="shared" si="249"/>
        <v>0</v>
      </c>
      <c r="P1999" s="73">
        <f t="shared" si="251"/>
        <v>0</v>
      </c>
      <c r="Q1999" s="73"/>
      <c r="R1999" s="73">
        <v>0</v>
      </c>
      <c r="S1999" s="75">
        <f t="shared" si="254"/>
        <v>0</v>
      </c>
      <c r="T1999" s="77">
        <v>0</v>
      </c>
      <c r="U1999" s="66"/>
      <c r="V1999" s="79"/>
      <c r="W1999" s="66" t="s">
        <v>1606</v>
      </c>
      <c r="X1999" s="264" t="s">
        <v>1607</v>
      </c>
      <c r="Y1999" s="62"/>
      <c r="Z1999" s="260" t="s">
        <v>18</v>
      </c>
      <c r="AA1999" s="166"/>
      <c r="AB1999" s="152"/>
      <c r="AC1999" s="153"/>
      <c r="AD1999" s="154"/>
      <c r="AE1999" s="153"/>
      <c r="AF1999" s="153"/>
      <c r="AG1999" s="153"/>
      <c r="AH1999" s="153"/>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c r="BF1999" s="153"/>
      <c r="BG1999" s="153"/>
      <c r="BH1999" s="153"/>
      <c r="BI1999" s="153"/>
      <c r="BJ1999" s="153"/>
      <c r="BK1999" s="153"/>
      <c r="BL1999" s="153"/>
      <c r="BM1999" s="153"/>
      <c r="BN1999" s="153"/>
      <c r="BO1999" s="153"/>
      <c r="BP1999" s="153"/>
      <c r="BQ1999" s="153"/>
      <c r="BR1999" s="153"/>
      <c r="BS1999" s="153"/>
      <c r="BT1999" s="153"/>
      <c r="BU1999" s="153"/>
      <c r="BV1999" s="153"/>
      <c r="BW1999" s="153"/>
      <c r="BX1999" s="153"/>
      <c r="BY1999" s="153"/>
      <c r="BZ1999" s="153"/>
      <c r="CA1999" s="153"/>
      <c r="CB1999" s="153"/>
      <c r="CC1999" s="153"/>
      <c r="CD1999" s="155"/>
      <c r="CE1999" s="156"/>
      <c r="CF1999" s="155"/>
      <c r="CG1999" s="156"/>
      <c r="CH1999" s="155"/>
      <c r="CI1999" s="156"/>
      <c r="CJ1999" s="157">
        <f t="shared" si="252"/>
        <v>0</v>
      </c>
      <c r="CK1999" s="158"/>
      <c r="CL1999" s="159"/>
      <c r="CM1999" s="160"/>
      <c r="CN1999" s="161"/>
      <c r="CO1999" s="162"/>
      <c r="CP1999" s="161"/>
      <c r="CQ1999" s="158"/>
      <c r="CR1999" s="159"/>
      <c r="CS1999" s="68"/>
      <c r="CT1999" s="163"/>
      <c r="EC1999" s="366" t="str">
        <f t="shared" si="253"/>
        <v>CAUCA_BALBOA</v>
      </c>
      <c r="ED1999" s="367"/>
      <c r="EE1999" s="367"/>
      <c r="EF1999" s="368"/>
      <c r="EG1999" s="367"/>
      <c r="EH1999" s="367"/>
      <c r="EI1999" s="367"/>
    </row>
    <row r="2000" spans="1:139" s="164" customFormat="1" ht="45">
      <c r="A2000" s="228">
        <v>40515</v>
      </c>
      <c r="B2000" s="205" t="s">
        <v>1314</v>
      </c>
      <c r="C2000" s="205" t="s">
        <v>423</v>
      </c>
      <c r="D2000" s="207" t="s">
        <v>1878</v>
      </c>
      <c r="E2000" s="323" t="s">
        <v>3594</v>
      </c>
      <c r="F2000" s="323"/>
      <c r="G2000" s="204"/>
      <c r="H2000" s="151"/>
      <c r="I2000" s="151"/>
      <c r="J2000" s="151">
        <f>932*5</f>
        <v>4660</v>
      </c>
      <c r="K2000" s="151">
        <f>946-14</f>
        <v>932</v>
      </c>
      <c r="L2000" s="1"/>
      <c r="M2000" s="73">
        <f t="shared" si="250"/>
        <v>0</v>
      </c>
      <c r="N2000" s="73">
        <f t="shared" si="255"/>
        <v>0</v>
      </c>
      <c r="O2000" s="73">
        <f t="shared" si="249"/>
        <v>0</v>
      </c>
      <c r="P2000" s="73">
        <f t="shared" si="251"/>
        <v>0</v>
      </c>
      <c r="Q2000" s="73"/>
      <c r="R2000" s="73">
        <v>0</v>
      </c>
      <c r="S2000" s="75">
        <f t="shared" si="254"/>
        <v>0</v>
      </c>
      <c r="T2000" s="77">
        <v>0</v>
      </c>
      <c r="U2000" s="66"/>
      <c r="V2000" s="79"/>
      <c r="W2000" s="66" t="s">
        <v>1606</v>
      </c>
      <c r="X2000" s="264" t="s">
        <v>1607</v>
      </c>
      <c r="Y2000" s="62"/>
      <c r="Z2000" s="260" t="s">
        <v>18</v>
      </c>
      <c r="AA2000" s="166"/>
      <c r="AB2000" s="152"/>
      <c r="AC2000" s="153"/>
      <c r="AD2000" s="154"/>
      <c r="AE2000" s="153"/>
      <c r="AF2000" s="153"/>
      <c r="AG2000" s="153"/>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c r="BF2000" s="153"/>
      <c r="BG2000" s="153"/>
      <c r="BH2000" s="153"/>
      <c r="BI2000" s="153"/>
      <c r="BJ2000" s="153"/>
      <c r="BK2000" s="153"/>
      <c r="BL2000" s="153"/>
      <c r="BM2000" s="153"/>
      <c r="BN2000" s="153"/>
      <c r="BO2000" s="153"/>
      <c r="BP2000" s="153"/>
      <c r="BQ2000" s="153"/>
      <c r="BR2000" s="153"/>
      <c r="BS2000" s="153"/>
      <c r="BT2000" s="153"/>
      <c r="BU2000" s="153"/>
      <c r="BV2000" s="153"/>
      <c r="BW2000" s="153"/>
      <c r="BX2000" s="153"/>
      <c r="BY2000" s="153"/>
      <c r="BZ2000" s="153"/>
      <c r="CA2000" s="153"/>
      <c r="CB2000" s="153"/>
      <c r="CC2000" s="153"/>
      <c r="CD2000" s="155"/>
      <c r="CE2000" s="156"/>
      <c r="CF2000" s="155"/>
      <c r="CG2000" s="156"/>
      <c r="CH2000" s="155"/>
      <c r="CI2000" s="156"/>
      <c r="CJ2000" s="157">
        <f t="shared" si="252"/>
        <v>0</v>
      </c>
      <c r="CK2000" s="158"/>
      <c r="CL2000" s="159"/>
      <c r="CM2000" s="160"/>
      <c r="CN2000" s="161"/>
      <c r="CO2000" s="162"/>
      <c r="CP2000" s="161"/>
      <c r="CQ2000" s="158"/>
      <c r="CR2000" s="159"/>
      <c r="CS2000" s="68"/>
      <c r="CT2000" s="163"/>
      <c r="EC2000" s="366" t="str">
        <f t="shared" si="253"/>
        <v>CAUCA_CALOTO</v>
      </c>
      <c r="ED2000" s="367"/>
      <c r="EE2000" s="367"/>
      <c r="EF2000" s="368"/>
      <c r="EG2000" s="367"/>
      <c r="EH2000" s="367"/>
      <c r="EI2000" s="367"/>
    </row>
    <row r="2001" spans="1:139" s="164" customFormat="1" ht="45">
      <c r="A2001" s="228">
        <v>40515</v>
      </c>
      <c r="B2001" s="205" t="s">
        <v>1314</v>
      </c>
      <c r="C2001" s="205" t="s">
        <v>1101</v>
      </c>
      <c r="D2001" s="207" t="s">
        <v>1201</v>
      </c>
      <c r="E2001" s="323" t="s">
        <v>3595</v>
      </c>
      <c r="F2001" s="323"/>
      <c r="G2001" s="204"/>
      <c r="H2001" s="151"/>
      <c r="I2001" s="151"/>
      <c r="J2001" s="151">
        <f>35*5</f>
        <v>175</v>
      </c>
      <c r="K2001" s="151">
        <f>265-183-47</f>
        <v>35</v>
      </c>
      <c r="L2001" s="1"/>
      <c r="M2001" s="73">
        <f t="shared" si="250"/>
        <v>0</v>
      </c>
      <c r="N2001" s="73">
        <f t="shared" si="255"/>
        <v>0</v>
      </c>
      <c r="O2001" s="73">
        <f t="shared" si="249"/>
        <v>0</v>
      </c>
      <c r="P2001" s="73">
        <f t="shared" si="251"/>
        <v>0</v>
      </c>
      <c r="Q2001" s="73"/>
      <c r="R2001" s="73">
        <v>0</v>
      </c>
      <c r="S2001" s="75">
        <f t="shared" si="254"/>
        <v>0</v>
      </c>
      <c r="T2001" s="77">
        <v>0</v>
      </c>
      <c r="U2001" s="66"/>
      <c r="V2001" s="79"/>
      <c r="W2001" s="66" t="s">
        <v>1606</v>
      </c>
      <c r="X2001" s="264" t="s">
        <v>1607</v>
      </c>
      <c r="Y2001" s="62"/>
      <c r="Z2001" s="260" t="s">
        <v>18</v>
      </c>
      <c r="AA2001" s="166"/>
      <c r="AB2001" s="152"/>
      <c r="AC2001" s="153"/>
      <c r="AD2001" s="154"/>
      <c r="AE2001" s="153"/>
      <c r="AF2001" s="153"/>
      <c r="AG2001" s="153"/>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c r="BF2001" s="153"/>
      <c r="BG2001" s="153"/>
      <c r="BH2001" s="153"/>
      <c r="BI2001" s="153"/>
      <c r="BJ2001" s="153"/>
      <c r="BK2001" s="153"/>
      <c r="BL2001" s="153"/>
      <c r="BM2001" s="153"/>
      <c r="BN2001" s="153"/>
      <c r="BO2001" s="153"/>
      <c r="BP2001" s="153"/>
      <c r="BQ2001" s="153"/>
      <c r="BR2001" s="153"/>
      <c r="BS2001" s="153"/>
      <c r="BT2001" s="153"/>
      <c r="BU2001" s="153"/>
      <c r="BV2001" s="153"/>
      <c r="BW2001" s="153"/>
      <c r="BX2001" s="153"/>
      <c r="BY2001" s="153"/>
      <c r="BZ2001" s="153"/>
      <c r="CA2001" s="153"/>
      <c r="CB2001" s="153"/>
      <c r="CC2001" s="153"/>
      <c r="CD2001" s="155"/>
      <c r="CE2001" s="156"/>
      <c r="CF2001" s="155"/>
      <c r="CG2001" s="156"/>
      <c r="CH2001" s="155"/>
      <c r="CI2001" s="156"/>
      <c r="CJ2001" s="157">
        <f t="shared" si="252"/>
        <v>0</v>
      </c>
      <c r="CK2001" s="158"/>
      <c r="CL2001" s="159"/>
      <c r="CM2001" s="160"/>
      <c r="CN2001" s="161"/>
      <c r="CO2001" s="162"/>
      <c r="CP2001" s="161"/>
      <c r="CQ2001" s="158"/>
      <c r="CR2001" s="159"/>
      <c r="CS2001" s="68"/>
      <c r="CT2001" s="163"/>
      <c r="EC2001" s="366" t="str">
        <f t="shared" si="253"/>
        <v>CAUCA_CORINTO</v>
      </c>
      <c r="ED2001" s="367"/>
      <c r="EE2001" s="367"/>
      <c r="EF2001" s="368"/>
      <c r="EG2001" s="367"/>
      <c r="EH2001" s="367"/>
      <c r="EI2001" s="367"/>
    </row>
    <row r="2002" spans="1:139" s="164" customFormat="1" ht="45">
      <c r="A2002" s="228">
        <v>40515</v>
      </c>
      <c r="B2002" s="205" t="s">
        <v>1314</v>
      </c>
      <c r="C2002" s="205" t="s">
        <v>433</v>
      </c>
      <c r="D2002" s="207" t="s">
        <v>1201</v>
      </c>
      <c r="E2002" s="323" t="s">
        <v>3598</v>
      </c>
      <c r="F2002" s="323"/>
      <c r="G2002" s="204"/>
      <c r="H2002" s="151"/>
      <c r="I2002" s="151"/>
      <c r="J2002" s="151">
        <f>1100*5</f>
        <v>5500</v>
      </c>
      <c r="K2002" s="151">
        <v>1100</v>
      </c>
      <c r="L2002" s="1"/>
      <c r="M2002" s="73">
        <f t="shared" si="250"/>
        <v>0</v>
      </c>
      <c r="N2002" s="73">
        <f t="shared" si="255"/>
        <v>0</v>
      </c>
      <c r="O2002" s="73">
        <f t="shared" si="249"/>
        <v>0</v>
      </c>
      <c r="P2002" s="73">
        <f t="shared" si="251"/>
        <v>0</v>
      </c>
      <c r="Q2002" s="73"/>
      <c r="R2002" s="73">
        <v>0</v>
      </c>
      <c r="S2002" s="75">
        <f t="shared" si="254"/>
        <v>0</v>
      </c>
      <c r="T2002" s="77">
        <v>0</v>
      </c>
      <c r="U2002" s="66"/>
      <c r="V2002" s="79"/>
      <c r="W2002" s="66" t="s">
        <v>1606</v>
      </c>
      <c r="X2002" s="264" t="s">
        <v>1607</v>
      </c>
      <c r="Y2002" s="62"/>
      <c r="Z2002" s="260" t="s">
        <v>18</v>
      </c>
      <c r="AA2002" s="166"/>
      <c r="AB2002" s="152"/>
      <c r="AC2002" s="153"/>
      <c r="AD2002" s="154"/>
      <c r="AE2002" s="153"/>
      <c r="AF2002" s="153"/>
      <c r="AG2002" s="153"/>
      <c r="AH2002" s="153"/>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c r="BF2002" s="153"/>
      <c r="BG2002" s="153"/>
      <c r="BH2002" s="153"/>
      <c r="BI2002" s="153"/>
      <c r="BJ2002" s="153"/>
      <c r="BK2002" s="153"/>
      <c r="BL2002" s="153"/>
      <c r="BM2002" s="153"/>
      <c r="BN2002" s="153"/>
      <c r="BO2002" s="153"/>
      <c r="BP2002" s="153"/>
      <c r="BQ2002" s="153"/>
      <c r="BR2002" s="153"/>
      <c r="BS2002" s="153"/>
      <c r="BT2002" s="153"/>
      <c r="BU2002" s="153"/>
      <c r="BV2002" s="153"/>
      <c r="BW2002" s="153"/>
      <c r="BX2002" s="153"/>
      <c r="BY2002" s="153"/>
      <c r="BZ2002" s="153"/>
      <c r="CA2002" s="153"/>
      <c r="CB2002" s="153"/>
      <c r="CC2002" s="153"/>
      <c r="CD2002" s="155"/>
      <c r="CE2002" s="156"/>
      <c r="CF2002" s="155"/>
      <c r="CG2002" s="156"/>
      <c r="CH2002" s="155"/>
      <c r="CI2002" s="156"/>
      <c r="CJ2002" s="157">
        <f t="shared" si="252"/>
        <v>0</v>
      </c>
      <c r="CK2002" s="158"/>
      <c r="CL2002" s="159"/>
      <c r="CM2002" s="160"/>
      <c r="CN2002" s="161"/>
      <c r="CO2002" s="162"/>
      <c r="CP2002" s="161"/>
      <c r="CQ2002" s="158"/>
      <c r="CR2002" s="159"/>
      <c r="CS2002" s="68"/>
      <c r="CT2002" s="163"/>
      <c r="EC2002" s="366" t="str">
        <f t="shared" si="253"/>
        <v>CAUCA_GUACHENE</v>
      </c>
      <c r="ED2002" s="367"/>
      <c r="EE2002" s="367"/>
      <c r="EF2002" s="368"/>
      <c r="EG2002" s="367"/>
      <c r="EH2002" s="367"/>
      <c r="EI2002" s="367"/>
    </row>
    <row r="2003" spans="1:139" s="164" customFormat="1" ht="45">
      <c r="A2003" s="228">
        <v>40515</v>
      </c>
      <c r="B2003" s="205" t="s">
        <v>1314</v>
      </c>
      <c r="C2003" s="205" t="s">
        <v>2241</v>
      </c>
      <c r="D2003" s="207" t="s">
        <v>1878</v>
      </c>
      <c r="E2003" s="323" t="s">
        <v>3599</v>
      </c>
      <c r="F2003" s="323"/>
      <c r="G2003" s="204"/>
      <c r="H2003" s="151"/>
      <c r="I2003" s="151"/>
      <c r="J2003" s="151">
        <f>1028*5</f>
        <v>5140</v>
      </c>
      <c r="K2003" s="151">
        <f>1044-16</f>
        <v>1028</v>
      </c>
      <c r="L2003" s="1"/>
      <c r="M2003" s="73">
        <f t="shared" si="250"/>
        <v>0</v>
      </c>
      <c r="N2003" s="73">
        <f t="shared" si="255"/>
        <v>0</v>
      </c>
      <c r="O2003" s="73">
        <f t="shared" si="249"/>
        <v>0</v>
      </c>
      <c r="P2003" s="73">
        <f t="shared" si="251"/>
        <v>0</v>
      </c>
      <c r="Q2003" s="73"/>
      <c r="R2003" s="73">
        <v>0</v>
      </c>
      <c r="S2003" s="75">
        <f t="shared" si="254"/>
        <v>0</v>
      </c>
      <c r="T2003" s="77">
        <v>0</v>
      </c>
      <c r="U2003" s="66"/>
      <c r="V2003" s="79"/>
      <c r="W2003" s="66" t="s">
        <v>1606</v>
      </c>
      <c r="X2003" s="264" t="s">
        <v>1607</v>
      </c>
      <c r="Y2003" s="62"/>
      <c r="Z2003" s="260" t="s">
        <v>18</v>
      </c>
      <c r="AA2003" s="166"/>
      <c r="AB2003" s="152"/>
      <c r="AC2003" s="153"/>
      <c r="AD2003" s="154"/>
      <c r="AE2003" s="153"/>
      <c r="AF2003" s="153"/>
      <c r="AG2003" s="153"/>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c r="BF2003" s="153"/>
      <c r="BG2003" s="153"/>
      <c r="BH2003" s="153"/>
      <c r="BI2003" s="153"/>
      <c r="BJ2003" s="153"/>
      <c r="BK2003" s="153"/>
      <c r="BL2003" s="153"/>
      <c r="BM2003" s="153"/>
      <c r="BN2003" s="153"/>
      <c r="BO2003" s="153"/>
      <c r="BP2003" s="153"/>
      <c r="BQ2003" s="153"/>
      <c r="BR2003" s="153"/>
      <c r="BS2003" s="153"/>
      <c r="BT2003" s="153"/>
      <c r="BU2003" s="153"/>
      <c r="BV2003" s="153"/>
      <c r="BW2003" s="153"/>
      <c r="BX2003" s="153"/>
      <c r="BY2003" s="153"/>
      <c r="BZ2003" s="153"/>
      <c r="CA2003" s="153"/>
      <c r="CB2003" s="153"/>
      <c r="CC2003" s="153"/>
      <c r="CD2003" s="155"/>
      <c r="CE2003" s="156"/>
      <c r="CF2003" s="155"/>
      <c r="CG2003" s="156"/>
      <c r="CH2003" s="155"/>
      <c r="CI2003" s="156"/>
      <c r="CJ2003" s="157">
        <f t="shared" si="252"/>
        <v>0</v>
      </c>
      <c r="CK2003" s="158"/>
      <c r="CL2003" s="159"/>
      <c r="CM2003" s="160"/>
      <c r="CN2003" s="161"/>
      <c r="CO2003" s="162"/>
      <c r="CP2003" s="161"/>
      <c r="CQ2003" s="158"/>
      <c r="CR2003" s="159"/>
      <c r="CS2003" s="68"/>
      <c r="CT2003" s="163"/>
      <c r="EC2003" s="366" t="str">
        <f t="shared" si="253"/>
        <v>CAUCA_GUAPI</v>
      </c>
      <c r="ED2003" s="367"/>
      <c r="EE2003" s="367"/>
      <c r="EF2003" s="368"/>
      <c r="EG2003" s="367"/>
      <c r="EH2003" s="367"/>
      <c r="EI2003" s="367"/>
    </row>
    <row r="2004" spans="1:139" s="164" customFormat="1" ht="45">
      <c r="A2004" s="228">
        <v>40515</v>
      </c>
      <c r="B2004" s="205" t="s">
        <v>1314</v>
      </c>
      <c r="C2004" s="205" t="s">
        <v>1811</v>
      </c>
      <c r="D2004" s="207" t="s">
        <v>1878</v>
      </c>
      <c r="E2004" s="323" t="s">
        <v>3600</v>
      </c>
      <c r="F2004" s="323"/>
      <c r="G2004" s="204"/>
      <c r="H2004" s="151"/>
      <c r="I2004" s="151"/>
      <c r="J2004" s="151">
        <f>28*4</f>
        <v>112</v>
      </c>
      <c r="K2004" s="151">
        <v>28</v>
      </c>
      <c r="L2004" s="1"/>
      <c r="M2004" s="73">
        <f t="shared" si="250"/>
        <v>0</v>
      </c>
      <c r="N2004" s="73">
        <f t="shared" si="255"/>
        <v>0</v>
      </c>
      <c r="O2004" s="73">
        <f t="shared" si="249"/>
        <v>0</v>
      </c>
      <c r="P2004" s="73">
        <f t="shared" si="251"/>
        <v>0</v>
      </c>
      <c r="Q2004" s="73"/>
      <c r="R2004" s="73">
        <v>0</v>
      </c>
      <c r="S2004" s="75">
        <f t="shared" si="254"/>
        <v>0</v>
      </c>
      <c r="T2004" s="77">
        <v>0</v>
      </c>
      <c r="U2004" s="66"/>
      <c r="V2004" s="79"/>
      <c r="W2004" s="66" t="s">
        <v>1606</v>
      </c>
      <c r="X2004" s="264" t="s">
        <v>1607</v>
      </c>
      <c r="Y2004" s="62"/>
      <c r="Z2004" s="260" t="s">
        <v>18</v>
      </c>
      <c r="AA2004" s="166"/>
      <c r="AB2004" s="152"/>
      <c r="AC2004" s="153"/>
      <c r="AD2004" s="154"/>
      <c r="AE2004" s="153"/>
      <c r="AF2004" s="153"/>
      <c r="AG2004" s="153"/>
      <c r="AH2004" s="153"/>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c r="BF2004" s="153"/>
      <c r="BG2004" s="153"/>
      <c r="BH2004" s="153"/>
      <c r="BI2004" s="153"/>
      <c r="BJ2004" s="153"/>
      <c r="BK2004" s="153"/>
      <c r="BL2004" s="153"/>
      <c r="BM2004" s="153"/>
      <c r="BN2004" s="153"/>
      <c r="BO2004" s="153"/>
      <c r="BP2004" s="153"/>
      <c r="BQ2004" s="153"/>
      <c r="BR2004" s="153"/>
      <c r="BS2004" s="153"/>
      <c r="BT2004" s="153"/>
      <c r="BU2004" s="153"/>
      <c r="BV2004" s="153"/>
      <c r="BW2004" s="153"/>
      <c r="BX2004" s="153"/>
      <c r="BY2004" s="153"/>
      <c r="BZ2004" s="153"/>
      <c r="CA2004" s="153"/>
      <c r="CB2004" s="153"/>
      <c r="CC2004" s="153"/>
      <c r="CD2004" s="155"/>
      <c r="CE2004" s="156"/>
      <c r="CF2004" s="155"/>
      <c r="CG2004" s="156"/>
      <c r="CH2004" s="155"/>
      <c r="CI2004" s="156"/>
      <c r="CJ2004" s="157">
        <f t="shared" si="252"/>
        <v>0</v>
      </c>
      <c r="CK2004" s="158"/>
      <c r="CL2004" s="159"/>
      <c r="CM2004" s="160"/>
      <c r="CN2004" s="161"/>
      <c r="CO2004" s="162"/>
      <c r="CP2004" s="161"/>
      <c r="CQ2004" s="158"/>
      <c r="CR2004" s="159"/>
      <c r="CS2004" s="68"/>
      <c r="CT2004" s="163"/>
      <c r="EC2004" s="366" t="str">
        <f t="shared" si="253"/>
        <v>CAUCA_INZA</v>
      </c>
      <c r="ED2004" s="367"/>
      <c r="EE2004" s="367"/>
      <c r="EF2004" s="368"/>
      <c r="EG2004" s="367"/>
      <c r="EH2004" s="367"/>
      <c r="EI2004" s="367"/>
    </row>
    <row r="2005" spans="1:139" s="164" customFormat="1" ht="45">
      <c r="A2005" s="228">
        <v>40515</v>
      </c>
      <c r="B2005" s="205" t="s">
        <v>1314</v>
      </c>
      <c r="C2005" s="205" t="s">
        <v>2107</v>
      </c>
      <c r="D2005" s="207" t="s">
        <v>1878</v>
      </c>
      <c r="E2005" s="323" t="s">
        <v>3601</v>
      </c>
      <c r="F2005" s="323"/>
      <c r="G2005" s="204"/>
      <c r="H2005" s="151"/>
      <c r="I2005" s="151"/>
      <c r="J2005" s="151">
        <f>625*5</f>
        <v>3125</v>
      </c>
      <c r="K2005" s="151">
        <v>625</v>
      </c>
      <c r="L2005" s="1"/>
      <c r="M2005" s="73">
        <f t="shared" si="250"/>
        <v>0</v>
      </c>
      <c r="N2005" s="73">
        <f t="shared" si="255"/>
        <v>0</v>
      </c>
      <c r="O2005" s="73">
        <f t="shared" si="249"/>
        <v>0</v>
      </c>
      <c r="P2005" s="73">
        <f t="shared" si="251"/>
        <v>0</v>
      </c>
      <c r="Q2005" s="73"/>
      <c r="R2005" s="73">
        <v>0</v>
      </c>
      <c r="S2005" s="75">
        <f t="shared" si="254"/>
        <v>0</v>
      </c>
      <c r="T2005" s="77">
        <v>0</v>
      </c>
      <c r="U2005" s="66"/>
      <c r="V2005" s="79"/>
      <c r="W2005" s="66" t="s">
        <v>1606</v>
      </c>
      <c r="X2005" s="264" t="s">
        <v>1607</v>
      </c>
      <c r="Y2005" s="62"/>
      <c r="Z2005" s="260" t="s">
        <v>18</v>
      </c>
      <c r="AA2005" s="166"/>
      <c r="AB2005" s="152"/>
      <c r="AC2005" s="153"/>
      <c r="AD2005" s="154"/>
      <c r="AE2005" s="153"/>
      <c r="AF2005" s="153"/>
      <c r="AG2005" s="153"/>
      <c r="AH2005" s="153"/>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c r="BF2005" s="153"/>
      <c r="BG2005" s="153"/>
      <c r="BH2005" s="153"/>
      <c r="BI2005" s="153"/>
      <c r="BJ2005" s="153"/>
      <c r="BK2005" s="153"/>
      <c r="BL2005" s="153"/>
      <c r="BM2005" s="153"/>
      <c r="BN2005" s="153"/>
      <c r="BO2005" s="153"/>
      <c r="BP2005" s="153"/>
      <c r="BQ2005" s="153"/>
      <c r="BR2005" s="153"/>
      <c r="BS2005" s="153"/>
      <c r="BT2005" s="153"/>
      <c r="BU2005" s="153"/>
      <c r="BV2005" s="153"/>
      <c r="BW2005" s="153"/>
      <c r="BX2005" s="153"/>
      <c r="BY2005" s="153"/>
      <c r="BZ2005" s="153"/>
      <c r="CA2005" s="153"/>
      <c r="CB2005" s="153"/>
      <c r="CC2005" s="153"/>
      <c r="CD2005" s="155"/>
      <c r="CE2005" s="156"/>
      <c r="CF2005" s="155"/>
      <c r="CG2005" s="156"/>
      <c r="CH2005" s="155"/>
      <c r="CI2005" s="156"/>
      <c r="CJ2005" s="157">
        <f t="shared" si="252"/>
        <v>0</v>
      </c>
      <c r="CK2005" s="158"/>
      <c r="CL2005" s="159"/>
      <c r="CM2005" s="160"/>
      <c r="CN2005" s="161"/>
      <c r="CO2005" s="162"/>
      <c r="CP2005" s="161"/>
      <c r="CQ2005" s="158"/>
      <c r="CR2005" s="159"/>
      <c r="CS2005" s="68"/>
      <c r="CT2005" s="163"/>
      <c r="EC2005" s="366" t="str">
        <f t="shared" si="253"/>
        <v>CAUCA_JAMBALO</v>
      </c>
      <c r="ED2005" s="367"/>
      <c r="EE2005" s="367"/>
      <c r="EF2005" s="368"/>
      <c r="EG2005" s="367"/>
      <c r="EH2005" s="367"/>
      <c r="EI2005" s="367"/>
    </row>
    <row r="2006" spans="1:139" s="164" customFormat="1" ht="45">
      <c r="A2006" s="228">
        <v>40515</v>
      </c>
      <c r="B2006" s="205" t="s">
        <v>1314</v>
      </c>
      <c r="C2006" s="205" t="s">
        <v>896</v>
      </c>
      <c r="D2006" s="207" t="s">
        <v>1201</v>
      </c>
      <c r="E2006" s="323" t="s">
        <v>3605</v>
      </c>
      <c r="F2006" s="323"/>
      <c r="G2006" s="204"/>
      <c r="H2006" s="151"/>
      <c r="I2006" s="151"/>
      <c r="J2006" s="151">
        <f>2547*5</f>
        <v>12735</v>
      </c>
      <c r="K2006" s="151">
        <f>2549-2</f>
        <v>2547</v>
      </c>
      <c r="L2006" s="1"/>
      <c r="M2006" s="73">
        <f t="shared" si="250"/>
        <v>0</v>
      </c>
      <c r="N2006" s="73">
        <f t="shared" si="255"/>
        <v>0</v>
      </c>
      <c r="O2006" s="73">
        <f t="shared" si="249"/>
        <v>0</v>
      </c>
      <c r="P2006" s="73">
        <f t="shared" si="251"/>
        <v>0</v>
      </c>
      <c r="Q2006" s="73"/>
      <c r="R2006" s="73">
        <v>0</v>
      </c>
      <c r="S2006" s="75">
        <f t="shared" si="254"/>
        <v>0</v>
      </c>
      <c r="T2006" s="77">
        <v>0</v>
      </c>
      <c r="U2006" s="66"/>
      <c r="V2006" s="79"/>
      <c r="W2006" s="66" t="s">
        <v>1606</v>
      </c>
      <c r="X2006" s="264" t="s">
        <v>1607</v>
      </c>
      <c r="Y2006" s="62"/>
      <c r="Z2006" s="260" t="s">
        <v>18</v>
      </c>
      <c r="AA2006" s="166"/>
      <c r="AB2006" s="152"/>
      <c r="AC2006" s="153"/>
      <c r="AD2006" s="154"/>
      <c r="AE2006" s="153"/>
      <c r="AF2006" s="153"/>
      <c r="AG2006" s="153"/>
      <c r="AH2006" s="153"/>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c r="BF2006" s="153"/>
      <c r="BG2006" s="153"/>
      <c r="BH2006" s="153"/>
      <c r="BI2006" s="153"/>
      <c r="BJ2006" s="153"/>
      <c r="BK2006" s="153"/>
      <c r="BL2006" s="153"/>
      <c r="BM2006" s="153"/>
      <c r="BN2006" s="153"/>
      <c r="BO2006" s="153"/>
      <c r="BP2006" s="153"/>
      <c r="BQ2006" s="153"/>
      <c r="BR2006" s="153"/>
      <c r="BS2006" s="153"/>
      <c r="BT2006" s="153"/>
      <c r="BU2006" s="153"/>
      <c r="BV2006" s="153"/>
      <c r="BW2006" s="153"/>
      <c r="BX2006" s="153"/>
      <c r="BY2006" s="153"/>
      <c r="BZ2006" s="153"/>
      <c r="CA2006" s="153"/>
      <c r="CB2006" s="153"/>
      <c r="CC2006" s="153"/>
      <c r="CD2006" s="155"/>
      <c r="CE2006" s="156"/>
      <c r="CF2006" s="155"/>
      <c r="CG2006" s="156"/>
      <c r="CH2006" s="155"/>
      <c r="CI2006" s="156"/>
      <c r="CJ2006" s="157">
        <f t="shared" si="252"/>
        <v>0</v>
      </c>
      <c r="CK2006" s="158"/>
      <c r="CL2006" s="159"/>
      <c r="CM2006" s="160"/>
      <c r="CN2006" s="161"/>
      <c r="CO2006" s="162"/>
      <c r="CP2006" s="161"/>
      <c r="CQ2006" s="158"/>
      <c r="CR2006" s="159"/>
      <c r="CS2006" s="68"/>
      <c r="CT2006" s="163"/>
      <c r="EC2006" s="366" t="str">
        <f t="shared" si="253"/>
        <v>CAUCA_MERCADERES</v>
      </c>
      <c r="ED2006" s="367"/>
      <c r="EE2006" s="367"/>
      <c r="EF2006" s="368"/>
      <c r="EG2006" s="367"/>
      <c r="EH2006" s="367"/>
      <c r="EI2006" s="367"/>
    </row>
    <row r="2007" spans="1:139" s="164" customFormat="1" ht="45">
      <c r="A2007" s="228">
        <v>40515</v>
      </c>
      <c r="B2007" s="205" t="s">
        <v>1314</v>
      </c>
      <c r="C2007" s="205" t="s">
        <v>1385</v>
      </c>
      <c r="D2007" s="207" t="s">
        <v>1878</v>
      </c>
      <c r="E2007" s="323" t="s">
        <v>3607</v>
      </c>
      <c r="F2007" s="323"/>
      <c r="G2007" s="204"/>
      <c r="H2007" s="151"/>
      <c r="I2007" s="151"/>
      <c r="J2007" s="151">
        <f>583*5</f>
        <v>2915</v>
      </c>
      <c r="K2007" s="151">
        <f>955-372</f>
        <v>583</v>
      </c>
      <c r="L2007" s="1"/>
      <c r="M2007" s="73">
        <f t="shared" si="250"/>
        <v>0</v>
      </c>
      <c r="N2007" s="73">
        <f t="shared" si="255"/>
        <v>0</v>
      </c>
      <c r="O2007" s="73">
        <f t="shared" si="249"/>
        <v>0</v>
      </c>
      <c r="P2007" s="73">
        <f t="shared" si="251"/>
        <v>0</v>
      </c>
      <c r="Q2007" s="73"/>
      <c r="R2007" s="73">
        <v>0</v>
      </c>
      <c r="S2007" s="75">
        <f t="shared" si="254"/>
        <v>0</v>
      </c>
      <c r="T2007" s="77">
        <v>0</v>
      </c>
      <c r="U2007" s="66"/>
      <c r="V2007" s="79"/>
      <c r="W2007" s="66" t="s">
        <v>1606</v>
      </c>
      <c r="X2007" s="264" t="s">
        <v>1607</v>
      </c>
      <c r="Y2007" s="62"/>
      <c r="Z2007" s="260" t="s">
        <v>18</v>
      </c>
      <c r="AA2007" s="166"/>
      <c r="AB2007" s="152"/>
      <c r="AC2007" s="153"/>
      <c r="AD2007" s="154"/>
      <c r="AE2007" s="153"/>
      <c r="AF2007" s="153"/>
      <c r="AG2007" s="153"/>
      <c r="AH2007" s="153"/>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c r="BI2007" s="153"/>
      <c r="BJ2007" s="153"/>
      <c r="BK2007" s="153"/>
      <c r="BL2007" s="153"/>
      <c r="BM2007" s="153"/>
      <c r="BN2007" s="153"/>
      <c r="BO2007" s="153"/>
      <c r="BP2007" s="153"/>
      <c r="BQ2007" s="153"/>
      <c r="BR2007" s="153"/>
      <c r="BS2007" s="153"/>
      <c r="BT2007" s="153"/>
      <c r="BU2007" s="153"/>
      <c r="BV2007" s="153"/>
      <c r="BW2007" s="153"/>
      <c r="BX2007" s="153"/>
      <c r="BY2007" s="153"/>
      <c r="BZ2007" s="153"/>
      <c r="CA2007" s="153"/>
      <c r="CB2007" s="153"/>
      <c r="CC2007" s="153"/>
      <c r="CD2007" s="155"/>
      <c r="CE2007" s="156"/>
      <c r="CF2007" s="155"/>
      <c r="CG2007" s="156"/>
      <c r="CH2007" s="155"/>
      <c r="CI2007" s="156"/>
      <c r="CJ2007" s="157">
        <f t="shared" si="252"/>
        <v>0</v>
      </c>
      <c r="CK2007" s="158"/>
      <c r="CL2007" s="159"/>
      <c r="CM2007" s="160"/>
      <c r="CN2007" s="161"/>
      <c r="CO2007" s="162"/>
      <c r="CP2007" s="161"/>
      <c r="CQ2007" s="158"/>
      <c r="CR2007" s="159"/>
      <c r="CS2007" s="68"/>
      <c r="CT2007" s="163"/>
      <c r="EC2007" s="366" t="str">
        <f t="shared" si="253"/>
        <v>CAUCA_MORALES</v>
      </c>
      <c r="ED2007" s="367"/>
      <c r="EE2007" s="367"/>
      <c r="EF2007" s="368"/>
      <c r="EG2007" s="367"/>
      <c r="EH2007" s="367"/>
      <c r="EI2007" s="367"/>
    </row>
    <row r="2008" spans="1:139" s="164" customFormat="1" ht="45">
      <c r="A2008" s="228">
        <v>40515</v>
      </c>
      <c r="B2008" s="205" t="s">
        <v>1314</v>
      </c>
      <c r="C2008" s="205" t="s">
        <v>1774</v>
      </c>
      <c r="D2008" s="207" t="s">
        <v>1878</v>
      </c>
      <c r="E2008" s="323" t="s">
        <v>3611</v>
      </c>
      <c r="F2008" s="323"/>
      <c r="G2008" s="204"/>
      <c r="H2008" s="151"/>
      <c r="I2008" s="151"/>
      <c r="J2008" s="151">
        <v>740</v>
      </c>
      <c r="K2008" s="151">
        <v>148</v>
      </c>
      <c r="L2008" s="1"/>
      <c r="M2008" s="73">
        <f t="shared" si="250"/>
        <v>0</v>
      </c>
      <c r="N2008" s="73">
        <f t="shared" si="255"/>
        <v>0</v>
      </c>
      <c r="O2008" s="73">
        <f t="shared" si="249"/>
        <v>0</v>
      </c>
      <c r="P2008" s="73">
        <f t="shared" si="251"/>
        <v>0</v>
      </c>
      <c r="Q2008" s="73"/>
      <c r="R2008" s="73">
        <v>0</v>
      </c>
      <c r="S2008" s="75">
        <f t="shared" si="254"/>
        <v>0</v>
      </c>
      <c r="T2008" s="77">
        <v>0</v>
      </c>
      <c r="U2008" s="66"/>
      <c r="V2008" s="79"/>
      <c r="W2008" s="66" t="s">
        <v>1606</v>
      </c>
      <c r="X2008" s="264" t="s">
        <v>1607</v>
      </c>
      <c r="Y2008" s="62"/>
      <c r="Z2008" s="260" t="s">
        <v>18</v>
      </c>
      <c r="AA2008" s="166"/>
      <c r="AB2008" s="152"/>
      <c r="AC2008" s="153"/>
      <c r="AD2008" s="154"/>
      <c r="AE2008" s="153"/>
      <c r="AF2008" s="153"/>
      <c r="AG2008" s="153"/>
      <c r="AH2008" s="153"/>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c r="BI2008" s="153"/>
      <c r="BJ2008" s="153"/>
      <c r="BK2008" s="153"/>
      <c r="BL2008" s="153"/>
      <c r="BM2008" s="153"/>
      <c r="BN2008" s="153"/>
      <c r="BO2008" s="153"/>
      <c r="BP2008" s="153"/>
      <c r="BQ2008" s="153"/>
      <c r="BR2008" s="153"/>
      <c r="BS2008" s="153"/>
      <c r="BT2008" s="153"/>
      <c r="BU2008" s="153"/>
      <c r="BV2008" s="153"/>
      <c r="BW2008" s="153"/>
      <c r="BX2008" s="153"/>
      <c r="BY2008" s="153"/>
      <c r="BZ2008" s="153"/>
      <c r="CA2008" s="153"/>
      <c r="CB2008" s="153"/>
      <c r="CC2008" s="153"/>
      <c r="CD2008" s="155"/>
      <c r="CE2008" s="156"/>
      <c r="CF2008" s="155"/>
      <c r="CG2008" s="156"/>
      <c r="CH2008" s="155"/>
      <c r="CI2008" s="156"/>
      <c r="CJ2008" s="157">
        <f t="shared" si="252"/>
        <v>0</v>
      </c>
      <c r="CK2008" s="158"/>
      <c r="CL2008" s="159"/>
      <c r="CM2008" s="160"/>
      <c r="CN2008" s="161"/>
      <c r="CO2008" s="162"/>
      <c r="CP2008" s="161"/>
      <c r="CQ2008" s="158"/>
      <c r="CR2008" s="159"/>
      <c r="CS2008" s="68"/>
      <c r="CT2008" s="163"/>
      <c r="EC2008" s="366" t="str">
        <f t="shared" si="253"/>
        <v>CAUCA_PIAMONTE</v>
      </c>
      <c r="ED2008" s="367"/>
      <c r="EE2008" s="367"/>
      <c r="EF2008" s="368"/>
      <c r="EG2008" s="367"/>
      <c r="EH2008" s="367"/>
      <c r="EI2008" s="367"/>
    </row>
    <row r="2009" spans="1:139" s="164" customFormat="1" ht="45">
      <c r="A2009" s="228">
        <v>40515</v>
      </c>
      <c r="B2009" s="205" t="s">
        <v>1314</v>
      </c>
      <c r="C2009" s="205" t="s">
        <v>434</v>
      </c>
      <c r="D2009" s="207" t="s">
        <v>1201</v>
      </c>
      <c r="E2009" s="323" t="s">
        <v>3613</v>
      </c>
      <c r="F2009" s="323"/>
      <c r="G2009" s="204"/>
      <c r="H2009" s="151"/>
      <c r="I2009" s="151"/>
      <c r="J2009" s="151">
        <v>225</v>
      </c>
      <c r="K2009" s="151">
        <v>45</v>
      </c>
      <c r="L2009" s="1"/>
      <c r="M2009" s="73">
        <f t="shared" si="250"/>
        <v>0</v>
      </c>
      <c r="N2009" s="73">
        <f t="shared" si="255"/>
        <v>0</v>
      </c>
      <c r="O2009" s="73">
        <f t="shared" si="249"/>
        <v>0</v>
      </c>
      <c r="P2009" s="73">
        <f t="shared" si="251"/>
        <v>0</v>
      </c>
      <c r="Q2009" s="73"/>
      <c r="R2009" s="73">
        <v>0</v>
      </c>
      <c r="S2009" s="75">
        <f t="shared" si="254"/>
        <v>0</v>
      </c>
      <c r="T2009" s="77">
        <v>0</v>
      </c>
      <c r="U2009" s="66"/>
      <c r="V2009" s="79"/>
      <c r="W2009" s="66" t="s">
        <v>1606</v>
      </c>
      <c r="X2009" s="264" t="s">
        <v>1607</v>
      </c>
      <c r="Y2009" s="62"/>
      <c r="Z2009" s="260" t="s">
        <v>18</v>
      </c>
      <c r="AA2009" s="166"/>
      <c r="AB2009" s="152"/>
      <c r="AC2009" s="153"/>
      <c r="AD2009" s="154"/>
      <c r="AE2009" s="153"/>
      <c r="AF2009" s="153"/>
      <c r="AG2009" s="153"/>
      <c r="AH2009" s="153"/>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c r="BI2009" s="153"/>
      <c r="BJ2009" s="153"/>
      <c r="BK2009" s="153"/>
      <c r="BL2009" s="153"/>
      <c r="BM2009" s="153"/>
      <c r="BN2009" s="153"/>
      <c r="BO2009" s="153"/>
      <c r="BP2009" s="153"/>
      <c r="BQ2009" s="153"/>
      <c r="BR2009" s="153"/>
      <c r="BS2009" s="153"/>
      <c r="BT2009" s="153"/>
      <c r="BU2009" s="153"/>
      <c r="BV2009" s="153"/>
      <c r="BW2009" s="153"/>
      <c r="BX2009" s="153"/>
      <c r="BY2009" s="153"/>
      <c r="BZ2009" s="153"/>
      <c r="CA2009" s="153"/>
      <c r="CB2009" s="153"/>
      <c r="CC2009" s="153"/>
      <c r="CD2009" s="155"/>
      <c r="CE2009" s="156"/>
      <c r="CF2009" s="155"/>
      <c r="CG2009" s="156"/>
      <c r="CH2009" s="155"/>
      <c r="CI2009" s="156"/>
      <c r="CJ2009" s="157">
        <f t="shared" si="252"/>
        <v>0</v>
      </c>
      <c r="CK2009" s="158"/>
      <c r="CL2009" s="159"/>
      <c r="CM2009" s="160"/>
      <c r="CN2009" s="161"/>
      <c r="CO2009" s="162"/>
      <c r="CP2009" s="161"/>
      <c r="CQ2009" s="158"/>
      <c r="CR2009" s="159"/>
      <c r="CS2009" s="68"/>
      <c r="CT2009" s="163"/>
      <c r="EC2009" s="366" t="str">
        <f t="shared" si="253"/>
        <v>CAUCA_PUERTO TEJADA</v>
      </c>
      <c r="ED2009" s="367"/>
      <c r="EE2009" s="367"/>
      <c r="EF2009" s="368"/>
      <c r="EG2009" s="367"/>
      <c r="EH2009" s="367"/>
      <c r="EI2009" s="367"/>
    </row>
    <row r="2010" spans="1:139" s="164" customFormat="1" ht="45">
      <c r="A2010" s="228">
        <v>40515</v>
      </c>
      <c r="B2010" s="205" t="s">
        <v>1314</v>
      </c>
      <c r="C2010" s="205" t="s">
        <v>1588</v>
      </c>
      <c r="D2010" s="207" t="s">
        <v>1878</v>
      </c>
      <c r="E2010" s="323" t="s">
        <v>3616</v>
      </c>
      <c r="F2010" s="323"/>
      <c r="G2010" s="204"/>
      <c r="H2010" s="151"/>
      <c r="I2010" s="151"/>
      <c r="J2010" s="151">
        <f>1769*5</f>
        <v>8845</v>
      </c>
      <c r="K2010" s="151">
        <v>1769</v>
      </c>
      <c r="L2010" s="1"/>
      <c r="M2010" s="73">
        <f t="shared" si="250"/>
        <v>0</v>
      </c>
      <c r="N2010" s="73">
        <f t="shared" si="255"/>
        <v>0</v>
      </c>
      <c r="O2010" s="73">
        <f t="shared" si="249"/>
        <v>0</v>
      </c>
      <c r="P2010" s="73">
        <f t="shared" si="251"/>
        <v>0</v>
      </c>
      <c r="Q2010" s="73"/>
      <c r="R2010" s="73">
        <v>0</v>
      </c>
      <c r="S2010" s="75">
        <f t="shared" si="254"/>
        <v>0</v>
      </c>
      <c r="T2010" s="77">
        <v>0</v>
      </c>
      <c r="U2010" s="66"/>
      <c r="V2010" s="79"/>
      <c r="W2010" s="66" t="s">
        <v>1606</v>
      </c>
      <c r="X2010" s="264" t="s">
        <v>1607</v>
      </c>
      <c r="Y2010" s="62"/>
      <c r="Z2010" s="260" t="s">
        <v>18</v>
      </c>
      <c r="AA2010" s="166"/>
      <c r="AB2010" s="152"/>
      <c r="AC2010" s="153"/>
      <c r="AD2010" s="154"/>
      <c r="AE2010" s="153"/>
      <c r="AF2010" s="153"/>
      <c r="AG2010" s="153"/>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c r="BI2010" s="153"/>
      <c r="BJ2010" s="153"/>
      <c r="BK2010" s="153"/>
      <c r="BL2010" s="153"/>
      <c r="BM2010" s="153"/>
      <c r="BN2010" s="153"/>
      <c r="BO2010" s="153"/>
      <c r="BP2010" s="153"/>
      <c r="BQ2010" s="153"/>
      <c r="BR2010" s="153"/>
      <c r="BS2010" s="153"/>
      <c r="BT2010" s="153"/>
      <c r="BU2010" s="153"/>
      <c r="BV2010" s="153"/>
      <c r="BW2010" s="153"/>
      <c r="BX2010" s="153"/>
      <c r="BY2010" s="153"/>
      <c r="BZ2010" s="153"/>
      <c r="CA2010" s="153"/>
      <c r="CB2010" s="153"/>
      <c r="CC2010" s="153"/>
      <c r="CD2010" s="155"/>
      <c r="CE2010" s="156"/>
      <c r="CF2010" s="155"/>
      <c r="CG2010" s="156"/>
      <c r="CH2010" s="155"/>
      <c r="CI2010" s="156"/>
      <c r="CJ2010" s="157">
        <f t="shared" si="252"/>
        <v>0</v>
      </c>
      <c r="CK2010" s="158"/>
      <c r="CL2010" s="159"/>
      <c r="CM2010" s="160"/>
      <c r="CN2010" s="161"/>
      <c r="CO2010" s="162"/>
      <c r="CP2010" s="161"/>
      <c r="CQ2010" s="158"/>
      <c r="CR2010" s="159"/>
      <c r="CS2010" s="68"/>
      <c r="CT2010" s="163"/>
      <c r="EC2010" s="366" t="str">
        <f t="shared" si="253"/>
        <v>CAUCA_SAN SEBASTIAN</v>
      </c>
      <c r="ED2010" s="367"/>
      <c r="EE2010" s="367"/>
      <c r="EF2010" s="368"/>
      <c r="EG2010" s="367"/>
      <c r="EH2010" s="367"/>
      <c r="EI2010" s="367"/>
    </row>
    <row r="2011" spans="1:139" s="164" customFormat="1" ht="45">
      <c r="A2011" s="228">
        <v>40515</v>
      </c>
      <c r="B2011" s="205" t="s">
        <v>1314</v>
      </c>
      <c r="C2011" s="205" t="s">
        <v>1037</v>
      </c>
      <c r="D2011" s="207" t="s">
        <v>1201</v>
      </c>
      <c r="E2011" s="323" t="s">
        <v>3618</v>
      </c>
      <c r="F2011" s="323"/>
      <c r="G2011" s="204"/>
      <c r="H2011" s="151"/>
      <c r="I2011" s="151"/>
      <c r="J2011" s="151">
        <f>150*5</f>
        <v>750</v>
      </c>
      <c r="K2011" s="151">
        <v>150</v>
      </c>
      <c r="L2011" s="1"/>
      <c r="M2011" s="73">
        <f t="shared" si="250"/>
        <v>0</v>
      </c>
      <c r="N2011" s="73">
        <f t="shared" si="255"/>
        <v>0</v>
      </c>
      <c r="O2011" s="73">
        <f t="shared" si="249"/>
        <v>0</v>
      </c>
      <c r="P2011" s="73">
        <f t="shared" si="251"/>
        <v>0</v>
      </c>
      <c r="Q2011" s="73"/>
      <c r="R2011" s="73">
        <v>0</v>
      </c>
      <c r="S2011" s="75">
        <f t="shared" si="254"/>
        <v>0</v>
      </c>
      <c r="T2011" s="77">
        <v>0</v>
      </c>
      <c r="U2011" s="66"/>
      <c r="V2011" s="79"/>
      <c r="W2011" s="66" t="s">
        <v>1606</v>
      </c>
      <c r="X2011" s="264" t="s">
        <v>1607</v>
      </c>
      <c r="Y2011" s="62"/>
      <c r="Z2011" s="260" t="s">
        <v>18</v>
      </c>
      <c r="AA2011" s="166"/>
      <c r="AB2011" s="152"/>
      <c r="AC2011" s="153"/>
      <c r="AD2011" s="154"/>
      <c r="AE2011" s="153"/>
      <c r="AF2011" s="153"/>
      <c r="AG2011" s="153"/>
      <c r="AH2011" s="153"/>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c r="BF2011" s="153"/>
      <c r="BG2011" s="153"/>
      <c r="BH2011" s="153"/>
      <c r="BI2011" s="153"/>
      <c r="BJ2011" s="153"/>
      <c r="BK2011" s="153"/>
      <c r="BL2011" s="153"/>
      <c r="BM2011" s="153"/>
      <c r="BN2011" s="153"/>
      <c r="BO2011" s="153"/>
      <c r="BP2011" s="153"/>
      <c r="BQ2011" s="153"/>
      <c r="BR2011" s="153"/>
      <c r="BS2011" s="153"/>
      <c r="BT2011" s="153"/>
      <c r="BU2011" s="153"/>
      <c r="BV2011" s="153"/>
      <c r="BW2011" s="153"/>
      <c r="BX2011" s="153"/>
      <c r="BY2011" s="153"/>
      <c r="BZ2011" s="153"/>
      <c r="CA2011" s="153"/>
      <c r="CB2011" s="153"/>
      <c r="CC2011" s="153"/>
      <c r="CD2011" s="155"/>
      <c r="CE2011" s="156"/>
      <c r="CF2011" s="155"/>
      <c r="CG2011" s="156"/>
      <c r="CH2011" s="155"/>
      <c r="CI2011" s="156"/>
      <c r="CJ2011" s="157">
        <f t="shared" si="252"/>
        <v>0</v>
      </c>
      <c r="CK2011" s="158"/>
      <c r="CL2011" s="159"/>
      <c r="CM2011" s="160"/>
      <c r="CN2011" s="161"/>
      <c r="CO2011" s="162"/>
      <c r="CP2011" s="161"/>
      <c r="CQ2011" s="158"/>
      <c r="CR2011" s="159"/>
      <c r="CS2011" s="68"/>
      <c r="CT2011" s="163"/>
      <c r="EC2011" s="366" t="str">
        <f t="shared" si="253"/>
        <v>CAUCA_SANTA ROSA</v>
      </c>
      <c r="ED2011" s="367"/>
      <c r="EE2011" s="367"/>
      <c r="EF2011" s="368"/>
      <c r="EG2011" s="367"/>
      <c r="EH2011" s="367"/>
      <c r="EI2011" s="367"/>
    </row>
    <row r="2012" spans="1:139" s="164" customFormat="1" ht="51">
      <c r="A2012" s="228">
        <v>40515</v>
      </c>
      <c r="B2012" s="205" t="s">
        <v>1314</v>
      </c>
      <c r="C2012" s="205" t="s">
        <v>435</v>
      </c>
      <c r="D2012" s="207" t="s">
        <v>1201</v>
      </c>
      <c r="E2012" s="323" t="s">
        <v>3617</v>
      </c>
      <c r="F2012" s="323"/>
      <c r="G2012" s="204"/>
      <c r="H2012" s="151"/>
      <c r="I2012" s="151"/>
      <c r="J2012" s="151">
        <f>669*5</f>
        <v>3345</v>
      </c>
      <c r="K2012" s="151">
        <v>669</v>
      </c>
      <c r="L2012" s="1"/>
      <c r="M2012" s="73">
        <f t="shared" si="250"/>
        <v>0</v>
      </c>
      <c r="N2012" s="73">
        <f t="shared" si="255"/>
        <v>0</v>
      </c>
      <c r="O2012" s="73">
        <f t="shared" si="249"/>
        <v>0</v>
      </c>
      <c r="P2012" s="73">
        <f t="shared" si="251"/>
        <v>0</v>
      </c>
      <c r="Q2012" s="73"/>
      <c r="R2012" s="73">
        <v>0</v>
      </c>
      <c r="S2012" s="75">
        <f t="shared" si="254"/>
        <v>0</v>
      </c>
      <c r="T2012" s="77">
        <v>0</v>
      </c>
      <c r="U2012" s="66"/>
      <c r="V2012" s="79"/>
      <c r="W2012" s="66" t="s">
        <v>1606</v>
      </c>
      <c r="X2012" s="264" t="s">
        <v>1607</v>
      </c>
      <c r="Y2012" s="62"/>
      <c r="Z2012" s="260" t="s">
        <v>18</v>
      </c>
      <c r="AA2012" s="166"/>
      <c r="AB2012" s="152"/>
      <c r="AC2012" s="153"/>
      <c r="AD2012" s="154"/>
      <c r="AE2012" s="153"/>
      <c r="AF2012" s="153"/>
      <c r="AG2012" s="153"/>
      <c r="AH2012" s="153"/>
      <c r="AI2012" s="153"/>
      <c r="AJ2012" s="153"/>
      <c r="AK2012" s="153"/>
      <c r="AL2012" s="153"/>
      <c r="AM2012" s="153"/>
      <c r="AN2012" s="153"/>
      <c r="AO2012" s="153"/>
      <c r="AP2012" s="153"/>
      <c r="AQ2012" s="153"/>
      <c r="AR2012" s="153"/>
      <c r="AS2012" s="153"/>
      <c r="AT2012" s="153"/>
      <c r="AU2012" s="153"/>
      <c r="AV2012" s="153"/>
      <c r="AW2012" s="153"/>
      <c r="AX2012" s="153"/>
      <c r="AY2012" s="153"/>
      <c r="AZ2012" s="153"/>
      <c r="BA2012" s="153"/>
      <c r="BB2012" s="153"/>
      <c r="BC2012" s="153"/>
      <c r="BD2012" s="153"/>
      <c r="BE2012" s="153"/>
      <c r="BF2012" s="153"/>
      <c r="BG2012" s="153"/>
      <c r="BH2012" s="153"/>
      <c r="BI2012" s="153"/>
      <c r="BJ2012" s="153"/>
      <c r="BK2012" s="153"/>
      <c r="BL2012" s="153"/>
      <c r="BM2012" s="153"/>
      <c r="BN2012" s="153"/>
      <c r="BO2012" s="153"/>
      <c r="BP2012" s="153"/>
      <c r="BQ2012" s="153"/>
      <c r="BR2012" s="153"/>
      <c r="BS2012" s="153"/>
      <c r="BT2012" s="153"/>
      <c r="BU2012" s="153"/>
      <c r="BV2012" s="153"/>
      <c r="BW2012" s="153"/>
      <c r="BX2012" s="153"/>
      <c r="BY2012" s="153"/>
      <c r="BZ2012" s="153"/>
      <c r="CA2012" s="153"/>
      <c r="CB2012" s="153"/>
      <c r="CC2012" s="153"/>
      <c r="CD2012" s="155"/>
      <c r="CE2012" s="156"/>
      <c r="CF2012" s="155"/>
      <c r="CG2012" s="156"/>
      <c r="CH2012" s="155"/>
      <c r="CI2012" s="156"/>
      <c r="CJ2012" s="157">
        <f t="shared" si="252"/>
        <v>0</v>
      </c>
      <c r="CK2012" s="158"/>
      <c r="CL2012" s="159"/>
      <c r="CM2012" s="160"/>
      <c r="CN2012" s="161"/>
      <c r="CO2012" s="162"/>
      <c r="CP2012" s="161"/>
      <c r="CQ2012" s="158"/>
      <c r="CR2012" s="159"/>
      <c r="CS2012" s="68"/>
      <c r="CT2012" s="163"/>
      <c r="EC2012" s="366" t="str">
        <f t="shared" si="253"/>
        <v>CAUCA_SANTANDER DE QUILICHAO</v>
      </c>
      <c r="ED2012" s="367"/>
      <c r="EE2012" s="367"/>
      <c r="EF2012" s="368"/>
      <c r="EG2012" s="367"/>
      <c r="EH2012" s="367"/>
      <c r="EI2012" s="367"/>
    </row>
    <row r="2013" spans="1:139" s="164" customFormat="1" ht="45">
      <c r="A2013" s="228">
        <v>40515</v>
      </c>
      <c r="B2013" s="205" t="s">
        <v>1314</v>
      </c>
      <c r="C2013" s="205" t="s">
        <v>1223</v>
      </c>
      <c r="D2013" s="207" t="s">
        <v>1878</v>
      </c>
      <c r="E2013" s="323" t="s">
        <v>3619</v>
      </c>
      <c r="F2013" s="323"/>
      <c r="G2013" s="204"/>
      <c r="H2013" s="151"/>
      <c r="I2013" s="151"/>
      <c r="J2013" s="151">
        <f>287*5</f>
        <v>1435</v>
      </c>
      <c r="K2013" s="151">
        <v>287</v>
      </c>
      <c r="L2013" s="1"/>
      <c r="M2013" s="73">
        <f t="shared" si="250"/>
        <v>0</v>
      </c>
      <c r="N2013" s="73">
        <f t="shared" si="255"/>
        <v>0</v>
      </c>
      <c r="O2013" s="73">
        <f t="shared" si="249"/>
        <v>0</v>
      </c>
      <c r="P2013" s="73">
        <f t="shared" si="251"/>
        <v>0</v>
      </c>
      <c r="Q2013" s="73"/>
      <c r="R2013" s="73">
        <v>0</v>
      </c>
      <c r="S2013" s="75">
        <f t="shared" si="254"/>
        <v>0</v>
      </c>
      <c r="T2013" s="77">
        <v>0</v>
      </c>
      <c r="U2013" s="66"/>
      <c r="V2013" s="79"/>
      <c r="W2013" s="66" t="s">
        <v>1606</v>
      </c>
      <c r="X2013" s="264" t="s">
        <v>1607</v>
      </c>
      <c r="Y2013" s="62"/>
      <c r="Z2013" s="260" t="s">
        <v>18</v>
      </c>
      <c r="AA2013" s="166"/>
      <c r="AB2013" s="152"/>
      <c r="AC2013" s="153"/>
      <c r="AD2013" s="154"/>
      <c r="AE2013" s="153"/>
      <c r="AF2013" s="153"/>
      <c r="AG2013" s="153"/>
      <c r="AH2013" s="153"/>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c r="BF2013" s="153"/>
      <c r="BG2013" s="153"/>
      <c r="BH2013" s="153"/>
      <c r="BI2013" s="153"/>
      <c r="BJ2013" s="153"/>
      <c r="BK2013" s="153"/>
      <c r="BL2013" s="153"/>
      <c r="BM2013" s="153"/>
      <c r="BN2013" s="153"/>
      <c r="BO2013" s="153"/>
      <c r="BP2013" s="153"/>
      <c r="BQ2013" s="153"/>
      <c r="BR2013" s="153"/>
      <c r="BS2013" s="153"/>
      <c r="BT2013" s="153"/>
      <c r="BU2013" s="153"/>
      <c r="BV2013" s="153"/>
      <c r="BW2013" s="153"/>
      <c r="BX2013" s="153"/>
      <c r="BY2013" s="153"/>
      <c r="BZ2013" s="153"/>
      <c r="CA2013" s="153"/>
      <c r="CB2013" s="153"/>
      <c r="CC2013" s="153"/>
      <c r="CD2013" s="155"/>
      <c r="CE2013" s="156"/>
      <c r="CF2013" s="155"/>
      <c r="CG2013" s="156"/>
      <c r="CH2013" s="155"/>
      <c r="CI2013" s="156"/>
      <c r="CJ2013" s="157">
        <f t="shared" si="252"/>
        <v>0</v>
      </c>
      <c r="CK2013" s="158"/>
      <c r="CL2013" s="159"/>
      <c r="CM2013" s="160"/>
      <c r="CN2013" s="161"/>
      <c r="CO2013" s="162"/>
      <c r="CP2013" s="161"/>
      <c r="CQ2013" s="158"/>
      <c r="CR2013" s="159"/>
      <c r="CS2013" s="68"/>
      <c r="CT2013" s="163"/>
      <c r="EC2013" s="366" t="str">
        <f t="shared" si="253"/>
        <v>CAUCA_SILVIA</v>
      </c>
      <c r="ED2013" s="367"/>
      <c r="EE2013" s="367"/>
      <c r="EF2013" s="368"/>
      <c r="EG2013" s="367"/>
      <c r="EH2013" s="367"/>
      <c r="EI2013" s="367"/>
    </row>
    <row r="2014" spans="1:139" s="164" customFormat="1" ht="45">
      <c r="A2014" s="228">
        <v>40515</v>
      </c>
      <c r="B2014" s="205" t="s">
        <v>1314</v>
      </c>
      <c r="C2014" s="205" t="s">
        <v>1943</v>
      </c>
      <c r="D2014" s="207" t="s">
        <v>1878</v>
      </c>
      <c r="E2014" s="323" t="s">
        <v>3622</v>
      </c>
      <c r="F2014" s="323"/>
      <c r="G2014" s="204"/>
      <c r="H2014" s="151"/>
      <c r="I2014" s="151"/>
      <c r="J2014" s="151">
        <f>1276*5</f>
        <v>6380</v>
      </c>
      <c r="K2014" s="151">
        <v>1276</v>
      </c>
      <c r="L2014" s="1"/>
      <c r="M2014" s="73">
        <f t="shared" si="250"/>
        <v>0</v>
      </c>
      <c r="N2014" s="73">
        <f t="shared" si="255"/>
        <v>0</v>
      </c>
      <c r="O2014" s="73">
        <f t="shared" si="249"/>
        <v>0</v>
      </c>
      <c r="P2014" s="73">
        <f t="shared" si="251"/>
        <v>0</v>
      </c>
      <c r="Q2014" s="73"/>
      <c r="R2014" s="73">
        <v>0</v>
      </c>
      <c r="S2014" s="75">
        <f t="shared" si="254"/>
        <v>0</v>
      </c>
      <c r="T2014" s="77">
        <v>0</v>
      </c>
      <c r="U2014" s="66"/>
      <c r="V2014" s="79"/>
      <c r="W2014" s="66" t="s">
        <v>1606</v>
      </c>
      <c r="X2014" s="264" t="s">
        <v>1607</v>
      </c>
      <c r="Y2014" s="62"/>
      <c r="Z2014" s="260" t="s">
        <v>18</v>
      </c>
      <c r="AA2014" s="166"/>
      <c r="AB2014" s="152"/>
      <c r="AC2014" s="153"/>
      <c r="AD2014" s="154"/>
      <c r="AE2014" s="153"/>
      <c r="AF2014" s="153"/>
      <c r="AG2014" s="153"/>
      <c r="AH2014" s="153"/>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c r="BF2014" s="153"/>
      <c r="BG2014" s="153"/>
      <c r="BH2014" s="153"/>
      <c r="BI2014" s="153"/>
      <c r="BJ2014" s="153"/>
      <c r="BK2014" s="153"/>
      <c r="BL2014" s="153"/>
      <c r="BM2014" s="153"/>
      <c r="BN2014" s="153"/>
      <c r="BO2014" s="153"/>
      <c r="BP2014" s="153"/>
      <c r="BQ2014" s="153"/>
      <c r="BR2014" s="153"/>
      <c r="BS2014" s="153"/>
      <c r="BT2014" s="153"/>
      <c r="BU2014" s="153"/>
      <c r="BV2014" s="153"/>
      <c r="BW2014" s="153"/>
      <c r="BX2014" s="153"/>
      <c r="BY2014" s="153"/>
      <c r="BZ2014" s="153"/>
      <c r="CA2014" s="153"/>
      <c r="CB2014" s="153"/>
      <c r="CC2014" s="153"/>
      <c r="CD2014" s="155"/>
      <c r="CE2014" s="156"/>
      <c r="CF2014" s="155"/>
      <c r="CG2014" s="156"/>
      <c r="CH2014" s="155"/>
      <c r="CI2014" s="156"/>
      <c r="CJ2014" s="157">
        <f t="shared" si="252"/>
        <v>0</v>
      </c>
      <c r="CK2014" s="158"/>
      <c r="CL2014" s="159"/>
      <c r="CM2014" s="160"/>
      <c r="CN2014" s="161"/>
      <c r="CO2014" s="162"/>
      <c r="CP2014" s="161"/>
      <c r="CQ2014" s="158"/>
      <c r="CR2014" s="159"/>
      <c r="CS2014" s="68"/>
      <c r="CT2014" s="163"/>
      <c r="EC2014" s="366" t="str">
        <f t="shared" si="253"/>
        <v>CAUCA_SUCRE</v>
      </c>
      <c r="ED2014" s="367"/>
      <c r="EE2014" s="367"/>
      <c r="EF2014" s="368"/>
      <c r="EG2014" s="367"/>
      <c r="EH2014" s="367"/>
      <c r="EI2014" s="367"/>
    </row>
    <row r="2015" spans="1:139" s="164" customFormat="1" ht="45">
      <c r="A2015" s="228">
        <v>40515</v>
      </c>
      <c r="B2015" s="205" t="s">
        <v>1314</v>
      </c>
      <c r="C2015" s="205" t="s">
        <v>493</v>
      </c>
      <c r="D2015" s="207" t="s">
        <v>1878</v>
      </c>
      <c r="E2015" s="323" t="s">
        <v>3624</v>
      </c>
      <c r="F2015" s="323"/>
      <c r="G2015" s="204"/>
      <c r="H2015" s="151"/>
      <c r="I2015" s="151"/>
      <c r="J2015" s="151">
        <f>1306*5</f>
        <v>6530</v>
      </c>
      <c r="K2015" s="151">
        <v>1306</v>
      </c>
      <c r="L2015" s="1"/>
      <c r="M2015" s="73">
        <f t="shared" si="250"/>
        <v>0</v>
      </c>
      <c r="N2015" s="73">
        <f t="shared" si="255"/>
        <v>0</v>
      </c>
      <c r="O2015" s="73">
        <f t="shared" si="249"/>
        <v>0</v>
      </c>
      <c r="P2015" s="73">
        <f t="shared" si="251"/>
        <v>0</v>
      </c>
      <c r="Q2015" s="73"/>
      <c r="R2015" s="73">
        <v>0</v>
      </c>
      <c r="S2015" s="75">
        <f t="shared" si="254"/>
        <v>0</v>
      </c>
      <c r="T2015" s="77">
        <v>0</v>
      </c>
      <c r="U2015" s="66"/>
      <c r="V2015" s="79"/>
      <c r="W2015" s="66" t="s">
        <v>1606</v>
      </c>
      <c r="X2015" s="264" t="s">
        <v>1607</v>
      </c>
      <c r="Y2015" s="62"/>
      <c r="Z2015" s="260" t="s">
        <v>18</v>
      </c>
      <c r="AA2015" s="166"/>
      <c r="AB2015" s="152"/>
      <c r="AC2015" s="153"/>
      <c r="AD2015" s="154"/>
      <c r="AE2015" s="153"/>
      <c r="AF2015" s="153"/>
      <c r="AG2015" s="153"/>
      <c r="AH2015" s="153"/>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c r="BF2015" s="153"/>
      <c r="BG2015" s="153"/>
      <c r="BH2015" s="153"/>
      <c r="BI2015" s="153"/>
      <c r="BJ2015" s="153"/>
      <c r="BK2015" s="153"/>
      <c r="BL2015" s="153"/>
      <c r="BM2015" s="153"/>
      <c r="BN2015" s="153"/>
      <c r="BO2015" s="153"/>
      <c r="BP2015" s="153"/>
      <c r="BQ2015" s="153"/>
      <c r="BR2015" s="153"/>
      <c r="BS2015" s="153"/>
      <c r="BT2015" s="153"/>
      <c r="BU2015" s="153"/>
      <c r="BV2015" s="153"/>
      <c r="BW2015" s="153"/>
      <c r="BX2015" s="153"/>
      <c r="BY2015" s="153"/>
      <c r="BZ2015" s="153"/>
      <c r="CA2015" s="153"/>
      <c r="CB2015" s="153"/>
      <c r="CC2015" s="153"/>
      <c r="CD2015" s="155"/>
      <c r="CE2015" s="156"/>
      <c r="CF2015" s="155"/>
      <c r="CG2015" s="156"/>
      <c r="CH2015" s="155"/>
      <c r="CI2015" s="156"/>
      <c r="CJ2015" s="157">
        <f t="shared" si="252"/>
        <v>0</v>
      </c>
      <c r="CK2015" s="158"/>
      <c r="CL2015" s="159"/>
      <c r="CM2015" s="160"/>
      <c r="CN2015" s="161"/>
      <c r="CO2015" s="162"/>
      <c r="CP2015" s="161"/>
      <c r="CQ2015" s="158"/>
      <c r="CR2015" s="159"/>
      <c r="CS2015" s="68"/>
      <c r="CT2015" s="163"/>
      <c r="EC2015" s="366" t="str">
        <f t="shared" si="253"/>
        <v>CAUCA_TIMBIQUI</v>
      </c>
      <c r="ED2015" s="367"/>
      <c r="EE2015" s="367"/>
      <c r="EF2015" s="368"/>
      <c r="EG2015" s="367"/>
      <c r="EH2015" s="367"/>
      <c r="EI2015" s="367"/>
    </row>
    <row r="2016" spans="1:139" s="164" customFormat="1" ht="45">
      <c r="A2016" s="228">
        <v>40515</v>
      </c>
      <c r="B2016" s="205" t="s">
        <v>1314</v>
      </c>
      <c r="C2016" s="205" t="s">
        <v>436</v>
      </c>
      <c r="D2016" s="207" t="s">
        <v>1878</v>
      </c>
      <c r="E2016" s="323" t="s">
        <v>3625</v>
      </c>
      <c r="F2016" s="323"/>
      <c r="G2016" s="204"/>
      <c r="H2016" s="151"/>
      <c r="I2016" s="151"/>
      <c r="J2016" s="151">
        <f>459*5</f>
        <v>2295</v>
      </c>
      <c r="K2016" s="151">
        <v>459</v>
      </c>
      <c r="L2016" s="1"/>
      <c r="M2016" s="73">
        <f t="shared" si="250"/>
        <v>0</v>
      </c>
      <c r="N2016" s="73">
        <f t="shared" si="255"/>
        <v>0</v>
      </c>
      <c r="O2016" s="73">
        <f t="shared" si="249"/>
        <v>0</v>
      </c>
      <c r="P2016" s="73">
        <f t="shared" si="251"/>
        <v>0</v>
      </c>
      <c r="Q2016" s="73"/>
      <c r="R2016" s="73">
        <v>0</v>
      </c>
      <c r="S2016" s="75">
        <f t="shared" si="254"/>
        <v>0</v>
      </c>
      <c r="T2016" s="77">
        <v>0</v>
      </c>
      <c r="U2016" s="66"/>
      <c r="V2016" s="79"/>
      <c r="W2016" s="66" t="s">
        <v>1606</v>
      </c>
      <c r="X2016" s="264" t="s">
        <v>1607</v>
      </c>
      <c r="Y2016" s="62"/>
      <c r="Z2016" s="260" t="s">
        <v>18</v>
      </c>
      <c r="AA2016" s="166"/>
      <c r="AB2016" s="152"/>
      <c r="AC2016" s="153"/>
      <c r="AD2016" s="154"/>
      <c r="AE2016" s="153"/>
      <c r="AF2016" s="153"/>
      <c r="AG2016" s="153"/>
      <c r="AH2016" s="153"/>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c r="BF2016" s="153"/>
      <c r="BG2016" s="153"/>
      <c r="BH2016" s="153"/>
      <c r="BI2016" s="153"/>
      <c r="BJ2016" s="153"/>
      <c r="BK2016" s="153"/>
      <c r="BL2016" s="153"/>
      <c r="BM2016" s="153"/>
      <c r="BN2016" s="153"/>
      <c r="BO2016" s="153"/>
      <c r="BP2016" s="153"/>
      <c r="BQ2016" s="153"/>
      <c r="BR2016" s="153"/>
      <c r="BS2016" s="153"/>
      <c r="BT2016" s="153"/>
      <c r="BU2016" s="153"/>
      <c r="BV2016" s="153"/>
      <c r="BW2016" s="153"/>
      <c r="BX2016" s="153"/>
      <c r="BY2016" s="153"/>
      <c r="BZ2016" s="153"/>
      <c r="CA2016" s="153"/>
      <c r="CB2016" s="153"/>
      <c r="CC2016" s="153"/>
      <c r="CD2016" s="155"/>
      <c r="CE2016" s="156"/>
      <c r="CF2016" s="155"/>
      <c r="CG2016" s="156"/>
      <c r="CH2016" s="155"/>
      <c r="CI2016" s="156"/>
      <c r="CJ2016" s="157">
        <f t="shared" si="252"/>
        <v>0</v>
      </c>
      <c r="CK2016" s="158"/>
      <c r="CL2016" s="159"/>
      <c r="CM2016" s="160"/>
      <c r="CN2016" s="161"/>
      <c r="CO2016" s="162"/>
      <c r="CP2016" s="161"/>
      <c r="CQ2016" s="158"/>
      <c r="CR2016" s="159"/>
      <c r="CS2016" s="68"/>
      <c r="CT2016" s="163"/>
      <c r="EC2016" s="366" t="str">
        <f t="shared" si="253"/>
        <v>CAUCA_TORIBIO</v>
      </c>
      <c r="ED2016" s="367"/>
      <c r="EE2016" s="367"/>
      <c r="EF2016" s="368"/>
      <c r="EG2016" s="367"/>
      <c r="EH2016" s="367"/>
      <c r="EI2016" s="367"/>
    </row>
    <row r="2017" spans="1:139" s="164" customFormat="1" ht="45">
      <c r="A2017" s="228">
        <v>40515</v>
      </c>
      <c r="B2017" s="205" t="s">
        <v>1314</v>
      </c>
      <c r="C2017" s="205" t="s">
        <v>2750</v>
      </c>
      <c r="D2017" s="207" t="s">
        <v>1878</v>
      </c>
      <c r="E2017" s="323" t="s">
        <v>3627</v>
      </c>
      <c r="F2017" s="323"/>
      <c r="G2017" s="204"/>
      <c r="H2017" s="151"/>
      <c r="I2017" s="151"/>
      <c r="J2017" s="151">
        <f>83*5</f>
        <v>415</v>
      </c>
      <c r="K2017" s="151">
        <f>453-215-155</f>
        <v>83</v>
      </c>
      <c r="L2017" s="1"/>
      <c r="M2017" s="73">
        <f t="shared" si="250"/>
        <v>0</v>
      </c>
      <c r="N2017" s="73">
        <f t="shared" si="255"/>
        <v>0</v>
      </c>
      <c r="O2017" s="73">
        <f t="shared" si="249"/>
        <v>0</v>
      </c>
      <c r="P2017" s="73">
        <f t="shared" si="251"/>
        <v>0</v>
      </c>
      <c r="Q2017" s="73"/>
      <c r="R2017" s="73">
        <v>0</v>
      </c>
      <c r="S2017" s="75">
        <f t="shared" si="254"/>
        <v>0</v>
      </c>
      <c r="T2017" s="77">
        <v>0</v>
      </c>
      <c r="U2017" s="66"/>
      <c r="V2017" s="79"/>
      <c r="W2017" s="66" t="s">
        <v>1606</v>
      </c>
      <c r="X2017" s="264" t="s">
        <v>1607</v>
      </c>
      <c r="Y2017" s="62"/>
      <c r="Z2017" s="260" t="s">
        <v>18</v>
      </c>
      <c r="AA2017" s="166"/>
      <c r="AB2017" s="152"/>
      <c r="AC2017" s="153"/>
      <c r="AD2017" s="154"/>
      <c r="AE2017" s="153"/>
      <c r="AF2017" s="153"/>
      <c r="AG2017" s="153"/>
      <c r="AH2017" s="153"/>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c r="BF2017" s="153"/>
      <c r="BG2017" s="153"/>
      <c r="BH2017" s="153"/>
      <c r="BI2017" s="153"/>
      <c r="BJ2017" s="153"/>
      <c r="BK2017" s="153"/>
      <c r="BL2017" s="153"/>
      <c r="BM2017" s="153"/>
      <c r="BN2017" s="153"/>
      <c r="BO2017" s="153"/>
      <c r="BP2017" s="153"/>
      <c r="BQ2017" s="153"/>
      <c r="BR2017" s="153"/>
      <c r="BS2017" s="153"/>
      <c r="BT2017" s="153"/>
      <c r="BU2017" s="153"/>
      <c r="BV2017" s="153"/>
      <c r="BW2017" s="153"/>
      <c r="BX2017" s="153"/>
      <c r="BY2017" s="153"/>
      <c r="BZ2017" s="153"/>
      <c r="CA2017" s="153"/>
      <c r="CB2017" s="153"/>
      <c r="CC2017" s="153"/>
      <c r="CD2017" s="155"/>
      <c r="CE2017" s="156"/>
      <c r="CF2017" s="155"/>
      <c r="CG2017" s="156"/>
      <c r="CH2017" s="155"/>
      <c r="CI2017" s="156"/>
      <c r="CJ2017" s="157">
        <f t="shared" si="252"/>
        <v>0</v>
      </c>
      <c r="CK2017" s="158"/>
      <c r="CL2017" s="159"/>
      <c r="CM2017" s="160"/>
      <c r="CN2017" s="161"/>
      <c r="CO2017" s="162"/>
      <c r="CP2017" s="161"/>
      <c r="CQ2017" s="158"/>
      <c r="CR2017" s="159"/>
      <c r="CS2017" s="68"/>
      <c r="CT2017" s="163"/>
      <c r="EC2017" s="366" t="str">
        <f t="shared" si="253"/>
        <v>CAUCA_VILLA RICA</v>
      </c>
      <c r="ED2017" s="367"/>
      <c r="EE2017" s="367"/>
      <c r="EF2017" s="368"/>
      <c r="EG2017" s="367"/>
      <c r="EH2017" s="367"/>
      <c r="EI2017" s="367"/>
    </row>
    <row r="2018" spans="1:139" s="164" customFormat="1" ht="25.5">
      <c r="A2018" s="228">
        <v>40515</v>
      </c>
      <c r="B2018" s="205" t="s">
        <v>1821</v>
      </c>
      <c r="C2018" s="205" t="s">
        <v>2246</v>
      </c>
      <c r="D2018" s="207" t="s">
        <v>1201</v>
      </c>
      <c r="E2018" s="323" t="s">
        <v>3636</v>
      </c>
      <c r="F2018" s="323"/>
      <c r="G2018" s="204"/>
      <c r="H2018" s="151"/>
      <c r="I2018" s="151"/>
      <c r="J2018" s="151">
        <f>920*5</f>
        <v>4600</v>
      </c>
      <c r="K2018" s="151">
        <f>1258-27-46-84-181</f>
        <v>920</v>
      </c>
      <c r="L2018" s="1"/>
      <c r="M2018" s="73">
        <f t="shared" si="250"/>
        <v>0</v>
      </c>
      <c r="N2018" s="73">
        <f t="shared" si="255"/>
        <v>0</v>
      </c>
      <c r="O2018" s="73">
        <f t="shared" si="249"/>
        <v>0</v>
      </c>
      <c r="P2018" s="73">
        <f t="shared" si="251"/>
        <v>0</v>
      </c>
      <c r="Q2018" s="73"/>
      <c r="R2018" s="73">
        <v>0</v>
      </c>
      <c r="S2018" s="75">
        <f t="shared" si="254"/>
        <v>0</v>
      </c>
      <c r="T2018" s="77">
        <v>0</v>
      </c>
      <c r="U2018" s="66">
        <v>40515</v>
      </c>
      <c r="V2018" s="79"/>
      <c r="W2018" s="66" t="s">
        <v>1585</v>
      </c>
      <c r="X2018" s="24" t="s">
        <v>1586</v>
      </c>
      <c r="Y2018" s="62"/>
      <c r="Z2018" s="169" t="s">
        <v>894</v>
      </c>
      <c r="AA2018" s="166" t="s">
        <v>282</v>
      </c>
      <c r="AB2018" s="152"/>
      <c r="AC2018" s="153"/>
      <c r="AD2018" s="154"/>
      <c r="AE2018" s="153"/>
      <c r="AF2018" s="153"/>
      <c r="AG2018" s="153"/>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c r="BF2018" s="153"/>
      <c r="BG2018" s="153"/>
      <c r="BH2018" s="153"/>
      <c r="BI2018" s="153"/>
      <c r="BJ2018" s="153"/>
      <c r="BK2018" s="153"/>
      <c r="BL2018" s="153"/>
      <c r="BM2018" s="153"/>
      <c r="BN2018" s="153"/>
      <c r="BO2018" s="153"/>
      <c r="BP2018" s="153"/>
      <c r="BQ2018" s="153"/>
      <c r="BR2018" s="153"/>
      <c r="BS2018" s="153"/>
      <c r="BT2018" s="153"/>
      <c r="BU2018" s="153"/>
      <c r="BV2018" s="153"/>
      <c r="BW2018" s="153"/>
      <c r="BX2018" s="153"/>
      <c r="BY2018" s="153"/>
      <c r="BZ2018" s="153"/>
      <c r="CA2018" s="153"/>
      <c r="CB2018" s="153"/>
      <c r="CC2018" s="153"/>
      <c r="CD2018" s="155"/>
      <c r="CE2018" s="156"/>
      <c r="CF2018" s="155"/>
      <c r="CG2018" s="156"/>
      <c r="CH2018" s="155"/>
      <c r="CI2018" s="156"/>
      <c r="CJ2018" s="157">
        <f t="shared" si="252"/>
        <v>0</v>
      </c>
      <c r="CK2018" s="158"/>
      <c r="CL2018" s="159"/>
      <c r="CM2018" s="160"/>
      <c r="CN2018" s="161"/>
      <c r="CO2018" s="162"/>
      <c r="CP2018" s="161"/>
      <c r="CQ2018" s="158"/>
      <c r="CR2018" s="159"/>
      <c r="CS2018" s="68"/>
      <c r="CT2018" s="163"/>
      <c r="EC2018" s="366" t="str">
        <f t="shared" si="253"/>
        <v>CESAR_CURUMANI</v>
      </c>
      <c r="ED2018" s="367"/>
      <c r="EE2018" s="367"/>
      <c r="EF2018" s="368"/>
      <c r="EG2018" s="367"/>
      <c r="EH2018" s="367"/>
      <c r="EI2018" s="367"/>
    </row>
    <row r="2019" spans="1:139" s="164" customFormat="1" ht="38.25">
      <c r="A2019" s="228">
        <v>40515</v>
      </c>
      <c r="B2019" s="205" t="s">
        <v>1604</v>
      </c>
      <c r="C2019" s="205" t="s">
        <v>2498</v>
      </c>
      <c r="D2019" s="207" t="s">
        <v>1201</v>
      </c>
      <c r="E2019" s="323" t="s">
        <v>3692</v>
      </c>
      <c r="F2019" s="323"/>
      <c r="G2019" s="204"/>
      <c r="H2019" s="151"/>
      <c r="I2019" s="151"/>
      <c r="J2019" s="151"/>
      <c r="K2019" s="151"/>
      <c r="L2019" s="1"/>
      <c r="M2019" s="73">
        <f t="shared" si="250"/>
        <v>0</v>
      </c>
      <c r="N2019" s="73">
        <f t="shared" si="255"/>
        <v>0</v>
      </c>
      <c r="O2019" s="73">
        <f t="shared" si="249"/>
        <v>0</v>
      </c>
      <c r="P2019" s="73">
        <f t="shared" si="251"/>
        <v>0</v>
      </c>
      <c r="Q2019" s="73"/>
      <c r="R2019" s="73">
        <v>0</v>
      </c>
      <c r="S2019" s="75">
        <f t="shared" si="254"/>
        <v>0</v>
      </c>
      <c r="T2019" s="77">
        <v>0</v>
      </c>
      <c r="U2019" s="66">
        <v>40515</v>
      </c>
      <c r="V2019" s="79"/>
      <c r="W2019" s="66" t="s">
        <v>1585</v>
      </c>
      <c r="X2019" s="24" t="s">
        <v>1586</v>
      </c>
      <c r="Y2019" s="62"/>
      <c r="Z2019" s="169" t="s">
        <v>894</v>
      </c>
      <c r="AA2019" s="166" t="s">
        <v>270</v>
      </c>
      <c r="AB2019" s="152"/>
      <c r="AC2019" s="153"/>
      <c r="AD2019" s="154"/>
      <c r="AE2019" s="153"/>
      <c r="AF2019" s="153"/>
      <c r="AG2019" s="153"/>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c r="BI2019" s="153"/>
      <c r="BJ2019" s="153"/>
      <c r="BK2019" s="153"/>
      <c r="BL2019" s="153"/>
      <c r="BM2019" s="153"/>
      <c r="BN2019" s="153"/>
      <c r="BO2019" s="153"/>
      <c r="BP2019" s="153"/>
      <c r="BQ2019" s="153"/>
      <c r="BR2019" s="153"/>
      <c r="BS2019" s="153"/>
      <c r="BT2019" s="153"/>
      <c r="BU2019" s="153"/>
      <c r="BV2019" s="153"/>
      <c r="BW2019" s="153"/>
      <c r="BX2019" s="153"/>
      <c r="BY2019" s="153"/>
      <c r="BZ2019" s="153"/>
      <c r="CA2019" s="153"/>
      <c r="CB2019" s="153"/>
      <c r="CC2019" s="153"/>
      <c r="CD2019" s="155"/>
      <c r="CE2019" s="156"/>
      <c r="CF2019" s="155"/>
      <c r="CG2019" s="156"/>
      <c r="CH2019" s="155"/>
      <c r="CI2019" s="156"/>
      <c r="CJ2019" s="157">
        <f t="shared" si="252"/>
        <v>0</v>
      </c>
      <c r="CK2019" s="158"/>
      <c r="CL2019" s="159"/>
      <c r="CM2019" s="160"/>
      <c r="CN2019" s="161"/>
      <c r="CO2019" s="162"/>
      <c r="CP2019" s="161"/>
      <c r="CQ2019" s="158"/>
      <c r="CR2019" s="159"/>
      <c r="CS2019" s="68"/>
      <c r="CT2019" s="163"/>
      <c r="EC2019" s="366" t="str">
        <f t="shared" si="253"/>
        <v>CUNDINAMARCA_CAQUEZA</v>
      </c>
      <c r="ED2019" s="367"/>
      <c r="EE2019" s="367"/>
      <c r="EF2019" s="368"/>
      <c r="EG2019" s="367"/>
      <c r="EH2019" s="367"/>
      <c r="EI2019" s="367"/>
    </row>
    <row r="2020" spans="1:139" s="164" customFormat="1" ht="38.25">
      <c r="A2020" s="228">
        <v>40515</v>
      </c>
      <c r="B2020" s="205" t="s">
        <v>1604</v>
      </c>
      <c r="C2020" s="205" t="s">
        <v>271</v>
      </c>
      <c r="D2020" s="207" t="s">
        <v>1878</v>
      </c>
      <c r="E2020" s="323" t="s">
        <v>3743</v>
      </c>
      <c r="F2020" s="323"/>
      <c r="G2020" s="204"/>
      <c r="H2020" s="151"/>
      <c r="I2020" s="151"/>
      <c r="J2020" s="151">
        <f>330*4</f>
        <v>1320</v>
      </c>
      <c r="K2020" s="151">
        <v>330</v>
      </c>
      <c r="L2020" s="1"/>
      <c r="M2020" s="73">
        <f t="shared" si="250"/>
        <v>0</v>
      </c>
      <c r="N2020" s="73">
        <f t="shared" si="255"/>
        <v>0</v>
      </c>
      <c r="O2020" s="73">
        <f t="shared" si="249"/>
        <v>0</v>
      </c>
      <c r="P2020" s="73">
        <f t="shared" si="251"/>
        <v>0</v>
      </c>
      <c r="Q2020" s="73"/>
      <c r="R2020" s="73">
        <v>0</v>
      </c>
      <c r="S2020" s="75">
        <f t="shared" si="254"/>
        <v>0</v>
      </c>
      <c r="T2020" s="77">
        <v>0</v>
      </c>
      <c r="U2020" s="66">
        <v>40515</v>
      </c>
      <c r="V2020" s="79"/>
      <c r="W2020" s="66" t="s">
        <v>1585</v>
      </c>
      <c r="X2020" s="24" t="s">
        <v>1586</v>
      </c>
      <c r="Y2020" s="62"/>
      <c r="Z2020" s="169" t="s">
        <v>894</v>
      </c>
      <c r="AA2020" s="166" t="s">
        <v>272</v>
      </c>
      <c r="AB2020" s="152"/>
      <c r="AC2020" s="153"/>
      <c r="AD2020" s="154"/>
      <c r="AE2020" s="153"/>
      <c r="AF2020" s="153"/>
      <c r="AG2020" s="153"/>
      <c r="AH2020" s="153"/>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c r="BI2020" s="153"/>
      <c r="BJ2020" s="153"/>
      <c r="BK2020" s="153"/>
      <c r="BL2020" s="153"/>
      <c r="BM2020" s="153"/>
      <c r="BN2020" s="153"/>
      <c r="BO2020" s="153"/>
      <c r="BP2020" s="153"/>
      <c r="BQ2020" s="153"/>
      <c r="BR2020" s="153"/>
      <c r="BS2020" s="153"/>
      <c r="BT2020" s="153"/>
      <c r="BU2020" s="153"/>
      <c r="BV2020" s="153"/>
      <c r="BW2020" s="153"/>
      <c r="BX2020" s="153"/>
      <c r="BY2020" s="153"/>
      <c r="BZ2020" s="153"/>
      <c r="CA2020" s="153"/>
      <c r="CB2020" s="153"/>
      <c r="CC2020" s="153"/>
      <c r="CD2020" s="155"/>
      <c r="CE2020" s="156"/>
      <c r="CF2020" s="155"/>
      <c r="CG2020" s="156"/>
      <c r="CH2020" s="155"/>
      <c r="CI2020" s="156"/>
      <c r="CJ2020" s="157">
        <f t="shared" si="252"/>
        <v>0</v>
      </c>
      <c r="CK2020" s="158"/>
      <c r="CL2020" s="159"/>
      <c r="CM2020" s="160"/>
      <c r="CN2020" s="161"/>
      <c r="CO2020" s="162"/>
      <c r="CP2020" s="161"/>
      <c r="CQ2020" s="158"/>
      <c r="CR2020" s="159"/>
      <c r="CS2020" s="68"/>
      <c r="CT2020" s="163"/>
      <c r="EC2020" s="366" t="str">
        <f t="shared" si="253"/>
        <v>CUNDINAMARCA_PAIME</v>
      </c>
      <c r="ED2020" s="367"/>
      <c r="EE2020" s="367"/>
      <c r="EF2020" s="368"/>
      <c r="EG2020" s="367"/>
      <c r="EH2020" s="367"/>
      <c r="EI2020" s="367"/>
    </row>
    <row r="2021" spans="1:139" s="164" customFormat="1" ht="45">
      <c r="A2021" s="228">
        <v>40515</v>
      </c>
      <c r="B2021" s="205" t="s">
        <v>962</v>
      </c>
      <c r="C2021" s="205" t="s">
        <v>944</v>
      </c>
      <c r="D2021" s="207" t="s">
        <v>1201</v>
      </c>
      <c r="E2021" s="323" t="s">
        <v>3826</v>
      </c>
      <c r="F2021" s="323"/>
      <c r="G2021" s="204"/>
      <c r="H2021" s="151"/>
      <c r="I2021" s="151"/>
      <c r="J2021" s="151">
        <v>15</v>
      </c>
      <c r="K2021" s="151">
        <v>3</v>
      </c>
      <c r="L2021" s="1"/>
      <c r="M2021" s="73">
        <f t="shared" si="250"/>
        <v>0</v>
      </c>
      <c r="N2021" s="73">
        <f t="shared" si="255"/>
        <v>0</v>
      </c>
      <c r="O2021" s="73">
        <f t="shared" si="249"/>
        <v>0</v>
      </c>
      <c r="P2021" s="73">
        <f t="shared" si="251"/>
        <v>0</v>
      </c>
      <c r="Q2021" s="73"/>
      <c r="R2021" s="73">
        <v>0</v>
      </c>
      <c r="S2021" s="75">
        <f t="shared" si="254"/>
        <v>0</v>
      </c>
      <c r="T2021" s="77">
        <v>0</v>
      </c>
      <c r="U2021" s="66">
        <v>40515</v>
      </c>
      <c r="V2021" s="79"/>
      <c r="W2021" s="66" t="s">
        <v>1606</v>
      </c>
      <c r="X2021" s="264" t="s">
        <v>1607</v>
      </c>
      <c r="Y2021" s="62"/>
      <c r="Z2021" s="260" t="s">
        <v>18</v>
      </c>
      <c r="AA2021" s="166" t="s">
        <v>2961</v>
      </c>
      <c r="AB2021" s="152"/>
      <c r="AC2021" s="153"/>
      <c r="AD2021" s="154"/>
      <c r="AE2021" s="153"/>
      <c r="AF2021" s="153"/>
      <c r="AG2021" s="153"/>
      <c r="AH2021" s="153"/>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c r="BF2021" s="153"/>
      <c r="BG2021" s="153"/>
      <c r="BH2021" s="153"/>
      <c r="BI2021" s="153"/>
      <c r="BJ2021" s="153"/>
      <c r="BK2021" s="153"/>
      <c r="BL2021" s="153"/>
      <c r="BM2021" s="153"/>
      <c r="BN2021" s="153"/>
      <c r="BO2021" s="153"/>
      <c r="BP2021" s="153"/>
      <c r="BQ2021" s="153"/>
      <c r="BR2021" s="153"/>
      <c r="BS2021" s="153"/>
      <c r="BT2021" s="153"/>
      <c r="BU2021" s="153"/>
      <c r="BV2021" s="153"/>
      <c r="BW2021" s="153"/>
      <c r="BX2021" s="153"/>
      <c r="BY2021" s="153"/>
      <c r="BZ2021" s="153"/>
      <c r="CA2021" s="153"/>
      <c r="CB2021" s="153"/>
      <c r="CC2021" s="153"/>
      <c r="CD2021" s="155"/>
      <c r="CE2021" s="156"/>
      <c r="CF2021" s="155"/>
      <c r="CG2021" s="156"/>
      <c r="CH2021" s="155"/>
      <c r="CI2021" s="156"/>
      <c r="CJ2021" s="157">
        <f t="shared" si="252"/>
        <v>0</v>
      </c>
      <c r="CK2021" s="158"/>
      <c r="CL2021" s="159"/>
      <c r="CM2021" s="160"/>
      <c r="CN2021" s="161"/>
      <c r="CO2021" s="162"/>
      <c r="CP2021" s="161"/>
      <c r="CQ2021" s="158"/>
      <c r="CR2021" s="159"/>
      <c r="CS2021" s="68"/>
      <c r="CT2021" s="163"/>
      <c r="EC2021" s="366" t="str">
        <f t="shared" si="253"/>
        <v>HUILA_AIPE</v>
      </c>
      <c r="ED2021" s="367"/>
      <c r="EE2021" s="367"/>
      <c r="EF2021" s="368"/>
      <c r="EG2021" s="367"/>
      <c r="EH2021" s="367"/>
      <c r="EI2021" s="367"/>
    </row>
    <row r="2022" spans="1:139" s="164" customFormat="1" ht="45">
      <c r="A2022" s="228">
        <v>40515</v>
      </c>
      <c r="B2022" s="205" t="s">
        <v>962</v>
      </c>
      <c r="C2022" s="205" t="s">
        <v>541</v>
      </c>
      <c r="D2022" s="207" t="s">
        <v>1878</v>
      </c>
      <c r="E2022" s="323" t="s">
        <v>3843</v>
      </c>
      <c r="F2022" s="323"/>
      <c r="G2022" s="204"/>
      <c r="H2022" s="151"/>
      <c r="I2022" s="151"/>
      <c r="J2022" s="151"/>
      <c r="K2022" s="151"/>
      <c r="L2022" s="1"/>
      <c r="M2022" s="73">
        <f t="shared" si="250"/>
        <v>0</v>
      </c>
      <c r="N2022" s="73">
        <f t="shared" si="255"/>
        <v>0</v>
      </c>
      <c r="O2022" s="73">
        <f t="shared" si="249"/>
        <v>0</v>
      </c>
      <c r="P2022" s="73">
        <f t="shared" si="251"/>
        <v>0</v>
      </c>
      <c r="Q2022" s="73"/>
      <c r="R2022" s="73">
        <v>0</v>
      </c>
      <c r="S2022" s="75">
        <f t="shared" si="254"/>
        <v>0</v>
      </c>
      <c r="T2022" s="77">
        <v>0</v>
      </c>
      <c r="U2022" s="228">
        <v>40515</v>
      </c>
      <c r="V2022" s="79"/>
      <c r="W2022" s="66" t="s">
        <v>1606</v>
      </c>
      <c r="X2022" s="264" t="s">
        <v>1607</v>
      </c>
      <c r="Y2022" s="62"/>
      <c r="Z2022" s="260" t="s">
        <v>18</v>
      </c>
      <c r="AA2022" s="166" t="s">
        <v>542</v>
      </c>
      <c r="AB2022" s="152"/>
      <c r="AC2022" s="153"/>
      <c r="AD2022" s="154"/>
      <c r="AE2022" s="153"/>
      <c r="AF2022" s="153"/>
      <c r="AG2022" s="153"/>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c r="BF2022" s="153"/>
      <c r="BG2022" s="153"/>
      <c r="BH2022" s="153"/>
      <c r="BI2022" s="153"/>
      <c r="BJ2022" s="153"/>
      <c r="BK2022" s="153"/>
      <c r="BL2022" s="153"/>
      <c r="BM2022" s="153"/>
      <c r="BN2022" s="153"/>
      <c r="BO2022" s="153"/>
      <c r="BP2022" s="153"/>
      <c r="BQ2022" s="153"/>
      <c r="BR2022" s="153"/>
      <c r="BS2022" s="153"/>
      <c r="BT2022" s="153"/>
      <c r="BU2022" s="153"/>
      <c r="BV2022" s="153"/>
      <c r="BW2022" s="153"/>
      <c r="BX2022" s="153"/>
      <c r="BY2022" s="153"/>
      <c r="BZ2022" s="153"/>
      <c r="CA2022" s="153"/>
      <c r="CB2022" s="153"/>
      <c r="CC2022" s="153"/>
      <c r="CD2022" s="155"/>
      <c r="CE2022" s="156"/>
      <c r="CF2022" s="155"/>
      <c r="CG2022" s="156"/>
      <c r="CH2022" s="155"/>
      <c r="CI2022" s="156"/>
      <c r="CJ2022" s="157">
        <f t="shared" si="252"/>
        <v>0</v>
      </c>
      <c r="CK2022" s="158"/>
      <c r="CL2022" s="159"/>
      <c r="CM2022" s="160"/>
      <c r="CN2022" s="161"/>
      <c r="CO2022" s="162"/>
      <c r="CP2022" s="161"/>
      <c r="CQ2022" s="158"/>
      <c r="CR2022" s="159"/>
      <c r="CS2022" s="68"/>
      <c r="CT2022" s="163"/>
      <c r="EC2022" s="366" t="str">
        <f t="shared" si="253"/>
        <v>HUILA_PAICOL</v>
      </c>
      <c r="ED2022" s="367"/>
      <c r="EE2022" s="367"/>
      <c r="EF2022" s="368"/>
      <c r="EG2022" s="367"/>
      <c r="EH2022" s="367"/>
      <c r="EI2022" s="367"/>
    </row>
    <row r="2023" spans="1:139" s="164" customFormat="1" ht="51">
      <c r="A2023" s="228">
        <v>40515</v>
      </c>
      <c r="B2023" s="205" t="s">
        <v>965</v>
      </c>
      <c r="C2023" s="205" t="s">
        <v>1040</v>
      </c>
      <c r="D2023" s="207" t="s">
        <v>1878</v>
      </c>
      <c r="E2023" s="323" t="s">
        <v>4010</v>
      </c>
      <c r="F2023" s="323"/>
      <c r="G2023" s="204"/>
      <c r="H2023" s="151"/>
      <c r="I2023" s="151"/>
      <c r="J2023" s="151">
        <v>20</v>
      </c>
      <c r="K2023" s="151">
        <v>4</v>
      </c>
      <c r="L2023" s="1"/>
      <c r="M2023" s="73">
        <f t="shared" si="250"/>
        <v>0</v>
      </c>
      <c r="N2023" s="73">
        <f t="shared" si="255"/>
        <v>0</v>
      </c>
      <c r="O2023" s="73">
        <f t="shared" si="249"/>
        <v>0</v>
      </c>
      <c r="P2023" s="73">
        <f t="shared" si="251"/>
        <v>0</v>
      </c>
      <c r="Q2023" s="73"/>
      <c r="R2023" s="73">
        <v>0</v>
      </c>
      <c r="S2023" s="75">
        <f t="shared" si="254"/>
        <v>0</v>
      </c>
      <c r="T2023" s="77">
        <v>0</v>
      </c>
      <c r="U2023" s="228">
        <v>40529</v>
      </c>
      <c r="V2023" s="79"/>
      <c r="W2023" s="66" t="s">
        <v>1606</v>
      </c>
      <c r="X2023" s="264" t="s">
        <v>1607</v>
      </c>
      <c r="Y2023" s="62"/>
      <c r="Z2023" s="260" t="s">
        <v>18</v>
      </c>
      <c r="AA2023" s="166" t="s">
        <v>281</v>
      </c>
      <c r="AB2023" s="152"/>
      <c r="AC2023" s="153"/>
      <c r="AD2023" s="154"/>
      <c r="AE2023" s="153"/>
      <c r="AF2023" s="153"/>
      <c r="AG2023" s="153"/>
      <c r="AH2023" s="153"/>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c r="BF2023" s="153"/>
      <c r="BG2023" s="153"/>
      <c r="BH2023" s="153"/>
      <c r="BI2023" s="153"/>
      <c r="BJ2023" s="153"/>
      <c r="BK2023" s="153"/>
      <c r="BL2023" s="153"/>
      <c r="BM2023" s="153"/>
      <c r="BN2023" s="153"/>
      <c r="BO2023" s="153"/>
      <c r="BP2023" s="153"/>
      <c r="BQ2023" s="153"/>
      <c r="BR2023" s="153"/>
      <c r="BS2023" s="153"/>
      <c r="BT2023" s="153"/>
      <c r="BU2023" s="153"/>
      <c r="BV2023" s="153"/>
      <c r="BW2023" s="153"/>
      <c r="BX2023" s="153"/>
      <c r="BY2023" s="153"/>
      <c r="BZ2023" s="153"/>
      <c r="CA2023" s="153"/>
      <c r="CB2023" s="153"/>
      <c r="CC2023" s="153"/>
      <c r="CD2023" s="155"/>
      <c r="CE2023" s="156"/>
      <c r="CF2023" s="155"/>
      <c r="CG2023" s="156"/>
      <c r="CH2023" s="155"/>
      <c r="CI2023" s="156"/>
      <c r="CJ2023" s="157">
        <f t="shared" si="252"/>
        <v>0</v>
      </c>
      <c r="CK2023" s="158"/>
      <c r="CL2023" s="159"/>
      <c r="CM2023" s="160"/>
      <c r="CN2023" s="161"/>
      <c r="CO2023" s="162"/>
      <c r="CP2023" s="161"/>
      <c r="CQ2023" s="158"/>
      <c r="CR2023" s="159"/>
      <c r="CS2023" s="68"/>
      <c r="CT2023" s="163"/>
      <c r="EC2023" s="366" t="str">
        <f t="shared" si="253"/>
        <v>NORTE DE SANTANDER_EL CARMEN</v>
      </c>
      <c r="ED2023" s="367"/>
      <c r="EE2023" s="367"/>
      <c r="EF2023" s="368"/>
      <c r="EG2023" s="367"/>
      <c r="EH2023" s="367"/>
      <c r="EI2023" s="367"/>
    </row>
    <row r="2024" spans="1:139" s="164" customFormat="1" ht="45">
      <c r="A2024" s="228">
        <v>40515</v>
      </c>
      <c r="B2024" s="205" t="s">
        <v>965</v>
      </c>
      <c r="C2024" s="205" t="s">
        <v>1787</v>
      </c>
      <c r="D2024" s="207" t="s">
        <v>1878</v>
      </c>
      <c r="E2024" s="323" t="s">
        <v>4015</v>
      </c>
      <c r="F2024" s="323"/>
      <c r="G2024" s="204"/>
      <c r="H2024" s="151"/>
      <c r="I2024" s="151"/>
      <c r="J2024" s="151">
        <v>20</v>
      </c>
      <c r="K2024" s="151">
        <v>4</v>
      </c>
      <c r="L2024" s="1"/>
      <c r="M2024" s="73">
        <f t="shared" si="250"/>
        <v>0</v>
      </c>
      <c r="N2024" s="73">
        <f t="shared" si="255"/>
        <v>0</v>
      </c>
      <c r="O2024" s="73">
        <f t="shared" si="249"/>
        <v>0</v>
      </c>
      <c r="P2024" s="73">
        <f t="shared" si="251"/>
        <v>0</v>
      </c>
      <c r="Q2024" s="73"/>
      <c r="R2024" s="73">
        <v>0</v>
      </c>
      <c r="S2024" s="75">
        <f t="shared" si="254"/>
        <v>0</v>
      </c>
      <c r="T2024" s="77">
        <v>0</v>
      </c>
      <c r="U2024" s="228">
        <v>40529</v>
      </c>
      <c r="V2024" s="79"/>
      <c r="W2024" s="66" t="s">
        <v>1606</v>
      </c>
      <c r="X2024" s="264" t="s">
        <v>1607</v>
      </c>
      <c r="Y2024" s="62"/>
      <c r="Z2024" s="260" t="s">
        <v>18</v>
      </c>
      <c r="AA2024" s="166" t="s">
        <v>273</v>
      </c>
      <c r="AB2024" s="152"/>
      <c r="AC2024" s="153"/>
      <c r="AD2024" s="154"/>
      <c r="AE2024" s="153"/>
      <c r="AF2024" s="153"/>
      <c r="AG2024" s="153"/>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c r="BF2024" s="153"/>
      <c r="BG2024" s="153"/>
      <c r="BH2024" s="153"/>
      <c r="BI2024" s="153"/>
      <c r="BJ2024" s="153"/>
      <c r="BK2024" s="153"/>
      <c r="BL2024" s="153"/>
      <c r="BM2024" s="153"/>
      <c r="BN2024" s="153"/>
      <c r="BO2024" s="153"/>
      <c r="BP2024" s="153"/>
      <c r="BQ2024" s="153"/>
      <c r="BR2024" s="153"/>
      <c r="BS2024" s="153"/>
      <c r="BT2024" s="153"/>
      <c r="BU2024" s="153"/>
      <c r="BV2024" s="153"/>
      <c r="BW2024" s="153"/>
      <c r="BX2024" s="153"/>
      <c r="BY2024" s="153"/>
      <c r="BZ2024" s="153"/>
      <c r="CA2024" s="153"/>
      <c r="CB2024" s="153"/>
      <c r="CC2024" s="153"/>
      <c r="CD2024" s="155"/>
      <c r="CE2024" s="156"/>
      <c r="CF2024" s="155"/>
      <c r="CG2024" s="156"/>
      <c r="CH2024" s="155"/>
      <c r="CI2024" s="156"/>
      <c r="CJ2024" s="157">
        <f t="shared" si="252"/>
        <v>0</v>
      </c>
      <c r="CK2024" s="158"/>
      <c r="CL2024" s="159"/>
      <c r="CM2024" s="160"/>
      <c r="CN2024" s="161"/>
      <c r="CO2024" s="162"/>
      <c r="CP2024" s="161"/>
      <c r="CQ2024" s="158"/>
      <c r="CR2024" s="159"/>
      <c r="CS2024" s="68"/>
      <c r="CT2024" s="163"/>
      <c r="EC2024" s="366" t="str">
        <f t="shared" si="253"/>
        <v>NORTE DE SANTANDER_HERRAN</v>
      </c>
      <c r="ED2024" s="367"/>
      <c r="EE2024" s="367"/>
      <c r="EF2024" s="368"/>
      <c r="EG2024" s="367"/>
      <c r="EH2024" s="367"/>
      <c r="EI2024" s="367"/>
    </row>
    <row r="2025" spans="1:139" s="164" customFormat="1" ht="36">
      <c r="A2025" s="228">
        <v>40515</v>
      </c>
      <c r="B2025" s="205" t="s">
        <v>1609</v>
      </c>
      <c r="C2025" s="205" t="s">
        <v>2004</v>
      </c>
      <c r="D2025" s="207" t="s">
        <v>1878</v>
      </c>
      <c r="E2025" s="323" t="s">
        <v>4050</v>
      </c>
      <c r="F2025" s="323"/>
      <c r="G2025" s="204"/>
      <c r="H2025" s="151"/>
      <c r="I2025" s="151"/>
      <c r="J2025" s="151">
        <v>20</v>
      </c>
      <c r="K2025" s="151">
        <v>4</v>
      </c>
      <c r="L2025" s="1"/>
      <c r="M2025" s="73">
        <f t="shared" si="250"/>
        <v>0</v>
      </c>
      <c r="N2025" s="73">
        <f t="shared" si="255"/>
        <v>0</v>
      </c>
      <c r="O2025" s="73">
        <f t="shared" si="249"/>
        <v>0</v>
      </c>
      <c r="P2025" s="73">
        <f t="shared" si="251"/>
        <v>0</v>
      </c>
      <c r="Q2025" s="73"/>
      <c r="R2025" s="73">
        <v>0</v>
      </c>
      <c r="S2025" s="75">
        <f t="shared" si="254"/>
        <v>0</v>
      </c>
      <c r="T2025" s="77">
        <v>0</v>
      </c>
      <c r="U2025" s="66">
        <v>40516</v>
      </c>
      <c r="V2025" s="79"/>
      <c r="W2025" s="66" t="s">
        <v>1585</v>
      </c>
      <c r="X2025" s="24" t="s">
        <v>1586</v>
      </c>
      <c r="Y2025" s="62"/>
      <c r="Z2025" s="169" t="s">
        <v>894</v>
      </c>
      <c r="AA2025" s="166" t="s">
        <v>274</v>
      </c>
      <c r="AB2025" s="152"/>
      <c r="AC2025" s="153"/>
      <c r="AD2025" s="154"/>
      <c r="AE2025" s="153"/>
      <c r="AF2025" s="153"/>
      <c r="AG2025" s="153"/>
      <c r="AH2025" s="153"/>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c r="BF2025" s="153"/>
      <c r="BG2025" s="153"/>
      <c r="BH2025" s="153"/>
      <c r="BI2025" s="153"/>
      <c r="BJ2025" s="153"/>
      <c r="BK2025" s="153"/>
      <c r="BL2025" s="153"/>
      <c r="BM2025" s="153"/>
      <c r="BN2025" s="153"/>
      <c r="BO2025" s="153"/>
      <c r="BP2025" s="153"/>
      <c r="BQ2025" s="153"/>
      <c r="BR2025" s="153"/>
      <c r="BS2025" s="153"/>
      <c r="BT2025" s="153"/>
      <c r="BU2025" s="153"/>
      <c r="BV2025" s="153"/>
      <c r="BW2025" s="153"/>
      <c r="BX2025" s="153"/>
      <c r="BY2025" s="153"/>
      <c r="BZ2025" s="153"/>
      <c r="CA2025" s="153"/>
      <c r="CB2025" s="153"/>
      <c r="CC2025" s="153"/>
      <c r="CD2025" s="155"/>
      <c r="CE2025" s="156"/>
      <c r="CF2025" s="155"/>
      <c r="CG2025" s="156"/>
      <c r="CH2025" s="155"/>
      <c r="CI2025" s="156"/>
      <c r="CJ2025" s="157">
        <f t="shared" si="252"/>
        <v>0</v>
      </c>
      <c r="CK2025" s="158"/>
      <c r="CL2025" s="159"/>
      <c r="CM2025" s="160"/>
      <c r="CN2025" s="161"/>
      <c r="CO2025" s="162"/>
      <c r="CP2025" s="161"/>
      <c r="CQ2025" s="158"/>
      <c r="CR2025" s="159"/>
      <c r="CS2025" s="68"/>
      <c r="CT2025" s="163"/>
      <c r="EC2025" s="366" t="str">
        <f t="shared" si="253"/>
        <v>RISARALDA_PEREIRA</v>
      </c>
      <c r="ED2025" s="367"/>
      <c r="EE2025" s="367"/>
      <c r="EF2025" s="368"/>
      <c r="EG2025" s="367"/>
      <c r="EH2025" s="367"/>
      <c r="EI2025" s="367"/>
    </row>
    <row r="2026" spans="1:139" s="164" customFormat="1" ht="45">
      <c r="A2026" s="228">
        <v>40515</v>
      </c>
      <c r="B2026" s="205" t="s">
        <v>2400</v>
      </c>
      <c r="C2026" s="205" t="s">
        <v>1545</v>
      </c>
      <c r="D2026" s="207" t="s">
        <v>1201</v>
      </c>
      <c r="E2026" s="323" t="s">
        <v>4177</v>
      </c>
      <c r="F2026" s="323"/>
      <c r="G2026" s="204"/>
      <c r="H2026" s="151">
        <v>2</v>
      </c>
      <c r="I2026" s="278"/>
      <c r="J2026" s="278">
        <v>10</v>
      </c>
      <c r="K2026" s="278">
        <v>2</v>
      </c>
      <c r="L2026" s="280"/>
      <c r="M2026" s="279">
        <f t="shared" si="250"/>
        <v>0</v>
      </c>
      <c r="N2026" s="279">
        <f t="shared" si="255"/>
        <v>0</v>
      </c>
      <c r="O2026" s="279">
        <f t="shared" si="249"/>
        <v>0</v>
      </c>
      <c r="P2026" s="279">
        <f t="shared" si="251"/>
        <v>0</v>
      </c>
      <c r="Q2026" s="73"/>
      <c r="R2026" s="73">
        <v>0</v>
      </c>
      <c r="S2026" s="75">
        <f t="shared" si="254"/>
        <v>0</v>
      </c>
      <c r="T2026" s="77">
        <v>0</v>
      </c>
      <c r="U2026" s="66"/>
      <c r="V2026" s="79"/>
      <c r="W2026" s="66" t="s">
        <v>1606</v>
      </c>
      <c r="X2026" s="264" t="s">
        <v>1607</v>
      </c>
      <c r="Y2026" s="62"/>
      <c r="Z2026" s="260" t="s">
        <v>18</v>
      </c>
      <c r="AA2026" s="166" t="s">
        <v>278</v>
      </c>
      <c r="AB2026" s="152"/>
      <c r="AC2026" s="153"/>
      <c r="AD2026" s="154"/>
      <c r="AE2026" s="153"/>
      <c r="AF2026" s="153"/>
      <c r="AG2026" s="153"/>
      <c r="AH2026" s="153"/>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c r="BF2026" s="153"/>
      <c r="BG2026" s="153"/>
      <c r="BH2026" s="153"/>
      <c r="BI2026" s="153"/>
      <c r="BJ2026" s="153"/>
      <c r="BK2026" s="153"/>
      <c r="BL2026" s="153"/>
      <c r="BM2026" s="153"/>
      <c r="BN2026" s="153"/>
      <c r="BO2026" s="153"/>
      <c r="BP2026" s="153"/>
      <c r="BQ2026" s="153"/>
      <c r="BR2026" s="153"/>
      <c r="BS2026" s="153"/>
      <c r="BT2026" s="153"/>
      <c r="BU2026" s="153"/>
      <c r="BV2026" s="153"/>
      <c r="BW2026" s="153"/>
      <c r="BX2026" s="153"/>
      <c r="BY2026" s="153"/>
      <c r="BZ2026" s="153"/>
      <c r="CA2026" s="153"/>
      <c r="CB2026" s="153"/>
      <c r="CC2026" s="153"/>
      <c r="CD2026" s="155"/>
      <c r="CE2026" s="156"/>
      <c r="CF2026" s="155"/>
      <c r="CG2026" s="156"/>
      <c r="CH2026" s="155"/>
      <c r="CI2026" s="156"/>
      <c r="CJ2026" s="157">
        <f t="shared" si="252"/>
        <v>0</v>
      </c>
      <c r="CK2026" s="158"/>
      <c r="CL2026" s="159"/>
      <c r="CM2026" s="160"/>
      <c r="CN2026" s="161"/>
      <c r="CO2026" s="162"/>
      <c r="CP2026" s="161"/>
      <c r="CQ2026" s="158"/>
      <c r="CR2026" s="159"/>
      <c r="CS2026" s="68"/>
      <c r="CT2026" s="163"/>
      <c r="EC2026" s="366" t="str">
        <f t="shared" si="253"/>
        <v>TOLIMA_IBAGUE</v>
      </c>
      <c r="ED2026" s="367"/>
      <c r="EE2026" s="367"/>
      <c r="EF2026" s="368"/>
      <c r="EG2026" s="367"/>
      <c r="EH2026" s="367"/>
      <c r="EI2026" s="367"/>
    </row>
    <row r="2027" spans="1:139" s="164" customFormat="1" ht="45">
      <c r="A2027" s="228">
        <v>40515</v>
      </c>
      <c r="B2027" s="205" t="s">
        <v>2400</v>
      </c>
      <c r="C2027" s="205" t="s">
        <v>1180</v>
      </c>
      <c r="D2027" s="207" t="s">
        <v>1201</v>
      </c>
      <c r="E2027" s="323" t="s">
        <v>4219</v>
      </c>
      <c r="F2027" s="323"/>
      <c r="G2027" s="204"/>
      <c r="H2027" s="151"/>
      <c r="I2027" s="151"/>
      <c r="J2027" s="151">
        <v>1076</v>
      </c>
      <c r="K2027" s="151">
        <v>239</v>
      </c>
      <c r="L2027" s="1"/>
      <c r="M2027" s="73">
        <f t="shared" si="250"/>
        <v>0</v>
      </c>
      <c r="N2027" s="73">
        <f t="shared" si="255"/>
        <v>0</v>
      </c>
      <c r="O2027" s="73">
        <f t="shared" si="249"/>
        <v>0</v>
      </c>
      <c r="P2027" s="73">
        <f t="shared" si="251"/>
        <v>0</v>
      </c>
      <c r="Q2027" s="73"/>
      <c r="R2027" s="73">
        <v>0</v>
      </c>
      <c r="S2027" s="75">
        <f t="shared" si="254"/>
        <v>0</v>
      </c>
      <c r="T2027" s="77">
        <v>0</v>
      </c>
      <c r="U2027" s="66"/>
      <c r="V2027" s="79"/>
      <c r="W2027" s="66" t="s">
        <v>1606</v>
      </c>
      <c r="X2027" s="264" t="s">
        <v>1607</v>
      </c>
      <c r="Y2027" s="62"/>
      <c r="Z2027" s="260" t="s">
        <v>18</v>
      </c>
      <c r="AA2027" s="166" t="s">
        <v>28</v>
      </c>
      <c r="AB2027" s="152"/>
      <c r="AC2027" s="153"/>
      <c r="AD2027" s="154"/>
      <c r="AE2027" s="153"/>
      <c r="AF2027" s="153"/>
      <c r="AG2027" s="153"/>
      <c r="AH2027" s="153"/>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c r="BI2027" s="153"/>
      <c r="BJ2027" s="153"/>
      <c r="BK2027" s="153"/>
      <c r="BL2027" s="153"/>
      <c r="BM2027" s="153"/>
      <c r="BN2027" s="153"/>
      <c r="BO2027" s="153"/>
      <c r="BP2027" s="153"/>
      <c r="BQ2027" s="153"/>
      <c r="BR2027" s="153"/>
      <c r="BS2027" s="153"/>
      <c r="BT2027" s="153"/>
      <c r="BU2027" s="153"/>
      <c r="BV2027" s="153"/>
      <c r="BW2027" s="153"/>
      <c r="BX2027" s="153"/>
      <c r="BY2027" s="153"/>
      <c r="BZ2027" s="153"/>
      <c r="CA2027" s="153"/>
      <c r="CB2027" s="153"/>
      <c r="CC2027" s="153"/>
      <c r="CD2027" s="155"/>
      <c r="CE2027" s="156"/>
      <c r="CF2027" s="155"/>
      <c r="CG2027" s="156"/>
      <c r="CH2027" s="155"/>
      <c r="CI2027" s="156"/>
      <c r="CJ2027" s="157">
        <f t="shared" si="252"/>
        <v>0</v>
      </c>
      <c r="CK2027" s="158"/>
      <c r="CL2027" s="159"/>
      <c r="CM2027" s="160"/>
      <c r="CN2027" s="161"/>
      <c r="CO2027" s="162"/>
      <c r="CP2027" s="161"/>
      <c r="CQ2027" s="158"/>
      <c r="CR2027" s="159"/>
      <c r="CS2027" s="68"/>
      <c r="CT2027" s="163"/>
      <c r="EC2027" s="366" t="str">
        <f t="shared" si="253"/>
        <v>TOLIMA_SUAREZ</v>
      </c>
      <c r="ED2027" s="367"/>
      <c r="EE2027" s="367"/>
      <c r="EF2027" s="368"/>
      <c r="EG2027" s="367"/>
      <c r="EH2027" s="367"/>
      <c r="EI2027" s="367"/>
    </row>
    <row r="2028" spans="1:139" s="164" customFormat="1" ht="72">
      <c r="A2028" s="228">
        <v>40515</v>
      </c>
      <c r="B2028" s="205" t="s">
        <v>1088</v>
      </c>
      <c r="C2028" s="205" t="s">
        <v>2743</v>
      </c>
      <c r="D2028" s="207" t="s">
        <v>1201</v>
      </c>
      <c r="E2028" s="323" t="s">
        <v>4226</v>
      </c>
      <c r="F2028" s="323"/>
      <c r="G2028" s="204"/>
      <c r="H2028" s="151"/>
      <c r="I2028" s="151"/>
      <c r="J2028" s="151">
        <f>280*5</f>
        <v>1400</v>
      </c>
      <c r="K2028" s="151">
        <v>280</v>
      </c>
      <c r="L2028" s="1">
        <v>40535</v>
      </c>
      <c r="M2028" s="73">
        <f t="shared" si="250"/>
        <v>0</v>
      </c>
      <c r="N2028" s="73">
        <f t="shared" si="255"/>
        <v>0</v>
      </c>
      <c r="O2028" s="73">
        <f t="shared" si="249"/>
        <v>0</v>
      </c>
      <c r="P2028" s="73">
        <f t="shared" si="251"/>
        <v>0</v>
      </c>
      <c r="Q2028" s="73"/>
      <c r="R2028" s="73">
        <v>38020786</v>
      </c>
      <c r="S2028" s="75">
        <f t="shared" si="254"/>
        <v>38020786</v>
      </c>
      <c r="T2028" s="77">
        <v>0</v>
      </c>
      <c r="U2028" s="66">
        <v>40527</v>
      </c>
      <c r="V2028" s="79">
        <v>71939</v>
      </c>
      <c r="W2028" s="66" t="s">
        <v>1606</v>
      </c>
      <c r="X2028" s="24" t="s">
        <v>1607</v>
      </c>
      <c r="Y2028" s="62">
        <v>514</v>
      </c>
      <c r="Z2028" s="169"/>
      <c r="AA2028" s="166" t="s">
        <v>3066</v>
      </c>
      <c r="AB2028" s="152"/>
      <c r="AC2028" s="153"/>
      <c r="AD2028" s="154"/>
      <c r="AE2028" s="153"/>
      <c r="AF2028" s="153"/>
      <c r="AG2028" s="153"/>
      <c r="AH2028" s="153"/>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c r="BI2028" s="153"/>
      <c r="BJ2028" s="153"/>
      <c r="BK2028" s="153"/>
      <c r="BL2028" s="153"/>
      <c r="BM2028" s="153"/>
      <c r="BN2028" s="153"/>
      <c r="BO2028" s="153"/>
      <c r="BP2028" s="153"/>
      <c r="BQ2028" s="153"/>
      <c r="BR2028" s="153"/>
      <c r="BS2028" s="153"/>
      <c r="BT2028" s="153"/>
      <c r="BU2028" s="153"/>
      <c r="BV2028" s="153"/>
      <c r="BW2028" s="153"/>
      <c r="BX2028" s="153"/>
      <c r="BY2028" s="153"/>
      <c r="BZ2028" s="153"/>
      <c r="CA2028" s="153"/>
      <c r="CB2028" s="153"/>
      <c r="CC2028" s="153"/>
      <c r="CD2028" s="155"/>
      <c r="CE2028" s="156"/>
      <c r="CF2028" s="155"/>
      <c r="CG2028" s="156"/>
      <c r="CH2028" s="155"/>
      <c r="CI2028" s="156"/>
      <c r="CJ2028" s="157">
        <f t="shared" si="252"/>
        <v>0</v>
      </c>
      <c r="CK2028" s="158"/>
      <c r="CL2028" s="159"/>
      <c r="CM2028" s="160"/>
      <c r="CN2028" s="161"/>
      <c r="CO2028" s="162"/>
      <c r="CP2028" s="161"/>
      <c r="CQ2028" s="158"/>
      <c r="CR2028" s="159"/>
      <c r="CS2028" s="68">
        <v>2</v>
      </c>
      <c r="CT2028" s="163"/>
      <c r="EC2028" s="366" t="str">
        <f t="shared" si="253"/>
        <v>VALLE DEL CAUCA_ANDALUCIA</v>
      </c>
      <c r="ED2028" s="367"/>
      <c r="EE2028" s="367"/>
      <c r="EF2028" s="368"/>
      <c r="EG2028" s="367"/>
      <c r="EH2028" s="367"/>
      <c r="EI2028" s="367"/>
    </row>
    <row r="2029" spans="1:139" s="164" customFormat="1" ht="72">
      <c r="A2029" s="228">
        <v>40515</v>
      </c>
      <c r="B2029" s="205" t="s">
        <v>1088</v>
      </c>
      <c r="C2029" s="205" t="s">
        <v>1246</v>
      </c>
      <c r="D2029" s="207" t="s">
        <v>1878</v>
      </c>
      <c r="E2029" s="323" t="s">
        <v>4232</v>
      </c>
      <c r="F2029" s="323"/>
      <c r="G2029" s="204"/>
      <c r="H2029" s="151"/>
      <c r="I2029" s="151"/>
      <c r="J2029" s="151">
        <f>912*5</f>
        <v>4560</v>
      </c>
      <c r="K2029" s="151">
        <f>1447-120-415</f>
        <v>912</v>
      </c>
      <c r="L2029" s="1">
        <v>40533</v>
      </c>
      <c r="M2029" s="73">
        <f t="shared" si="250"/>
        <v>0</v>
      </c>
      <c r="N2029" s="73">
        <f t="shared" si="255"/>
        <v>0</v>
      </c>
      <c r="O2029" s="73">
        <f t="shared" si="249"/>
        <v>0</v>
      </c>
      <c r="P2029" s="73">
        <f t="shared" si="251"/>
        <v>0</v>
      </c>
      <c r="Q2029" s="73"/>
      <c r="R2029" s="73">
        <v>73750000</v>
      </c>
      <c r="S2029" s="75">
        <f t="shared" si="254"/>
        <v>73750000</v>
      </c>
      <c r="T2029" s="77">
        <v>0</v>
      </c>
      <c r="U2029" s="66">
        <v>40523</v>
      </c>
      <c r="V2029" s="79">
        <v>70982</v>
      </c>
      <c r="W2029" s="66" t="s">
        <v>1606</v>
      </c>
      <c r="X2029" s="24" t="s">
        <v>1607</v>
      </c>
      <c r="Y2029" s="62">
        <v>515</v>
      </c>
      <c r="Z2029" s="177" t="s">
        <v>1435</v>
      </c>
      <c r="AA2029" s="170" t="s">
        <v>3035</v>
      </c>
      <c r="AB2029" s="152"/>
      <c r="AC2029" s="153"/>
      <c r="AD2029" s="154"/>
      <c r="AE2029" s="153"/>
      <c r="AF2029" s="153"/>
      <c r="AG2029" s="153"/>
      <c r="AH2029" s="153"/>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c r="BI2029" s="153"/>
      <c r="BJ2029" s="153"/>
      <c r="BK2029" s="153"/>
      <c r="BL2029" s="153"/>
      <c r="BM2029" s="153"/>
      <c r="BN2029" s="153"/>
      <c r="BO2029" s="153"/>
      <c r="BP2029" s="153"/>
      <c r="BQ2029" s="153"/>
      <c r="BR2029" s="153"/>
      <c r="BS2029" s="153"/>
      <c r="BT2029" s="153"/>
      <c r="BU2029" s="153"/>
      <c r="BV2029" s="153"/>
      <c r="BW2029" s="153"/>
      <c r="BX2029" s="153"/>
      <c r="BY2029" s="153"/>
      <c r="BZ2029" s="153"/>
      <c r="CA2029" s="153"/>
      <c r="CB2029" s="153"/>
      <c r="CC2029" s="153"/>
      <c r="CD2029" s="155"/>
      <c r="CE2029" s="156"/>
      <c r="CF2029" s="155"/>
      <c r="CG2029" s="156"/>
      <c r="CH2029" s="155"/>
      <c r="CI2029" s="156"/>
      <c r="CJ2029" s="157">
        <f t="shared" si="252"/>
        <v>0</v>
      </c>
      <c r="CK2029" s="158"/>
      <c r="CL2029" s="159"/>
      <c r="CM2029" s="160"/>
      <c r="CN2029" s="161"/>
      <c r="CO2029" s="162"/>
      <c r="CP2029" s="161"/>
      <c r="CQ2029" s="158"/>
      <c r="CR2029" s="159"/>
      <c r="CS2029" s="68">
        <v>2</v>
      </c>
      <c r="CT2029" s="163"/>
      <c r="EC2029" s="366" t="str">
        <f t="shared" si="253"/>
        <v>VALLE DEL CAUCA_BUGALAGRANDE</v>
      </c>
      <c r="ED2029" s="367"/>
      <c r="EE2029" s="367"/>
      <c r="EF2029" s="368"/>
      <c r="EG2029" s="367"/>
      <c r="EH2029" s="367"/>
      <c r="EI2029" s="367"/>
    </row>
    <row r="2030" spans="1:139" s="164" customFormat="1" ht="48">
      <c r="A2030" s="228">
        <v>40515</v>
      </c>
      <c r="B2030" s="205" t="s">
        <v>1088</v>
      </c>
      <c r="C2030" s="205" t="s">
        <v>2529</v>
      </c>
      <c r="D2030" s="207" t="s">
        <v>1201</v>
      </c>
      <c r="E2030" s="323" t="s">
        <v>4237</v>
      </c>
      <c r="F2030" s="323"/>
      <c r="G2030" s="204">
        <v>1</v>
      </c>
      <c r="H2030" s="151">
        <v>2</v>
      </c>
      <c r="I2030" s="151"/>
      <c r="J2030" s="151">
        <v>70</v>
      </c>
      <c r="K2030" s="151">
        <v>14</v>
      </c>
      <c r="L2030" s="1"/>
      <c r="M2030" s="73">
        <f t="shared" si="250"/>
        <v>0</v>
      </c>
      <c r="N2030" s="73">
        <f t="shared" si="255"/>
        <v>0</v>
      </c>
      <c r="O2030" s="73">
        <f t="shared" si="249"/>
        <v>0</v>
      </c>
      <c r="P2030" s="73">
        <f t="shared" si="251"/>
        <v>0</v>
      </c>
      <c r="Q2030" s="73"/>
      <c r="R2030" s="73">
        <v>0</v>
      </c>
      <c r="S2030" s="75">
        <f t="shared" si="254"/>
        <v>0</v>
      </c>
      <c r="T2030" s="77">
        <v>0</v>
      </c>
      <c r="U2030" s="66"/>
      <c r="V2030" s="79"/>
      <c r="W2030" s="66" t="s">
        <v>1606</v>
      </c>
      <c r="X2030" s="264" t="s">
        <v>1607</v>
      </c>
      <c r="Y2030" s="62"/>
      <c r="Z2030" s="260" t="s">
        <v>18</v>
      </c>
      <c r="AA2030" s="166" t="s">
        <v>283</v>
      </c>
      <c r="AB2030" s="152"/>
      <c r="AC2030" s="153"/>
      <c r="AD2030" s="154"/>
      <c r="AE2030" s="153"/>
      <c r="AF2030" s="153"/>
      <c r="AG2030" s="153"/>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c r="BI2030" s="153"/>
      <c r="BJ2030" s="153"/>
      <c r="BK2030" s="153"/>
      <c r="BL2030" s="153"/>
      <c r="BM2030" s="153"/>
      <c r="BN2030" s="153"/>
      <c r="BO2030" s="153"/>
      <c r="BP2030" s="153"/>
      <c r="BQ2030" s="153"/>
      <c r="BR2030" s="153"/>
      <c r="BS2030" s="153"/>
      <c r="BT2030" s="153"/>
      <c r="BU2030" s="153"/>
      <c r="BV2030" s="153"/>
      <c r="BW2030" s="153"/>
      <c r="BX2030" s="153"/>
      <c r="BY2030" s="153"/>
      <c r="BZ2030" s="153"/>
      <c r="CA2030" s="153"/>
      <c r="CB2030" s="153"/>
      <c r="CC2030" s="153"/>
      <c r="CD2030" s="155"/>
      <c r="CE2030" s="156"/>
      <c r="CF2030" s="155"/>
      <c r="CG2030" s="156"/>
      <c r="CH2030" s="155"/>
      <c r="CI2030" s="156"/>
      <c r="CJ2030" s="157">
        <f t="shared" si="252"/>
        <v>0</v>
      </c>
      <c r="CK2030" s="158"/>
      <c r="CL2030" s="159"/>
      <c r="CM2030" s="160"/>
      <c r="CN2030" s="161"/>
      <c r="CO2030" s="162"/>
      <c r="CP2030" s="161"/>
      <c r="CQ2030" s="158"/>
      <c r="CR2030" s="159"/>
      <c r="CS2030" s="68"/>
      <c r="CT2030" s="163"/>
      <c r="EC2030" s="366" t="str">
        <f t="shared" si="253"/>
        <v>VALLE DEL CAUCA_DAGUA</v>
      </c>
      <c r="ED2030" s="367"/>
      <c r="EE2030" s="367"/>
      <c r="EF2030" s="368"/>
      <c r="EG2030" s="367"/>
      <c r="EH2030" s="367"/>
      <c r="EI2030" s="367"/>
    </row>
    <row r="2031" spans="1:139" s="164" customFormat="1" ht="38.25">
      <c r="A2031" s="228">
        <v>40515</v>
      </c>
      <c r="B2031" s="205" t="s">
        <v>1088</v>
      </c>
      <c r="C2031" s="205" t="s">
        <v>2348</v>
      </c>
      <c r="D2031" s="207" t="s">
        <v>1201</v>
      </c>
      <c r="E2031" s="323" t="s">
        <v>4252</v>
      </c>
      <c r="F2031" s="323"/>
      <c r="G2031" s="204"/>
      <c r="H2031" s="151"/>
      <c r="I2031" s="151"/>
      <c r="J2031" s="151"/>
      <c r="K2031" s="151"/>
      <c r="L2031" s="1"/>
      <c r="M2031" s="73">
        <f t="shared" si="250"/>
        <v>0</v>
      </c>
      <c r="N2031" s="73">
        <f t="shared" si="255"/>
        <v>0</v>
      </c>
      <c r="O2031" s="73">
        <f t="shared" si="249"/>
        <v>0</v>
      </c>
      <c r="P2031" s="73">
        <f t="shared" si="251"/>
        <v>0</v>
      </c>
      <c r="Q2031" s="73"/>
      <c r="R2031" s="73">
        <v>0</v>
      </c>
      <c r="S2031" s="75">
        <f t="shared" si="254"/>
        <v>0</v>
      </c>
      <c r="T2031" s="77">
        <v>0</v>
      </c>
      <c r="U2031" s="66">
        <v>40516</v>
      </c>
      <c r="V2031" s="79"/>
      <c r="W2031" s="66" t="s">
        <v>1585</v>
      </c>
      <c r="X2031" s="24" t="s">
        <v>1586</v>
      </c>
      <c r="Y2031" s="62"/>
      <c r="Z2031" s="169" t="s">
        <v>894</v>
      </c>
      <c r="AA2031" s="166" t="s">
        <v>276</v>
      </c>
      <c r="AB2031" s="152"/>
      <c r="AC2031" s="153"/>
      <c r="AD2031" s="154"/>
      <c r="AE2031" s="153"/>
      <c r="AF2031" s="153"/>
      <c r="AG2031" s="153"/>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c r="BI2031" s="153"/>
      <c r="BJ2031" s="153"/>
      <c r="BK2031" s="153"/>
      <c r="BL2031" s="153"/>
      <c r="BM2031" s="153"/>
      <c r="BN2031" s="153"/>
      <c r="BO2031" s="153"/>
      <c r="BP2031" s="153"/>
      <c r="BQ2031" s="153"/>
      <c r="BR2031" s="153"/>
      <c r="BS2031" s="153"/>
      <c r="BT2031" s="153"/>
      <c r="BU2031" s="153"/>
      <c r="BV2031" s="153"/>
      <c r="BW2031" s="153"/>
      <c r="BX2031" s="153"/>
      <c r="BY2031" s="153"/>
      <c r="BZ2031" s="153"/>
      <c r="CA2031" s="153"/>
      <c r="CB2031" s="153"/>
      <c r="CC2031" s="153"/>
      <c r="CD2031" s="155"/>
      <c r="CE2031" s="156"/>
      <c r="CF2031" s="155"/>
      <c r="CG2031" s="156"/>
      <c r="CH2031" s="155"/>
      <c r="CI2031" s="156"/>
      <c r="CJ2031" s="157">
        <f t="shared" si="252"/>
        <v>0</v>
      </c>
      <c r="CK2031" s="158"/>
      <c r="CL2031" s="159"/>
      <c r="CM2031" s="160"/>
      <c r="CN2031" s="161"/>
      <c r="CO2031" s="162"/>
      <c r="CP2031" s="161"/>
      <c r="CQ2031" s="158"/>
      <c r="CR2031" s="159"/>
      <c r="CS2031" s="68"/>
      <c r="CT2031" s="163"/>
      <c r="EC2031" s="366" t="str">
        <f t="shared" si="253"/>
        <v>VALLE DEL CAUCA_RESTREPO</v>
      </c>
      <c r="ED2031" s="367"/>
      <c r="EE2031" s="367"/>
      <c r="EF2031" s="368"/>
      <c r="EG2031" s="367"/>
      <c r="EH2031" s="367"/>
      <c r="EI2031" s="367"/>
    </row>
    <row r="2032" spans="1:139" s="164" customFormat="1" ht="38.25">
      <c r="A2032" s="228">
        <v>40515.176388888889</v>
      </c>
      <c r="B2032" s="205" t="s">
        <v>2298</v>
      </c>
      <c r="C2032" s="205" t="s">
        <v>1610</v>
      </c>
      <c r="D2032" s="207" t="s">
        <v>1878</v>
      </c>
      <c r="E2032" s="323"/>
      <c r="F2032" s="323"/>
      <c r="G2032" s="204"/>
      <c r="H2032" s="151"/>
      <c r="I2032" s="151"/>
      <c r="J2032" s="151">
        <v>140</v>
      </c>
      <c r="K2032" s="409">
        <v>35</v>
      </c>
      <c r="L2032" s="1"/>
      <c r="M2032" s="73">
        <f t="shared" si="250"/>
        <v>0</v>
      </c>
      <c r="N2032" s="73">
        <f t="shared" si="255"/>
        <v>0</v>
      </c>
      <c r="O2032" s="73">
        <f t="shared" si="249"/>
        <v>0</v>
      </c>
      <c r="P2032" s="73">
        <f t="shared" si="251"/>
        <v>0</v>
      </c>
      <c r="Q2032" s="73"/>
      <c r="R2032" s="73">
        <v>0</v>
      </c>
      <c r="S2032" s="75">
        <f t="shared" si="254"/>
        <v>0</v>
      </c>
      <c r="T2032" s="77">
        <v>0</v>
      </c>
      <c r="U2032" s="296">
        <v>40624</v>
      </c>
      <c r="V2032" s="297"/>
      <c r="W2032" s="296" t="s">
        <v>1585</v>
      </c>
      <c r="X2032" s="298" t="s">
        <v>1586</v>
      </c>
      <c r="Y2032" s="299"/>
      <c r="Z2032" s="300" t="s">
        <v>894</v>
      </c>
      <c r="AA2032" s="414" t="s">
        <v>5437</v>
      </c>
      <c r="AB2032" s="152"/>
      <c r="AC2032" s="153"/>
      <c r="AD2032" s="154"/>
      <c r="AE2032" s="153"/>
      <c r="AF2032" s="153"/>
      <c r="AG2032" s="153"/>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c r="BI2032" s="153"/>
      <c r="BJ2032" s="153"/>
      <c r="BK2032" s="153"/>
      <c r="BL2032" s="153"/>
      <c r="BM2032" s="153"/>
      <c r="BN2032" s="153"/>
      <c r="BO2032" s="153"/>
      <c r="BP2032" s="153"/>
      <c r="BQ2032" s="153"/>
      <c r="BR2032" s="153"/>
      <c r="BS2032" s="153"/>
      <c r="BT2032" s="153"/>
      <c r="BU2032" s="153"/>
      <c r="BV2032" s="153"/>
      <c r="BW2032" s="153"/>
      <c r="BX2032" s="153"/>
      <c r="BY2032" s="153"/>
      <c r="BZ2032" s="153"/>
      <c r="CA2032" s="153"/>
      <c r="CB2032" s="153"/>
      <c r="CC2032" s="153"/>
      <c r="CD2032" s="155"/>
      <c r="CE2032" s="156"/>
      <c r="CF2032" s="155"/>
      <c r="CG2032" s="156"/>
      <c r="CH2032" s="155"/>
      <c r="CI2032" s="156"/>
      <c r="CJ2032" s="157">
        <f t="shared" si="252"/>
        <v>0</v>
      </c>
      <c r="CK2032" s="158"/>
      <c r="CL2032" s="159"/>
      <c r="CM2032" s="160"/>
      <c r="CN2032" s="161"/>
      <c r="CO2032" s="162"/>
      <c r="CP2032" s="161"/>
      <c r="CQ2032" s="158"/>
      <c r="CR2032" s="159"/>
      <c r="CS2032" s="68"/>
      <c r="CT2032" s="163"/>
      <c r="EC2032" s="366" t="str">
        <f t="shared" si="253"/>
        <v>BOGOTA D.C._BOGOTA</v>
      </c>
      <c r="ED2032" s="367"/>
      <c r="EE2032" s="367"/>
      <c r="EF2032" s="368"/>
      <c r="EG2032" s="367"/>
      <c r="EH2032" s="367"/>
      <c r="EI2032" s="367"/>
    </row>
    <row r="2033" spans="1:139" s="164" customFormat="1" ht="66" customHeight="1">
      <c r="A2033" s="228">
        <v>40516</v>
      </c>
      <c r="B2033" s="205" t="s">
        <v>1192</v>
      </c>
      <c r="C2033" s="205" t="s">
        <v>1930</v>
      </c>
      <c r="D2033" s="207" t="s">
        <v>1201</v>
      </c>
      <c r="E2033" s="323" t="s">
        <v>3469</v>
      </c>
      <c r="F2033" s="323"/>
      <c r="G2033" s="204"/>
      <c r="H2033" s="151"/>
      <c r="I2033" s="151"/>
      <c r="J2033" s="151">
        <f>108*5</f>
        <v>540</v>
      </c>
      <c r="K2033" s="151">
        <f>115-7</f>
        <v>108</v>
      </c>
      <c r="L2033" s="1"/>
      <c r="M2033" s="73">
        <f t="shared" si="250"/>
        <v>0</v>
      </c>
      <c r="N2033" s="73">
        <f t="shared" si="255"/>
        <v>0</v>
      </c>
      <c r="O2033" s="73">
        <f t="shared" si="249"/>
        <v>0</v>
      </c>
      <c r="P2033" s="73">
        <f t="shared" si="251"/>
        <v>0</v>
      </c>
      <c r="Q2033" s="73"/>
      <c r="R2033" s="73">
        <v>0</v>
      </c>
      <c r="S2033" s="75">
        <f t="shared" si="254"/>
        <v>0</v>
      </c>
      <c r="T2033" s="77">
        <v>0</v>
      </c>
      <c r="U2033" s="66">
        <v>40581</v>
      </c>
      <c r="V2033" s="79"/>
      <c r="W2033" s="66" t="s">
        <v>1585</v>
      </c>
      <c r="X2033" s="24" t="s">
        <v>1586</v>
      </c>
      <c r="Y2033" s="62"/>
      <c r="Z2033" s="169" t="s">
        <v>894</v>
      </c>
      <c r="AA2033" s="166" t="s">
        <v>74</v>
      </c>
      <c r="AB2033" s="152"/>
      <c r="AC2033" s="153"/>
      <c r="AD2033" s="154"/>
      <c r="AE2033" s="153"/>
      <c r="AF2033" s="153"/>
      <c r="AG2033" s="153"/>
      <c r="AH2033" s="153"/>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c r="BI2033" s="153"/>
      <c r="BJ2033" s="153"/>
      <c r="BK2033" s="153"/>
      <c r="BL2033" s="153"/>
      <c r="BM2033" s="153"/>
      <c r="BN2033" s="153"/>
      <c r="BO2033" s="153"/>
      <c r="BP2033" s="153"/>
      <c r="BQ2033" s="153"/>
      <c r="BR2033" s="153"/>
      <c r="BS2033" s="153"/>
      <c r="BT2033" s="153"/>
      <c r="BU2033" s="153"/>
      <c r="BV2033" s="153"/>
      <c r="BW2033" s="153"/>
      <c r="BX2033" s="153"/>
      <c r="BY2033" s="153"/>
      <c r="BZ2033" s="153"/>
      <c r="CA2033" s="153"/>
      <c r="CB2033" s="153"/>
      <c r="CC2033" s="153"/>
      <c r="CD2033" s="155"/>
      <c r="CE2033" s="156"/>
      <c r="CF2033" s="155"/>
      <c r="CG2033" s="156"/>
      <c r="CH2033" s="155"/>
      <c r="CI2033" s="156"/>
      <c r="CJ2033" s="157">
        <f t="shared" si="252"/>
        <v>0</v>
      </c>
      <c r="CK2033" s="158"/>
      <c r="CL2033" s="159"/>
      <c r="CM2033" s="160"/>
      <c r="CN2033" s="161"/>
      <c r="CO2033" s="162"/>
      <c r="CP2033" s="161"/>
      <c r="CQ2033" s="158"/>
      <c r="CR2033" s="159"/>
      <c r="CS2033" s="68"/>
      <c r="CT2033" s="163"/>
      <c r="EC2033" s="366" t="str">
        <f t="shared" si="253"/>
        <v>BOYACA_LA VICTORIA</v>
      </c>
      <c r="ED2033" s="367"/>
      <c r="EE2033" s="367"/>
      <c r="EF2033" s="368"/>
      <c r="EG2033" s="367"/>
      <c r="EH2033" s="367"/>
      <c r="EI2033" s="367"/>
    </row>
    <row r="2034" spans="1:139" s="164" customFormat="1" ht="38.25">
      <c r="A2034" s="228">
        <v>40516</v>
      </c>
      <c r="B2034" s="205" t="s">
        <v>1604</v>
      </c>
      <c r="C2034" s="205" t="s">
        <v>1946</v>
      </c>
      <c r="D2034" s="207" t="s">
        <v>1878</v>
      </c>
      <c r="E2034" s="323" t="s">
        <v>3683</v>
      </c>
      <c r="F2034" s="323"/>
      <c r="G2034" s="204"/>
      <c r="H2034" s="151"/>
      <c r="I2034" s="151"/>
      <c r="J2034" s="151">
        <v>64</v>
      </c>
      <c r="K2034" s="151">
        <v>18</v>
      </c>
      <c r="L2034" s="1"/>
      <c r="M2034" s="73">
        <f t="shared" si="250"/>
        <v>0</v>
      </c>
      <c r="N2034" s="73">
        <f t="shared" si="255"/>
        <v>0</v>
      </c>
      <c r="O2034" s="73">
        <f t="shared" si="249"/>
        <v>0</v>
      </c>
      <c r="P2034" s="73">
        <f t="shared" si="251"/>
        <v>0</v>
      </c>
      <c r="Q2034" s="73"/>
      <c r="R2034" s="73">
        <v>0</v>
      </c>
      <c r="S2034" s="75">
        <f t="shared" si="254"/>
        <v>0</v>
      </c>
      <c r="T2034" s="77">
        <v>0</v>
      </c>
      <c r="U2034" s="66">
        <v>40516</v>
      </c>
      <c r="V2034" s="79"/>
      <c r="W2034" s="66" t="s">
        <v>1585</v>
      </c>
      <c r="X2034" s="24" t="s">
        <v>1586</v>
      </c>
      <c r="Y2034" s="62"/>
      <c r="Z2034" s="169" t="s">
        <v>894</v>
      </c>
      <c r="AA2034" s="166" t="s">
        <v>235</v>
      </c>
      <c r="AB2034" s="152"/>
      <c r="AC2034" s="153"/>
      <c r="AD2034" s="154"/>
      <c r="AE2034" s="153"/>
      <c r="AF2034" s="153"/>
      <c r="AG2034" s="153"/>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c r="BI2034" s="153"/>
      <c r="BJ2034" s="153"/>
      <c r="BK2034" s="153"/>
      <c r="BL2034" s="153"/>
      <c r="BM2034" s="153"/>
      <c r="BN2034" s="153"/>
      <c r="BO2034" s="153"/>
      <c r="BP2034" s="153"/>
      <c r="BQ2034" s="153"/>
      <c r="BR2034" s="153"/>
      <c r="BS2034" s="153"/>
      <c r="BT2034" s="153"/>
      <c r="BU2034" s="153"/>
      <c r="BV2034" s="153"/>
      <c r="BW2034" s="153"/>
      <c r="BX2034" s="153"/>
      <c r="BY2034" s="153"/>
      <c r="BZ2034" s="153"/>
      <c r="CA2034" s="153"/>
      <c r="CB2034" s="153"/>
      <c r="CC2034" s="153"/>
      <c r="CD2034" s="155"/>
      <c r="CE2034" s="156"/>
      <c r="CF2034" s="155"/>
      <c r="CG2034" s="156"/>
      <c r="CH2034" s="155"/>
      <c r="CI2034" s="156"/>
      <c r="CJ2034" s="157">
        <f t="shared" si="252"/>
        <v>0</v>
      </c>
      <c r="CK2034" s="158"/>
      <c r="CL2034" s="159"/>
      <c r="CM2034" s="160"/>
      <c r="CN2034" s="161"/>
      <c r="CO2034" s="162"/>
      <c r="CP2034" s="161"/>
      <c r="CQ2034" s="158"/>
      <c r="CR2034" s="159"/>
      <c r="CS2034" s="68"/>
      <c r="CT2034" s="163"/>
      <c r="EC2034" s="366" t="str">
        <f t="shared" si="253"/>
        <v>CUNDINAMARCA_ANAPOIMA</v>
      </c>
      <c r="ED2034" s="367"/>
      <c r="EE2034" s="367"/>
      <c r="EF2034" s="368"/>
      <c r="EG2034" s="367"/>
      <c r="EH2034" s="367"/>
      <c r="EI2034" s="367"/>
    </row>
    <row r="2035" spans="1:139" s="164" customFormat="1" ht="38.25">
      <c r="A2035" s="228">
        <v>40516</v>
      </c>
      <c r="B2035" s="205" t="s">
        <v>1604</v>
      </c>
      <c r="C2035" s="205" t="s">
        <v>628</v>
      </c>
      <c r="D2035" s="207" t="s">
        <v>1201</v>
      </c>
      <c r="E2035" s="323" t="s">
        <v>3691</v>
      </c>
      <c r="F2035" s="323"/>
      <c r="G2035" s="204"/>
      <c r="H2035" s="151"/>
      <c r="I2035" s="151"/>
      <c r="J2035" s="151">
        <f>1570-102</f>
        <v>1468</v>
      </c>
      <c r="K2035" s="151">
        <f>527-20</f>
        <v>507</v>
      </c>
      <c r="L2035" s="1"/>
      <c r="M2035" s="73">
        <f t="shared" si="250"/>
        <v>0</v>
      </c>
      <c r="N2035" s="73">
        <f t="shared" si="255"/>
        <v>0</v>
      </c>
      <c r="O2035" s="73">
        <f t="shared" si="249"/>
        <v>0</v>
      </c>
      <c r="P2035" s="73">
        <f t="shared" si="251"/>
        <v>0</v>
      </c>
      <c r="Q2035" s="73"/>
      <c r="R2035" s="73">
        <v>0</v>
      </c>
      <c r="S2035" s="75">
        <f t="shared" si="254"/>
        <v>0</v>
      </c>
      <c r="T2035" s="77">
        <v>0</v>
      </c>
      <c r="U2035" s="66">
        <v>40516</v>
      </c>
      <c r="V2035" s="79"/>
      <c r="W2035" s="66" t="s">
        <v>1585</v>
      </c>
      <c r="X2035" s="24" t="s">
        <v>1586</v>
      </c>
      <c r="Y2035" s="62"/>
      <c r="Z2035" s="169" t="s">
        <v>894</v>
      </c>
      <c r="AA2035" s="166" t="s">
        <v>2965</v>
      </c>
      <c r="AB2035" s="152"/>
      <c r="AC2035" s="153"/>
      <c r="AD2035" s="154"/>
      <c r="AE2035" s="153"/>
      <c r="AF2035" s="153"/>
      <c r="AG2035" s="153"/>
      <c r="AH2035" s="153"/>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c r="BI2035" s="153"/>
      <c r="BJ2035" s="153"/>
      <c r="BK2035" s="153"/>
      <c r="BL2035" s="153"/>
      <c r="BM2035" s="153"/>
      <c r="BN2035" s="153"/>
      <c r="BO2035" s="153"/>
      <c r="BP2035" s="153"/>
      <c r="BQ2035" s="153"/>
      <c r="BR2035" s="153"/>
      <c r="BS2035" s="153"/>
      <c r="BT2035" s="153"/>
      <c r="BU2035" s="153"/>
      <c r="BV2035" s="153"/>
      <c r="BW2035" s="153"/>
      <c r="BX2035" s="153"/>
      <c r="BY2035" s="153"/>
      <c r="BZ2035" s="153"/>
      <c r="CA2035" s="153"/>
      <c r="CB2035" s="153"/>
      <c r="CC2035" s="153"/>
      <c r="CD2035" s="155"/>
      <c r="CE2035" s="156"/>
      <c r="CF2035" s="155"/>
      <c r="CG2035" s="156"/>
      <c r="CH2035" s="155"/>
      <c r="CI2035" s="156"/>
      <c r="CJ2035" s="157">
        <f t="shared" si="252"/>
        <v>0</v>
      </c>
      <c r="CK2035" s="158"/>
      <c r="CL2035" s="159"/>
      <c r="CM2035" s="160"/>
      <c r="CN2035" s="161"/>
      <c r="CO2035" s="162"/>
      <c r="CP2035" s="161"/>
      <c r="CQ2035" s="158"/>
      <c r="CR2035" s="159"/>
      <c r="CS2035" s="68"/>
      <c r="CT2035" s="163"/>
      <c r="EC2035" s="366" t="str">
        <f t="shared" si="253"/>
        <v>CUNDINAMARCA_CAPARRAPI</v>
      </c>
      <c r="ED2035" s="367"/>
      <c r="EE2035" s="367"/>
      <c r="EF2035" s="368"/>
      <c r="EG2035" s="367"/>
      <c r="EH2035" s="367"/>
      <c r="EI2035" s="367"/>
    </row>
    <row r="2036" spans="1:139" s="164" customFormat="1" ht="60">
      <c r="A2036" s="228">
        <v>40516</v>
      </c>
      <c r="B2036" s="205" t="s">
        <v>1604</v>
      </c>
      <c r="C2036" s="205" t="s">
        <v>1825</v>
      </c>
      <c r="D2036" s="207" t="s">
        <v>1201</v>
      </c>
      <c r="E2036" s="323" t="s">
        <v>3713</v>
      </c>
      <c r="F2036" s="323"/>
      <c r="G2036" s="204"/>
      <c r="H2036" s="151"/>
      <c r="I2036" s="151"/>
      <c r="J2036" s="151">
        <v>148</v>
      </c>
      <c r="K2036" s="151">
        <v>35</v>
      </c>
      <c r="L2036" s="1"/>
      <c r="M2036" s="73">
        <f t="shared" si="250"/>
        <v>0</v>
      </c>
      <c r="N2036" s="73">
        <f t="shared" si="255"/>
        <v>0</v>
      </c>
      <c r="O2036" s="73">
        <f t="shared" ref="O2036:O2099" si="256">CP2036+CR2036</f>
        <v>0</v>
      </c>
      <c r="P2036" s="73">
        <f t="shared" si="251"/>
        <v>0</v>
      </c>
      <c r="Q2036" s="73"/>
      <c r="R2036" s="73">
        <v>0</v>
      </c>
      <c r="S2036" s="75">
        <f t="shared" si="254"/>
        <v>0</v>
      </c>
      <c r="T2036" s="77">
        <v>0</v>
      </c>
      <c r="U2036" s="66">
        <v>40516</v>
      </c>
      <c r="V2036" s="79"/>
      <c r="W2036" s="66" t="s">
        <v>1585</v>
      </c>
      <c r="X2036" s="24" t="s">
        <v>1586</v>
      </c>
      <c r="Y2036" s="62"/>
      <c r="Z2036" s="169" t="s">
        <v>894</v>
      </c>
      <c r="AA2036" s="166" t="s">
        <v>480</v>
      </c>
      <c r="AB2036" s="152"/>
      <c r="AC2036" s="153"/>
      <c r="AD2036" s="154"/>
      <c r="AE2036" s="153"/>
      <c r="AF2036" s="153"/>
      <c r="AG2036" s="153"/>
      <c r="AH2036" s="153"/>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c r="BF2036" s="153"/>
      <c r="BG2036" s="153"/>
      <c r="BH2036" s="153"/>
      <c r="BI2036" s="153"/>
      <c r="BJ2036" s="153"/>
      <c r="BK2036" s="153"/>
      <c r="BL2036" s="153"/>
      <c r="BM2036" s="153"/>
      <c r="BN2036" s="153"/>
      <c r="BO2036" s="153"/>
      <c r="BP2036" s="153"/>
      <c r="BQ2036" s="153"/>
      <c r="BR2036" s="153"/>
      <c r="BS2036" s="153"/>
      <c r="BT2036" s="153"/>
      <c r="BU2036" s="153"/>
      <c r="BV2036" s="153"/>
      <c r="BW2036" s="153"/>
      <c r="BX2036" s="153"/>
      <c r="BY2036" s="153"/>
      <c r="BZ2036" s="153"/>
      <c r="CA2036" s="153"/>
      <c r="CB2036" s="153"/>
      <c r="CC2036" s="153"/>
      <c r="CD2036" s="155"/>
      <c r="CE2036" s="156"/>
      <c r="CF2036" s="155"/>
      <c r="CG2036" s="156"/>
      <c r="CH2036" s="155"/>
      <c r="CI2036" s="156"/>
      <c r="CJ2036" s="157">
        <f t="shared" si="252"/>
        <v>0</v>
      </c>
      <c r="CK2036" s="158"/>
      <c r="CL2036" s="159"/>
      <c r="CM2036" s="160"/>
      <c r="CN2036" s="161"/>
      <c r="CO2036" s="162"/>
      <c r="CP2036" s="161"/>
      <c r="CQ2036" s="158"/>
      <c r="CR2036" s="159"/>
      <c r="CS2036" s="68"/>
      <c r="CT2036" s="163"/>
      <c r="EC2036" s="366" t="str">
        <f t="shared" si="253"/>
        <v>CUNDINAMARCA_GIRARDOT</v>
      </c>
      <c r="ED2036" s="367"/>
      <c r="EE2036" s="367"/>
      <c r="EF2036" s="368"/>
      <c r="EG2036" s="367"/>
      <c r="EH2036" s="367"/>
      <c r="EI2036" s="367"/>
    </row>
    <row r="2037" spans="1:139" s="164" customFormat="1" ht="38.25">
      <c r="A2037" s="228">
        <v>40516</v>
      </c>
      <c r="B2037" s="205" t="s">
        <v>1604</v>
      </c>
      <c r="C2037" s="205" t="s">
        <v>2966</v>
      </c>
      <c r="D2037" s="207" t="s">
        <v>1878</v>
      </c>
      <c r="E2037" s="323" t="s">
        <v>3775</v>
      </c>
      <c r="F2037" s="323"/>
      <c r="G2037" s="204"/>
      <c r="H2037" s="151"/>
      <c r="I2037" s="151"/>
      <c r="J2037" s="151">
        <v>214</v>
      </c>
      <c r="K2037" s="151">
        <v>57</v>
      </c>
      <c r="L2037" s="1"/>
      <c r="M2037" s="73">
        <f t="shared" si="250"/>
        <v>0</v>
      </c>
      <c r="N2037" s="73">
        <f t="shared" si="255"/>
        <v>0</v>
      </c>
      <c r="O2037" s="73">
        <f t="shared" si="256"/>
        <v>0</v>
      </c>
      <c r="P2037" s="73">
        <f t="shared" si="251"/>
        <v>0</v>
      </c>
      <c r="Q2037" s="73"/>
      <c r="R2037" s="73">
        <v>0</v>
      </c>
      <c r="S2037" s="75">
        <f t="shared" si="254"/>
        <v>0</v>
      </c>
      <c r="T2037" s="77">
        <v>0</v>
      </c>
      <c r="U2037" s="66">
        <v>40516</v>
      </c>
      <c r="V2037" s="79"/>
      <c r="W2037" s="66" t="s">
        <v>1585</v>
      </c>
      <c r="X2037" s="24" t="s">
        <v>1586</v>
      </c>
      <c r="Y2037" s="62"/>
      <c r="Z2037" s="169" t="s">
        <v>894</v>
      </c>
      <c r="AA2037" s="166" t="s">
        <v>2967</v>
      </c>
      <c r="AB2037" s="152"/>
      <c r="AC2037" s="153"/>
      <c r="AD2037" s="154"/>
      <c r="AE2037" s="153"/>
      <c r="AF2037" s="153"/>
      <c r="AG2037" s="153"/>
      <c r="AH2037" s="153"/>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c r="BF2037" s="153"/>
      <c r="BG2037" s="153"/>
      <c r="BH2037" s="153"/>
      <c r="BI2037" s="153"/>
      <c r="BJ2037" s="153"/>
      <c r="BK2037" s="153"/>
      <c r="BL2037" s="153"/>
      <c r="BM2037" s="153"/>
      <c r="BN2037" s="153"/>
      <c r="BO2037" s="153"/>
      <c r="BP2037" s="153"/>
      <c r="BQ2037" s="153"/>
      <c r="BR2037" s="153"/>
      <c r="BS2037" s="153"/>
      <c r="BT2037" s="153"/>
      <c r="BU2037" s="153"/>
      <c r="BV2037" s="153"/>
      <c r="BW2037" s="153"/>
      <c r="BX2037" s="153"/>
      <c r="BY2037" s="153"/>
      <c r="BZ2037" s="153"/>
      <c r="CA2037" s="153"/>
      <c r="CB2037" s="153"/>
      <c r="CC2037" s="153"/>
      <c r="CD2037" s="155"/>
      <c r="CE2037" s="156"/>
      <c r="CF2037" s="155"/>
      <c r="CG2037" s="156"/>
      <c r="CH2037" s="155"/>
      <c r="CI2037" s="156"/>
      <c r="CJ2037" s="157">
        <f t="shared" si="252"/>
        <v>0</v>
      </c>
      <c r="CK2037" s="158"/>
      <c r="CL2037" s="159"/>
      <c r="CM2037" s="160"/>
      <c r="CN2037" s="161"/>
      <c r="CO2037" s="162"/>
      <c r="CP2037" s="161"/>
      <c r="CQ2037" s="158"/>
      <c r="CR2037" s="159"/>
      <c r="CS2037" s="68"/>
      <c r="CT2037" s="163"/>
      <c r="EC2037" s="366" t="str">
        <f t="shared" si="253"/>
        <v>CUNDINAMARCA_TIBACUY</v>
      </c>
      <c r="ED2037" s="367"/>
      <c r="EE2037" s="367"/>
      <c r="EF2037" s="368"/>
      <c r="EG2037" s="367"/>
      <c r="EH2037" s="367"/>
      <c r="EI2037" s="367"/>
    </row>
    <row r="2038" spans="1:139" s="164" customFormat="1" ht="48">
      <c r="A2038" s="228">
        <v>40516</v>
      </c>
      <c r="B2038" s="205" t="s">
        <v>1604</v>
      </c>
      <c r="C2038" s="205" t="s">
        <v>957</v>
      </c>
      <c r="D2038" s="207" t="s">
        <v>1878</v>
      </c>
      <c r="E2038" s="323" t="s">
        <v>3789</v>
      </c>
      <c r="F2038" s="323"/>
      <c r="G2038" s="204"/>
      <c r="H2038" s="151"/>
      <c r="I2038" s="151"/>
      <c r="J2038" s="151">
        <v>796</v>
      </c>
      <c r="K2038" s="151">
        <v>230</v>
      </c>
      <c r="L2038" s="1"/>
      <c r="M2038" s="73">
        <f t="shared" si="250"/>
        <v>0</v>
      </c>
      <c r="N2038" s="73">
        <f t="shared" si="255"/>
        <v>0</v>
      </c>
      <c r="O2038" s="73">
        <f t="shared" si="256"/>
        <v>0</v>
      </c>
      <c r="P2038" s="73">
        <f t="shared" si="251"/>
        <v>0</v>
      </c>
      <c r="Q2038" s="73"/>
      <c r="R2038" s="73">
        <v>0</v>
      </c>
      <c r="S2038" s="75">
        <f t="shared" si="254"/>
        <v>0</v>
      </c>
      <c r="T2038" s="77">
        <v>0</v>
      </c>
      <c r="U2038" s="66">
        <v>40516</v>
      </c>
      <c r="V2038" s="79"/>
      <c r="W2038" s="66" t="s">
        <v>1585</v>
      </c>
      <c r="X2038" s="24" t="s">
        <v>1586</v>
      </c>
      <c r="Y2038" s="62"/>
      <c r="Z2038" s="169" t="s">
        <v>894</v>
      </c>
      <c r="AA2038" s="166" t="s">
        <v>231</v>
      </c>
      <c r="AB2038" s="152"/>
      <c r="AC2038" s="153"/>
      <c r="AD2038" s="154"/>
      <c r="AE2038" s="153"/>
      <c r="AF2038" s="153"/>
      <c r="AG2038" s="153"/>
      <c r="AH2038" s="153"/>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c r="BF2038" s="153"/>
      <c r="BG2038" s="153"/>
      <c r="BH2038" s="153"/>
      <c r="BI2038" s="153"/>
      <c r="BJ2038" s="153"/>
      <c r="BK2038" s="153"/>
      <c r="BL2038" s="153"/>
      <c r="BM2038" s="153"/>
      <c r="BN2038" s="153"/>
      <c r="BO2038" s="153"/>
      <c r="BP2038" s="153"/>
      <c r="BQ2038" s="153"/>
      <c r="BR2038" s="153"/>
      <c r="BS2038" s="153"/>
      <c r="BT2038" s="153"/>
      <c r="BU2038" s="153"/>
      <c r="BV2038" s="153"/>
      <c r="BW2038" s="153"/>
      <c r="BX2038" s="153"/>
      <c r="BY2038" s="153"/>
      <c r="BZ2038" s="153"/>
      <c r="CA2038" s="153"/>
      <c r="CB2038" s="153"/>
      <c r="CC2038" s="153"/>
      <c r="CD2038" s="155"/>
      <c r="CE2038" s="156"/>
      <c r="CF2038" s="155"/>
      <c r="CG2038" s="156"/>
      <c r="CH2038" s="155"/>
      <c r="CI2038" s="156"/>
      <c r="CJ2038" s="157">
        <f t="shared" si="252"/>
        <v>0</v>
      </c>
      <c r="CK2038" s="158"/>
      <c r="CL2038" s="159"/>
      <c r="CM2038" s="160"/>
      <c r="CN2038" s="161"/>
      <c r="CO2038" s="162"/>
      <c r="CP2038" s="161"/>
      <c r="CQ2038" s="158"/>
      <c r="CR2038" s="159"/>
      <c r="CS2038" s="68"/>
      <c r="CT2038" s="163"/>
      <c r="EC2038" s="366" t="str">
        <f t="shared" si="253"/>
        <v>CUNDINAMARCA_VIOTA</v>
      </c>
      <c r="ED2038" s="367"/>
      <c r="EE2038" s="367"/>
      <c r="EF2038" s="368"/>
      <c r="EG2038" s="367"/>
      <c r="EH2038" s="367"/>
      <c r="EI2038" s="367"/>
    </row>
    <row r="2039" spans="1:139" s="164" customFormat="1" ht="45">
      <c r="A2039" s="228">
        <v>40516</v>
      </c>
      <c r="B2039" s="205" t="s">
        <v>962</v>
      </c>
      <c r="C2039" s="205" t="s">
        <v>2380</v>
      </c>
      <c r="D2039" s="207" t="s">
        <v>1878</v>
      </c>
      <c r="E2039" s="323" t="s">
        <v>3831</v>
      </c>
      <c r="F2039" s="323"/>
      <c r="G2039" s="204"/>
      <c r="H2039" s="151"/>
      <c r="I2039" s="151"/>
      <c r="J2039" s="151">
        <v>8</v>
      </c>
      <c r="K2039" s="151">
        <v>1</v>
      </c>
      <c r="L2039" s="1"/>
      <c r="M2039" s="73">
        <f t="shared" si="250"/>
        <v>0</v>
      </c>
      <c r="N2039" s="73">
        <f t="shared" si="255"/>
        <v>0</v>
      </c>
      <c r="O2039" s="73">
        <f t="shared" si="256"/>
        <v>0</v>
      </c>
      <c r="P2039" s="73">
        <f t="shared" si="251"/>
        <v>0</v>
      </c>
      <c r="Q2039" s="73"/>
      <c r="R2039" s="73">
        <v>0</v>
      </c>
      <c r="S2039" s="75">
        <f t="shared" si="254"/>
        <v>0</v>
      </c>
      <c r="T2039" s="77">
        <v>0</v>
      </c>
      <c r="U2039" s="228">
        <v>40516</v>
      </c>
      <c r="V2039" s="79"/>
      <c r="W2039" s="66" t="s">
        <v>1606</v>
      </c>
      <c r="X2039" s="264" t="s">
        <v>1607</v>
      </c>
      <c r="Y2039" s="62"/>
      <c r="Z2039" s="260" t="s">
        <v>18</v>
      </c>
      <c r="AA2039" s="166" t="s">
        <v>540</v>
      </c>
      <c r="AB2039" s="152"/>
      <c r="AC2039" s="153"/>
      <c r="AD2039" s="154"/>
      <c r="AE2039" s="153"/>
      <c r="AF2039" s="153"/>
      <c r="AG2039" s="153"/>
      <c r="AH2039" s="153"/>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c r="BF2039" s="153"/>
      <c r="BG2039" s="153"/>
      <c r="BH2039" s="153"/>
      <c r="BI2039" s="153"/>
      <c r="BJ2039" s="153"/>
      <c r="BK2039" s="153"/>
      <c r="BL2039" s="153"/>
      <c r="BM2039" s="153"/>
      <c r="BN2039" s="153"/>
      <c r="BO2039" s="153"/>
      <c r="BP2039" s="153"/>
      <c r="BQ2039" s="153"/>
      <c r="BR2039" s="153"/>
      <c r="BS2039" s="153"/>
      <c r="BT2039" s="153"/>
      <c r="BU2039" s="153"/>
      <c r="BV2039" s="153"/>
      <c r="BW2039" s="153"/>
      <c r="BX2039" s="153"/>
      <c r="BY2039" s="153"/>
      <c r="BZ2039" s="153"/>
      <c r="CA2039" s="153"/>
      <c r="CB2039" s="153"/>
      <c r="CC2039" s="153"/>
      <c r="CD2039" s="155"/>
      <c r="CE2039" s="156"/>
      <c r="CF2039" s="155"/>
      <c r="CG2039" s="156"/>
      <c r="CH2039" s="155"/>
      <c r="CI2039" s="156"/>
      <c r="CJ2039" s="157">
        <f t="shared" si="252"/>
        <v>0</v>
      </c>
      <c r="CK2039" s="158"/>
      <c r="CL2039" s="159"/>
      <c r="CM2039" s="160"/>
      <c r="CN2039" s="161"/>
      <c r="CO2039" s="162"/>
      <c r="CP2039" s="161"/>
      <c r="CQ2039" s="158"/>
      <c r="CR2039" s="159"/>
      <c r="CS2039" s="68"/>
      <c r="CT2039" s="163"/>
      <c r="EC2039" s="366" t="str">
        <f t="shared" si="253"/>
        <v>HUILA_COLOMBIA</v>
      </c>
      <c r="ED2039" s="367"/>
      <c r="EE2039" s="367"/>
      <c r="EF2039" s="368"/>
      <c r="EG2039" s="367"/>
      <c r="EH2039" s="367"/>
      <c r="EI2039" s="367"/>
    </row>
    <row r="2040" spans="1:139" s="164" customFormat="1" ht="38.25">
      <c r="A2040" s="228">
        <v>40516</v>
      </c>
      <c r="B2040" s="205" t="s">
        <v>396</v>
      </c>
      <c r="C2040" s="205" t="s">
        <v>2860</v>
      </c>
      <c r="D2040" s="207" t="s">
        <v>1201</v>
      </c>
      <c r="E2040" s="323" t="s">
        <v>3933</v>
      </c>
      <c r="F2040" s="323"/>
      <c r="G2040" s="204"/>
      <c r="H2040" s="151"/>
      <c r="I2040" s="151"/>
      <c r="J2040" s="151">
        <v>15</v>
      </c>
      <c r="K2040" s="151">
        <v>3</v>
      </c>
      <c r="L2040" s="1"/>
      <c r="M2040" s="73">
        <f t="shared" si="250"/>
        <v>0</v>
      </c>
      <c r="N2040" s="73">
        <f t="shared" si="255"/>
        <v>0</v>
      </c>
      <c r="O2040" s="73">
        <f t="shared" si="256"/>
        <v>0</v>
      </c>
      <c r="P2040" s="73">
        <f t="shared" si="251"/>
        <v>0</v>
      </c>
      <c r="Q2040" s="73"/>
      <c r="R2040" s="73">
        <v>0</v>
      </c>
      <c r="S2040" s="75">
        <f t="shared" si="254"/>
        <v>0</v>
      </c>
      <c r="T2040" s="77">
        <v>0</v>
      </c>
      <c r="U2040" s="66">
        <v>40516</v>
      </c>
      <c r="V2040" s="79"/>
      <c r="W2040" s="66" t="s">
        <v>1585</v>
      </c>
      <c r="X2040" s="24" t="s">
        <v>1586</v>
      </c>
      <c r="Y2040" s="62"/>
      <c r="Z2040" s="169" t="s">
        <v>894</v>
      </c>
      <c r="AA2040" s="166" t="s">
        <v>2971</v>
      </c>
      <c r="AB2040" s="152"/>
      <c r="AC2040" s="153"/>
      <c r="AD2040" s="154"/>
      <c r="AE2040" s="153"/>
      <c r="AF2040" s="153"/>
      <c r="AG2040" s="153"/>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c r="BF2040" s="153"/>
      <c r="BG2040" s="153"/>
      <c r="BH2040" s="153"/>
      <c r="BI2040" s="153"/>
      <c r="BJ2040" s="153"/>
      <c r="BK2040" s="153"/>
      <c r="BL2040" s="153"/>
      <c r="BM2040" s="153"/>
      <c r="BN2040" s="153"/>
      <c r="BO2040" s="153"/>
      <c r="BP2040" s="153"/>
      <c r="BQ2040" s="153"/>
      <c r="BR2040" s="153"/>
      <c r="BS2040" s="153"/>
      <c r="BT2040" s="153"/>
      <c r="BU2040" s="153"/>
      <c r="BV2040" s="153"/>
      <c r="BW2040" s="153"/>
      <c r="BX2040" s="153"/>
      <c r="BY2040" s="153"/>
      <c r="BZ2040" s="153"/>
      <c r="CA2040" s="153"/>
      <c r="CB2040" s="153"/>
      <c r="CC2040" s="153"/>
      <c r="CD2040" s="155"/>
      <c r="CE2040" s="156"/>
      <c r="CF2040" s="155"/>
      <c r="CG2040" s="156"/>
      <c r="CH2040" s="155"/>
      <c r="CI2040" s="156"/>
      <c r="CJ2040" s="157">
        <f t="shared" si="252"/>
        <v>0</v>
      </c>
      <c r="CK2040" s="158"/>
      <c r="CL2040" s="159"/>
      <c r="CM2040" s="160"/>
      <c r="CN2040" s="161"/>
      <c r="CO2040" s="162"/>
      <c r="CP2040" s="161"/>
      <c r="CQ2040" s="158"/>
      <c r="CR2040" s="159"/>
      <c r="CS2040" s="68"/>
      <c r="CT2040" s="163"/>
      <c r="EC2040" s="366" t="str">
        <f t="shared" si="253"/>
        <v>META_VISTAHERMOSA</v>
      </c>
      <c r="ED2040" s="367"/>
      <c r="EE2040" s="367"/>
      <c r="EF2040" s="368"/>
      <c r="EG2040" s="367"/>
      <c r="EH2040" s="367"/>
      <c r="EI2040" s="367"/>
    </row>
    <row r="2041" spans="1:139" s="164" customFormat="1" ht="51">
      <c r="A2041" s="228">
        <v>40516</v>
      </c>
      <c r="B2041" s="205" t="s">
        <v>965</v>
      </c>
      <c r="C2041" s="205" t="s">
        <v>2017</v>
      </c>
      <c r="D2041" s="207" t="s">
        <v>1878</v>
      </c>
      <c r="E2041" s="323" t="s">
        <v>4013</v>
      </c>
      <c r="F2041" s="323"/>
      <c r="G2041" s="204"/>
      <c r="H2041" s="151"/>
      <c r="I2041" s="151"/>
      <c r="J2041" s="416">
        <f>856*3.3</f>
        <v>2824.7999999999997</v>
      </c>
      <c r="K2041" s="151">
        <v>856</v>
      </c>
      <c r="L2041" s="1"/>
      <c r="M2041" s="73">
        <f t="shared" si="250"/>
        <v>0</v>
      </c>
      <c r="N2041" s="73">
        <f t="shared" si="255"/>
        <v>0</v>
      </c>
      <c r="O2041" s="73">
        <f t="shared" si="256"/>
        <v>0</v>
      </c>
      <c r="P2041" s="73">
        <f t="shared" si="251"/>
        <v>0</v>
      </c>
      <c r="Q2041" s="73"/>
      <c r="R2041" s="73">
        <v>0</v>
      </c>
      <c r="S2041" s="75">
        <f t="shared" si="254"/>
        <v>0</v>
      </c>
      <c r="T2041" s="77">
        <v>0</v>
      </c>
      <c r="U2041" s="66">
        <v>40529</v>
      </c>
      <c r="V2041" s="79"/>
      <c r="W2041" s="66" t="s">
        <v>1606</v>
      </c>
      <c r="X2041" s="264" t="s">
        <v>1607</v>
      </c>
      <c r="Y2041" s="62"/>
      <c r="Z2041" s="260" t="s">
        <v>18</v>
      </c>
      <c r="AA2041" s="166" t="s">
        <v>287</v>
      </c>
      <c r="AB2041" s="152"/>
      <c r="AC2041" s="153"/>
      <c r="AD2041" s="154"/>
      <c r="AE2041" s="153"/>
      <c r="AF2041" s="153"/>
      <c r="AG2041" s="153"/>
      <c r="AH2041" s="153"/>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c r="BF2041" s="153"/>
      <c r="BG2041" s="153"/>
      <c r="BH2041" s="153"/>
      <c r="BI2041" s="153"/>
      <c r="BJ2041" s="153"/>
      <c r="BK2041" s="153"/>
      <c r="BL2041" s="153"/>
      <c r="BM2041" s="153"/>
      <c r="BN2041" s="153"/>
      <c r="BO2041" s="153"/>
      <c r="BP2041" s="153"/>
      <c r="BQ2041" s="153"/>
      <c r="BR2041" s="153"/>
      <c r="BS2041" s="153"/>
      <c r="BT2041" s="153"/>
      <c r="BU2041" s="153"/>
      <c r="BV2041" s="153"/>
      <c r="BW2041" s="153"/>
      <c r="BX2041" s="153"/>
      <c r="BY2041" s="153"/>
      <c r="BZ2041" s="153"/>
      <c r="CA2041" s="153"/>
      <c r="CB2041" s="153"/>
      <c r="CC2041" s="153"/>
      <c r="CD2041" s="155"/>
      <c r="CE2041" s="156"/>
      <c r="CF2041" s="155"/>
      <c r="CG2041" s="156"/>
      <c r="CH2041" s="155"/>
      <c r="CI2041" s="156"/>
      <c r="CJ2041" s="157">
        <f t="shared" si="252"/>
        <v>0</v>
      </c>
      <c r="CK2041" s="158"/>
      <c r="CL2041" s="159"/>
      <c r="CM2041" s="160"/>
      <c r="CN2041" s="161"/>
      <c r="CO2041" s="162"/>
      <c r="CP2041" s="161"/>
      <c r="CQ2041" s="158"/>
      <c r="CR2041" s="159"/>
      <c r="CS2041" s="68"/>
      <c r="CT2041" s="163"/>
      <c r="EC2041" s="366" t="str">
        <f t="shared" si="253"/>
        <v>NORTE DE SANTANDER_GRAMALOTE</v>
      </c>
      <c r="ED2041" s="367"/>
      <c r="EE2041" s="367"/>
      <c r="EF2041" s="368"/>
      <c r="EG2041" s="367"/>
      <c r="EH2041" s="367"/>
      <c r="EI2041" s="367"/>
    </row>
    <row r="2042" spans="1:139" s="164" customFormat="1" ht="38.25">
      <c r="A2042" s="228">
        <v>40516</v>
      </c>
      <c r="B2042" s="205" t="s">
        <v>1609</v>
      </c>
      <c r="C2042" s="205" t="s">
        <v>1538</v>
      </c>
      <c r="D2042" s="207" t="s">
        <v>1878</v>
      </c>
      <c r="E2042" s="323" t="s">
        <v>4063</v>
      </c>
      <c r="F2042" s="323"/>
      <c r="G2042" s="204">
        <v>3</v>
      </c>
      <c r="H2042" s="151">
        <v>3</v>
      </c>
      <c r="I2042" s="151"/>
      <c r="J2042" s="151"/>
      <c r="K2042" s="151"/>
      <c r="L2042" s="1"/>
      <c r="M2042" s="73">
        <f t="shared" si="250"/>
        <v>0</v>
      </c>
      <c r="N2042" s="73">
        <f t="shared" si="255"/>
        <v>0</v>
      </c>
      <c r="O2042" s="73">
        <f t="shared" si="256"/>
        <v>0</v>
      </c>
      <c r="P2042" s="73">
        <f t="shared" si="251"/>
        <v>0</v>
      </c>
      <c r="Q2042" s="73"/>
      <c r="R2042" s="73">
        <v>0</v>
      </c>
      <c r="S2042" s="75">
        <f t="shared" si="254"/>
        <v>0</v>
      </c>
      <c r="T2042" s="77">
        <v>0</v>
      </c>
      <c r="U2042" s="66">
        <v>40516</v>
      </c>
      <c r="V2042" s="79"/>
      <c r="W2042" s="66" t="s">
        <v>1585</v>
      </c>
      <c r="X2042" s="24" t="s">
        <v>1586</v>
      </c>
      <c r="Y2042" s="62"/>
      <c r="Z2042" s="169" t="s">
        <v>894</v>
      </c>
      <c r="AA2042" s="166" t="s">
        <v>279</v>
      </c>
      <c r="AB2042" s="152"/>
      <c r="AC2042" s="153"/>
      <c r="AD2042" s="154"/>
      <c r="AE2042" s="153"/>
      <c r="AF2042" s="153"/>
      <c r="AG2042" s="153"/>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c r="BF2042" s="153"/>
      <c r="BG2042" s="153"/>
      <c r="BH2042" s="153"/>
      <c r="BI2042" s="153"/>
      <c r="BJ2042" s="153"/>
      <c r="BK2042" s="153"/>
      <c r="BL2042" s="153"/>
      <c r="BM2042" s="153"/>
      <c r="BN2042" s="153"/>
      <c r="BO2042" s="153"/>
      <c r="BP2042" s="153"/>
      <c r="BQ2042" s="153"/>
      <c r="BR2042" s="153"/>
      <c r="BS2042" s="153"/>
      <c r="BT2042" s="153"/>
      <c r="BU2042" s="153"/>
      <c r="BV2042" s="153"/>
      <c r="BW2042" s="153"/>
      <c r="BX2042" s="153"/>
      <c r="BY2042" s="153"/>
      <c r="BZ2042" s="153"/>
      <c r="CA2042" s="153"/>
      <c r="CB2042" s="153"/>
      <c r="CC2042" s="153"/>
      <c r="CD2042" s="155"/>
      <c r="CE2042" s="156"/>
      <c r="CF2042" s="155"/>
      <c r="CG2042" s="156"/>
      <c r="CH2042" s="155"/>
      <c r="CI2042" s="156"/>
      <c r="CJ2042" s="157">
        <f t="shared" si="252"/>
        <v>0</v>
      </c>
      <c r="CK2042" s="158"/>
      <c r="CL2042" s="159"/>
      <c r="CM2042" s="160"/>
      <c r="CN2042" s="161"/>
      <c r="CO2042" s="162"/>
      <c r="CP2042" s="161"/>
      <c r="CQ2042" s="158"/>
      <c r="CR2042" s="159"/>
      <c r="CS2042" s="68"/>
      <c r="CT2042" s="163"/>
      <c r="EC2042" s="366" t="str">
        <f t="shared" si="253"/>
        <v>RISARALDA_SANTUARIO</v>
      </c>
      <c r="ED2042" s="367"/>
      <c r="EE2042" s="367"/>
      <c r="EF2042" s="368"/>
      <c r="EG2042" s="367"/>
      <c r="EH2042" s="367"/>
      <c r="EI2042" s="367"/>
    </row>
    <row r="2043" spans="1:139" s="164" customFormat="1" ht="45">
      <c r="A2043" s="228">
        <v>40516</v>
      </c>
      <c r="B2043" s="205" t="s">
        <v>2400</v>
      </c>
      <c r="C2043" s="205" t="s">
        <v>2923</v>
      </c>
      <c r="D2043" s="207" t="s">
        <v>1878</v>
      </c>
      <c r="E2043" s="323" t="s">
        <v>4216</v>
      </c>
      <c r="F2043" s="323"/>
      <c r="G2043" s="204"/>
      <c r="H2043" s="151"/>
      <c r="I2043" s="151"/>
      <c r="J2043" s="151">
        <v>612</v>
      </c>
      <c r="K2043" s="151">
        <v>136</v>
      </c>
      <c r="L2043" s="1"/>
      <c r="M2043" s="73">
        <f t="shared" si="250"/>
        <v>0</v>
      </c>
      <c r="N2043" s="73">
        <f t="shared" si="255"/>
        <v>0</v>
      </c>
      <c r="O2043" s="73">
        <f t="shared" si="256"/>
        <v>0</v>
      </c>
      <c r="P2043" s="73">
        <f t="shared" si="251"/>
        <v>0</v>
      </c>
      <c r="Q2043" s="73"/>
      <c r="R2043" s="73">
        <v>0</v>
      </c>
      <c r="S2043" s="75">
        <f t="shared" si="254"/>
        <v>0</v>
      </c>
      <c r="T2043" s="77">
        <v>0</v>
      </c>
      <c r="U2043" s="66"/>
      <c r="V2043" s="79"/>
      <c r="W2043" s="66" t="s">
        <v>1606</v>
      </c>
      <c r="X2043" s="264" t="s">
        <v>1607</v>
      </c>
      <c r="Y2043" s="62"/>
      <c r="Z2043" s="260" t="s">
        <v>18</v>
      </c>
      <c r="AA2043" s="166" t="s">
        <v>2924</v>
      </c>
      <c r="AB2043" s="152"/>
      <c r="AC2043" s="153"/>
      <c r="AD2043" s="154"/>
      <c r="AE2043" s="153"/>
      <c r="AF2043" s="153"/>
      <c r="AG2043" s="153"/>
      <c r="AH2043" s="153"/>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c r="BF2043" s="153"/>
      <c r="BG2043" s="153"/>
      <c r="BH2043" s="153"/>
      <c r="BI2043" s="153"/>
      <c r="BJ2043" s="153"/>
      <c r="BK2043" s="153"/>
      <c r="BL2043" s="153"/>
      <c r="BM2043" s="153"/>
      <c r="BN2043" s="153"/>
      <c r="BO2043" s="153"/>
      <c r="BP2043" s="153"/>
      <c r="BQ2043" s="153"/>
      <c r="BR2043" s="153"/>
      <c r="BS2043" s="153"/>
      <c r="BT2043" s="153"/>
      <c r="BU2043" s="153"/>
      <c r="BV2043" s="153"/>
      <c r="BW2043" s="153"/>
      <c r="BX2043" s="153"/>
      <c r="BY2043" s="153"/>
      <c r="BZ2043" s="153"/>
      <c r="CA2043" s="153"/>
      <c r="CB2043" s="153"/>
      <c r="CC2043" s="153"/>
      <c r="CD2043" s="155"/>
      <c r="CE2043" s="156"/>
      <c r="CF2043" s="155"/>
      <c r="CG2043" s="156"/>
      <c r="CH2043" s="155"/>
      <c r="CI2043" s="156"/>
      <c r="CJ2043" s="157">
        <f t="shared" si="252"/>
        <v>0</v>
      </c>
      <c r="CK2043" s="158"/>
      <c r="CL2043" s="159"/>
      <c r="CM2043" s="160"/>
      <c r="CN2043" s="161"/>
      <c r="CO2043" s="162"/>
      <c r="CP2043" s="161"/>
      <c r="CQ2043" s="158"/>
      <c r="CR2043" s="159"/>
      <c r="CS2043" s="68"/>
      <c r="CT2043" s="163"/>
      <c r="EC2043" s="366" t="str">
        <f t="shared" si="253"/>
        <v>TOLIMA_SAN ANTONIO</v>
      </c>
      <c r="ED2043" s="367"/>
      <c r="EE2043" s="367"/>
      <c r="EF2043" s="368"/>
      <c r="EG2043" s="367"/>
      <c r="EH2043" s="367"/>
      <c r="EI2043" s="367"/>
    </row>
    <row r="2044" spans="1:139" s="164" customFormat="1" ht="48">
      <c r="A2044" s="228">
        <v>40516</v>
      </c>
      <c r="B2044" s="205" t="s">
        <v>1088</v>
      </c>
      <c r="C2044" s="205" t="s">
        <v>2529</v>
      </c>
      <c r="D2044" s="207" t="s">
        <v>1201</v>
      </c>
      <c r="E2044" s="323" t="s">
        <v>4237</v>
      </c>
      <c r="F2044" s="323"/>
      <c r="G2044" s="204"/>
      <c r="H2044" s="151"/>
      <c r="I2044" s="151"/>
      <c r="J2044" s="151">
        <f>647*5</f>
        <v>3235</v>
      </c>
      <c r="K2044" s="151">
        <f>695-5-14-13-13-3</f>
        <v>647</v>
      </c>
      <c r="L2044" s="1"/>
      <c r="M2044" s="73">
        <f t="shared" si="250"/>
        <v>0</v>
      </c>
      <c r="N2044" s="73">
        <f t="shared" si="255"/>
        <v>0</v>
      </c>
      <c r="O2044" s="73">
        <f t="shared" si="256"/>
        <v>0</v>
      </c>
      <c r="P2044" s="73">
        <f t="shared" si="251"/>
        <v>0</v>
      </c>
      <c r="Q2044" s="73"/>
      <c r="R2044" s="73">
        <v>0</v>
      </c>
      <c r="S2044" s="75">
        <f t="shared" si="254"/>
        <v>0</v>
      </c>
      <c r="T2044" s="77">
        <v>0</v>
      </c>
      <c r="U2044" s="66"/>
      <c r="V2044" s="79"/>
      <c r="W2044" s="66" t="s">
        <v>1606</v>
      </c>
      <c r="X2044" s="264" t="s">
        <v>1607</v>
      </c>
      <c r="Y2044" s="62"/>
      <c r="Z2044" s="260" t="s">
        <v>18</v>
      </c>
      <c r="AA2044" s="166" t="s">
        <v>294</v>
      </c>
      <c r="AB2044" s="152"/>
      <c r="AC2044" s="153"/>
      <c r="AD2044" s="154"/>
      <c r="AE2044" s="153"/>
      <c r="AF2044" s="153"/>
      <c r="AG2044" s="153"/>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c r="BF2044" s="153"/>
      <c r="BG2044" s="153"/>
      <c r="BH2044" s="153"/>
      <c r="BI2044" s="153"/>
      <c r="BJ2044" s="153"/>
      <c r="BK2044" s="153"/>
      <c r="BL2044" s="153"/>
      <c r="BM2044" s="153"/>
      <c r="BN2044" s="153"/>
      <c r="BO2044" s="153"/>
      <c r="BP2044" s="153"/>
      <c r="BQ2044" s="153"/>
      <c r="BR2044" s="153"/>
      <c r="BS2044" s="153"/>
      <c r="BT2044" s="153"/>
      <c r="BU2044" s="153"/>
      <c r="BV2044" s="153"/>
      <c r="BW2044" s="153"/>
      <c r="BX2044" s="153"/>
      <c r="BY2044" s="153"/>
      <c r="BZ2044" s="153"/>
      <c r="CA2044" s="153"/>
      <c r="CB2044" s="153"/>
      <c r="CC2044" s="153"/>
      <c r="CD2044" s="155"/>
      <c r="CE2044" s="156"/>
      <c r="CF2044" s="155"/>
      <c r="CG2044" s="156"/>
      <c r="CH2044" s="155"/>
      <c r="CI2044" s="156"/>
      <c r="CJ2044" s="157">
        <f t="shared" si="252"/>
        <v>0</v>
      </c>
      <c r="CK2044" s="158"/>
      <c r="CL2044" s="159"/>
      <c r="CM2044" s="160"/>
      <c r="CN2044" s="161"/>
      <c r="CO2044" s="162"/>
      <c r="CP2044" s="161"/>
      <c r="CQ2044" s="158"/>
      <c r="CR2044" s="159"/>
      <c r="CS2044" s="68"/>
      <c r="CT2044" s="163"/>
      <c r="EC2044" s="366" t="str">
        <f t="shared" si="253"/>
        <v>VALLE DEL CAUCA_DAGUA</v>
      </c>
      <c r="ED2044" s="367"/>
      <c r="EE2044" s="367"/>
      <c r="EF2044" s="368"/>
      <c r="EG2044" s="367"/>
      <c r="EH2044" s="367"/>
      <c r="EI2044" s="367"/>
    </row>
    <row r="2045" spans="1:139" s="164" customFormat="1" ht="45">
      <c r="A2045" s="228">
        <v>40516</v>
      </c>
      <c r="B2045" s="205" t="s">
        <v>1088</v>
      </c>
      <c r="C2045" s="205" t="s">
        <v>1227</v>
      </c>
      <c r="D2045" s="207" t="s">
        <v>1201</v>
      </c>
      <c r="E2045" s="323" t="s">
        <v>4238</v>
      </c>
      <c r="F2045" s="323"/>
      <c r="G2045" s="204"/>
      <c r="H2045" s="151"/>
      <c r="I2045" s="151"/>
      <c r="J2045" s="151">
        <f>637*5</f>
        <v>3185</v>
      </c>
      <c r="K2045" s="151">
        <f>797-160</f>
        <v>637</v>
      </c>
      <c r="L2045" s="1"/>
      <c r="M2045" s="73">
        <f t="shared" si="250"/>
        <v>0</v>
      </c>
      <c r="N2045" s="73">
        <f t="shared" si="255"/>
        <v>0</v>
      </c>
      <c r="O2045" s="73">
        <f t="shared" si="256"/>
        <v>0</v>
      </c>
      <c r="P2045" s="73">
        <f t="shared" si="251"/>
        <v>0</v>
      </c>
      <c r="Q2045" s="73"/>
      <c r="R2045" s="73">
        <v>0</v>
      </c>
      <c r="S2045" s="75">
        <f t="shared" si="254"/>
        <v>0</v>
      </c>
      <c r="T2045" s="77">
        <v>0</v>
      </c>
      <c r="U2045" s="228"/>
      <c r="V2045" s="79"/>
      <c r="W2045" s="66" t="s">
        <v>1606</v>
      </c>
      <c r="X2045" s="264" t="s">
        <v>1607</v>
      </c>
      <c r="Y2045" s="62"/>
      <c r="Z2045" s="260" t="s">
        <v>18</v>
      </c>
      <c r="AA2045" s="166" t="s">
        <v>292</v>
      </c>
      <c r="AB2045" s="152"/>
      <c r="AC2045" s="153"/>
      <c r="AD2045" s="154"/>
      <c r="AE2045" s="153"/>
      <c r="AF2045" s="153"/>
      <c r="AG2045" s="153"/>
      <c r="AH2045" s="153"/>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c r="BF2045" s="153"/>
      <c r="BG2045" s="153"/>
      <c r="BH2045" s="153"/>
      <c r="BI2045" s="153"/>
      <c r="BJ2045" s="153"/>
      <c r="BK2045" s="153"/>
      <c r="BL2045" s="153"/>
      <c r="BM2045" s="153"/>
      <c r="BN2045" s="153"/>
      <c r="BO2045" s="153"/>
      <c r="BP2045" s="153"/>
      <c r="BQ2045" s="153"/>
      <c r="BR2045" s="153"/>
      <c r="BS2045" s="153"/>
      <c r="BT2045" s="153"/>
      <c r="BU2045" s="153"/>
      <c r="BV2045" s="153"/>
      <c r="BW2045" s="153"/>
      <c r="BX2045" s="153"/>
      <c r="BY2045" s="153"/>
      <c r="BZ2045" s="153"/>
      <c r="CA2045" s="153"/>
      <c r="CB2045" s="153"/>
      <c r="CC2045" s="153"/>
      <c r="CD2045" s="155"/>
      <c r="CE2045" s="156"/>
      <c r="CF2045" s="155"/>
      <c r="CG2045" s="156"/>
      <c r="CH2045" s="155"/>
      <c r="CI2045" s="156"/>
      <c r="CJ2045" s="157">
        <f t="shared" si="252"/>
        <v>0</v>
      </c>
      <c r="CK2045" s="158"/>
      <c r="CL2045" s="159"/>
      <c r="CM2045" s="160"/>
      <c r="CN2045" s="161"/>
      <c r="CO2045" s="162"/>
      <c r="CP2045" s="161"/>
      <c r="CQ2045" s="158"/>
      <c r="CR2045" s="159"/>
      <c r="CS2045" s="68"/>
      <c r="CT2045" s="163"/>
      <c r="EC2045" s="366" t="str">
        <f t="shared" si="253"/>
        <v>VALLE DEL CAUCA_EL AGUILA</v>
      </c>
      <c r="ED2045" s="367"/>
      <c r="EE2045" s="367"/>
      <c r="EF2045" s="368"/>
      <c r="EG2045" s="367"/>
      <c r="EH2045" s="367"/>
      <c r="EI2045" s="367"/>
    </row>
    <row r="2046" spans="1:139" s="164" customFormat="1" ht="72">
      <c r="A2046" s="228">
        <v>40516</v>
      </c>
      <c r="B2046" s="205" t="s">
        <v>1088</v>
      </c>
      <c r="C2046" s="205" t="s">
        <v>1575</v>
      </c>
      <c r="D2046" s="207" t="s">
        <v>1878</v>
      </c>
      <c r="E2046" s="323" t="s">
        <v>4243</v>
      </c>
      <c r="F2046" s="323"/>
      <c r="G2046" s="204"/>
      <c r="H2046" s="151"/>
      <c r="I2046" s="151"/>
      <c r="J2046" s="151">
        <f>290*5</f>
        <v>1450</v>
      </c>
      <c r="K2046" s="151">
        <f>818-500-24-4</f>
        <v>290</v>
      </c>
      <c r="L2046" s="1"/>
      <c r="M2046" s="73">
        <f t="shared" si="250"/>
        <v>0</v>
      </c>
      <c r="N2046" s="73">
        <f t="shared" si="255"/>
        <v>0</v>
      </c>
      <c r="O2046" s="73">
        <f t="shared" si="256"/>
        <v>0</v>
      </c>
      <c r="P2046" s="73">
        <f t="shared" si="251"/>
        <v>0</v>
      </c>
      <c r="Q2046" s="73"/>
      <c r="R2046" s="73">
        <v>0</v>
      </c>
      <c r="S2046" s="75">
        <f t="shared" si="254"/>
        <v>0</v>
      </c>
      <c r="T2046" s="77">
        <v>0</v>
      </c>
      <c r="U2046" s="66"/>
      <c r="V2046" s="79"/>
      <c r="W2046" s="66" t="s">
        <v>1606</v>
      </c>
      <c r="X2046" s="264" t="s">
        <v>1607</v>
      </c>
      <c r="Y2046" s="62"/>
      <c r="Z2046" s="260" t="s">
        <v>18</v>
      </c>
      <c r="AA2046" s="166" t="s">
        <v>515</v>
      </c>
      <c r="AB2046" s="152"/>
      <c r="AC2046" s="153"/>
      <c r="AD2046" s="154"/>
      <c r="AE2046" s="153"/>
      <c r="AF2046" s="153"/>
      <c r="AG2046" s="153"/>
      <c r="AH2046" s="153"/>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c r="BF2046" s="153"/>
      <c r="BG2046" s="153"/>
      <c r="BH2046" s="153"/>
      <c r="BI2046" s="153"/>
      <c r="BJ2046" s="153"/>
      <c r="BK2046" s="153"/>
      <c r="BL2046" s="153"/>
      <c r="BM2046" s="153"/>
      <c r="BN2046" s="153"/>
      <c r="BO2046" s="153"/>
      <c r="BP2046" s="153"/>
      <c r="BQ2046" s="153"/>
      <c r="BR2046" s="153"/>
      <c r="BS2046" s="153"/>
      <c r="BT2046" s="153"/>
      <c r="BU2046" s="153"/>
      <c r="BV2046" s="153"/>
      <c r="BW2046" s="153"/>
      <c r="BX2046" s="153"/>
      <c r="BY2046" s="153"/>
      <c r="BZ2046" s="153"/>
      <c r="CA2046" s="153"/>
      <c r="CB2046" s="153"/>
      <c r="CC2046" s="153"/>
      <c r="CD2046" s="155"/>
      <c r="CE2046" s="156"/>
      <c r="CF2046" s="155"/>
      <c r="CG2046" s="156"/>
      <c r="CH2046" s="155"/>
      <c r="CI2046" s="156"/>
      <c r="CJ2046" s="157">
        <f t="shared" si="252"/>
        <v>0</v>
      </c>
      <c r="CK2046" s="158"/>
      <c r="CL2046" s="159"/>
      <c r="CM2046" s="160"/>
      <c r="CN2046" s="161"/>
      <c r="CO2046" s="162"/>
      <c r="CP2046" s="161"/>
      <c r="CQ2046" s="158"/>
      <c r="CR2046" s="159"/>
      <c r="CS2046" s="68"/>
      <c r="CT2046" s="163"/>
      <c r="EC2046" s="366" t="str">
        <f t="shared" si="253"/>
        <v>VALLE DEL CAUCA_GINEBRA</v>
      </c>
      <c r="ED2046" s="367"/>
      <c r="EE2046" s="367"/>
      <c r="EF2046" s="368"/>
      <c r="EG2046" s="367"/>
      <c r="EH2046" s="367"/>
      <c r="EI2046" s="367"/>
    </row>
    <row r="2047" spans="1:139" s="164" customFormat="1" ht="45">
      <c r="A2047" s="228">
        <v>40516</v>
      </c>
      <c r="B2047" s="205" t="s">
        <v>1088</v>
      </c>
      <c r="C2047" s="205" t="s">
        <v>504</v>
      </c>
      <c r="D2047" s="207" t="s">
        <v>1201</v>
      </c>
      <c r="E2047" s="323" t="s">
        <v>4255</v>
      </c>
      <c r="F2047" s="323"/>
      <c r="G2047" s="204"/>
      <c r="H2047" s="151"/>
      <c r="I2047" s="151"/>
      <c r="J2047" s="151">
        <f>105*5</f>
        <v>525</v>
      </c>
      <c r="K2047" s="151">
        <v>105</v>
      </c>
      <c r="L2047" s="1"/>
      <c r="M2047" s="73">
        <f t="shared" si="250"/>
        <v>0</v>
      </c>
      <c r="N2047" s="73">
        <f t="shared" si="255"/>
        <v>0</v>
      </c>
      <c r="O2047" s="73">
        <f t="shared" si="256"/>
        <v>0</v>
      </c>
      <c r="P2047" s="73">
        <f t="shared" si="251"/>
        <v>0</v>
      </c>
      <c r="Q2047" s="73"/>
      <c r="R2047" s="73">
        <v>0</v>
      </c>
      <c r="S2047" s="75">
        <f t="shared" si="254"/>
        <v>0</v>
      </c>
      <c r="T2047" s="77">
        <v>0</v>
      </c>
      <c r="U2047" s="228"/>
      <c r="V2047" s="79"/>
      <c r="W2047" s="66" t="s">
        <v>1606</v>
      </c>
      <c r="X2047" s="264" t="s">
        <v>1607</v>
      </c>
      <c r="Y2047" s="62"/>
      <c r="Z2047" s="260" t="s">
        <v>18</v>
      </c>
      <c r="AA2047" s="166" t="s">
        <v>293</v>
      </c>
      <c r="AB2047" s="152"/>
      <c r="AC2047" s="153"/>
      <c r="AD2047" s="154"/>
      <c r="AE2047" s="153"/>
      <c r="AF2047" s="153"/>
      <c r="AG2047" s="153"/>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c r="BF2047" s="153"/>
      <c r="BG2047" s="153"/>
      <c r="BH2047" s="153"/>
      <c r="BI2047" s="153"/>
      <c r="BJ2047" s="153"/>
      <c r="BK2047" s="153"/>
      <c r="BL2047" s="153"/>
      <c r="BM2047" s="153"/>
      <c r="BN2047" s="153"/>
      <c r="BO2047" s="153"/>
      <c r="BP2047" s="153"/>
      <c r="BQ2047" s="153"/>
      <c r="BR2047" s="153"/>
      <c r="BS2047" s="153"/>
      <c r="BT2047" s="153"/>
      <c r="BU2047" s="153"/>
      <c r="BV2047" s="153"/>
      <c r="BW2047" s="153"/>
      <c r="BX2047" s="153"/>
      <c r="BY2047" s="153"/>
      <c r="BZ2047" s="153"/>
      <c r="CA2047" s="153"/>
      <c r="CB2047" s="153"/>
      <c r="CC2047" s="153"/>
      <c r="CD2047" s="155"/>
      <c r="CE2047" s="156"/>
      <c r="CF2047" s="155"/>
      <c r="CG2047" s="156"/>
      <c r="CH2047" s="155"/>
      <c r="CI2047" s="156"/>
      <c r="CJ2047" s="157">
        <f t="shared" si="252"/>
        <v>0</v>
      </c>
      <c r="CK2047" s="158"/>
      <c r="CL2047" s="159"/>
      <c r="CM2047" s="160"/>
      <c r="CN2047" s="161"/>
      <c r="CO2047" s="162"/>
      <c r="CP2047" s="161"/>
      <c r="CQ2047" s="158"/>
      <c r="CR2047" s="159"/>
      <c r="CS2047" s="68"/>
      <c r="CT2047" s="163"/>
      <c r="EC2047" s="366" t="str">
        <f t="shared" si="253"/>
        <v>VALLE DEL CAUCA_SAN PEDRO</v>
      </c>
      <c r="ED2047" s="367"/>
      <c r="EE2047" s="367"/>
      <c r="EF2047" s="368"/>
      <c r="EG2047" s="367"/>
      <c r="EH2047" s="367"/>
      <c r="EI2047" s="367"/>
    </row>
    <row r="2048" spans="1:139" s="164" customFormat="1" ht="38.25">
      <c r="A2048" s="228">
        <v>40516.533333333333</v>
      </c>
      <c r="B2048" s="205" t="s">
        <v>2298</v>
      </c>
      <c r="C2048" s="205" t="s">
        <v>1610</v>
      </c>
      <c r="D2048" s="207" t="s">
        <v>1878</v>
      </c>
      <c r="E2048" s="323"/>
      <c r="F2048" s="323"/>
      <c r="G2048" s="204"/>
      <c r="H2048" s="151"/>
      <c r="I2048" s="151"/>
      <c r="J2048" s="151"/>
      <c r="K2048" s="409">
        <v>10</v>
      </c>
      <c r="L2048" s="1"/>
      <c r="M2048" s="73">
        <f t="shared" si="250"/>
        <v>0</v>
      </c>
      <c r="N2048" s="73">
        <f t="shared" si="255"/>
        <v>0</v>
      </c>
      <c r="O2048" s="73">
        <f t="shared" si="256"/>
        <v>0</v>
      </c>
      <c r="P2048" s="73">
        <f t="shared" si="251"/>
        <v>0</v>
      </c>
      <c r="Q2048" s="73"/>
      <c r="R2048" s="73">
        <v>0</v>
      </c>
      <c r="S2048" s="75">
        <f t="shared" si="254"/>
        <v>0</v>
      </c>
      <c r="T2048" s="77">
        <v>0</v>
      </c>
      <c r="U2048" s="296">
        <v>40624</v>
      </c>
      <c r="V2048" s="297"/>
      <c r="W2048" s="296" t="s">
        <v>1585</v>
      </c>
      <c r="X2048" s="298" t="s">
        <v>1586</v>
      </c>
      <c r="Y2048" s="299"/>
      <c r="Z2048" s="300" t="s">
        <v>894</v>
      </c>
      <c r="AA2048" s="414" t="s">
        <v>5438</v>
      </c>
      <c r="AB2048" s="152"/>
      <c r="AC2048" s="153"/>
      <c r="AD2048" s="154"/>
      <c r="AE2048" s="153"/>
      <c r="AF2048" s="153"/>
      <c r="AG2048" s="153"/>
      <c r="AH2048" s="153"/>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c r="BF2048" s="153"/>
      <c r="BG2048" s="153"/>
      <c r="BH2048" s="153"/>
      <c r="BI2048" s="153"/>
      <c r="BJ2048" s="153"/>
      <c r="BK2048" s="153"/>
      <c r="BL2048" s="153"/>
      <c r="BM2048" s="153"/>
      <c r="BN2048" s="153"/>
      <c r="BO2048" s="153"/>
      <c r="BP2048" s="153"/>
      <c r="BQ2048" s="153"/>
      <c r="BR2048" s="153"/>
      <c r="BS2048" s="153"/>
      <c r="BT2048" s="153"/>
      <c r="BU2048" s="153"/>
      <c r="BV2048" s="153"/>
      <c r="BW2048" s="153"/>
      <c r="BX2048" s="153"/>
      <c r="BY2048" s="153"/>
      <c r="BZ2048" s="153"/>
      <c r="CA2048" s="153"/>
      <c r="CB2048" s="153"/>
      <c r="CC2048" s="153"/>
      <c r="CD2048" s="155"/>
      <c r="CE2048" s="156"/>
      <c r="CF2048" s="155"/>
      <c r="CG2048" s="156"/>
      <c r="CH2048" s="155"/>
      <c r="CI2048" s="156"/>
      <c r="CJ2048" s="157">
        <f t="shared" si="252"/>
        <v>0</v>
      </c>
      <c r="CK2048" s="158"/>
      <c r="CL2048" s="159"/>
      <c r="CM2048" s="160"/>
      <c r="CN2048" s="161"/>
      <c r="CO2048" s="162"/>
      <c r="CP2048" s="161"/>
      <c r="CQ2048" s="158"/>
      <c r="CR2048" s="159"/>
      <c r="CS2048" s="68"/>
      <c r="CT2048" s="163"/>
      <c r="EC2048" s="366" t="str">
        <f t="shared" si="253"/>
        <v>BOGOTA D.C._BOGOTA</v>
      </c>
      <c r="ED2048" s="367"/>
      <c r="EE2048" s="367"/>
      <c r="EF2048" s="368"/>
      <c r="EG2048" s="367"/>
      <c r="EH2048" s="367"/>
      <c r="EI2048" s="367"/>
    </row>
    <row r="2049" spans="1:139" s="164" customFormat="1" ht="36">
      <c r="A2049" s="235">
        <v>40517</v>
      </c>
      <c r="B2049" s="269" t="s">
        <v>1972</v>
      </c>
      <c r="C2049" s="269" t="s">
        <v>1218</v>
      </c>
      <c r="D2049" s="270" t="s">
        <v>1878</v>
      </c>
      <c r="E2049" s="327" t="s">
        <v>3245</v>
      </c>
      <c r="F2049" s="327"/>
      <c r="G2049" s="204">
        <v>83</v>
      </c>
      <c r="H2049" s="151">
        <v>10</v>
      </c>
      <c r="I2049" s="151">
        <v>38</v>
      </c>
      <c r="J2049" s="151">
        <f>147*5</f>
        <v>735</v>
      </c>
      <c r="K2049" s="151">
        <v>147</v>
      </c>
      <c r="L2049" s="1"/>
      <c r="M2049" s="73">
        <f t="shared" si="250"/>
        <v>0</v>
      </c>
      <c r="N2049" s="73">
        <f t="shared" si="255"/>
        <v>0</v>
      </c>
      <c r="O2049" s="73">
        <f t="shared" si="256"/>
        <v>0</v>
      </c>
      <c r="P2049" s="73">
        <f t="shared" si="251"/>
        <v>0</v>
      </c>
      <c r="Q2049" s="73"/>
      <c r="R2049" s="73">
        <v>0</v>
      </c>
      <c r="S2049" s="75">
        <f t="shared" si="254"/>
        <v>0</v>
      </c>
      <c r="T2049" s="77">
        <v>0</v>
      </c>
      <c r="U2049" s="66">
        <v>40517</v>
      </c>
      <c r="V2049" s="79"/>
      <c r="W2049" s="66" t="s">
        <v>1606</v>
      </c>
      <c r="X2049" s="24" t="s">
        <v>1607</v>
      </c>
      <c r="Y2049" s="62"/>
      <c r="Z2049" s="176" t="s">
        <v>460</v>
      </c>
      <c r="AA2049" s="166" t="s">
        <v>2930</v>
      </c>
      <c r="AB2049" s="152"/>
      <c r="AC2049" s="153"/>
      <c r="AD2049" s="154"/>
      <c r="AE2049" s="153"/>
      <c r="AF2049" s="153"/>
      <c r="AG2049" s="153"/>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c r="BF2049" s="153"/>
      <c r="BG2049" s="153"/>
      <c r="BH2049" s="153"/>
      <c r="BI2049" s="153"/>
      <c r="BJ2049" s="153"/>
      <c r="BK2049" s="153"/>
      <c r="BL2049" s="153"/>
      <c r="BM2049" s="153"/>
      <c r="BN2049" s="153"/>
      <c r="BO2049" s="153"/>
      <c r="BP2049" s="153"/>
      <c r="BQ2049" s="153"/>
      <c r="BR2049" s="153"/>
      <c r="BS2049" s="153"/>
      <c r="BT2049" s="153"/>
      <c r="BU2049" s="153"/>
      <c r="BV2049" s="153"/>
      <c r="BW2049" s="153"/>
      <c r="BX2049" s="153"/>
      <c r="BY2049" s="153"/>
      <c r="BZ2049" s="153"/>
      <c r="CA2049" s="153"/>
      <c r="CB2049" s="153"/>
      <c r="CC2049" s="153"/>
      <c r="CD2049" s="155"/>
      <c r="CE2049" s="156"/>
      <c r="CF2049" s="155"/>
      <c r="CG2049" s="156"/>
      <c r="CH2049" s="155"/>
      <c r="CI2049" s="156"/>
      <c r="CJ2049" s="157">
        <f t="shared" si="252"/>
        <v>0</v>
      </c>
      <c r="CK2049" s="158"/>
      <c r="CL2049" s="159"/>
      <c r="CM2049" s="160"/>
      <c r="CN2049" s="161"/>
      <c r="CO2049" s="162"/>
      <c r="CP2049" s="161"/>
      <c r="CQ2049" s="158"/>
      <c r="CR2049" s="159"/>
      <c r="CS2049" s="68"/>
      <c r="CT2049" s="163"/>
      <c r="EC2049" s="366" t="str">
        <f t="shared" si="253"/>
        <v>ANTIOQUIA_BELLO</v>
      </c>
      <c r="ED2049" s="367"/>
      <c r="EE2049" s="367"/>
      <c r="EF2049" s="368"/>
      <c r="EG2049" s="367"/>
      <c r="EH2049" s="367"/>
      <c r="EI2049" s="367"/>
    </row>
    <row r="2050" spans="1:139" s="164" customFormat="1" ht="51">
      <c r="A2050" s="228">
        <v>40517</v>
      </c>
      <c r="B2050" s="205" t="s">
        <v>1604</v>
      </c>
      <c r="C2050" s="205" t="s">
        <v>951</v>
      </c>
      <c r="D2050" s="207" t="s">
        <v>1201</v>
      </c>
      <c r="E2050" s="323" t="s">
        <v>3747</v>
      </c>
      <c r="F2050" s="323"/>
      <c r="G2050" s="204"/>
      <c r="H2050" s="151"/>
      <c r="I2050" s="151"/>
      <c r="J2050" s="151">
        <f>911-10-400</f>
        <v>501</v>
      </c>
      <c r="K2050" s="151">
        <v>250</v>
      </c>
      <c r="L2050" s="1"/>
      <c r="M2050" s="73">
        <f t="shared" si="250"/>
        <v>0</v>
      </c>
      <c r="N2050" s="73">
        <f t="shared" si="255"/>
        <v>0</v>
      </c>
      <c r="O2050" s="73">
        <f t="shared" si="256"/>
        <v>0</v>
      </c>
      <c r="P2050" s="73">
        <f t="shared" si="251"/>
        <v>0</v>
      </c>
      <c r="Q2050" s="73"/>
      <c r="R2050" s="73">
        <v>0</v>
      </c>
      <c r="S2050" s="75">
        <f t="shared" si="254"/>
        <v>0</v>
      </c>
      <c r="T2050" s="77">
        <v>0</v>
      </c>
      <c r="U2050" s="66">
        <v>40517</v>
      </c>
      <c r="V2050" s="79"/>
      <c r="W2050" s="66" t="s">
        <v>1585</v>
      </c>
      <c r="X2050" s="24" t="s">
        <v>1586</v>
      </c>
      <c r="Y2050" s="62"/>
      <c r="Z2050" s="169" t="s">
        <v>894</v>
      </c>
      <c r="AA2050" s="166" t="s">
        <v>2927</v>
      </c>
      <c r="AB2050" s="152"/>
      <c r="AC2050" s="153"/>
      <c r="AD2050" s="154"/>
      <c r="AE2050" s="153"/>
      <c r="AF2050" s="153"/>
      <c r="AG2050" s="153"/>
      <c r="AH2050" s="153"/>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c r="BF2050" s="153"/>
      <c r="BG2050" s="153"/>
      <c r="BH2050" s="153"/>
      <c r="BI2050" s="153"/>
      <c r="BJ2050" s="153"/>
      <c r="BK2050" s="153"/>
      <c r="BL2050" s="153"/>
      <c r="BM2050" s="153"/>
      <c r="BN2050" s="153"/>
      <c r="BO2050" s="153"/>
      <c r="BP2050" s="153"/>
      <c r="BQ2050" s="153"/>
      <c r="BR2050" s="153"/>
      <c r="BS2050" s="153"/>
      <c r="BT2050" s="153"/>
      <c r="BU2050" s="153"/>
      <c r="BV2050" s="153"/>
      <c r="BW2050" s="153"/>
      <c r="BX2050" s="153"/>
      <c r="BY2050" s="153"/>
      <c r="BZ2050" s="153"/>
      <c r="CA2050" s="153"/>
      <c r="CB2050" s="153"/>
      <c r="CC2050" s="153"/>
      <c r="CD2050" s="155"/>
      <c r="CE2050" s="156"/>
      <c r="CF2050" s="155"/>
      <c r="CG2050" s="156"/>
      <c r="CH2050" s="155"/>
      <c r="CI2050" s="156"/>
      <c r="CJ2050" s="157">
        <f t="shared" si="252"/>
        <v>0</v>
      </c>
      <c r="CK2050" s="158"/>
      <c r="CL2050" s="159"/>
      <c r="CM2050" s="160"/>
      <c r="CN2050" s="161"/>
      <c r="CO2050" s="162"/>
      <c r="CP2050" s="161"/>
      <c r="CQ2050" s="158"/>
      <c r="CR2050" s="159"/>
      <c r="CS2050" s="68"/>
      <c r="CT2050" s="163"/>
      <c r="EC2050" s="366" t="str">
        <f t="shared" si="253"/>
        <v>CUNDINAMARCA_PUERTO SALGAR</v>
      </c>
      <c r="ED2050" s="367"/>
      <c r="EE2050" s="367"/>
      <c r="EF2050" s="368"/>
      <c r="EG2050" s="367"/>
      <c r="EH2050" s="367"/>
      <c r="EI2050" s="367"/>
    </row>
    <row r="2051" spans="1:139" s="164" customFormat="1" ht="84">
      <c r="A2051" s="228">
        <v>40517</v>
      </c>
      <c r="B2051" s="205" t="s">
        <v>962</v>
      </c>
      <c r="C2051" s="205" t="s">
        <v>2947</v>
      </c>
      <c r="D2051" s="207" t="s">
        <v>1878</v>
      </c>
      <c r="E2051" s="323" t="s">
        <v>3827</v>
      </c>
      <c r="F2051" s="323"/>
      <c r="G2051" s="204"/>
      <c r="H2051" s="151"/>
      <c r="I2051" s="151"/>
      <c r="J2051" s="151">
        <f>235*5</f>
        <v>1175</v>
      </c>
      <c r="K2051" s="151">
        <f>252-17</f>
        <v>235</v>
      </c>
      <c r="L2051" s="1"/>
      <c r="M2051" s="73">
        <f t="shared" ref="M2051:M2114" si="257">CJ2051</f>
        <v>0</v>
      </c>
      <c r="N2051" s="73">
        <f t="shared" si="255"/>
        <v>0</v>
      </c>
      <c r="O2051" s="73">
        <f t="shared" si="256"/>
        <v>0</v>
      </c>
      <c r="P2051" s="73">
        <f t="shared" ref="P2051:P2114" si="258">CL2051</f>
        <v>0</v>
      </c>
      <c r="Q2051" s="73"/>
      <c r="R2051" s="73">
        <v>0</v>
      </c>
      <c r="S2051" s="75">
        <f t="shared" si="254"/>
        <v>0</v>
      </c>
      <c r="T2051" s="77">
        <v>0</v>
      </c>
      <c r="U2051" s="228">
        <v>40517</v>
      </c>
      <c r="V2051" s="79"/>
      <c r="W2051" s="66" t="s">
        <v>1606</v>
      </c>
      <c r="X2051" s="264" t="s">
        <v>1607</v>
      </c>
      <c r="Y2051" s="62"/>
      <c r="Z2051" s="260" t="s">
        <v>18</v>
      </c>
      <c r="AA2051" s="166" t="s">
        <v>2949</v>
      </c>
      <c r="AB2051" s="152"/>
      <c r="AC2051" s="153"/>
      <c r="AD2051" s="154"/>
      <c r="AE2051" s="153"/>
      <c r="AF2051" s="153"/>
      <c r="AG2051" s="153"/>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c r="BF2051" s="153"/>
      <c r="BG2051" s="153"/>
      <c r="BH2051" s="153"/>
      <c r="BI2051" s="153"/>
      <c r="BJ2051" s="153"/>
      <c r="BK2051" s="153"/>
      <c r="BL2051" s="153"/>
      <c r="BM2051" s="153"/>
      <c r="BN2051" s="153"/>
      <c r="BO2051" s="153"/>
      <c r="BP2051" s="153"/>
      <c r="BQ2051" s="153"/>
      <c r="BR2051" s="153"/>
      <c r="BS2051" s="153"/>
      <c r="BT2051" s="153"/>
      <c r="BU2051" s="153"/>
      <c r="BV2051" s="153"/>
      <c r="BW2051" s="153"/>
      <c r="BX2051" s="153"/>
      <c r="BY2051" s="153"/>
      <c r="BZ2051" s="153"/>
      <c r="CA2051" s="153"/>
      <c r="CB2051" s="153"/>
      <c r="CC2051" s="153"/>
      <c r="CD2051" s="155"/>
      <c r="CE2051" s="156"/>
      <c r="CF2051" s="155"/>
      <c r="CG2051" s="156"/>
      <c r="CH2051" s="155"/>
      <c r="CI2051" s="156"/>
      <c r="CJ2051" s="157">
        <f t="shared" ref="CJ2051:CJ2114" si="259">AC2051+AE2051+AG2051+AI2051+AK2051+AM2051+AO2051+AQ2051+AS2051+AU2051+AW2051+AY2051+BA2051+BC2051+BE2051+BG2051+BI2051+BK2051+BM2051+BO2051+BQ2051+BS2051+BU2051+BW2051+BY2051+CA2051+CC2051+CE2051+CG2051+CI2051</f>
        <v>0</v>
      </c>
      <c r="CK2051" s="158"/>
      <c r="CL2051" s="159"/>
      <c r="CM2051" s="160"/>
      <c r="CN2051" s="161"/>
      <c r="CO2051" s="162"/>
      <c r="CP2051" s="161"/>
      <c r="CQ2051" s="158"/>
      <c r="CR2051" s="159"/>
      <c r="CS2051" s="68"/>
      <c r="CT2051" s="163"/>
      <c r="EC2051" s="366" t="str">
        <f t="shared" ref="EC2051:EC2114" si="260">B2051&amp;"_"&amp;C2051</f>
        <v>HUILA_ALGECIRAS</v>
      </c>
      <c r="ED2051" s="367"/>
      <c r="EE2051" s="367"/>
      <c r="EF2051" s="368"/>
      <c r="EG2051" s="367"/>
      <c r="EH2051" s="367"/>
      <c r="EI2051" s="367"/>
    </row>
    <row r="2052" spans="1:139" s="164" customFormat="1" ht="45">
      <c r="A2052" s="228">
        <v>40517</v>
      </c>
      <c r="B2052" s="205" t="s">
        <v>962</v>
      </c>
      <c r="C2052" s="205" t="s">
        <v>2056</v>
      </c>
      <c r="D2052" s="207" t="s">
        <v>1201</v>
      </c>
      <c r="E2052" s="323" t="s">
        <v>3847</v>
      </c>
      <c r="F2052" s="323"/>
      <c r="G2052" s="204"/>
      <c r="H2052" s="151"/>
      <c r="I2052" s="151"/>
      <c r="J2052" s="151">
        <f>690-75</f>
        <v>615</v>
      </c>
      <c r="K2052" s="151">
        <f>138-15</f>
        <v>123</v>
      </c>
      <c r="L2052" s="1"/>
      <c r="M2052" s="73">
        <f t="shared" si="257"/>
        <v>0</v>
      </c>
      <c r="N2052" s="73">
        <f t="shared" si="255"/>
        <v>0</v>
      </c>
      <c r="O2052" s="73">
        <f t="shared" si="256"/>
        <v>0</v>
      </c>
      <c r="P2052" s="73">
        <f t="shared" si="258"/>
        <v>0</v>
      </c>
      <c r="Q2052" s="73"/>
      <c r="R2052" s="73">
        <v>0</v>
      </c>
      <c r="S2052" s="75">
        <f t="shared" si="254"/>
        <v>0</v>
      </c>
      <c r="T2052" s="77">
        <v>0</v>
      </c>
      <c r="U2052" s="66">
        <v>40517</v>
      </c>
      <c r="V2052" s="79"/>
      <c r="W2052" s="66" t="s">
        <v>1606</v>
      </c>
      <c r="X2052" s="264" t="s">
        <v>1607</v>
      </c>
      <c r="Y2052" s="62"/>
      <c r="Z2052" s="260" t="s">
        <v>18</v>
      </c>
      <c r="AA2052" s="166" t="s">
        <v>2960</v>
      </c>
      <c r="AB2052" s="152"/>
      <c r="AC2052" s="153"/>
      <c r="AD2052" s="154"/>
      <c r="AE2052" s="153"/>
      <c r="AF2052" s="153"/>
      <c r="AG2052" s="153"/>
      <c r="AH2052" s="153"/>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c r="BI2052" s="153"/>
      <c r="BJ2052" s="153"/>
      <c r="BK2052" s="153"/>
      <c r="BL2052" s="153"/>
      <c r="BM2052" s="153"/>
      <c r="BN2052" s="153"/>
      <c r="BO2052" s="153"/>
      <c r="BP2052" s="153"/>
      <c r="BQ2052" s="153"/>
      <c r="BR2052" s="153"/>
      <c r="BS2052" s="153"/>
      <c r="BT2052" s="153"/>
      <c r="BU2052" s="153"/>
      <c r="BV2052" s="153"/>
      <c r="BW2052" s="153"/>
      <c r="BX2052" s="153"/>
      <c r="BY2052" s="153"/>
      <c r="BZ2052" s="153"/>
      <c r="CA2052" s="153"/>
      <c r="CB2052" s="153"/>
      <c r="CC2052" s="153"/>
      <c r="CD2052" s="155"/>
      <c r="CE2052" s="156"/>
      <c r="CF2052" s="155"/>
      <c r="CG2052" s="156"/>
      <c r="CH2052" s="155"/>
      <c r="CI2052" s="156"/>
      <c r="CJ2052" s="157">
        <f t="shared" si="259"/>
        <v>0</v>
      </c>
      <c r="CK2052" s="158"/>
      <c r="CL2052" s="159"/>
      <c r="CM2052" s="160"/>
      <c r="CN2052" s="161"/>
      <c r="CO2052" s="162"/>
      <c r="CP2052" s="161"/>
      <c r="CQ2052" s="158"/>
      <c r="CR2052" s="159"/>
      <c r="CS2052" s="68"/>
      <c r="CT2052" s="163"/>
      <c r="EC2052" s="366" t="str">
        <f t="shared" si="260"/>
        <v>HUILA_PITALITO</v>
      </c>
      <c r="ED2052" s="367"/>
      <c r="EE2052" s="367"/>
      <c r="EF2052" s="368"/>
      <c r="EG2052" s="367"/>
      <c r="EH2052" s="367"/>
      <c r="EI2052" s="367"/>
    </row>
    <row r="2053" spans="1:139" s="164" customFormat="1" ht="25.5">
      <c r="A2053" s="228">
        <v>40518</v>
      </c>
      <c r="B2053" s="205" t="s">
        <v>653</v>
      </c>
      <c r="C2053" s="205" t="s">
        <v>399</v>
      </c>
      <c r="D2053" s="207" t="s">
        <v>1878</v>
      </c>
      <c r="E2053" s="323" t="s">
        <v>3543</v>
      </c>
      <c r="F2053" s="323"/>
      <c r="G2053" s="204"/>
      <c r="H2053" s="151"/>
      <c r="I2053" s="151"/>
      <c r="J2053" s="151">
        <v>30</v>
      </c>
      <c r="K2053" s="151">
        <v>6</v>
      </c>
      <c r="L2053" s="1"/>
      <c r="M2053" s="73">
        <f t="shared" si="257"/>
        <v>0</v>
      </c>
      <c r="N2053" s="73">
        <f t="shared" si="255"/>
        <v>0</v>
      </c>
      <c r="O2053" s="73">
        <f t="shared" si="256"/>
        <v>0</v>
      </c>
      <c r="P2053" s="73">
        <f t="shared" si="258"/>
        <v>0</v>
      </c>
      <c r="Q2053" s="73"/>
      <c r="R2053" s="73">
        <v>0</v>
      </c>
      <c r="S2053" s="75">
        <f t="shared" si="254"/>
        <v>0</v>
      </c>
      <c r="T2053" s="77">
        <v>0</v>
      </c>
      <c r="U2053" s="66"/>
      <c r="V2053" s="79"/>
      <c r="W2053" s="66" t="s">
        <v>1606</v>
      </c>
      <c r="X2053" s="24" t="s">
        <v>1607</v>
      </c>
      <c r="Y2053" s="62"/>
      <c r="Z2053" s="176" t="s">
        <v>3056</v>
      </c>
      <c r="AA2053" s="166" t="s">
        <v>2970</v>
      </c>
      <c r="AB2053" s="152"/>
      <c r="AC2053" s="153"/>
      <c r="AD2053" s="154"/>
      <c r="AE2053" s="153"/>
      <c r="AF2053" s="153"/>
      <c r="AG2053" s="153"/>
      <c r="AH2053" s="153"/>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c r="BI2053" s="153"/>
      <c r="BJ2053" s="153"/>
      <c r="BK2053" s="153"/>
      <c r="BL2053" s="153"/>
      <c r="BM2053" s="153"/>
      <c r="BN2053" s="153"/>
      <c r="BO2053" s="153"/>
      <c r="BP2053" s="153"/>
      <c r="BQ2053" s="153"/>
      <c r="BR2053" s="153"/>
      <c r="BS2053" s="153"/>
      <c r="BT2053" s="153"/>
      <c r="BU2053" s="153"/>
      <c r="BV2053" s="153"/>
      <c r="BW2053" s="153"/>
      <c r="BX2053" s="153"/>
      <c r="BY2053" s="153"/>
      <c r="BZ2053" s="153"/>
      <c r="CA2053" s="153"/>
      <c r="CB2053" s="153"/>
      <c r="CC2053" s="153"/>
      <c r="CD2053" s="155"/>
      <c r="CE2053" s="156"/>
      <c r="CF2053" s="155"/>
      <c r="CG2053" s="156"/>
      <c r="CH2053" s="155"/>
      <c r="CI2053" s="156"/>
      <c r="CJ2053" s="157">
        <f t="shared" si="259"/>
        <v>0</v>
      </c>
      <c r="CK2053" s="158"/>
      <c r="CL2053" s="159"/>
      <c r="CM2053" s="160"/>
      <c r="CN2053" s="161"/>
      <c r="CO2053" s="162"/>
      <c r="CP2053" s="161"/>
      <c r="CQ2053" s="158"/>
      <c r="CR2053" s="159"/>
      <c r="CS2053" s="68"/>
      <c r="CT2053" s="163"/>
      <c r="EC2053" s="366" t="str">
        <f t="shared" si="260"/>
        <v>CALDAS_MANIZALES</v>
      </c>
      <c r="ED2053" s="367"/>
      <c r="EE2053" s="367"/>
      <c r="EF2053" s="368"/>
      <c r="EG2053" s="367"/>
      <c r="EH2053" s="367"/>
      <c r="EI2053" s="367"/>
    </row>
    <row r="2054" spans="1:139" s="164" customFormat="1" ht="38.25">
      <c r="A2054" s="228">
        <v>40518</v>
      </c>
      <c r="B2054" s="205" t="s">
        <v>1440</v>
      </c>
      <c r="C2054" s="205" t="s">
        <v>3167</v>
      </c>
      <c r="D2054" s="207" t="s">
        <v>1201</v>
      </c>
      <c r="E2054" s="323" t="s">
        <v>3901</v>
      </c>
      <c r="F2054" s="323"/>
      <c r="G2054" s="204">
        <v>1</v>
      </c>
      <c r="H2054" s="151"/>
      <c r="I2054" s="151"/>
      <c r="J2054" s="151"/>
      <c r="K2054" s="151"/>
      <c r="L2054" s="1"/>
      <c r="M2054" s="73">
        <f t="shared" si="257"/>
        <v>0</v>
      </c>
      <c r="N2054" s="73">
        <f t="shared" si="255"/>
        <v>0</v>
      </c>
      <c r="O2054" s="73">
        <f t="shared" si="256"/>
        <v>0</v>
      </c>
      <c r="P2054" s="73">
        <f t="shared" si="258"/>
        <v>0</v>
      </c>
      <c r="Q2054" s="73"/>
      <c r="R2054" s="73">
        <v>0</v>
      </c>
      <c r="S2054" s="75">
        <f t="shared" si="254"/>
        <v>0</v>
      </c>
      <c r="T2054" s="77">
        <v>0</v>
      </c>
      <c r="U2054" s="66">
        <v>40518</v>
      </c>
      <c r="V2054" s="79"/>
      <c r="W2054" s="66" t="s">
        <v>1585</v>
      </c>
      <c r="X2054" s="24" t="s">
        <v>1586</v>
      </c>
      <c r="Y2054" s="62"/>
      <c r="Z2054" s="169" t="s">
        <v>894</v>
      </c>
      <c r="AA2054" s="166"/>
      <c r="AB2054" s="152"/>
      <c r="AC2054" s="153"/>
      <c r="AD2054" s="154"/>
      <c r="AE2054" s="153"/>
      <c r="AF2054" s="153"/>
      <c r="AG2054" s="153"/>
      <c r="AH2054" s="153"/>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c r="BI2054" s="153"/>
      <c r="BJ2054" s="153"/>
      <c r="BK2054" s="153"/>
      <c r="BL2054" s="153"/>
      <c r="BM2054" s="153"/>
      <c r="BN2054" s="153"/>
      <c r="BO2054" s="153"/>
      <c r="BP2054" s="153"/>
      <c r="BQ2054" s="153"/>
      <c r="BR2054" s="153"/>
      <c r="BS2054" s="153"/>
      <c r="BT2054" s="153"/>
      <c r="BU2054" s="153"/>
      <c r="BV2054" s="153"/>
      <c r="BW2054" s="153"/>
      <c r="BX2054" s="153"/>
      <c r="BY2054" s="153"/>
      <c r="BZ2054" s="153"/>
      <c r="CA2054" s="153"/>
      <c r="CB2054" s="153"/>
      <c r="CC2054" s="153"/>
      <c r="CD2054" s="155"/>
      <c r="CE2054" s="156"/>
      <c r="CF2054" s="155"/>
      <c r="CG2054" s="156"/>
      <c r="CH2054" s="155"/>
      <c r="CI2054" s="156"/>
      <c r="CJ2054" s="157">
        <f t="shared" si="259"/>
        <v>0</v>
      </c>
      <c r="CK2054" s="158"/>
      <c r="CL2054" s="159"/>
      <c r="CM2054" s="160"/>
      <c r="CN2054" s="161"/>
      <c r="CO2054" s="162"/>
      <c r="CP2054" s="161"/>
      <c r="CQ2054" s="158"/>
      <c r="CR2054" s="159"/>
      <c r="CS2054" s="68"/>
      <c r="CT2054" s="163"/>
      <c r="EC2054" s="366" t="str">
        <f t="shared" si="260"/>
        <v>MAGDALENA_SITIONUEVO</v>
      </c>
      <c r="ED2054" s="367"/>
      <c r="EE2054" s="367"/>
      <c r="EF2054" s="368"/>
      <c r="EG2054" s="367"/>
      <c r="EH2054" s="367"/>
      <c r="EI2054" s="367"/>
    </row>
    <row r="2055" spans="1:139" s="164" customFormat="1" ht="38.25">
      <c r="A2055" s="228">
        <v>40518</v>
      </c>
      <c r="B2055" s="205" t="s">
        <v>1440</v>
      </c>
      <c r="C2055" s="205" t="s">
        <v>1475</v>
      </c>
      <c r="D2055" s="207" t="s">
        <v>2606</v>
      </c>
      <c r="E2055" s="323" t="s">
        <v>3903</v>
      </c>
      <c r="F2055" s="323"/>
      <c r="G2055" s="204"/>
      <c r="H2055" s="151"/>
      <c r="I2055" s="151"/>
      <c r="J2055" s="151">
        <v>1215</v>
      </c>
      <c r="K2055" s="151">
        <v>243</v>
      </c>
      <c r="L2055" s="1"/>
      <c r="M2055" s="73">
        <f t="shared" si="257"/>
        <v>0</v>
      </c>
      <c r="N2055" s="73">
        <f t="shared" si="255"/>
        <v>0</v>
      </c>
      <c r="O2055" s="73">
        <f t="shared" si="256"/>
        <v>0</v>
      </c>
      <c r="P2055" s="73">
        <f t="shared" si="258"/>
        <v>0</v>
      </c>
      <c r="Q2055" s="73"/>
      <c r="R2055" s="73">
        <v>0</v>
      </c>
      <c r="S2055" s="75">
        <f t="shared" si="254"/>
        <v>0</v>
      </c>
      <c r="T2055" s="77">
        <v>0</v>
      </c>
      <c r="U2055" s="228">
        <v>40518</v>
      </c>
      <c r="V2055" s="79"/>
      <c r="W2055" s="66" t="s">
        <v>1585</v>
      </c>
      <c r="X2055" s="24" t="s">
        <v>1586</v>
      </c>
      <c r="Y2055" s="62"/>
      <c r="Z2055" s="169" t="s">
        <v>894</v>
      </c>
      <c r="AA2055" s="166" t="s">
        <v>2867</v>
      </c>
      <c r="AB2055" s="152"/>
      <c r="AC2055" s="153"/>
      <c r="AD2055" s="154"/>
      <c r="AE2055" s="153"/>
      <c r="AF2055" s="153"/>
      <c r="AG2055" s="153"/>
      <c r="AH2055" s="153"/>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c r="BI2055" s="153"/>
      <c r="BJ2055" s="153"/>
      <c r="BK2055" s="153"/>
      <c r="BL2055" s="153"/>
      <c r="BM2055" s="153"/>
      <c r="BN2055" s="153"/>
      <c r="BO2055" s="153"/>
      <c r="BP2055" s="153"/>
      <c r="BQ2055" s="153"/>
      <c r="BR2055" s="153"/>
      <c r="BS2055" s="153"/>
      <c r="BT2055" s="153"/>
      <c r="BU2055" s="153"/>
      <c r="BV2055" s="153"/>
      <c r="BW2055" s="153"/>
      <c r="BX2055" s="153"/>
      <c r="BY2055" s="153"/>
      <c r="BZ2055" s="153"/>
      <c r="CA2055" s="153"/>
      <c r="CB2055" s="153"/>
      <c r="CC2055" s="153"/>
      <c r="CD2055" s="155"/>
      <c r="CE2055" s="156"/>
      <c r="CF2055" s="155"/>
      <c r="CG2055" s="156"/>
      <c r="CH2055" s="155"/>
      <c r="CI2055" s="156"/>
      <c r="CJ2055" s="157">
        <f t="shared" si="259"/>
        <v>0</v>
      </c>
      <c r="CK2055" s="158"/>
      <c r="CL2055" s="159"/>
      <c r="CM2055" s="160"/>
      <c r="CN2055" s="161"/>
      <c r="CO2055" s="162"/>
      <c r="CP2055" s="161"/>
      <c r="CQ2055" s="158"/>
      <c r="CR2055" s="159"/>
      <c r="CS2055" s="68"/>
      <c r="CT2055" s="163"/>
      <c r="EC2055" s="366" t="str">
        <f t="shared" si="260"/>
        <v>MAGDALENA_ZAPAYAN</v>
      </c>
      <c r="ED2055" s="367"/>
      <c r="EE2055" s="367"/>
      <c r="EF2055" s="368"/>
      <c r="EG2055" s="367"/>
      <c r="EH2055" s="367"/>
      <c r="EI2055" s="367"/>
    </row>
    <row r="2056" spans="1:139" s="164" customFormat="1" ht="38.25">
      <c r="A2056" s="228">
        <v>40518.0625</v>
      </c>
      <c r="B2056" s="205" t="s">
        <v>2298</v>
      </c>
      <c r="C2056" s="205" t="s">
        <v>1610</v>
      </c>
      <c r="D2056" s="207" t="s">
        <v>1878</v>
      </c>
      <c r="E2056" s="323"/>
      <c r="F2056" s="323"/>
      <c r="G2056" s="204"/>
      <c r="H2056" s="151">
        <v>1</v>
      </c>
      <c r="I2056" s="151"/>
      <c r="J2056" s="151">
        <v>59</v>
      </c>
      <c r="K2056" s="409">
        <v>14</v>
      </c>
      <c r="L2056" s="1"/>
      <c r="M2056" s="73">
        <f t="shared" si="257"/>
        <v>0</v>
      </c>
      <c r="N2056" s="73">
        <f t="shared" si="255"/>
        <v>0</v>
      </c>
      <c r="O2056" s="73">
        <f t="shared" si="256"/>
        <v>0</v>
      </c>
      <c r="P2056" s="73">
        <f t="shared" si="258"/>
        <v>0</v>
      </c>
      <c r="Q2056" s="73"/>
      <c r="R2056" s="73">
        <v>0</v>
      </c>
      <c r="S2056" s="75">
        <f t="shared" si="254"/>
        <v>0</v>
      </c>
      <c r="T2056" s="77">
        <v>0</v>
      </c>
      <c r="U2056" s="296">
        <v>40624</v>
      </c>
      <c r="V2056" s="297"/>
      <c r="W2056" s="296" t="s">
        <v>1585</v>
      </c>
      <c r="X2056" s="298" t="s">
        <v>1586</v>
      </c>
      <c r="Y2056" s="299"/>
      <c r="Z2056" s="300" t="s">
        <v>894</v>
      </c>
      <c r="AA2056" s="414" t="s">
        <v>5404</v>
      </c>
      <c r="AB2056" s="152"/>
      <c r="AC2056" s="153"/>
      <c r="AD2056" s="154"/>
      <c r="AE2056" s="153"/>
      <c r="AF2056" s="153"/>
      <c r="AG2056" s="153"/>
      <c r="AH2056" s="153"/>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c r="BI2056" s="153"/>
      <c r="BJ2056" s="153"/>
      <c r="BK2056" s="153"/>
      <c r="BL2056" s="153"/>
      <c r="BM2056" s="153"/>
      <c r="BN2056" s="153"/>
      <c r="BO2056" s="153"/>
      <c r="BP2056" s="153"/>
      <c r="BQ2056" s="153"/>
      <c r="BR2056" s="153"/>
      <c r="BS2056" s="153"/>
      <c r="BT2056" s="153"/>
      <c r="BU2056" s="153"/>
      <c r="BV2056" s="153"/>
      <c r="BW2056" s="153"/>
      <c r="BX2056" s="153"/>
      <c r="BY2056" s="153"/>
      <c r="BZ2056" s="153"/>
      <c r="CA2056" s="153"/>
      <c r="CB2056" s="153"/>
      <c r="CC2056" s="153"/>
      <c r="CD2056" s="155"/>
      <c r="CE2056" s="156"/>
      <c r="CF2056" s="155"/>
      <c r="CG2056" s="156"/>
      <c r="CH2056" s="155"/>
      <c r="CI2056" s="156"/>
      <c r="CJ2056" s="157">
        <f t="shared" si="259"/>
        <v>0</v>
      </c>
      <c r="CK2056" s="158"/>
      <c r="CL2056" s="159"/>
      <c r="CM2056" s="160"/>
      <c r="CN2056" s="161"/>
      <c r="CO2056" s="162"/>
      <c r="CP2056" s="161"/>
      <c r="CQ2056" s="158"/>
      <c r="CR2056" s="159"/>
      <c r="CS2056" s="68"/>
      <c r="CT2056" s="163"/>
      <c r="EC2056" s="366" t="str">
        <f t="shared" si="260"/>
        <v>BOGOTA D.C._BOGOTA</v>
      </c>
      <c r="ED2056" s="367"/>
      <c r="EE2056" s="367"/>
      <c r="EF2056" s="368"/>
      <c r="EG2056" s="367"/>
      <c r="EH2056" s="367"/>
      <c r="EI2056" s="367"/>
    </row>
    <row r="2057" spans="1:139" s="164" customFormat="1" ht="38.25">
      <c r="A2057" s="228">
        <v>40518.102777777778</v>
      </c>
      <c r="B2057" s="205" t="s">
        <v>2298</v>
      </c>
      <c r="C2057" s="205" t="s">
        <v>1610</v>
      </c>
      <c r="D2057" s="207" t="s">
        <v>1878</v>
      </c>
      <c r="E2057" s="323"/>
      <c r="F2057" s="323"/>
      <c r="G2057" s="204"/>
      <c r="H2057" s="151">
        <v>1</v>
      </c>
      <c r="I2057" s="151"/>
      <c r="J2057" s="151">
        <v>126</v>
      </c>
      <c r="K2057" s="409">
        <v>26</v>
      </c>
      <c r="L2057" s="1"/>
      <c r="M2057" s="73">
        <f t="shared" si="257"/>
        <v>0</v>
      </c>
      <c r="N2057" s="73">
        <f t="shared" si="255"/>
        <v>0</v>
      </c>
      <c r="O2057" s="73">
        <f t="shared" si="256"/>
        <v>0</v>
      </c>
      <c r="P2057" s="73">
        <f t="shared" si="258"/>
        <v>0</v>
      </c>
      <c r="Q2057" s="73"/>
      <c r="R2057" s="73">
        <v>0</v>
      </c>
      <c r="S2057" s="75">
        <f t="shared" ref="S2057:S2120" si="261">M2057+N2057+O2057+P2057+Q2057+R2057</f>
        <v>0</v>
      </c>
      <c r="T2057" s="77">
        <v>0</v>
      </c>
      <c r="U2057" s="288">
        <v>40624</v>
      </c>
      <c r="V2057" s="297"/>
      <c r="W2057" s="296" t="s">
        <v>1585</v>
      </c>
      <c r="X2057" s="298" t="s">
        <v>1586</v>
      </c>
      <c r="Y2057" s="299"/>
      <c r="Z2057" s="300" t="s">
        <v>894</v>
      </c>
      <c r="AA2057" s="414" t="s">
        <v>5438</v>
      </c>
      <c r="AB2057" s="152"/>
      <c r="AC2057" s="153"/>
      <c r="AD2057" s="154"/>
      <c r="AE2057" s="153"/>
      <c r="AF2057" s="153"/>
      <c r="AG2057" s="153"/>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c r="BI2057" s="153"/>
      <c r="BJ2057" s="153"/>
      <c r="BK2057" s="153"/>
      <c r="BL2057" s="153"/>
      <c r="BM2057" s="153"/>
      <c r="BN2057" s="153"/>
      <c r="BO2057" s="153"/>
      <c r="BP2057" s="153"/>
      <c r="BQ2057" s="153"/>
      <c r="BR2057" s="153"/>
      <c r="BS2057" s="153"/>
      <c r="BT2057" s="153"/>
      <c r="BU2057" s="153"/>
      <c r="BV2057" s="153"/>
      <c r="BW2057" s="153"/>
      <c r="BX2057" s="153"/>
      <c r="BY2057" s="153"/>
      <c r="BZ2057" s="153"/>
      <c r="CA2057" s="153"/>
      <c r="CB2057" s="153"/>
      <c r="CC2057" s="153"/>
      <c r="CD2057" s="155"/>
      <c r="CE2057" s="156"/>
      <c r="CF2057" s="155"/>
      <c r="CG2057" s="156"/>
      <c r="CH2057" s="155"/>
      <c r="CI2057" s="156"/>
      <c r="CJ2057" s="157">
        <f t="shared" si="259"/>
        <v>0</v>
      </c>
      <c r="CK2057" s="158"/>
      <c r="CL2057" s="159"/>
      <c r="CM2057" s="160"/>
      <c r="CN2057" s="161"/>
      <c r="CO2057" s="162"/>
      <c r="CP2057" s="161"/>
      <c r="CQ2057" s="158"/>
      <c r="CR2057" s="159"/>
      <c r="CS2057" s="68"/>
      <c r="CT2057" s="163"/>
      <c r="EC2057" s="366" t="str">
        <f t="shared" si="260"/>
        <v>BOGOTA D.C._BOGOTA</v>
      </c>
      <c r="ED2057" s="367"/>
      <c r="EE2057" s="367"/>
      <c r="EF2057" s="368"/>
      <c r="EG2057" s="367"/>
      <c r="EH2057" s="367"/>
      <c r="EI2057" s="367"/>
    </row>
    <row r="2058" spans="1:139" s="164" customFormat="1" ht="38.25">
      <c r="A2058" s="228">
        <v>40519</v>
      </c>
      <c r="B2058" s="205" t="s">
        <v>1604</v>
      </c>
      <c r="C2058" s="205" t="s">
        <v>826</v>
      </c>
      <c r="D2058" s="207" t="s">
        <v>1878</v>
      </c>
      <c r="E2058" s="323" t="s">
        <v>3741</v>
      </c>
      <c r="F2058" s="323"/>
      <c r="G2058" s="204"/>
      <c r="H2058" s="151"/>
      <c r="I2058" s="151"/>
      <c r="J2058" s="151">
        <v>1375</v>
      </c>
      <c r="K2058" s="151">
        <v>437</v>
      </c>
      <c r="L2058" s="1"/>
      <c r="M2058" s="73">
        <f t="shared" si="257"/>
        <v>0</v>
      </c>
      <c r="N2058" s="73">
        <f t="shared" si="255"/>
        <v>0</v>
      </c>
      <c r="O2058" s="73">
        <f t="shared" si="256"/>
        <v>0</v>
      </c>
      <c r="P2058" s="73">
        <f t="shared" si="258"/>
        <v>0</v>
      </c>
      <c r="Q2058" s="73"/>
      <c r="R2058" s="73">
        <v>0</v>
      </c>
      <c r="S2058" s="75">
        <f t="shared" si="261"/>
        <v>0</v>
      </c>
      <c r="T2058" s="77">
        <v>0</v>
      </c>
      <c r="U2058" s="66">
        <v>40519</v>
      </c>
      <c r="V2058" s="79"/>
      <c r="W2058" s="66" t="s">
        <v>1585</v>
      </c>
      <c r="X2058" s="24" t="s">
        <v>1586</v>
      </c>
      <c r="Y2058" s="62"/>
      <c r="Z2058" s="169" t="s">
        <v>894</v>
      </c>
      <c r="AA2058" s="166" t="s">
        <v>6</v>
      </c>
      <c r="AB2058" s="152"/>
      <c r="AC2058" s="153"/>
      <c r="AD2058" s="154"/>
      <c r="AE2058" s="153"/>
      <c r="AF2058" s="153"/>
      <c r="AG2058" s="153"/>
      <c r="AH2058" s="153"/>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c r="BI2058" s="153"/>
      <c r="BJ2058" s="153"/>
      <c r="BK2058" s="153"/>
      <c r="BL2058" s="153"/>
      <c r="BM2058" s="153"/>
      <c r="BN2058" s="153"/>
      <c r="BO2058" s="153"/>
      <c r="BP2058" s="153"/>
      <c r="BQ2058" s="153"/>
      <c r="BR2058" s="153"/>
      <c r="BS2058" s="153"/>
      <c r="BT2058" s="153"/>
      <c r="BU2058" s="153"/>
      <c r="BV2058" s="153"/>
      <c r="BW2058" s="153"/>
      <c r="BX2058" s="153"/>
      <c r="BY2058" s="153"/>
      <c r="BZ2058" s="153"/>
      <c r="CA2058" s="153"/>
      <c r="CB2058" s="153"/>
      <c r="CC2058" s="153"/>
      <c r="CD2058" s="155"/>
      <c r="CE2058" s="156"/>
      <c r="CF2058" s="155"/>
      <c r="CG2058" s="156"/>
      <c r="CH2058" s="155"/>
      <c r="CI2058" s="156"/>
      <c r="CJ2058" s="157">
        <f t="shared" si="259"/>
        <v>0</v>
      </c>
      <c r="CK2058" s="158"/>
      <c r="CL2058" s="159"/>
      <c r="CM2058" s="160"/>
      <c r="CN2058" s="161"/>
      <c r="CO2058" s="162"/>
      <c r="CP2058" s="161"/>
      <c r="CQ2058" s="158"/>
      <c r="CR2058" s="159"/>
      <c r="CS2058" s="68"/>
      <c r="CT2058" s="163"/>
      <c r="EC2058" s="366" t="str">
        <f t="shared" si="260"/>
        <v>CUNDINAMARCA_VENECIA</v>
      </c>
      <c r="ED2058" s="367"/>
      <c r="EE2058" s="367"/>
      <c r="EF2058" s="368"/>
      <c r="EG2058" s="367"/>
      <c r="EH2058" s="367"/>
      <c r="EI2058" s="367"/>
    </row>
    <row r="2059" spans="1:139" s="164" customFormat="1" ht="36.75" customHeight="1">
      <c r="A2059" s="228">
        <v>40519</v>
      </c>
      <c r="B2059" s="205" t="s">
        <v>962</v>
      </c>
      <c r="C2059" s="205" t="s">
        <v>537</v>
      </c>
      <c r="D2059" s="207" t="s">
        <v>1878</v>
      </c>
      <c r="E2059" s="323" t="s">
        <v>3829</v>
      </c>
      <c r="F2059" s="323"/>
      <c r="G2059" s="204"/>
      <c r="H2059" s="151"/>
      <c r="I2059" s="151"/>
      <c r="J2059" s="151"/>
      <c r="K2059" s="151"/>
      <c r="L2059" s="1"/>
      <c r="M2059" s="73">
        <f t="shared" si="257"/>
        <v>0</v>
      </c>
      <c r="N2059" s="73">
        <f t="shared" si="255"/>
        <v>0</v>
      </c>
      <c r="O2059" s="73">
        <f t="shared" si="256"/>
        <v>0</v>
      </c>
      <c r="P2059" s="73">
        <f t="shared" si="258"/>
        <v>0</v>
      </c>
      <c r="Q2059" s="73"/>
      <c r="R2059" s="73">
        <v>0</v>
      </c>
      <c r="S2059" s="75">
        <f t="shared" si="261"/>
        <v>0</v>
      </c>
      <c r="T2059" s="77">
        <v>0</v>
      </c>
      <c r="U2059" s="66">
        <v>40519</v>
      </c>
      <c r="V2059" s="79"/>
      <c r="W2059" s="66" t="s">
        <v>1606</v>
      </c>
      <c r="X2059" s="264" t="s">
        <v>1607</v>
      </c>
      <c r="Y2059" s="62"/>
      <c r="Z2059" s="260" t="s">
        <v>18</v>
      </c>
      <c r="AA2059" s="166" t="s">
        <v>538</v>
      </c>
      <c r="AB2059" s="152"/>
      <c r="AC2059" s="153"/>
      <c r="AD2059" s="154"/>
      <c r="AE2059" s="153"/>
      <c r="AF2059" s="153"/>
      <c r="AG2059" s="153"/>
      <c r="AH2059" s="153"/>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c r="BI2059" s="153"/>
      <c r="BJ2059" s="153"/>
      <c r="BK2059" s="153"/>
      <c r="BL2059" s="153"/>
      <c r="BM2059" s="153"/>
      <c r="BN2059" s="153"/>
      <c r="BO2059" s="153"/>
      <c r="BP2059" s="153"/>
      <c r="BQ2059" s="153"/>
      <c r="BR2059" s="153"/>
      <c r="BS2059" s="153"/>
      <c r="BT2059" s="153"/>
      <c r="BU2059" s="153"/>
      <c r="BV2059" s="153"/>
      <c r="BW2059" s="153"/>
      <c r="BX2059" s="153"/>
      <c r="BY2059" s="153"/>
      <c r="BZ2059" s="153"/>
      <c r="CA2059" s="153"/>
      <c r="CB2059" s="153"/>
      <c r="CC2059" s="153"/>
      <c r="CD2059" s="155"/>
      <c r="CE2059" s="156"/>
      <c r="CF2059" s="155"/>
      <c r="CG2059" s="156"/>
      <c r="CH2059" s="155"/>
      <c r="CI2059" s="156"/>
      <c r="CJ2059" s="157">
        <f t="shared" si="259"/>
        <v>0</v>
      </c>
      <c r="CK2059" s="158"/>
      <c r="CL2059" s="159"/>
      <c r="CM2059" s="160"/>
      <c r="CN2059" s="161"/>
      <c r="CO2059" s="162"/>
      <c r="CP2059" s="161"/>
      <c r="CQ2059" s="158"/>
      <c r="CR2059" s="159"/>
      <c r="CS2059" s="68"/>
      <c r="CT2059" s="163"/>
      <c r="EC2059" s="366" t="str">
        <f t="shared" si="260"/>
        <v>HUILA_BARAYA</v>
      </c>
      <c r="ED2059" s="367"/>
      <c r="EE2059" s="367"/>
      <c r="EF2059" s="368"/>
      <c r="EG2059" s="367"/>
      <c r="EH2059" s="367"/>
      <c r="EI2059" s="367"/>
    </row>
    <row r="2060" spans="1:139" s="164" customFormat="1" ht="38.25">
      <c r="A2060" s="228">
        <v>40519</v>
      </c>
      <c r="B2060" s="205" t="s">
        <v>962</v>
      </c>
      <c r="C2060" s="205" t="s">
        <v>2179</v>
      </c>
      <c r="D2060" s="207" t="s">
        <v>1201</v>
      </c>
      <c r="E2060" s="323" t="s">
        <v>3839</v>
      </c>
      <c r="F2060" s="323"/>
      <c r="G2060" s="204"/>
      <c r="H2060" s="151"/>
      <c r="I2060" s="151"/>
      <c r="J2060" s="151">
        <v>25</v>
      </c>
      <c r="K2060" s="151">
        <v>5</v>
      </c>
      <c r="L2060" s="1"/>
      <c r="M2060" s="73">
        <f t="shared" si="257"/>
        <v>0</v>
      </c>
      <c r="N2060" s="73">
        <f t="shared" si="255"/>
        <v>0</v>
      </c>
      <c r="O2060" s="73">
        <f t="shared" si="256"/>
        <v>0</v>
      </c>
      <c r="P2060" s="73">
        <f t="shared" si="258"/>
        <v>0</v>
      </c>
      <c r="Q2060" s="73"/>
      <c r="R2060" s="73">
        <v>0</v>
      </c>
      <c r="S2060" s="75">
        <f t="shared" si="261"/>
        <v>0</v>
      </c>
      <c r="T2060" s="77">
        <v>0</v>
      </c>
      <c r="U2060" s="66">
        <v>40581</v>
      </c>
      <c r="V2060" s="79"/>
      <c r="W2060" s="66" t="s">
        <v>1585</v>
      </c>
      <c r="X2060" s="24" t="s">
        <v>1586</v>
      </c>
      <c r="Y2060" s="62"/>
      <c r="Z2060" s="169" t="s">
        <v>894</v>
      </c>
      <c r="AA2060" s="166" t="s">
        <v>54</v>
      </c>
      <c r="AB2060" s="152"/>
      <c r="AC2060" s="153"/>
      <c r="AD2060" s="154"/>
      <c r="AE2060" s="153"/>
      <c r="AF2060" s="153"/>
      <c r="AG2060" s="153"/>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c r="BI2060" s="153"/>
      <c r="BJ2060" s="153"/>
      <c r="BK2060" s="153"/>
      <c r="BL2060" s="153"/>
      <c r="BM2060" s="153"/>
      <c r="BN2060" s="153"/>
      <c r="BO2060" s="153"/>
      <c r="BP2060" s="153"/>
      <c r="BQ2060" s="153"/>
      <c r="BR2060" s="153"/>
      <c r="BS2060" s="153"/>
      <c r="BT2060" s="153"/>
      <c r="BU2060" s="153"/>
      <c r="BV2060" s="153"/>
      <c r="BW2060" s="153"/>
      <c r="BX2060" s="153"/>
      <c r="BY2060" s="153"/>
      <c r="BZ2060" s="153"/>
      <c r="CA2060" s="153"/>
      <c r="CB2060" s="153"/>
      <c r="CC2060" s="153"/>
      <c r="CD2060" s="155"/>
      <c r="CE2060" s="156"/>
      <c r="CF2060" s="155"/>
      <c r="CG2060" s="156"/>
      <c r="CH2060" s="155"/>
      <c r="CI2060" s="156"/>
      <c r="CJ2060" s="157">
        <f t="shared" si="259"/>
        <v>0</v>
      </c>
      <c r="CK2060" s="158"/>
      <c r="CL2060" s="159"/>
      <c r="CM2060" s="160"/>
      <c r="CN2060" s="161"/>
      <c r="CO2060" s="162"/>
      <c r="CP2060" s="161"/>
      <c r="CQ2060" s="158"/>
      <c r="CR2060" s="159"/>
      <c r="CS2060" s="68"/>
      <c r="CT2060" s="163"/>
      <c r="EC2060" s="366" t="str">
        <f t="shared" si="260"/>
        <v>HUILA_LA ARGENTINA</v>
      </c>
      <c r="ED2060" s="367"/>
      <c r="EE2060" s="367"/>
      <c r="EF2060" s="368"/>
      <c r="EG2060" s="367"/>
      <c r="EH2060" s="367"/>
      <c r="EI2060" s="367"/>
    </row>
    <row r="2061" spans="1:139" s="164" customFormat="1" ht="45">
      <c r="A2061" s="228">
        <v>40519</v>
      </c>
      <c r="B2061" s="205" t="s">
        <v>962</v>
      </c>
      <c r="C2061" s="205" t="s">
        <v>2957</v>
      </c>
      <c r="D2061" s="207" t="s">
        <v>1878</v>
      </c>
      <c r="E2061" s="323" t="s">
        <v>3849</v>
      </c>
      <c r="F2061" s="323"/>
      <c r="G2061" s="204"/>
      <c r="H2061" s="151"/>
      <c r="I2061" s="151"/>
      <c r="J2061" s="151">
        <v>110</v>
      </c>
      <c r="K2061" s="151">
        <v>18</v>
      </c>
      <c r="L2061" s="1"/>
      <c r="M2061" s="73">
        <f t="shared" si="257"/>
        <v>0</v>
      </c>
      <c r="N2061" s="73">
        <f t="shared" si="255"/>
        <v>0</v>
      </c>
      <c r="O2061" s="73">
        <f t="shared" si="256"/>
        <v>0</v>
      </c>
      <c r="P2061" s="73">
        <f t="shared" si="258"/>
        <v>0</v>
      </c>
      <c r="Q2061" s="73"/>
      <c r="R2061" s="73">
        <v>0</v>
      </c>
      <c r="S2061" s="75">
        <f t="shared" si="261"/>
        <v>0</v>
      </c>
      <c r="T2061" s="77">
        <v>0</v>
      </c>
      <c r="U2061" s="66">
        <v>40519</v>
      </c>
      <c r="V2061" s="79"/>
      <c r="W2061" s="66" t="s">
        <v>1606</v>
      </c>
      <c r="X2061" s="264" t="s">
        <v>1607</v>
      </c>
      <c r="Y2061" s="62"/>
      <c r="Z2061" s="260" t="s">
        <v>18</v>
      </c>
      <c r="AA2061" s="166" t="s">
        <v>539</v>
      </c>
      <c r="AB2061" s="152"/>
      <c r="AC2061" s="153"/>
      <c r="AD2061" s="154"/>
      <c r="AE2061" s="153"/>
      <c r="AF2061" s="153"/>
      <c r="AG2061" s="153"/>
      <c r="AH2061" s="153"/>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c r="BI2061" s="153"/>
      <c r="BJ2061" s="153"/>
      <c r="BK2061" s="153"/>
      <c r="BL2061" s="153"/>
      <c r="BM2061" s="153"/>
      <c r="BN2061" s="153"/>
      <c r="BO2061" s="153"/>
      <c r="BP2061" s="153"/>
      <c r="BQ2061" s="153"/>
      <c r="BR2061" s="153"/>
      <c r="BS2061" s="153"/>
      <c r="BT2061" s="153"/>
      <c r="BU2061" s="153"/>
      <c r="BV2061" s="153"/>
      <c r="BW2061" s="153"/>
      <c r="BX2061" s="153"/>
      <c r="BY2061" s="153"/>
      <c r="BZ2061" s="153"/>
      <c r="CA2061" s="153"/>
      <c r="CB2061" s="153"/>
      <c r="CC2061" s="153"/>
      <c r="CD2061" s="155"/>
      <c r="CE2061" s="156"/>
      <c r="CF2061" s="155"/>
      <c r="CG2061" s="156"/>
      <c r="CH2061" s="155"/>
      <c r="CI2061" s="156"/>
      <c r="CJ2061" s="157">
        <f t="shared" si="259"/>
        <v>0</v>
      </c>
      <c r="CK2061" s="158"/>
      <c r="CL2061" s="159"/>
      <c r="CM2061" s="160"/>
      <c r="CN2061" s="161"/>
      <c r="CO2061" s="162"/>
      <c r="CP2061" s="161"/>
      <c r="CQ2061" s="158"/>
      <c r="CR2061" s="159"/>
      <c r="CS2061" s="68"/>
      <c r="CT2061" s="163"/>
      <c r="EC2061" s="366" t="str">
        <f t="shared" si="260"/>
        <v>HUILA_SALADOBLANCO</v>
      </c>
      <c r="ED2061" s="367"/>
      <c r="EE2061" s="367"/>
      <c r="EF2061" s="368"/>
      <c r="EG2061" s="367"/>
      <c r="EH2061" s="367"/>
      <c r="EI2061" s="367"/>
    </row>
    <row r="2062" spans="1:139" s="164" customFormat="1" ht="25.5">
      <c r="A2062" s="228">
        <v>40519</v>
      </c>
      <c r="B2062" s="205" t="s">
        <v>396</v>
      </c>
      <c r="C2062" s="205" t="s">
        <v>1899</v>
      </c>
      <c r="D2062" s="207" t="s">
        <v>1316</v>
      </c>
      <c r="E2062" s="323" t="s">
        <v>3905</v>
      </c>
      <c r="F2062" s="323"/>
      <c r="G2062" s="204"/>
      <c r="H2062" s="151"/>
      <c r="I2062" s="151"/>
      <c r="J2062" s="151">
        <v>7</v>
      </c>
      <c r="K2062" s="151">
        <v>1</v>
      </c>
      <c r="L2062" s="1"/>
      <c r="M2062" s="73">
        <f t="shared" si="257"/>
        <v>0</v>
      </c>
      <c r="N2062" s="73">
        <f t="shared" ref="N2062:N2125" si="262">CN2062</f>
        <v>0</v>
      </c>
      <c r="O2062" s="73">
        <f t="shared" si="256"/>
        <v>0</v>
      </c>
      <c r="P2062" s="73">
        <f t="shared" si="258"/>
        <v>0</v>
      </c>
      <c r="Q2062" s="73"/>
      <c r="R2062" s="73">
        <v>0</v>
      </c>
      <c r="S2062" s="75">
        <f t="shared" si="261"/>
        <v>0</v>
      </c>
      <c r="T2062" s="77">
        <v>0</v>
      </c>
      <c r="U2062" s="228">
        <v>40519</v>
      </c>
      <c r="V2062" s="79"/>
      <c r="W2062" s="66" t="s">
        <v>1585</v>
      </c>
      <c r="X2062" s="24" t="s">
        <v>1586</v>
      </c>
      <c r="Y2062" s="62"/>
      <c r="Z2062" s="169" t="s">
        <v>894</v>
      </c>
      <c r="AA2062" s="166" t="s">
        <v>2975</v>
      </c>
      <c r="AB2062" s="152"/>
      <c r="AC2062" s="153"/>
      <c r="AD2062" s="154"/>
      <c r="AE2062" s="153"/>
      <c r="AF2062" s="153"/>
      <c r="AG2062" s="153"/>
      <c r="AH2062" s="153"/>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c r="BF2062" s="153"/>
      <c r="BG2062" s="153"/>
      <c r="BH2062" s="153"/>
      <c r="BI2062" s="153"/>
      <c r="BJ2062" s="153"/>
      <c r="BK2062" s="153"/>
      <c r="BL2062" s="153"/>
      <c r="BM2062" s="153"/>
      <c r="BN2062" s="153"/>
      <c r="BO2062" s="153"/>
      <c r="BP2062" s="153"/>
      <c r="BQ2062" s="153"/>
      <c r="BR2062" s="153"/>
      <c r="BS2062" s="153"/>
      <c r="BT2062" s="153"/>
      <c r="BU2062" s="153"/>
      <c r="BV2062" s="153"/>
      <c r="BW2062" s="153"/>
      <c r="BX2062" s="153"/>
      <c r="BY2062" s="153"/>
      <c r="BZ2062" s="153"/>
      <c r="CA2062" s="153"/>
      <c r="CB2062" s="153"/>
      <c r="CC2062" s="153"/>
      <c r="CD2062" s="155"/>
      <c r="CE2062" s="156"/>
      <c r="CF2062" s="155"/>
      <c r="CG2062" s="156"/>
      <c r="CH2062" s="155"/>
      <c r="CI2062" s="156"/>
      <c r="CJ2062" s="157">
        <f t="shared" si="259"/>
        <v>0</v>
      </c>
      <c r="CK2062" s="158"/>
      <c r="CL2062" s="159"/>
      <c r="CM2062" s="160"/>
      <c r="CN2062" s="161"/>
      <c r="CO2062" s="162"/>
      <c r="CP2062" s="161"/>
      <c r="CQ2062" s="158"/>
      <c r="CR2062" s="159"/>
      <c r="CS2062" s="68"/>
      <c r="CT2062" s="163"/>
      <c r="EC2062" s="366" t="str">
        <f t="shared" si="260"/>
        <v>META_VILLAVICENCIO</v>
      </c>
      <c r="ED2062" s="367"/>
      <c r="EE2062" s="367"/>
      <c r="EF2062" s="368"/>
      <c r="EG2062" s="367"/>
      <c r="EH2062" s="367"/>
      <c r="EI2062" s="367"/>
    </row>
    <row r="2063" spans="1:139" s="164" customFormat="1" ht="60">
      <c r="A2063" s="228">
        <v>40519</v>
      </c>
      <c r="B2063" s="205" t="s">
        <v>1824</v>
      </c>
      <c r="C2063" s="205" t="s">
        <v>252</v>
      </c>
      <c r="D2063" s="207" t="s">
        <v>1878</v>
      </c>
      <c r="E2063" s="323" t="s">
        <v>3941</v>
      </c>
      <c r="F2063" s="323"/>
      <c r="G2063" s="204"/>
      <c r="H2063" s="151"/>
      <c r="I2063" s="151"/>
      <c r="J2063" s="151">
        <v>428</v>
      </c>
      <c r="K2063" s="151">
        <v>106</v>
      </c>
      <c r="L2063" s="1"/>
      <c r="M2063" s="73">
        <f t="shared" si="257"/>
        <v>0</v>
      </c>
      <c r="N2063" s="73">
        <f t="shared" si="262"/>
        <v>0</v>
      </c>
      <c r="O2063" s="73">
        <f t="shared" si="256"/>
        <v>0</v>
      </c>
      <c r="P2063" s="73">
        <f t="shared" si="258"/>
        <v>0</v>
      </c>
      <c r="Q2063" s="73"/>
      <c r="R2063" s="73">
        <v>0</v>
      </c>
      <c r="S2063" s="75">
        <f t="shared" si="261"/>
        <v>0</v>
      </c>
      <c r="T2063" s="77">
        <v>0</v>
      </c>
      <c r="U2063" s="228">
        <v>40519</v>
      </c>
      <c r="V2063" s="79"/>
      <c r="W2063" s="66" t="s">
        <v>1585</v>
      </c>
      <c r="X2063" s="24" t="s">
        <v>1586</v>
      </c>
      <c r="Y2063" s="62"/>
      <c r="Z2063" s="169" t="s">
        <v>894</v>
      </c>
      <c r="AA2063" s="166" t="s">
        <v>253</v>
      </c>
      <c r="AB2063" s="152"/>
      <c r="AC2063" s="153"/>
      <c r="AD2063" s="154"/>
      <c r="AE2063" s="153"/>
      <c r="AF2063" s="153"/>
      <c r="AG2063" s="153"/>
      <c r="AH2063" s="153"/>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c r="BF2063" s="153"/>
      <c r="BG2063" s="153"/>
      <c r="BH2063" s="153"/>
      <c r="BI2063" s="153"/>
      <c r="BJ2063" s="153"/>
      <c r="BK2063" s="153"/>
      <c r="BL2063" s="153"/>
      <c r="BM2063" s="153"/>
      <c r="BN2063" s="153"/>
      <c r="BO2063" s="153"/>
      <c r="BP2063" s="153"/>
      <c r="BQ2063" s="153"/>
      <c r="BR2063" s="153"/>
      <c r="BS2063" s="153"/>
      <c r="BT2063" s="153"/>
      <c r="BU2063" s="153"/>
      <c r="BV2063" s="153"/>
      <c r="BW2063" s="153"/>
      <c r="BX2063" s="153"/>
      <c r="BY2063" s="153"/>
      <c r="BZ2063" s="153"/>
      <c r="CA2063" s="153"/>
      <c r="CB2063" s="153"/>
      <c r="CC2063" s="153"/>
      <c r="CD2063" s="155"/>
      <c r="CE2063" s="156"/>
      <c r="CF2063" s="155"/>
      <c r="CG2063" s="156"/>
      <c r="CH2063" s="155"/>
      <c r="CI2063" s="156"/>
      <c r="CJ2063" s="157">
        <f t="shared" si="259"/>
        <v>0</v>
      </c>
      <c r="CK2063" s="158"/>
      <c r="CL2063" s="159"/>
      <c r="CM2063" s="160"/>
      <c r="CN2063" s="161"/>
      <c r="CO2063" s="162"/>
      <c r="CP2063" s="161"/>
      <c r="CQ2063" s="158"/>
      <c r="CR2063" s="159"/>
      <c r="CS2063" s="68"/>
      <c r="CT2063" s="163"/>
      <c r="EC2063" s="366" t="str">
        <f t="shared" si="260"/>
        <v>NARIÑO_BUESACO</v>
      </c>
      <c r="ED2063" s="367"/>
      <c r="EE2063" s="367"/>
      <c r="EF2063" s="368"/>
      <c r="EG2063" s="367"/>
      <c r="EH2063" s="367"/>
      <c r="EI2063" s="367"/>
    </row>
    <row r="2064" spans="1:139" s="164" customFormat="1" ht="38.25">
      <c r="A2064" s="228">
        <v>40519</v>
      </c>
      <c r="B2064" s="205" t="s">
        <v>1824</v>
      </c>
      <c r="C2064" s="205" t="s">
        <v>384</v>
      </c>
      <c r="D2064" s="207" t="s">
        <v>1878</v>
      </c>
      <c r="E2064" s="323" t="s">
        <v>3987</v>
      </c>
      <c r="F2064" s="323"/>
      <c r="G2064" s="204"/>
      <c r="H2064" s="151"/>
      <c r="I2064" s="151"/>
      <c r="J2064" s="151">
        <f>528-379</f>
        <v>149</v>
      </c>
      <c r="K2064" s="151">
        <f>134-98</f>
        <v>36</v>
      </c>
      <c r="L2064" s="1"/>
      <c r="M2064" s="73">
        <f t="shared" si="257"/>
        <v>0</v>
      </c>
      <c r="N2064" s="73">
        <f t="shared" si="262"/>
        <v>0</v>
      </c>
      <c r="O2064" s="73">
        <f t="shared" si="256"/>
        <v>0</v>
      </c>
      <c r="P2064" s="73">
        <f t="shared" si="258"/>
        <v>0</v>
      </c>
      <c r="Q2064" s="73"/>
      <c r="R2064" s="73">
        <v>0</v>
      </c>
      <c r="S2064" s="75">
        <f t="shared" si="261"/>
        <v>0</v>
      </c>
      <c r="T2064" s="77">
        <v>0</v>
      </c>
      <c r="U2064" s="228">
        <v>40519</v>
      </c>
      <c r="V2064" s="79"/>
      <c r="W2064" s="66" t="s">
        <v>1585</v>
      </c>
      <c r="X2064" s="24" t="s">
        <v>1586</v>
      </c>
      <c r="Y2064" s="62"/>
      <c r="Z2064" s="169" t="s">
        <v>894</v>
      </c>
      <c r="AA2064" s="166" t="s">
        <v>522</v>
      </c>
      <c r="AB2064" s="152"/>
      <c r="AC2064" s="153"/>
      <c r="AD2064" s="154"/>
      <c r="AE2064" s="153"/>
      <c r="AF2064" s="153"/>
      <c r="AG2064" s="153"/>
      <c r="AH2064" s="153"/>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c r="BI2064" s="153"/>
      <c r="BJ2064" s="153"/>
      <c r="BK2064" s="153"/>
      <c r="BL2064" s="153"/>
      <c r="BM2064" s="153"/>
      <c r="BN2064" s="153"/>
      <c r="BO2064" s="153"/>
      <c r="BP2064" s="153"/>
      <c r="BQ2064" s="153"/>
      <c r="BR2064" s="153"/>
      <c r="BS2064" s="153"/>
      <c r="BT2064" s="153"/>
      <c r="BU2064" s="153"/>
      <c r="BV2064" s="153"/>
      <c r="BW2064" s="153"/>
      <c r="BX2064" s="153"/>
      <c r="BY2064" s="153"/>
      <c r="BZ2064" s="153"/>
      <c r="CA2064" s="153"/>
      <c r="CB2064" s="153"/>
      <c r="CC2064" s="153"/>
      <c r="CD2064" s="155"/>
      <c r="CE2064" s="156"/>
      <c r="CF2064" s="155"/>
      <c r="CG2064" s="156"/>
      <c r="CH2064" s="155"/>
      <c r="CI2064" s="156"/>
      <c r="CJ2064" s="157">
        <f t="shared" si="259"/>
        <v>0</v>
      </c>
      <c r="CK2064" s="158"/>
      <c r="CL2064" s="159"/>
      <c r="CM2064" s="160"/>
      <c r="CN2064" s="161"/>
      <c r="CO2064" s="162"/>
      <c r="CP2064" s="161"/>
      <c r="CQ2064" s="158"/>
      <c r="CR2064" s="159"/>
      <c r="CS2064" s="68"/>
      <c r="CT2064" s="163"/>
      <c r="EC2064" s="366" t="str">
        <f t="shared" si="260"/>
        <v>NARIÑO_SAN LORENZO</v>
      </c>
      <c r="ED2064" s="367"/>
      <c r="EE2064" s="367"/>
      <c r="EF2064" s="368"/>
      <c r="EG2064" s="367"/>
      <c r="EH2064" s="367"/>
      <c r="EI2064" s="367"/>
    </row>
    <row r="2065" spans="1:139" s="164" customFormat="1" ht="25.5">
      <c r="A2065" s="228">
        <v>40519</v>
      </c>
      <c r="B2065" s="205" t="s">
        <v>1612</v>
      </c>
      <c r="C2065" s="205" t="s">
        <v>2976</v>
      </c>
      <c r="D2065" s="207" t="s">
        <v>1201</v>
      </c>
      <c r="E2065" s="323" t="s">
        <v>4043</v>
      </c>
      <c r="F2065" s="323"/>
      <c r="G2065" s="204"/>
      <c r="H2065" s="151"/>
      <c r="I2065" s="151"/>
      <c r="J2065" s="151">
        <f>176*5</f>
        <v>880</v>
      </c>
      <c r="K2065" s="151">
        <v>176</v>
      </c>
      <c r="L2065" s="1"/>
      <c r="M2065" s="73">
        <f t="shared" si="257"/>
        <v>0</v>
      </c>
      <c r="N2065" s="73">
        <f t="shared" si="262"/>
        <v>0</v>
      </c>
      <c r="O2065" s="73">
        <f t="shared" si="256"/>
        <v>0</v>
      </c>
      <c r="P2065" s="73">
        <f t="shared" si="258"/>
        <v>0</v>
      </c>
      <c r="Q2065" s="73"/>
      <c r="R2065" s="73">
        <v>0</v>
      </c>
      <c r="S2065" s="75">
        <f t="shared" si="261"/>
        <v>0</v>
      </c>
      <c r="T2065" s="77">
        <v>0</v>
      </c>
      <c r="U2065" s="66">
        <v>40522</v>
      </c>
      <c r="V2065" s="79"/>
      <c r="W2065" s="66" t="s">
        <v>1585</v>
      </c>
      <c r="X2065" s="24" t="s">
        <v>1586</v>
      </c>
      <c r="Y2065" s="62"/>
      <c r="Z2065" s="169" t="s">
        <v>894</v>
      </c>
      <c r="AA2065" s="166" t="s">
        <v>2977</v>
      </c>
      <c r="AB2065" s="152"/>
      <c r="AC2065" s="153"/>
      <c r="AD2065" s="154"/>
      <c r="AE2065" s="153"/>
      <c r="AF2065" s="153"/>
      <c r="AG2065" s="153"/>
      <c r="AH2065" s="153"/>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c r="BI2065" s="153"/>
      <c r="BJ2065" s="153"/>
      <c r="BK2065" s="153"/>
      <c r="BL2065" s="153"/>
      <c r="BM2065" s="153"/>
      <c r="BN2065" s="153"/>
      <c r="BO2065" s="153"/>
      <c r="BP2065" s="153"/>
      <c r="BQ2065" s="153"/>
      <c r="BR2065" s="153"/>
      <c r="BS2065" s="153"/>
      <c r="BT2065" s="153"/>
      <c r="BU2065" s="153"/>
      <c r="BV2065" s="153"/>
      <c r="BW2065" s="153"/>
      <c r="BX2065" s="153"/>
      <c r="BY2065" s="153"/>
      <c r="BZ2065" s="153"/>
      <c r="CA2065" s="153"/>
      <c r="CB2065" s="153"/>
      <c r="CC2065" s="153"/>
      <c r="CD2065" s="155"/>
      <c r="CE2065" s="156"/>
      <c r="CF2065" s="155"/>
      <c r="CG2065" s="156"/>
      <c r="CH2065" s="155"/>
      <c r="CI2065" s="156"/>
      <c r="CJ2065" s="157">
        <f t="shared" si="259"/>
        <v>0</v>
      </c>
      <c r="CK2065" s="158"/>
      <c r="CL2065" s="159"/>
      <c r="CM2065" s="160"/>
      <c r="CN2065" s="161"/>
      <c r="CO2065" s="162"/>
      <c r="CP2065" s="161"/>
      <c r="CQ2065" s="158"/>
      <c r="CR2065" s="159"/>
      <c r="CS2065" s="68"/>
      <c r="CT2065" s="163"/>
      <c r="EC2065" s="366" t="str">
        <f t="shared" si="260"/>
        <v>QUINDIO_FILANDIA</v>
      </c>
      <c r="ED2065" s="367"/>
      <c r="EE2065" s="367"/>
      <c r="EF2065" s="368"/>
      <c r="EG2065" s="367"/>
      <c r="EH2065" s="367"/>
      <c r="EI2065" s="367"/>
    </row>
    <row r="2066" spans="1:139" s="164" customFormat="1" ht="38.25">
      <c r="A2066" s="228">
        <v>40519</v>
      </c>
      <c r="B2066" s="205" t="s">
        <v>1998</v>
      </c>
      <c r="C2066" s="205" t="s">
        <v>16</v>
      </c>
      <c r="D2066" s="207" t="s">
        <v>1878</v>
      </c>
      <c r="E2066" s="323" t="s">
        <v>4126</v>
      </c>
      <c r="F2066" s="323"/>
      <c r="G2066" s="263"/>
      <c r="H2066" s="151"/>
      <c r="I2066" s="151"/>
      <c r="J2066" s="151">
        <f>18*5</f>
        <v>90</v>
      </c>
      <c r="K2066" s="151">
        <v>18</v>
      </c>
      <c r="L2066" s="1"/>
      <c r="M2066" s="73">
        <f t="shared" si="257"/>
        <v>0</v>
      </c>
      <c r="N2066" s="73">
        <f t="shared" si="262"/>
        <v>0</v>
      </c>
      <c r="O2066" s="73">
        <f t="shared" si="256"/>
        <v>0</v>
      </c>
      <c r="P2066" s="73">
        <f t="shared" si="258"/>
        <v>0</v>
      </c>
      <c r="Q2066" s="73"/>
      <c r="R2066" s="73">
        <v>0</v>
      </c>
      <c r="S2066" s="75">
        <f t="shared" si="261"/>
        <v>0</v>
      </c>
      <c r="T2066" s="77">
        <v>0</v>
      </c>
      <c r="U2066" s="66">
        <v>40522</v>
      </c>
      <c r="V2066" s="79"/>
      <c r="W2066" s="66" t="s">
        <v>1585</v>
      </c>
      <c r="X2066" s="24" t="s">
        <v>1586</v>
      </c>
      <c r="Y2066" s="62"/>
      <c r="Z2066" s="169" t="s">
        <v>894</v>
      </c>
      <c r="AA2066" s="166" t="s">
        <v>17</v>
      </c>
      <c r="AB2066" s="152"/>
      <c r="AC2066" s="153"/>
      <c r="AD2066" s="154"/>
      <c r="AE2066" s="153"/>
      <c r="AF2066" s="153"/>
      <c r="AG2066" s="153"/>
      <c r="AH2066" s="153"/>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c r="BI2066" s="153"/>
      <c r="BJ2066" s="153"/>
      <c r="BK2066" s="153"/>
      <c r="BL2066" s="153"/>
      <c r="BM2066" s="153"/>
      <c r="BN2066" s="153"/>
      <c r="BO2066" s="153"/>
      <c r="BP2066" s="153"/>
      <c r="BQ2066" s="153"/>
      <c r="BR2066" s="153"/>
      <c r="BS2066" s="153"/>
      <c r="BT2066" s="153"/>
      <c r="BU2066" s="153"/>
      <c r="BV2066" s="153"/>
      <c r="BW2066" s="153"/>
      <c r="BX2066" s="153"/>
      <c r="BY2066" s="153"/>
      <c r="BZ2066" s="153"/>
      <c r="CA2066" s="153"/>
      <c r="CB2066" s="153"/>
      <c r="CC2066" s="153"/>
      <c r="CD2066" s="155"/>
      <c r="CE2066" s="156"/>
      <c r="CF2066" s="155"/>
      <c r="CG2066" s="156"/>
      <c r="CH2066" s="155"/>
      <c r="CI2066" s="156"/>
      <c r="CJ2066" s="157">
        <f t="shared" si="259"/>
        <v>0</v>
      </c>
      <c r="CK2066" s="158"/>
      <c r="CL2066" s="159"/>
      <c r="CM2066" s="160"/>
      <c r="CN2066" s="161"/>
      <c r="CO2066" s="162"/>
      <c r="CP2066" s="161"/>
      <c r="CQ2066" s="158"/>
      <c r="CR2066" s="159"/>
      <c r="CS2066" s="68"/>
      <c r="CT2066" s="163">
        <v>1528</v>
      </c>
      <c r="EC2066" s="366" t="str">
        <f t="shared" si="260"/>
        <v>SANTANDER_PUENTE NACIONAL</v>
      </c>
      <c r="ED2066" s="367"/>
      <c r="EE2066" s="367"/>
      <c r="EF2066" s="368"/>
      <c r="EG2066" s="367"/>
      <c r="EH2066" s="367"/>
      <c r="EI2066" s="367"/>
    </row>
    <row r="2067" spans="1:139" s="164" customFormat="1" ht="45">
      <c r="A2067" s="228">
        <v>40520</v>
      </c>
      <c r="B2067" s="205" t="s">
        <v>1314</v>
      </c>
      <c r="C2067" s="205" t="s">
        <v>2734</v>
      </c>
      <c r="D2067" s="207" t="s">
        <v>1878</v>
      </c>
      <c r="E2067" s="323" t="s">
        <v>3603</v>
      </c>
      <c r="F2067" s="323"/>
      <c r="G2067" s="204"/>
      <c r="H2067" s="151"/>
      <c r="I2067" s="151"/>
      <c r="J2067" s="151">
        <v>305</v>
      </c>
      <c r="K2067" s="151">
        <v>61</v>
      </c>
      <c r="L2067" s="1"/>
      <c r="M2067" s="73">
        <f t="shared" si="257"/>
        <v>0</v>
      </c>
      <c r="N2067" s="73">
        <f t="shared" si="262"/>
        <v>0</v>
      </c>
      <c r="O2067" s="73">
        <f t="shared" si="256"/>
        <v>0</v>
      </c>
      <c r="P2067" s="73">
        <f t="shared" si="258"/>
        <v>0</v>
      </c>
      <c r="Q2067" s="73"/>
      <c r="R2067" s="73">
        <v>0</v>
      </c>
      <c r="S2067" s="75">
        <f t="shared" si="261"/>
        <v>0</v>
      </c>
      <c r="T2067" s="77">
        <v>0</v>
      </c>
      <c r="U2067" s="66"/>
      <c r="V2067" s="79"/>
      <c r="W2067" s="66" t="s">
        <v>1606</v>
      </c>
      <c r="X2067" s="264" t="s">
        <v>1607</v>
      </c>
      <c r="Y2067" s="62"/>
      <c r="Z2067" s="260" t="s">
        <v>18</v>
      </c>
      <c r="AA2067" s="166" t="s">
        <v>902</v>
      </c>
      <c r="AB2067" s="152"/>
      <c r="AC2067" s="153"/>
      <c r="AD2067" s="154"/>
      <c r="AE2067" s="153"/>
      <c r="AF2067" s="153"/>
      <c r="AG2067" s="153"/>
      <c r="AH2067" s="153"/>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c r="BI2067" s="153"/>
      <c r="BJ2067" s="153"/>
      <c r="BK2067" s="153"/>
      <c r="BL2067" s="153"/>
      <c r="BM2067" s="153"/>
      <c r="BN2067" s="153"/>
      <c r="BO2067" s="153"/>
      <c r="BP2067" s="153"/>
      <c r="BQ2067" s="153"/>
      <c r="BR2067" s="153"/>
      <c r="BS2067" s="153"/>
      <c r="BT2067" s="153"/>
      <c r="BU2067" s="153"/>
      <c r="BV2067" s="153"/>
      <c r="BW2067" s="153"/>
      <c r="BX2067" s="153"/>
      <c r="BY2067" s="153"/>
      <c r="BZ2067" s="153"/>
      <c r="CA2067" s="153"/>
      <c r="CB2067" s="153"/>
      <c r="CC2067" s="153"/>
      <c r="CD2067" s="155"/>
      <c r="CE2067" s="156"/>
      <c r="CF2067" s="155"/>
      <c r="CG2067" s="156"/>
      <c r="CH2067" s="155"/>
      <c r="CI2067" s="156"/>
      <c r="CJ2067" s="157">
        <f t="shared" si="259"/>
        <v>0</v>
      </c>
      <c r="CK2067" s="158"/>
      <c r="CL2067" s="159"/>
      <c r="CM2067" s="160"/>
      <c r="CN2067" s="161"/>
      <c r="CO2067" s="162"/>
      <c r="CP2067" s="161"/>
      <c r="CQ2067" s="158"/>
      <c r="CR2067" s="159"/>
      <c r="CS2067" s="68" t="s">
        <v>3006</v>
      </c>
      <c r="CT2067" s="163"/>
      <c r="EC2067" s="366" t="str">
        <f t="shared" si="260"/>
        <v>CAUCA_LA VEGA</v>
      </c>
      <c r="ED2067" s="367"/>
      <c r="EE2067" s="367"/>
      <c r="EF2067" s="368"/>
      <c r="EG2067" s="367"/>
      <c r="EH2067" s="367"/>
      <c r="EI2067" s="367"/>
    </row>
    <row r="2068" spans="1:139" s="164" customFormat="1" ht="45">
      <c r="A2068" s="228">
        <v>40520</v>
      </c>
      <c r="B2068" s="102" t="s">
        <v>4321</v>
      </c>
      <c r="C2068" s="205" t="s">
        <v>699</v>
      </c>
      <c r="D2068" s="207" t="s">
        <v>1201</v>
      </c>
      <c r="E2068" s="323" t="s">
        <v>3860</v>
      </c>
      <c r="F2068" s="323"/>
      <c r="G2068" s="204">
        <v>2</v>
      </c>
      <c r="H2068" s="151"/>
      <c r="I2068" s="151"/>
      <c r="J2068" s="151"/>
      <c r="K2068" s="151"/>
      <c r="L2068" s="1"/>
      <c r="M2068" s="73">
        <f t="shared" si="257"/>
        <v>0</v>
      </c>
      <c r="N2068" s="73">
        <f t="shared" si="262"/>
        <v>0</v>
      </c>
      <c r="O2068" s="73">
        <f t="shared" si="256"/>
        <v>0</v>
      </c>
      <c r="P2068" s="73">
        <f t="shared" si="258"/>
        <v>0</v>
      </c>
      <c r="Q2068" s="73"/>
      <c r="R2068" s="73">
        <v>0</v>
      </c>
      <c r="S2068" s="75">
        <f t="shared" si="261"/>
        <v>0</v>
      </c>
      <c r="T2068" s="77">
        <v>0</v>
      </c>
      <c r="U2068" s="66"/>
      <c r="V2068" s="79"/>
      <c r="W2068" s="66" t="s">
        <v>1606</v>
      </c>
      <c r="X2068" s="264" t="s">
        <v>1607</v>
      </c>
      <c r="Y2068" s="62"/>
      <c r="Z2068" s="260" t="s">
        <v>18</v>
      </c>
      <c r="AA2068" s="166" t="s">
        <v>382</v>
      </c>
      <c r="AB2068" s="152"/>
      <c r="AC2068" s="153"/>
      <c r="AD2068" s="154"/>
      <c r="AE2068" s="153"/>
      <c r="AF2068" s="153"/>
      <c r="AG2068" s="153"/>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c r="BI2068" s="153"/>
      <c r="BJ2068" s="153"/>
      <c r="BK2068" s="153"/>
      <c r="BL2068" s="153"/>
      <c r="BM2068" s="153"/>
      <c r="BN2068" s="153"/>
      <c r="BO2068" s="153"/>
      <c r="BP2068" s="153"/>
      <c r="BQ2068" s="153"/>
      <c r="BR2068" s="153"/>
      <c r="BS2068" s="153"/>
      <c r="BT2068" s="153"/>
      <c r="BU2068" s="153"/>
      <c r="BV2068" s="153"/>
      <c r="BW2068" s="153"/>
      <c r="BX2068" s="153"/>
      <c r="BY2068" s="153"/>
      <c r="BZ2068" s="153"/>
      <c r="CA2068" s="153"/>
      <c r="CB2068" s="153"/>
      <c r="CC2068" s="153"/>
      <c r="CD2068" s="155"/>
      <c r="CE2068" s="156"/>
      <c r="CF2068" s="155"/>
      <c r="CG2068" s="156"/>
      <c r="CH2068" s="155"/>
      <c r="CI2068" s="156"/>
      <c r="CJ2068" s="157">
        <f t="shared" si="259"/>
        <v>0</v>
      </c>
      <c r="CK2068" s="158"/>
      <c r="CL2068" s="159"/>
      <c r="CM2068" s="160"/>
      <c r="CN2068" s="161"/>
      <c r="CO2068" s="162"/>
      <c r="CP2068" s="161"/>
      <c r="CQ2068" s="158"/>
      <c r="CR2068" s="159"/>
      <c r="CS2068" s="68"/>
      <c r="CT2068" s="163"/>
      <c r="EC2068" s="366" t="str">
        <f t="shared" si="260"/>
        <v>LA GUAJIRA_RIOHACHA</v>
      </c>
      <c r="ED2068" s="367"/>
      <c r="EE2068" s="367"/>
      <c r="EF2068" s="368"/>
      <c r="EG2068" s="367"/>
      <c r="EH2068" s="367"/>
      <c r="EI2068" s="367"/>
    </row>
    <row r="2069" spans="1:139" s="164" customFormat="1" ht="25.5">
      <c r="A2069" s="228">
        <v>40521</v>
      </c>
      <c r="B2069" s="205" t="s">
        <v>653</v>
      </c>
      <c r="C2069" s="205" t="s">
        <v>2925</v>
      </c>
      <c r="D2069" s="207" t="s">
        <v>1878</v>
      </c>
      <c r="E2069" s="323" t="s">
        <v>3564</v>
      </c>
      <c r="F2069" s="323"/>
      <c r="G2069" s="204">
        <v>3</v>
      </c>
      <c r="H2069" s="151">
        <v>13</v>
      </c>
      <c r="I2069" s="151"/>
      <c r="J2069" s="151">
        <f>394*5</f>
        <v>1970</v>
      </c>
      <c r="K2069" s="151">
        <f>194+200</f>
        <v>394</v>
      </c>
      <c r="L2069" s="1"/>
      <c r="M2069" s="73">
        <f t="shared" si="257"/>
        <v>0</v>
      </c>
      <c r="N2069" s="73">
        <f t="shared" si="262"/>
        <v>0</v>
      </c>
      <c r="O2069" s="73">
        <f t="shared" si="256"/>
        <v>0</v>
      </c>
      <c r="P2069" s="73">
        <f t="shared" si="258"/>
        <v>0</v>
      </c>
      <c r="Q2069" s="73"/>
      <c r="R2069" s="73">
        <v>0</v>
      </c>
      <c r="S2069" s="75">
        <f t="shared" si="261"/>
        <v>0</v>
      </c>
      <c r="T2069" s="77">
        <v>0</v>
      </c>
      <c r="U2069" s="66"/>
      <c r="V2069" s="79"/>
      <c r="W2069" s="66" t="s">
        <v>1606</v>
      </c>
      <c r="X2069" s="24" t="s">
        <v>1607</v>
      </c>
      <c r="Y2069" s="62"/>
      <c r="Z2069" s="176" t="s">
        <v>3056</v>
      </c>
      <c r="AA2069" s="166" t="s">
        <v>2926</v>
      </c>
      <c r="AB2069" s="152"/>
      <c r="AC2069" s="153"/>
      <c r="AD2069" s="154"/>
      <c r="AE2069" s="153"/>
      <c r="AF2069" s="153"/>
      <c r="AG2069" s="153"/>
      <c r="AH2069" s="153"/>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c r="BI2069" s="153"/>
      <c r="BJ2069" s="153"/>
      <c r="BK2069" s="153"/>
      <c r="BL2069" s="153"/>
      <c r="BM2069" s="153"/>
      <c r="BN2069" s="153"/>
      <c r="BO2069" s="153"/>
      <c r="BP2069" s="153"/>
      <c r="BQ2069" s="153"/>
      <c r="BR2069" s="153"/>
      <c r="BS2069" s="153"/>
      <c r="BT2069" s="153"/>
      <c r="BU2069" s="153"/>
      <c r="BV2069" s="153"/>
      <c r="BW2069" s="153"/>
      <c r="BX2069" s="153"/>
      <c r="BY2069" s="153"/>
      <c r="BZ2069" s="153"/>
      <c r="CA2069" s="153"/>
      <c r="CB2069" s="153"/>
      <c r="CC2069" s="153"/>
      <c r="CD2069" s="155"/>
      <c r="CE2069" s="156"/>
      <c r="CF2069" s="155"/>
      <c r="CG2069" s="156"/>
      <c r="CH2069" s="155"/>
      <c r="CI2069" s="156"/>
      <c r="CJ2069" s="157">
        <f t="shared" si="259"/>
        <v>0</v>
      </c>
      <c r="CK2069" s="158"/>
      <c r="CL2069" s="159"/>
      <c r="CM2069" s="160"/>
      <c r="CN2069" s="161"/>
      <c r="CO2069" s="162"/>
      <c r="CP2069" s="161"/>
      <c r="CQ2069" s="158"/>
      <c r="CR2069" s="159"/>
      <c r="CS2069" s="68"/>
      <c r="CT2069" s="163"/>
      <c r="EC2069" s="366" t="str">
        <f t="shared" si="260"/>
        <v>CALDAS_SAMANA</v>
      </c>
      <c r="ED2069" s="367"/>
      <c r="EE2069" s="367"/>
      <c r="EF2069" s="368"/>
      <c r="EG2069" s="367"/>
      <c r="EH2069" s="367"/>
      <c r="EI2069" s="367"/>
    </row>
    <row r="2070" spans="1:139" s="164" customFormat="1" ht="38.25">
      <c r="A2070" s="228">
        <v>40521</v>
      </c>
      <c r="B2070" s="205" t="s">
        <v>1996</v>
      </c>
      <c r="C2070" s="205" t="s">
        <v>2675</v>
      </c>
      <c r="D2070" s="207" t="s">
        <v>1201</v>
      </c>
      <c r="E2070" s="323" t="s">
        <v>3802</v>
      </c>
      <c r="F2070" s="323"/>
      <c r="G2070" s="204">
        <v>1</v>
      </c>
      <c r="H2070" s="151">
        <v>2</v>
      </c>
      <c r="I2070" s="151"/>
      <c r="J2070" s="151"/>
      <c r="K2070" s="151"/>
      <c r="L2070" s="1"/>
      <c r="M2070" s="73">
        <f t="shared" si="257"/>
        <v>40848000</v>
      </c>
      <c r="N2070" s="73">
        <f t="shared" si="262"/>
        <v>113560000</v>
      </c>
      <c r="O2070" s="73">
        <f t="shared" si="256"/>
        <v>0</v>
      </c>
      <c r="P2070" s="73">
        <f t="shared" si="258"/>
        <v>0</v>
      </c>
      <c r="Q2070" s="73"/>
      <c r="R2070" s="73">
        <v>0</v>
      </c>
      <c r="S2070" s="75">
        <f t="shared" si="261"/>
        <v>154408000</v>
      </c>
      <c r="T2070" s="77">
        <v>0</v>
      </c>
      <c r="U2070" s="228"/>
      <c r="V2070" s="79"/>
      <c r="W2070" s="66" t="s">
        <v>1606</v>
      </c>
      <c r="X2070" s="24" t="s">
        <v>1607</v>
      </c>
      <c r="Y2070" s="62"/>
      <c r="Z2070" s="169"/>
      <c r="AA2070" s="166" t="s">
        <v>523</v>
      </c>
      <c r="AB2070" s="152"/>
      <c r="AC2070" s="153"/>
      <c r="AD2070" s="154"/>
      <c r="AE2070" s="153"/>
      <c r="AF2070" s="153"/>
      <c r="AG2070" s="153"/>
      <c r="AH2070" s="153"/>
      <c r="AI2070" s="153"/>
      <c r="AJ2070" s="153"/>
      <c r="AK2070" s="153"/>
      <c r="AL2070" s="153"/>
      <c r="AM2070" s="153"/>
      <c r="AN2070" s="153"/>
      <c r="AO2070" s="153"/>
      <c r="AP2070" s="153">
        <v>300</v>
      </c>
      <c r="AQ2070" s="153">
        <f>300*56000</f>
        <v>16800000</v>
      </c>
      <c r="AR2070" s="153"/>
      <c r="AS2070" s="153"/>
      <c r="AT2070" s="153"/>
      <c r="AU2070" s="153"/>
      <c r="AV2070" s="153"/>
      <c r="AW2070" s="153"/>
      <c r="AX2070" s="153"/>
      <c r="AY2070" s="153"/>
      <c r="AZ2070" s="153"/>
      <c r="BA2070" s="153"/>
      <c r="BB2070" s="153"/>
      <c r="BC2070" s="153"/>
      <c r="BD2070" s="153"/>
      <c r="BE2070" s="153"/>
      <c r="BF2070" s="153"/>
      <c r="BG2070" s="153"/>
      <c r="BH2070" s="153"/>
      <c r="BI2070" s="153"/>
      <c r="BJ2070" s="153"/>
      <c r="BK2070" s="153"/>
      <c r="BL2070" s="153"/>
      <c r="BM2070" s="153"/>
      <c r="BN2070" s="153"/>
      <c r="BO2070" s="153"/>
      <c r="BP2070" s="153"/>
      <c r="BQ2070" s="153"/>
      <c r="BR2070" s="153"/>
      <c r="BS2070" s="153"/>
      <c r="BT2070" s="153"/>
      <c r="BU2070" s="153"/>
      <c r="BV2070" s="153"/>
      <c r="BW2070" s="153"/>
      <c r="BX2070" s="153"/>
      <c r="BY2070" s="153"/>
      <c r="BZ2070" s="153"/>
      <c r="CA2070" s="153"/>
      <c r="CB2070" s="153">
        <v>1336</v>
      </c>
      <c r="CC2070" s="153">
        <f>1336*18000</f>
        <v>24048000</v>
      </c>
      <c r="CD2070" s="155"/>
      <c r="CE2070" s="156"/>
      <c r="CF2070" s="155"/>
      <c r="CG2070" s="156"/>
      <c r="CH2070" s="155"/>
      <c r="CI2070" s="156"/>
      <c r="CJ2070" s="157">
        <f t="shared" si="259"/>
        <v>40848000</v>
      </c>
      <c r="CK2070" s="158"/>
      <c r="CL2070" s="159"/>
      <c r="CM2070" s="160">
        <v>1336</v>
      </c>
      <c r="CN2070" s="161">
        <f>1336*85000</f>
        <v>113560000</v>
      </c>
      <c r="CO2070" s="162"/>
      <c r="CP2070" s="161"/>
      <c r="CQ2070" s="158"/>
      <c r="CR2070" s="159"/>
      <c r="CS2070" s="68"/>
      <c r="CT2070" s="163"/>
      <c r="EC2070" s="366" t="str">
        <f t="shared" si="260"/>
        <v>CHOCO_CARMEN DEL DARIEN</v>
      </c>
      <c r="ED2070" s="367"/>
      <c r="EE2070" s="367"/>
      <c r="EF2070" s="368"/>
      <c r="EG2070" s="367"/>
      <c r="EH2070" s="367"/>
      <c r="EI2070" s="367"/>
    </row>
    <row r="2071" spans="1:139" s="164" customFormat="1" ht="48">
      <c r="A2071" s="228">
        <v>40521</v>
      </c>
      <c r="B2071" s="102" t="s">
        <v>1295</v>
      </c>
      <c r="C2071" s="205" t="s">
        <v>685</v>
      </c>
      <c r="D2071" s="207" t="s">
        <v>1201</v>
      </c>
      <c r="E2071" s="323" t="s">
        <v>3657</v>
      </c>
      <c r="F2071" s="323"/>
      <c r="G2071" s="204"/>
      <c r="H2071" s="151"/>
      <c r="I2071" s="151"/>
      <c r="J2071" s="151">
        <f>2444*3</f>
        <v>7332</v>
      </c>
      <c r="K2071" s="151">
        <f>2376+68</f>
        <v>2444</v>
      </c>
      <c r="L2071" s="1"/>
      <c r="M2071" s="73">
        <f t="shared" si="257"/>
        <v>0</v>
      </c>
      <c r="N2071" s="73">
        <f t="shared" si="262"/>
        <v>0</v>
      </c>
      <c r="O2071" s="73">
        <f t="shared" si="256"/>
        <v>0</v>
      </c>
      <c r="P2071" s="73">
        <f t="shared" si="258"/>
        <v>0</v>
      </c>
      <c r="Q2071" s="73"/>
      <c r="R2071" s="73">
        <v>0</v>
      </c>
      <c r="S2071" s="75">
        <f t="shared" si="261"/>
        <v>0</v>
      </c>
      <c r="T2071" s="77">
        <v>0</v>
      </c>
      <c r="U2071" s="228">
        <v>40521</v>
      </c>
      <c r="V2071" s="79"/>
      <c r="W2071" s="66" t="s">
        <v>1606</v>
      </c>
      <c r="X2071" s="264" t="s">
        <v>1607</v>
      </c>
      <c r="Y2071" s="62"/>
      <c r="Z2071" s="260" t="s">
        <v>18</v>
      </c>
      <c r="AA2071" s="166" t="s">
        <v>3014</v>
      </c>
      <c r="AB2071" s="152"/>
      <c r="AC2071" s="153"/>
      <c r="AD2071" s="154"/>
      <c r="AE2071" s="153"/>
      <c r="AF2071" s="153"/>
      <c r="AG2071" s="153"/>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c r="BI2071" s="153"/>
      <c r="BJ2071" s="153"/>
      <c r="BK2071" s="153"/>
      <c r="BL2071" s="153"/>
      <c r="BM2071" s="153"/>
      <c r="BN2071" s="153"/>
      <c r="BO2071" s="153"/>
      <c r="BP2071" s="153"/>
      <c r="BQ2071" s="153"/>
      <c r="BR2071" s="153"/>
      <c r="BS2071" s="153"/>
      <c r="BT2071" s="153"/>
      <c r="BU2071" s="153"/>
      <c r="BV2071" s="153"/>
      <c r="BW2071" s="153"/>
      <c r="BX2071" s="153"/>
      <c r="BY2071" s="153"/>
      <c r="BZ2071" s="153"/>
      <c r="CA2071" s="153"/>
      <c r="CB2071" s="153"/>
      <c r="CC2071" s="153"/>
      <c r="CD2071" s="155"/>
      <c r="CE2071" s="156"/>
      <c r="CF2071" s="155"/>
      <c r="CG2071" s="156"/>
      <c r="CH2071" s="155"/>
      <c r="CI2071" s="156"/>
      <c r="CJ2071" s="157">
        <f t="shared" si="259"/>
        <v>0</v>
      </c>
      <c r="CK2071" s="158"/>
      <c r="CL2071" s="159"/>
      <c r="CM2071" s="160"/>
      <c r="CN2071" s="161"/>
      <c r="CO2071" s="162"/>
      <c r="CP2071" s="161"/>
      <c r="CQ2071" s="158"/>
      <c r="CR2071" s="159"/>
      <c r="CS2071" s="68"/>
      <c r="CT2071" s="163"/>
      <c r="EC2071" s="366" t="str">
        <f t="shared" si="260"/>
        <v>CORDOBA_CERETE</v>
      </c>
      <c r="ED2071" s="367"/>
      <c r="EE2071" s="367"/>
      <c r="EF2071" s="368"/>
      <c r="EG2071" s="367"/>
      <c r="EH2071" s="367"/>
      <c r="EI2071" s="367"/>
    </row>
    <row r="2072" spans="1:139" s="164" customFormat="1" ht="63.75">
      <c r="A2072" s="228">
        <v>40521</v>
      </c>
      <c r="B2072" s="102" t="s">
        <v>1295</v>
      </c>
      <c r="C2072" s="205" t="s">
        <v>966</v>
      </c>
      <c r="D2072" s="207" t="s">
        <v>2606</v>
      </c>
      <c r="E2072" s="323" t="s">
        <v>3676</v>
      </c>
      <c r="F2072" s="323"/>
      <c r="G2072" s="204"/>
      <c r="H2072" s="151"/>
      <c r="I2072" s="151"/>
      <c r="J2072" s="151">
        <v>450</v>
      </c>
      <c r="K2072" s="151">
        <v>90</v>
      </c>
      <c r="L2072" s="1"/>
      <c r="M2072" s="73">
        <f t="shared" si="257"/>
        <v>0</v>
      </c>
      <c r="N2072" s="73">
        <f t="shared" si="262"/>
        <v>198135000</v>
      </c>
      <c r="O2072" s="73">
        <f t="shared" si="256"/>
        <v>0</v>
      </c>
      <c r="P2072" s="73">
        <f t="shared" si="258"/>
        <v>0</v>
      </c>
      <c r="Q2072" s="73"/>
      <c r="R2072" s="73">
        <v>0</v>
      </c>
      <c r="S2072" s="75">
        <f t="shared" si="261"/>
        <v>198135000</v>
      </c>
      <c r="T2072" s="77">
        <v>0</v>
      </c>
      <c r="U2072" s="228"/>
      <c r="V2072" s="79"/>
      <c r="W2072" s="66" t="s">
        <v>1606</v>
      </c>
      <c r="X2072" s="24" t="s">
        <v>1607</v>
      </c>
      <c r="Y2072" s="62"/>
      <c r="Z2072" s="169"/>
      <c r="AA2072" s="166" t="s">
        <v>3008</v>
      </c>
      <c r="AB2072" s="152"/>
      <c r="AC2072" s="153"/>
      <c r="AD2072" s="154"/>
      <c r="AE2072" s="153"/>
      <c r="AF2072" s="153"/>
      <c r="AG2072" s="153"/>
      <c r="AH2072" s="153"/>
      <c r="AI2072" s="153"/>
      <c r="AJ2072" s="153"/>
      <c r="AK2072" s="153"/>
      <c r="AL2072" s="153"/>
      <c r="AM2072" s="153"/>
      <c r="AN2072" s="153"/>
      <c r="AO2072" s="153"/>
      <c r="AP2072" s="153"/>
      <c r="AQ2072" s="153"/>
      <c r="AR2072" s="153"/>
      <c r="AS2072" s="153"/>
      <c r="AT2072" s="153"/>
      <c r="AU2072" s="153"/>
      <c r="AV2072" s="153"/>
      <c r="AW2072" s="153"/>
      <c r="AX2072" s="153"/>
      <c r="AY2072" s="153"/>
      <c r="AZ2072" s="153"/>
      <c r="BA2072" s="153"/>
      <c r="BB2072" s="153"/>
      <c r="BC2072" s="153"/>
      <c r="BD2072" s="153"/>
      <c r="BE2072" s="153"/>
      <c r="BF2072" s="153"/>
      <c r="BG2072" s="153"/>
      <c r="BH2072" s="153"/>
      <c r="BI2072" s="153"/>
      <c r="BJ2072" s="153"/>
      <c r="BK2072" s="153"/>
      <c r="BL2072" s="153"/>
      <c r="BM2072" s="153"/>
      <c r="BN2072" s="153"/>
      <c r="BO2072" s="153"/>
      <c r="BP2072" s="153"/>
      <c r="BQ2072" s="153"/>
      <c r="BR2072" s="153"/>
      <c r="BS2072" s="153"/>
      <c r="BT2072" s="153"/>
      <c r="BU2072" s="153"/>
      <c r="BV2072" s="153"/>
      <c r="BW2072" s="153"/>
      <c r="BX2072" s="153"/>
      <c r="BY2072" s="153"/>
      <c r="BZ2072" s="153"/>
      <c r="CA2072" s="153"/>
      <c r="CB2072" s="153"/>
      <c r="CC2072" s="153"/>
      <c r="CD2072" s="155"/>
      <c r="CE2072" s="156"/>
      <c r="CF2072" s="155"/>
      <c r="CG2072" s="156"/>
      <c r="CH2072" s="155"/>
      <c r="CI2072" s="156"/>
      <c r="CJ2072" s="157">
        <f t="shared" si="259"/>
        <v>0</v>
      </c>
      <c r="CK2072" s="158"/>
      <c r="CL2072" s="159"/>
      <c r="CM2072" s="160">
        <v>2331</v>
      </c>
      <c r="CN2072" s="161">
        <f>2331*85000</f>
        <v>198135000</v>
      </c>
      <c r="CO2072" s="162"/>
      <c r="CP2072" s="161"/>
      <c r="CQ2072" s="158"/>
      <c r="CR2072" s="159"/>
      <c r="CS2072" s="68"/>
      <c r="CT2072" s="163"/>
      <c r="EC2072" s="366" t="str">
        <f t="shared" si="260"/>
        <v>CORDOBA_SAN BERNARDO DEL VIENTO</v>
      </c>
      <c r="ED2072" s="367"/>
      <c r="EE2072" s="367"/>
      <c r="EF2072" s="368"/>
      <c r="EG2072" s="367"/>
      <c r="EH2072" s="367"/>
      <c r="EI2072" s="367"/>
    </row>
    <row r="2073" spans="1:139" s="164" customFormat="1" ht="38.25">
      <c r="A2073" s="228">
        <v>40521</v>
      </c>
      <c r="B2073" s="205" t="s">
        <v>1604</v>
      </c>
      <c r="C2073" s="205" t="s">
        <v>7</v>
      </c>
      <c r="D2073" s="207" t="s">
        <v>1201</v>
      </c>
      <c r="E2073" s="323" t="s">
        <v>3718</v>
      </c>
      <c r="F2073" s="323"/>
      <c r="G2073" s="204"/>
      <c r="H2073" s="151"/>
      <c r="I2073" s="151"/>
      <c r="J2073" s="151">
        <v>145</v>
      </c>
      <c r="K2073" s="151">
        <v>35</v>
      </c>
      <c r="L2073" s="1"/>
      <c r="M2073" s="73">
        <f t="shared" si="257"/>
        <v>0</v>
      </c>
      <c r="N2073" s="73">
        <f t="shared" si="262"/>
        <v>0</v>
      </c>
      <c r="O2073" s="73">
        <f t="shared" si="256"/>
        <v>0</v>
      </c>
      <c r="P2073" s="73">
        <f t="shared" si="258"/>
        <v>0</v>
      </c>
      <c r="Q2073" s="73"/>
      <c r="R2073" s="73">
        <v>0</v>
      </c>
      <c r="S2073" s="75">
        <f t="shared" si="261"/>
        <v>0</v>
      </c>
      <c r="T2073" s="77">
        <v>0</v>
      </c>
      <c r="U2073" s="66">
        <v>40521</v>
      </c>
      <c r="V2073" s="79"/>
      <c r="W2073" s="66" t="s">
        <v>1585</v>
      </c>
      <c r="X2073" s="24" t="s">
        <v>1586</v>
      </c>
      <c r="Y2073" s="62"/>
      <c r="Z2073" s="169" t="s">
        <v>894</v>
      </c>
      <c r="AA2073" s="166" t="s">
        <v>8</v>
      </c>
      <c r="AB2073" s="152"/>
      <c r="AC2073" s="153"/>
      <c r="AD2073" s="154"/>
      <c r="AE2073" s="153"/>
      <c r="AF2073" s="153"/>
      <c r="AG2073" s="153"/>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c r="BI2073" s="153"/>
      <c r="BJ2073" s="153"/>
      <c r="BK2073" s="153"/>
      <c r="BL2073" s="153"/>
      <c r="BM2073" s="153"/>
      <c r="BN2073" s="153"/>
      <c r="BO2073" s="153"/>
      <c r="BP2073" s="153"/>
      <c r="BQ2073" s="153"/>
      <c r="BR2073" s="153"/>
      <c r="BS2073" s="153"/>
      <c r="BT2073" s="153"/>
      <c r="BU2073" s="153"/>
      <c r="BV2073" s="153"/>
      <c r="BW2073" s="153"/>
      <c r="BX2073" s="153"/>
      <c r="BY2073" s="153"/>
      <c r="BZ2073" s="153"/>
      <c r="CA2073" s="153"/>
      <c r="CB2073" s="153"/>
      <c r="CC2073" s="153"/>
      <c r="CD2073" s="155"/>
      <c r="CE2073" s="156"/>
      <c r="CF2073" s="155"/>
      <c r="CG2073" s="156"/>
      <c r="CH2073" s="155"/>
      <c r="CI2073" s="156"/>
      <c r="CJ2073" s="157">
        <f t="shared" si="259"/>
        <v>0</v>
      </c>
      <c r="CK2073" s="158"/>
      <c r="CL2073" s="159"/>
      <c r="CM2073" s="160"/>
      <c r="CN2073" s="161"/>
      <c r="CO2073" s="162"/>
      <c r="CP2073" s="161"/>
      <c r="CQ2073" s="158"/>
      <c r="CR2073" s="159"/>
      <c r="CS2073" s="68"/>
      <c r="CT2073" s="163"/>
      <c r="EC2073" s="366" t="str">
        <f t="shared" si="260"/>
        <v>CUNDINAMARCA_GUATAQUI</v>
      </c>
      <c r="ED2073" s="367"/>
      <c r="EE2073" s="367"/>
      <c r="EF2073" s="368"/>
      <c r="EG2073" s="367"/>
      <c r="EH2073" s="367"/>
      <c r="EI2073" s="367"/>
    </row>
    <row r="2074" spans="1:139" s="164" customFormat="1" ht="108">
      <c r="A2074" s="228">
        <v>40521</v>
      </c>
      <c r="B2074" s="205" t="s">
        <v>1440</v>
      </c>
      <c r="C2074" s="205" t="s">
        <v>1605</v>
      </c>
      <c r="D2074" s="207" t="s">
        <v>1201</v>
      </c>
      <c r="E2074" s="323" t="s">
        <v>3162</v>
      </c>
      <c r="F2074" s="323"/>
      <c r="G2074" s="204"/>
      <c r="H2074" s="151"/>
      <c r="I2074" s="151"/>
      <c r="J2074" s="151"/>
      <c r="K2074" s="151"/>
      <c r="L2074" s="1">
        <v>40528</v>
      </c>
      <c r="M2074" s="73">
        <f t="shared" si="257"/>
        <v>0</v>
      </c>
      <c r="N2074" s="73">
        <f t="shared" si="262"/>
        <v>170000000</v>
      </c>
      <c r="O2074" s="73">
        <f t="shared" si="256"/>
        <v>0</v>
      </c>
      <c r="P2074" s="73">
        <f t="shared" si="258"/>
        <v>270048000</v>
      </c>
      <c r="Q2074" s="73"/>
      <c r="R2074" s="73">
        <v>584840000</v>
      </c>
      <c r="S2074" s="75">
        <f t="shared" si="261"/>
        <v>1024888000</v>
      </c>
      <c r="T2074" s="77">
        <v>0</v>
      </c>
      <c r="U2074" s="66">
        <v>40521</v>
      </c>
      <c r="V2074" s="79"/>
      <c r="W2074" s="66" t="s">
        <v>1606</v>
      </c>
      <c r="X2074" s="24" t="s">
        <v>1607</v>
      </c>
      <c r="Y2074" s="62">
        <v>47575</v>
      </c>
      <c r="Z2074" s="169"/>
      <c r="AA2074" s="170" t="s">
        <v>529</v>
      </c>
      <c r="AB2074" s="152"/>
      <c r="AC2074" s="153"/>
      <c r="AD2074" s="154"/>
      <c r="AE2074" s="153"/>
      <c r="AF2074" s="153"/>
      <c r="AG2074" s="153"/>
      <c r="AH2074" s="153"/>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c r="BI2074" s="153"/>
      <c r="BJ2074" s="153"/>
      <c r="BK2074" s="153"/>
      <c r="BL2074" s="153"/>
      <c r="BM2074" s="153"/>
      <c r="BN2074" s="153"/>
      <c r="BO2074" s="153"/>
      <c r="BP2074" s="153"/>
      <c r="BQ2074" s="153"/>
      <c r="BR2074" s="153"/>
      <c r="BS2074" s="153"/>
      <c r="BT2074" s="153"/>
      <c r="BU2074" s="153"/>
      <c r="BV2074" s="153"/>
      <c r="BW2074" s="153"/>
      <c r="BX2074" s="153"/>
      <c r="BY2074" s="153"/>
      <c r="BZ2074" s="153"/>
      <c r="CA2074" s="153"/>
      <c r="CB2074" s="153"/>
      <c r="CC2074" s="153"/>
      <c r="CD2074" s="155"/>
      <c r="CE2074" s="156"/>
      <c r="CF2074" s="155"/>
      <c r="CG2074" s="156"/>
      <c r="CH2074" s="155"/>
      <c r="CI2074" s="156"/>
      <c r="CJ2074" s="157">
        <f t="shared" si="259"/>
        <v>0</v>
      </c>
      <c r="CK2074" s="158">
        <f>200000+100000</f>
        <v>300000</v>
      </c>
      <c r="CL2074" s="159">
        <f>200000*900.16+100000*900.16</f>
        <v>270048000</v>
      </c>
      <c r="CM2074" s="160">
        <v>2000</v>
      </c>
      <c r="CN2074" s="161">
        <f>2000*85000</f>
        <v>170000000</v>
      </c>
      <c r="CO2074" s="162"/>
      <c r="CP2074" s="161"/>
      <c r="CQ2074" s="158"/>
      <c r="CR2074" s="159"/>
      <c r="CS2074" s="68"/>
      <c r="CT2074" s="163"/>
      <c r="EC2074" s="366" t="str">
        <f t="shared" si="260"/>
        <v>MAGDALENA_DEPARTAMENTO</v>
      </c>
      <c r="ED2074" s="367"/>
      <c r="EE2074" s="367"/>
      <c r="EF2074" s="368"/>
      <c r="EG2074" s="367"/>
      <c r="EH2074" s="367"/>
      <c r="EI2074" s="367"/>
    </row>
    <row r="2075" spans="1:139" s="164" customFormat="1" ht="38.25">
      <c r="A2075" s="228">
        <v>40521</v>
      </c>
      <c r="B2075" s="205" t="s">
        <v>1440</v>
      </c>
      <c r="C2075" s="205" t="s">
        <v>3167</v>
      </c>
      <c r="D2075" s="207" t="s">
        <v>2606</v>
      </c>
      <c r="E2075" s="323" t="s">
        <v>3901</v>
      </c>
      <c r="F2075" s="323"/>
      <c r="G2075" s="204"/>
      <c r="H2075" s="151"/>
      <c r="I2075" s="151"/>
      <c r="J2075" s="151"/>
      <c r="K2075" s="151"/>
      <c r="L2075" s="1"/>
      <c r="M2075" s="73">
        <f t="shared" si="257"/>
        <v>0</v>
      </c>
      <c r="N2075" s="73">
        <f t="shared" si="262"/>
        <v>0</v>
      </c>
      <c r="O2075" s="73">
        <f t="shared" si="256"/>
        <v>0</v>
      </c>
      <c r="P2075" s="73">
        <f t="shared" si="258"/>
        <v>0</v>
      </c>
      <c r="Q2075" s="73"/>
      <c r="R2075" s="73">
        <v>0</v>
      </c>
      <c r="S2075" s="75">
        <f t="shared" si="261"/>
        <v>0</v>
      </c>
      <c r="T2075" s="77">
        <v>0</v>
      </c>
      <c r="U2075" s="228">
        <v>40521</v>
      </c>
      <c r="V2075" s="79"/>
      <c r="W2075" s="66" t="s">
        <v>1585</v>
      </c>
      <c r="X2075" s="24" t="s">
        <v>1586</v>
      </c>
      <c r="Y2075" s="62"/>
      <c r="Z2075" s="169" t="s">
        <v>894</v>
      </c>
      <c r="AA2075" s="166" t="s">
        <v>755</v>
      </c>
      <c r="AB2075" s="152"/>
      <c r="AC2075" s="153"/>
      <c r="AD2075" s="154"/>
      <c r="AE2075" s="153"/>
      <c r="AF2075" s="153"/>
      <c r="AG2075" s="153"/>
      <c r="AH2075" s="153"/>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c r="BI2075" s="153"/>
      <c r="BJ2075" s="153"/>
      <c r="BK2075" s="153"/>
      <c r="BL2075" s="153"/>
      <c r="BM2075" s="153"/>
      <c r="BN2075" s="153"/>
      <c r="BO2075" s="153"/>
      <c r="BP2075" s="153"/>
      <c r="BQ2075" s="153"/>
      <c r="BR2075" s="153"/>
      <c r="BS2075" s="153"/>
      <c r="BT2075" s="153"/>
      <c r="BU2075" s="153"/>
      <c r="BV2075" s="153"/>
      <c r="BW2075" s="153"/>
      <c r="BX2075" s="153"/>
      <c r="BY2075" s="153"/>
      <c r="BZ2075" s="153"/>
      <c r="CA2075" s="153"/>
      <c r="CB2075" s="153"/>
      <c r="CC2075" s="153"/>
      <c r="CD2075" s="155"/>
      <c r="CE2075" s="156"/>
      <c r="CF2075" s="155"/>
      <c r="CG2075" s="156"/>
      <c r="CH2075" s="155"/>
      <c r="CI2075" s="156"/>
      <c r="CJ2075" s="157">
        <f t="shared" si="259"/>
        <v>0</v>
      </c>
      <c r="CK2075" s="158"/>
      <c r="CL2075" s="159"/>
      <c r="CM2075" s="160"/>
      <c r="CN2075" s="161"/>
      <c r="CO2075" s="162"/>
      <c r="CP2075" s="161"/>
      <c r="CQ2075" s="158"/>
      <c r="CR2075" s="159"/>
      <c r="CS2075" s="68"/>
      <c r="CT2075" s="163"/>
      <c r="EC2075" s="366" t="str">
        <f t="shared" si="260"/>
        <v>MAGDALENA_SITIONUEVO</v>
      </c>
      <c r="ED2075" s="367"/>
      <c r="EE2075" s="367"/>
      <c r="EF2075" s="368"/>
      <c r="EG2075" s="367"/>
      <c r="EH2075" s="367"/>
      <c r="EI2075" s="367"/>
    </row>
    <row r="2076" spans="1:139" s="164" customFormat="1" ht="36">
      <c r="A2076" s="228">
        <v>40521</v>
      </c>
      <c r="B2076" s="205" t="s">
        <v>1824</v>
      </c>
      <c r="C2076" s="205" t="s">
        <v>2507</v>
      </c>
      <c r="D2076" s="207" t="s">
        <v>1201</v>
      </c>
      <c r="E2076" s="323" t="s">
        <v>3938</v>
      </c>
      <c r="F2076" s="323"/>
      <c r="G2076" s="204"/>
      <c r="H2076" s="151"/>
      <c r="I2076" s="151"/>
      <c r="J2076" s="151">
        <v>320</v>
      </c>
      <c r="K2076" s="151">
        <v>78</v>
      </c>
      <c r="L2076" s="1"/>
      <c r="M2076" s="73">
        <f t="shared" si="257"/>
        <v>0</v>
      </c>
      <c r="N2076" s="73">
        <f t="shared" si="262"/>
        <v>0</v>
      </c>
      <c r="O2076" s="73">
        <f t="shared" si="256"/>
        <v>0</v>
      </c>
      <c r="P2076" s="73">
        <f t="shared" si="258"/>
        <v>0</v>
      </c>
      <c r="Q2076" s="73"/>
      <c r="R2076" s="73">
        <v>0</v>
      </c>
      <c r="S2076" s="75">
        <f t="shared" si="261"/>
        <v>0</v>
      </c>
      <c r="T2076" s="77">
        <v>0</v>
      </c>
      <c r="U2076" s="228">
        <v>40521</v>
      </c>
      <c r="V2076" s="79"/>
      <c r="W2076" s="66" t="s">
        <v>1585</v>
      </c>
      <c r="X2076" s="24" t="s">
        <v>1586</v>
      </c>
      <c r="Y2076" s="62"/>
      <c r="Z2076" s="169" t="s">
        <v>894</v>
      </c>
      <c r="AA2076" s="166" t="s">
        <v>3043</v>
      </c>
      <c r="AB2076" s="152"/>
      <c r="AC2076" s="153"/>
      <c r="AD2076" s="154"/>
      <c r="AE2076" s="153"/>
      <c r="AF2076" s="153"/>
      <c r="AG2076" s="153"/>
      <c r="AH2076" s="153"/>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c r="BI2076" s="153"/>
      <c r="BJ2076" s="153"/>
      <c r="BK2076" s="153"/>
      <c r="BL2076" s="153"/>
      <c r="BM2076" s="153"/>
      <c r="BN2076" s="153"/>
      <c r="BO2076" s="153"/>
      <c r="BP2076" s="153"/>
      <c r="BQ2076" s="153"/>
      <c r="BR2076" s="153"/>
      <c r="BS2076" s="153"/>
      <c r="BT2076" s="153"/>
      <c r="BU2076" s="153"/>
      <c r="BV2076" s="153"/>
      <c r="BW2076" s="153"/>
      <c r="BX2076" s="153"/>
      <c r="BY2076" s="153"/>
      <c r="BZ2076" s="153"/>
      <c r="CA2076" s="153"/>
      <c r="CB2076" s="153"/>
      <c r="CC2076" s="153"/>
      <c r="CD2076" s="155"/>
      <c r="CE2076" s="156"/>
      <c r="CF2076" s="155"/>
      <c r="CG2076" s="156"/>
      <c r="CH2076" s="155"/>
      <c r="CI2076" s="156"/>
      <c r="CJ2076" s="157">
        <f t="shared" si="259"/>
        <v>0</v>
      </c>
      <c r="CK2076" s="158"/>
      <c r="CL2076" s="159"/>
      <c r="CM2076" s="160"/>
      <c r="CN2076" s="161"/>
      <c r="CO2076" s="162"/>
      <c r="CP2076" s="161"/>
      <c r="CQ2076" s="158"/>
      <c r="CR2076" s="159"/>
      <c r="CS2076" s="68"/>
      <c r="CT2076" s="163"/>
      <c r="EC2076" s="366" t="str">
        <f t="shared" si="260"/>
        <v>NARIÑO_ARBOLEDA</v>
      </c>
      <c r="ED2076" s="367"/>
      <c r="EE2076" s="367"/>
      <c r="EF2076" s="368"/>
      <c r="EG2076" s="367"/>
      <c r="EH2076" s="367"/>
      <c r="EI2076" s="367"/>
    </row>
    <row r="2077" spans="1:139" s="164" customFormat="1" ht="25.5">
      <c r="A2077" s="228">
        <v>40521</v>
      </c>
      <c r="B2077" s="205" t="s">
        <v>1824</v>
      </c>
      <c r="C2077" s="205" t="s">
        <v>3041</v>
      </c>
      <c r="D2077" s="207" t="s">
        <v>1878</v>
      </c>
      <c r="E2077" s="323" t="s">
        <v>3956</v>
      </c>
      <c r="F2077" s="323"/>
      <c r="G2077" s="204"/>
      <c r="H2077" s="151"/>
      <c r="I2077" s="151"/>
      <c r="J2077" s="151">
        <v>810</v>
      </c>
      <c r="K2077" s="151">
        <v>300</v>
      </c>
      <c r="L2077" s="1"/>
      <c r="M2077" s="73">
        <f t="shared" si="257"/>
        <v>0</v>
      </c>
      <c r="N2077" s="73">
        <f t="shared" si="262"/>
        <v>0</v>
      </c>
      <c r="O2077" s="73">
        <f t="shared" si="256"/>
        <v>0</v>
      </c>
      <c r="P2077" s="73">
        <f t="shared" si="258"/>
        <v>0</v>
      </c>
      <c r="Q2077" s="73"/>
      <c r="R2077" s="73">
        <v>0</v>
      </c>
      <c r="S2077" s="75">
        <f t="shared" si="261"/>
        <v>0</v>
      </c>
      <c r="T2077" s="77">
        <v>0</v>
      </c>
      <c r="U2077" s="228">
        <v>40521</v>
      </c>
      <c r="V2077" s="79"/>
      <c r="W2077" s="66" t="s">
        <v>1585</v>
      </c>
      <c r="X2077" s="24" t="s">
        <v>1586</v>
      </c>
      <c r="Y2077" s="62"/>
      <c r="Z2077" s="169" t="s">
        <v>894</v>
      </c>
      <c r="AA2077" s="166" t="s">
        <v>3042</v>
      </c>
      <c r="AB2077" s="152"/>
      <c r="AC2077" s="153"/>
      <c r="AD2077" s="154"/>
      <c r="AE2077" s="153"/>
      <c r="AF2077" s="153"/>
      <c r="AG2077" s="153"/>
      <c r="AH2077" s="153"/>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c r="BI2077" s="153"/>
      <c r="BJ2077" s="153"/>
      <c r="BK2077" s="153"/>
      <c r="BL2077" s="153"/>
      <c r="BM2077" s="153"/>
      <c r="BN2077" s="153"/>
      <c r="BO2077" s="153"/>
      <c r="BP2077" s="153"/>
      <c r="BQ2077" s="153"/>
      <c r="BR2077" s="153"/>
      <c r="BS2077" s="153"/>
      <c r="BT2077" s="153"/>
      <c r="BU2077" s="153"/>
      <c r="BV2077" s="153"/>
      <c r="BW2077" s="153"/>
      <c r="BX2077" s="153"/>
      <c r="BY2077" s="153"/>
      <c r="BZ2077" s="153"/>
      <c r="CA2077" s="153"/>
      <c r="CB2077" s="153"/>
      <c r="CC2077" s="153"/>
      <c r="CD2077" s="155"/>
      <c r="CE2077" s="156"/>
      <c r="CF2077" s="155"/>
      <c r="CG2077" s="156"/>
      <c r="CH2077" s="155"/>
      <c r="CI2077" s="156"/>
      <c r="CJ2077" s="157">
        <f t="shared" si="259"/>
        <v>0</v>
      </c>
      <c r="CK2077" s="158"/>
      <c r="CL2077" s="159"/>
      <c r="CM2077" s="160"/>
      <c r="CN2077" s="161"/>
      <c r="CO2077" s="162"/>
      <c r="CP2077" s="161"/>
      <c r="CQ2077" s="158"/>
      <c r="CR2077" s="159"/>
      <c r="CS2077" s="68"/>
      <c r="CT2077" s="163"/>
      <c r="EC2077" s="366" t="str">
        <f t="shared" si="260"/>
        <v>NARIÑO_GUACHUCAL</v>
      </c>
      <c r="ED2077" s="367"/>
      <c r="EE2077" s="367"/>
      <c r="EF2077" s="368"/>
      <c r="EG2077" s="367"/>
      <c r="EH2077" s="367"/>
      <c r="EI2077" s="367"/>
    </row>
    <row r="2078" spans="1:139" s="164" customFormat="1" ht="25.5">
      <c r="A2078" s="228">
        <v>40521</v>
      </c>
      <c r="B2078" s="205" t="s">
        <v>1824</v>
      </c>
      <c r="C2078" s="205" t="s">
        <v>82</v>
      </c>
      <c r="D2078" s="207" t="s">
        <v>1878</v>
      </c>
      <c r="E2078" s="323" t="s">
        <v>3959</v>
      </c>
      <c r="F2078" s="323"/>
      <c r="G2078" s="204"/>
      <c r="H2078" s="151"/>
      <c r="I2078" s="151"/>
      <c r="J2078" s="151"/>
      <c r="K2078" s="151"/>
      <c r="L2078" s="1"/>
      <c r="M2078" s="73">
        <f t="shared" si="257"/>
        <v>0</v>
      </c>
      <c r="N2078" s="73">
        <f t="shared" si="262"/>
        <v>0</v>
      </c>
      <c r="O2078" s="73">
        <f t="shared" si="256"/>
        <v>0</v>
      </c>
      <c r="P2078" s="73">
        <f t="shared" si="258"/>
        <v>0</v>
      </c>
      <c r="Q2078" s="73"/>
      <c r="R2078" s="73">
        <v>0</v>
      </c>
      <c r="S2078" s="75">
        <f t="shared" si="261"/>
        <v>0</v>
      </c>
      <c r="T2078" s="77">
        <v>0</v>
      </c>
      <c r="U2078" s="228">
        <v>40581</v>
      </c>
      <c r="V2078" s="79"/>
      <c r="W2078" s="66" t="s">
        <v>1585</v>
      </c>
      <c r="X2078" s="24" t="s">
        <v>1586</v>
      </c>
      <c r="Y2078" s="62"/>
      <c r="Z2078" s="169" t="s">
        <v>894</v>
      </c>
      <c r="AA2078" s="166" t="s">
        <v>54</v>
      </c>
      <c r="AB2078" s="152"/>
      <c r="AC2078" s="153"/>
      <c r="AD2078" s="154"/>
      <c r="AE2078" s="153"/>
      <c r="AF2078" s="153"/>
      <c r="AG2078" s="153"/>
      <c r="AH2078" s="153"/>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c r="BI2078" s="153"/>
      <c r="BJ2078" s="153"/>
      <c r="BK2078" s="153"/>
      <c r="BL2078" s="153"/>
      <c r="BM2078" s="153"/>
      <c r="BN2078" s="153"/>
      <c r="BO2078" s="153"/>
      <c r="BP2078" s="153"/>
      <c r="BQ2078" s="153"/>
      <c r="BR2078" s="153"/>
      <c r="BS2078" s="153"/>
      <c r="BT2078" s="153"/>
      <c r="BU2078" s="153"/>
      <c r="BV2078" s="153"/>
      <c r="BW2078" s="153"/>
      <c r="BX2078" s="153"/>
      <c r="BY2078" s="153"/>
      <c r="BZ2078" s="153"/>
      <c r="CA2078" s="153"/>
      <c r="CB2078" s="153"/>
      <c r="CC2078" s="153"/>
      <c r="CD2078" s="155"/>
      <c r="CE2078" s="156"/>
      <c r="CF2078" s="155"/>
      <c r="CG2078" s="156"/>
      <c r="CH2078" s="155"/>
      <c r="CI2078" s="156"/>
      <c r="CJ2078" s="157">
        <f t="shared" si="259"/>
        <v>0</v>
      </c>
      <c r="CK2078" s="158"/>
      <c r="CL2078" s="159"/>
      <c r="CM2078" s="160"/>
      <c r="CN2078" s="161"/>
      <c r="CO2078" s="162"/>
      <c r="CP2078" s="161"/>
      <c r="CQ2078" s="158"/>
      <c r="CR2078" s="159"/>
      <c r="CS2078" s="68"/>
      <c r="CT2078" s="163"/>
      <c r="EC2078" s="366" t="str">
        <f t="shared" si="260"/>
        <v>NARIÑO_ILES</v>
      </c>
      <c r="ED2078" s="367"/>
      <c r="EE2078" s="367"/>
      <c r="EF2078" s="368"/>
      <c r="EG2078" s="367"/>
      <c r="EH2078" s="367"/>
      <c r="EI2078" s="367"/>
    </row>
    <row r="2079" spans="1:139" s="164" customFormat="1" ht="25.5">
      <c r="A2079" s="228">
        <v>40521</v>
      </c>
      <c r="B2079" s="205" t="s">
        <v>1824</v>
      </c>
      <c r="C2079" s="205" t="s">
        <v>80</v>
      </c>
      <c r="D2079" s="207" t="s">
        <v>1878</v>
      </c>
      <c r="E2079" s="323" t="s">
        <v>3960</v>
      </c>
      <c r="F2079" s="323"/>
      <c r="G2079" s="204"/>
      <c r="H2079" s="151"/>
      <c r="I2079" s="151"/>
      <c r="J2079" s="151">
        <v>78</v>
      </c>
      <c r="K2079" s="151">
        <v>19</v>
      </c>
      <c r="L2079" s="1"/>
      <c r="M2079" s="73">
        <f t="shared" si="257"/>
        <v>0</v>
      </c>
      <c r="N2079" s="73">
        <f t="shared" si="262"/>
        <v>0</v>
      </c>
      <c r="O2079" s="73">
        <f t="shared" si="256"/>
        <v>0</v>
      </c>
      <c r="P2079" s="73">
        <f t="shared" si="258"/>
        <v>0</v>
      </c>
      <c r="Q2079" s="73"/>
      <c r="R2079" s="73">
        <v>0</v>
      </c>
      <c r="S2079" s="75">
        <f t="shared" si="261"/>
        <v>0</v>
      </c>
      <c r="T2079" s="77">
        <v>0</v>
      </c>
      <c r="U2079" s="228">
        <v>40581</v>
      </c>
      <c r="V2079" s="79"/>
      <c r="W2079" s="66" t="s">
        <v>1585</v>
      </c>
      <c r="X2079" s="24" t="s">
        <v>1586</v>
      </c>
      <c r="Y2079" s="62"/>
      <c r="Z2079" s="169" t="s">
        <v>894</v>
      </c>
      <c r="AA2079" s="166" t="s">
        <v>54</v>
      </c>
      <c r="AB2079" s="152"/>
      <c r="AC2079" s="153"/>
      <c r="AD2079" s="154"/>
      <c r="AE2079" s="153"/>
      <c r="AF2079" s="153"/>
      <c r="AG2079" s="153"/>
      <c r="AH2079" s="153"/>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c r="BF2079" s="153"/>
      <c r="BG2079" s="153"/>
      <c r="BH2079" s="153"/>
      <c r="BI2079" s="153"/>
      <c r="BJ2079" s="153"/>
      <c r="BK2079" s="153"/>
      <c r="BL2079" s="153"/>
      <c r="BM2079" s="153"/>
      <c r="BN2079" s="153"/>
      <c r="BO2079" s="153"/>
      <c r="BP2079" s="153"/>
      <c r="BQ2079" s="153"/>
      <c r="BR2079" s="153"/>
      <c r="BS2079" s="153"/>
      <c r="BT2079" s="153"/>
      <c r="BU2079" s="153"/>
      <c r="BV2079" s="153"/>
      <c r="BW2079" s="153"/>
      <c r="BX2079" s="153"/>
      <c r="BY2079" s="153"/>
      <c r="BZ2079" s="153"/>
      <c r="CA2079" s="153"/>
      <c r="CB2079" s="153"/>
      <c r="CC2079" s="153"/>
      <c r="CD2079" s="155"/>
      <c r="CE2079" s="156"/>
      <c r="CF2079" s="155"/>
      <c r="CG2079" s="156"/>
      <c r="CH2079" s="155"/>
      <c r="CI2079" s="156"/>
      <c r="CJ2079" s="157">
        <f t="shared" si="259"/>
        <v>0</v>
      </c>
      <c r="CK2079" s="158"/>
      <c r="CL2079" s="159"/>
      <c r="CM2079" s="160"/>
      <c r="CN2079" s="161"/>
      <c r="CO2079" s="162"/>
      <c r="CP2079" s="161"/>
      <c r="CQ2079" s="158"/>
      <c r="CR2079" s="159"/>
      <c r="CS2079" s="68"/>
      <c r="CT2079" s="163"/>
      <c r="EC2079" s="366" t="str">
        <f t="shared" si="260"/>
        <v>NARIÑO_IMUES</v>
      </c>
      <c r="ED2079" s="367"/>
      <c r="EE2079" s="367"/>
      <c r="EF2079" s="368"/>
      <c r="EG2079" s="367"/>
      <c r="EH2079" s="367"/>
      <c r="EI2079" s="367"/>
    </row>
    <row r="2080" spans="1:139" s="164" customFormat="1" ht="84">
      <c r="A2080" s="228">
        <v>40521</v>
      </c>
      <c r="B2080" s="205" t="s">
        <v>1824</v>
      </c>
      <c r="C2080" s="205" t="s">
        <v>3038</v>
      </c>
      <c r="D2080" s="207" t="s">
        <v>1878</v>
      </c>
      <c r="E2080" s="323" t="s">
        <v>3968</v>
      </c>
      <c r="F2080" s="323"/>
      <c r="G2080" s="204"/>
      <c r="H2080" s="151"/>
      <c r="I2080" s="151"/>
      <c r="J2080" s="151">
        <v>2868</v>
      </c>
      <c r="K2080" s="151">
        <v>717</v>
      </c>
      <c r="L2080" s="1"/>
      <c r="M2080" s="73">
        <f t="shared" si="257"/>
        <v>0</v>
      </c>
      <c r="N2080" s="73">
        <f t="shared" si="262"/>
        <v>0</v>
      </c>
      <c r="O2080" s="73">
        <f t="shared" si="256"/>
        <v>0</v>
      </c>
      <c r="P2080" s="73">
        <f t="shared" si="258"/>
        <v>0</v>
      </c>
      <c r="Q2080" s="73"/>
      <c r="R2080" s="73">
        <v>0</v>
      </c>
      <c r="S2080" s="75">
        <f t="shared" si="261"/>
        <v>0</v>
      </c>
      <c r="T2080" s="77">
        <v>0</v>
      </c>
      <c r="U2080" s="228">
        <v>40521</v>
      </c>
      <c r="V2080" s="79"/>
      <c r="W2080" s="66" t="s">
        <v>1585</v>
      </c>
      <c r="X2080" s="24" t="s">
        <v>1586</v>
      </c>
      <c r="Y2080" s="62"/>
      <c r="Z2080" s="169" t="s">
        <v>894</v>
      </c>
      <c r="AA2080" s="166" t="s">
        <v>3039</v>
      </c>
      <c r="AB2080" s="152"/>
      <c r="AC2080" s="153"/>
      <c r="AD2080" s="154"/>
      <c r="AE2080" s="153"/>
      <c r="AF2080" s="153"/>
      <c r="AG2080" s="153"/>
      <c r="AH2080" s="153"/>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c r="BI2080" s="153"/>
      <c r="BJ2080" s="153"/>
      <c r="BK2080" s="153"/>
      <c r="BL2080" s="153"/>
      <c r="BM2080" s="153"/>
      <c r="BN2080" s="153"/>
      <c r="BO2080" s="153"/>
      <c r="BP2080" s="153"/>
      <c r="BQ2080" s="153"/>
      <c r="BR2080" s="153"/>
      <c r="BS2080" s="153"/>
      <c r="BT2080" s="153"/>
      <c r="BU2080" s="153"/>
      <c r="BV2080" s="153"/>
      <c r="BW2080" s="153"/>
      <c r="BX2080" s="153"/>
      <c r="BY2080" s="153"/>
      <c r="BZ2080" s="153"/>
      <c r="CA2080" s="153"/>
      <c r="CB2080" s="153"/>
      <c r="CC2080" s="153"/>
      <c r="CD2080" s="155"/>
      <c r="CE2080" s="156"/>
      <c r="CF2080" s="155"/>
      <c r="CG2080" s="156"/>
      <c r="CH2080" s="155"/>
      <c r="CI2080" s="156"/>
      <c r="CJ2080" s="157">
        <f t="shared" si="259"/>
        <v>0</v>
      </c>
      <c r="CK2080" s="158"/>
      <c r="CL2080" s="159"/>
      <c r="CM2080" s="160"/>
      <c r="CN2080" s="161"/>
      <c r="CO2080" s="162"/>
      <c r="CP2080" s="161"/>
      <c r="CQ2080" s="158"/>
      <c r="CR2080" s="159"/>
      <c r="CS2080" s="68"/>
      <c r="CT2080" s="163"/>
      <c r="EC2080" s="366" t="str">
        <f t="shared" si="260"/>
        <v>NARIÑO_LINARES</v>
      </c>
      <c r="ED2080" s="367"/>
      <c r="EE2080" s="367"/>
      <c r="EF2080" s="368"/>
      <c r="EG2080" s="367"/>
      <c r="EH2080" s="367"/>
      <c r="EI2080" s="367"/>
    </row>
    <row r="2081" spans="1:139" s="164" customFormat="1" ht="120">
      <c r="A2081" s="228">
        <v>40521</v>
      </c>
      <c r="B2081" s="205" t="s">
        <v>1824</v>
      </c>
      <c r="C2081" s="205" t="s">
        <v>1695</v>
      </c>
      <c r="D2081" s="207" t="s">
        <v>1878</v>
      </c>
      <c r="E2081" s="323" t="s">
        <v>3988</v>
      </c>
      <c r="F2081" s="323"/>
      <c r="G2081" s="204"/>
      <c r="H2081" s="151"/>
      <c r="I2081" s="151"/>
      <c r="J2081" s="151">
        <v>325</v>
      </c>
      <c r="K2081" s="151">
        <v>65</v>
      </c>
      <c r="L2081" s="1"/>
      <c r="M2081" s="73">
        <f t="shared" si="257"/>
        <v>0</v>
      </c>
      <c r="N2081" s="73">
        <f t="shared" si="262"/>
        <v>0</v>
      </c>
      <c r="O2081" s="73">
        <f t="shared" si="256"/>
        <v>0</v>
      </c>
      <c r="P2081" s="73">
        <f t="shared" si="258"/>
        <v>0</v>
      </c>
      <c r="Q2081" s="73"/>
      <c r="R2081" s="73">
        <v>0</v>
      </c>
      <c r="S2081" s="75">
        <f t="shared" si="261"/>
        <v>0</v>
      </c>
      <c r="T2081" s="77">
        <v>0</v>
      </c>
      <c r="U2081" s="228">
        <v>40521</v>
      </c>
      <c r="V2081" s="79"/>
      <c r="W2081" s="66" t="s">
        <v>1585</v>
      </c>
      <c r="X2081" s="24" t="s">
        <v>1586</v>
      </c>
      <c r="Y2081" s="62"/>
      <c r="Z2081" s="169" t="s">
        <v>894</v>
      </c>
      <c r="AA2081" s="166" t="s">
        <v>3037</v>
      </c>
      <c r="AB2081" s="152"/>
      <c r="AC2081" s="153"/>
      <c r="AD2081" s="154"/>
      <c r="AE2081" s="153"/>
      <c r="AF2081" s="153"/>
      <c r="AG2081" s="153"/>
      <c r="AH2081" s="153"/>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c r="BI2081" s="153"/>
      <c r="BJ2081" s="153"/>
      <c r="BK2081" s="153"/>
      <c r="BL2081" s="153"/>
      <c r="BM2081" s="153"/>
      <c r="BN2081" s="153"/>
      <c r="BO2081" s="153"/>
      <c r="BP2081" s="153"/>
      <c r="BQ2081" s="153"/>
      <c r="BR2081" s="153"/>
      <c r="BS2081" s="153"/>
      <c r="BT2081" s="153"/>
      <c r="BU2081" s="153"/>
      <c r="BV2081" s="153"/>
      <c r="BW2081" s="153"/>
      <c r="BX2081" s="153"/>
      <c r="BY2081" s="153"/>
      <c r="BZ2081" s="153"/>
      <c r="CA2081" s="153"/>
      <c r="CB2081" s="153"/>
      <c r="CC2081" s="153"/>
      <c r="CD2081" s="155"/>
      <c r="CE2081" s="156"/>
      <c r="CF2081" s="155"/>
      <c r="CG2081" s="156"/>
      <c r="CH2081" s="155"/>
      <c r="CI2081" s="156"/>
      <c r="CJ2081" s="157">
        <f t="shared" si="259"/>
        <v>0</v>
      </c>
      <c r="CK2081" s="158"/>
      <c r="CL2081" s="159"/>
      <c r="CM2081" s="160"/>
      <c r="CN2081" s="161"/>
      <c r="CO2081" s="162"/>
      <c r="CP2081" s="161"/>
      <c r="CQ2081" s="158"/>
      <c r="CR2081" s="159"/>
      <c r="CS2081" s="68"/>
      <c r="CT2081" s="163"/>
      <c r="EC2081" s="366" t="str">
        <f t="shared" si="260"/>
        <v>NARIÑO_SAN PABLO</v>
      </c>
      <c r="ED2081" s="367"/>
      <c r="EE2081" s="367"/>
      <c r="EF2081" s="368"/>
      <c r="EG2081" s="367"/>
      <c r="EH2081" s="367"/>
      <c r="EI2081" s="367"/>
    </row>
    <row r="2082" spans="1:139" s="164" customFormat="1" ht="36">
      <c r="A2082" s="228">
        <v>40521</v>
      </c>
      <c r="B2082" s="205" t="s">
        <v>1824</v>
      </c>
      <c r="C2082" s="205" t="s">
        <v>2531</v>
      </c>
      <c r="D2082" s="207" t="s">
        <v>1878</v>
      </c>
      <c r="E2082" s="323" t="s">
        <v>3985</v>
      </c>
      <c r="F2082" s="323"/>
      <c r="G2082" s="204"/>
      <c r="H2082" s="151"/>
      <c r="I2082" s="151"/>
      <c r="J2082" s="151">
        <v>583</v>
      </c>
      <c r="K2082" s="151">
        <v>152</v>
      </c>
      <c r="L2082" s="1"/>
      <c r="M2082" s="73">
        <f t="shared" si="257"/>
        <v>0</v>
      </c>
      <c r="N2082" s="73">
        <f t="shared" si="262"/>
        <v>0</v>
      </c>
      <c r="O2082" s="73">
        <f t="shared" si="256"/>
        <v>0</v>
      </c>
      <c r="P2082" s="73">
        <f t="shared" si="258"/>
        <v>0</v>
      </c>
      <c r="Q2082" s="73"/>
      <c r="R2082" s="73">
        <v>0</v>
      </c>
      <c r="S2082" s="75">
        <f t="shared" si="261"/>
        <v>0</v>
      </c>
      <c r="T2082" s="77">
        <v>0</v>
      </c>
      <c r="U2082" s="228">
        <v>40521</v>
      </c>
      <c r="V2082" s="79"/>
      <c r="W2082" s="66" t="s">
        <v>1585</v>
      </c>
      <c r="X2082" s="24" t="s">
        <v>1586</v>
      </c>
      <c r="Y2082" s="62"/>
      <c r="Z2082" s="169" t="s">
        <v>894</v>
      </c>
      <c r="AA2082" s="166" t="s">
        <v>3040</v>
      </c>
      <c r="AB2082" s="152"/>
      <c r="AC2082" s="153"/>
      <c r="AD2082" s="154"/>
      <c r="AE2082" s="153"/>
      <c r="AF2082" s="153"/>
      <c r="AG2082" s="153"/>
      <c r="AH2082" s="153"/>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c r="BI2082" s="153"/>
      <c r="BJ2082" s="153"/>
      <c r="BK2082" s="153"/>
      <c r="BL2082" s="153"/>
      <c r="BM2082" s="153"/>
      <c r="BN2082" s="153"/>
      <c r="BO2082" s="153"/>
      <c r="BP2082" s="153"/>
      <c r="BQ2082" s="153"/>
      <c r="BR2082" s="153"/>
      <c r="BS2082" s="153"/>
      <c r="BT2082" s="153"/>
      <c r="BU2082" s="153"/>
      <c r="BV2082" s="153"/>
      <c r="BW2082" s="153"/>
      <c r="BX2082" s="153"/>
      <c r="BY2082" s="153"/>
      <c r="BZ2082" s="153"/>
      <c r="CA2082" s="153"/>
      <c r="CB2082" s="153"/>
      <c r="CC2082" s="153"/>
      <c r="CD2082" s="155"/>
      <c r="CE2082" s="156"/>
      <c r="CF2082" s="155"/>
      <c r="CG2082" s="156"/>
      <c r="CH2082" s="155"/>
      <c r="CI2082" s="156"/>
      <c r="CJ2082" s="157">
        <f t="shared" si="259"/>
        <v>0</v>
      </c>
      <c r="CK2082" s="158"/>
      <c r="CL2082" s="159"/>
      <c r="CM2082" s="160"/>
      <c r="CN2082" s="161"/>
      <c r="CO2082" s="162"/>
      <c r="CP2082" s="161"/>
      <c r="CQ2082" s="158"/>
      <c r="CR2082" s="159"/>
      <c r="CS2082" s="68"/>
      <c r="CT2082" s="163"/>
      <c r="EC2082" s="366" t="str">
        <f t="shared" si="260"/>
        <v>NARIÑO_SANDONA</v>
      </c>
      <c r="ED2082" s="367"/>
      <c r="EE2082" s="367"/>
      <c r="EF2082" s="368"/>
      <c r="EG2082" s="367"/>
      <c r="EH2082" s="367"/>
      <c r="EI2082" s="367"/>
    </row>
    <row r="2083" spans="1:139" s="164" customFormat="1" ht="60">
      <c r="A2083" s="228">
        <v>40521</v>
      </c>
      <c r="B2083" s="205" t="s">
        <v>1824</v>
      </c>
      <c r="C2083" s="205" t="s">
        <v>2509</v>
      </c>
      <c r="D2083" s="207" t="s">
        <v>1878</v>
      </c>
      <c r="E2083" s="323" t="s">
        <v>3994</v>
      </c>
      <c r="F2083" s="323"/>
      <c r="G2083" s="204"/>
      <c r="H2083" s="151"/>
      <c r="I2083" s="151"/>
      <c r="J2083" s="151">
        <f>655-189</f>
        <v>466</v>
      </c>
      <c r="K2083" s="151">
        <f>186-40</f>
        <v>146</v>
      </c>
      <c r="L2083" s="1"/>
      <c r="M2083" s="73">
        <f t="shared" si="257"/>
        <v>0</v>
      </c>
      <c r="N2083" s="73">
        <f t="shared" si="262"/>
        <v>0</v>
      </c>
      <c r="O2083" s="73">
        <f t="shared" si="256"/>
        <v>0</v>
      </c>
      <c r="P2083" s="73">
        <f t="shared" si="258"/>
        <v>0</v>
      </c>
      <c r="Q2083" s="73"/>
      <c r="R2083" s="73">
        <v>0</v>
      </c>
      <c r="S2083" s="75">
        <f t="shared" si="261"/>
        <v>0</v>
      </c>
      <c r="T2083" s="77">
        <v>0</v>
      </c>
      <c r="U2083" s="66">
        <v>40521</v>
      </c>
      <c r="V2083" s="79"/>
      <c r="W2083" s="66" t="s">
        <v>1585</v>
      </c>
      <c r="X2083" s="24" t="s">
        <v>1586</v>
      </c>
      <c r="Y2083" s="62"/>
      <c r="Z2083" s="169" t="s">
        <v>894</v>
      </c>
      <c r="AA2083" s="166" t="s">
        <v>3044</v>
      </c>
      <c r="AB2083" s="152"/>
      <c r="AC2083" s="153"/>
      <c r="AD2083" s="154"/>
      <c r="AE2083" s="153"/>
      <c r="AF2083" s="153"/>
      <c r="AG2083" s="153"/>
      <c r="AH2083" s="153"/>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c r="BI2083" s="153"/>
      <c r="BJ2083" s="153"/>
      <c r="BK2083" s="153"/>
      <c r="BL2083" s="153"/>
      <c r="BM2083" s="153"/>
      <c r="BN2083" s="153"/>
      <c r="BO2083" s="153"/>
      <c r="BP2083" s="153"/>
      <c r="BQ2083" s="153"/>
      <c r="BR2083" s="153"/>
      <c r="BS2083" s="153"/>
      <c r="BT2083" s="153"/>
      <c r="BU2083" s="153"/>
      <c r="BV2083" s="153"/>
      <c r="BW2083" s="153"/>
      <c r="BX2083" s="153"/>
      <c r="BY2083" s="153"/>
      <c r="BZ2083" s="153"/>
      <c r="CA2083" s="153"/>
      <c r="CB2083" s="153"/>
      <c r="CC2083" s="153"/>
      <c r="CD2083" s="155"/>
      <c r="CE2083" s="156"/>
      <c r="CF2083" s="155"/>
      <c r="CG2083" s="156"/>
      <c r="CH2083" s="155"/>
      <c r="CI2083" s="156"/>
      <c r="CJ2083" s="157">
        <f t="shared" si="259"/>
        <v>0</v>
      </c>
      <c r="CK2083" s="158"/>
      <c r="CL2083" s="159"/>
      <c r="CM2083" s="160"/>
      <c r="CN2083" s="161"/>
      <c r="CO2083" s="162"/>
      <c r="CP2083" s="161"/>
      <c r="CQ2083" s="158"/>
      <c r="CR2083" s="159"/>
      <c r="CS2083" s="68"/>
      <c r="CT2083" s="163"/>
      <c r="EC2083" s="366" t="str">
        <f t="shared" si="260"/>
        <v>NARIÑO_TANGUA</v>
      </c>
      <c r="ED2083" s="367"/>
      <c r="EE2083" s="367"/>
      <c r="EF2083" s="368"/>
      <c r="EG2083" s="367"/>
      <c r="EH2083" s="367"/>
      <c r="EI2083" s="367"/>
    </row>
    <row r="2084" spans="1:139" s="164" customFormat="1" ht="63.75">
      <c r="A2084" s="228">
        <v>40521</v>
      </c>
      <c r="B2084" s="205" t="s">
        <v>1998</v>
      </c>
      <c r="C2084" s="205" t="s">
        <v>906</v>
      </c>
      <c r="D2084" s="207" t="s">
        <v>1244</v>
      </c>
      <c r="E2084" s="323" t="s">
        <v>4137</v>
      </c>
      <c r="F2084" s="323"/>
      <c r="G2084" s="263"/>
      <c r="H2084" s="151"/>
      <c r="I2084" s="151"/>
      <c r="J2084" s="151"/>
      <c r="K2084" s="151"/>
      <c r="L2084" s="1"/>
      <c r="M2084" s="73">
        <f t="shared" si="257"/>
        <v>0</v>
      </c>
      <c r="N2084" s="73">
        <f t="shared" si="262"/>
        <v>0</v>
      </c>
      <c r="O2084" s="73">
        <f t="shared" si="256"/>
        <v>0</v>
      </c>
      <c r="P2084" s="73">
        <f t="shared" si="258"/>
        <v>0</v>
      </c>
      <c r="Q2084" s="73"/>
      <c r="R2084" s="73">
        <v>0</v>
      </c>
      <c r="S2084" s="75">
        <f t="shared" si="261"/>
        <v>0</v>
      </c>
      <c r="T2084" s="77">
        <v>0</v>
      </c>
      <c r="U2084" s="228"/>
      <c r="V2084" s="79"/>
      <c r="W2084" s="66" t="s">
        <v>1606</v>
      </c>
      <c r="X2084" s="264" t="s">
        <v>1607</v>
      </c>
      <c r="Y2084" s="62"/>
      <c r="Z2084" s="260" t="s">
        <v>18</v>
      </c>
      <c r="AA2084" s="166" t="s">
        <v>476</v>
      </c>
      <c r="AB2084" s="152"/>
      <c r="AC2084" s="153"/>
      <c r="AD2084" s="154"/>
      <c r="AE2084" s="153"/>
      <c r="AF2084" s="153"/>
      <c r="AG2084" s="153"/>
      <c r="AH2084" s="153"/>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c r="BI2084" s="153"/>
      <c r="BJ2084" s="153"/>
      <c r="BK2084" s="153"/>
      <c r="BL2084" s="153"/>
      <c r="BM2084" s="153"/>
      <c r="BN2084" s="153"/>
      <c r="BO2084" s="153"/>
      <c r="BP2084" s="153"/>
      <c r="BQ2084" s="153"/>
      <c r="BR2084" s="153"/>
      <c r="BS2084" s="153"/>
      <c r="BT2084" s="153"/>
      <c r="BU2084" s="153"/>
      <c r="BV2084" s="153"/>
      <c r="BW2084" s="153"/>
      <c r="BX2084" s="153"/>
      <c r="BY2084" s="153"/>
      <c r="BZ2084" s="153"/>
      <c r="CA2084" s="153"/>
      <c r="CB2084" s="153"/>
      <c r="CC2084" s="153"/>
      <c r="CD2084" s="155"/>
      <c r="CE2084" s="156"/>
      <c r="CF2084" s="155"/>
      <c r="CG2084" s="156"/>
      <c r="CH2084" s="155"/>
      <c r="CI2084" s="156"/>
      <c r="CJ2084" s="157">
        <f t="shared" si="259"/>
        <v>0</v>
      </c>
      <c r="CK2084" s="158"/>
      <c r="CL2084" s="159"/>
      <c r="CM2084" s="160"/>
      <c r="CN2084" s="161"/>
      <c r="CO2084" s="162"/>
      <c r="CP2084" s="161"/>
      <c r="CQ2084" s="158"/>
      <c r="CR2084" s="159"/>
      <c r="CS2084" s="68"/>
      <c r="CT2084" s="163">
        <v>1515</v>
      </c>
      <c r="EC2084" s="366" t="str">
        <f t="shared" si="260"/>
        <v>SANTANDER_SAN VICENTE DE CHUCURI</v>
      </c>
      <c r="ED2084" s="367"/>
      <c r="EE2084" s="367"/>
      <c r="EF2084" s="368"/>
      <c r="EG2084" s="367"/>
      <c r="EH2084" s="367"/>
      <c r="EI2084" s="367"/>
    </row>
    <row r="2085" spans="1:139" s="164" customFormat="1" ht="38.25">
      <c r="A2085" s="228">
        <v>40522</v>
      </c>
      <c r="B2085" s="205" t="s">
        <v>1604</v>
      </c>
      <c r="C2085" s="205" t="s">
        <v>1946</v>
      </c>
      <c r="D2085" s="207" t="s">
        <v>1878</v>
      </c>
      <c r="E2085" s="323" t="s">
        <v>3683</v>
      </c>
      <c r="F2085" s="323"/>
      <c r="G2085" s="204"/>
      <c r="H2085" s="151"/>
      <c r="I2085" s="151"/>
      <c r="J2085" s="151">
        <f>99-65</f>
        <v>34</v>
      </c>
      <c r="K2085" s="151">
        <f>30-18</f>
        <v>12</v>
      </c>
      <c r="L2085" s="1"/>
      <c r="M2085" s="73">
        <f t="shared" si="257"/>
        <v>0</v>
      </c>
      <c r="N2085" s="73">
        <f t="shared" si="262"/>
        <v>0</v>
      </c>
      <c r="O2085" s="73">
        <f t="shared" si="256"/>
        <v>0</v>
      </c>
      <c r="P2085" s="73">
        <f t="shared" si="258"/>
        <v>0</v>
      </c>
      <c r="Q2085" s="73"/>
      <c r="R2085" s="73">
        <v>0</v>
      </c>
      <c r="S2085" s="75">
        <f t="shared" si="261"/>
        <v>0</v>
      </c>
      <c r="T2085" s="77">
        <v>0</v>
      </c>
      <c r="U2085" s="228">
        <v>40522</v>
      </c>
      <c r="V2085" s="79"/>
      <c r="W2085" s="66" t="s">
        <v>1585</v>
      </c>
      <c r="X2085" s="24" t="s">
        <v>1586</v>
      </c>
      <c r="Y2085" s="62"/>
      <c r="Z2085" s="169" t="s">
        <v>894</v>
      </c>
      <c r="AA2085" s="166" t="s">
        <v>481</v>
      </c>
      <c r="AB2085" s="152"/>
      <c r="AC2085" s="153"/>
      <c r="AD2085" s="154"/>
      <c r="AE2085" s="153"/>
      <c r="AF2085" s="153"/>
      <c r="AG2085" s="153"/>
      <c r="AH2085" s="153"/>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c r="BI2085" s="153"/>
      <c r="BJ2085" s="153"/>
      <c r="BK2085" s="153"/>
      <c r="BL2085" s="153"/>
      <c r="BM2085" s="153"/>
      <c r="BN2085" s="153"/>
      <c r="BO2085" s="153"/>
      <c r="BP2085" s="153"/>
      <c r="BQ2085" s="153"/>
      <c r="BR2085" s="153"/>
      <c r="BS2085" s="153"/>
      <c r="BT2085" s="153"/>
      <c r="BU2085" s="153"/>
      <c r="BV2085" s="153"/>
      <c r="BW2085" s="153"/>
      <c r="BX2085" s="153"/>
      <c r="BY2085" s="153"/>
      <c r="BZ2085" s="153"/>
      <c r="CA2085" s="153"/>
      <c r="CB2085" s="153"/>
      <c r="CC2085" s="153"/>
      <c r="CD2085" s="155"/>
      <c r="CE2085" s="156"/>
      <c r="CF2085" s="155"/>
      <c r="CG2085" s="156"/>
      <c r="CH2085" s="155"/>
      <c r="CI2085" s="156"/>
      <c r="CJ2085" s="157">
        <f t="shared" si="259"/>
        <v>0</v>
      </c>
      <c r="CK2085" s="158"/>
      <c r="CL2085" s="159"/>
      <c r="CM2085" s="160"/>
      <c r="CN2085" s="161"/>
      <c r="CO2085" s="162"/>
      <c r="CP2085" s="161"/>
      <c r="CQ2085" s="158"/>
      <c r="CR2085" s="159"/>
      <c r="CS2085" s="68"/>
      <c r="CT2085" s="163"/>
      <c r="EC2085" s="366" t="str">
        <f t="shared" si="260"/>
        <v>CUNDINAMARCA_ANAPOIMA</v>
      </c>
      <c r="ED2085" s="367"/>
      <c r="EE2085" s="367"/>
      <c r="EF2085" s="368"/>
      <c r="EG2085" s="367"/>
      <c r="EH2085" s="367"/>
      <c r="EI2085" s="367"/>
    </row>
    <row r="2086" spans="1:139" s="164" customFormat="1" ht="38.25">
      <c r="A2086" s="228">
        <v>40522</v>
      </c>
      <c r="B2086" s="205" t="s">
        <v>1604</v>
      </c>
      <c r="C2086" s="205" t="s">
        <v>1009</v>
      </c>
      <c r="D2086" s="207" t="s">
        <v>1201</v>
      </c>
      <c r="E2086" s="323" t="s">
        <v>3709</v>
      </c>
      <c r="F2086" s="323"/>
      <c r="G2086" s="204"/>
      <c r="H2086" s="151"/>
      <c r="I2086" s="151"/>
      <c r="J2086" s="151">
        <v>8</v>
      </c>
      <c r="K2086" s="151">
        <v>2</v>
      </c>
      <c r="L2086" s="1"/>
      <c r="M2086" s="73">
        <f t="shared" si="257"/>
        <v>0</v>
      </c>
      <c r="N2086" s="73">
        <f t="shared" si="262"/>
        <v>0</v>
      </c>
      <c r="O2086" s="73">
        <f t="shared" si="256"/>
        <v>0</v>
      </c>
      <c r="P2086" s="73">
        <f t="shared" si="258"/>
        <v>0</v>
      </c>
      <c r="Q2086" s="73"/>
      <c r="R2086" s="73">
        <v>0</v>
      </c>
      <c r="S2086" s="75">
        <f t="shared" si="261"/>
        <v>0</v>
      </c>
      <c r="T2086" s="77">
        <v>0</v>
      </c>
      <c r="U2086" s="228">
        <v>40522</v>
      </c>
      <c r="V2086" s="79"/>
      <c r="W2086" s="66" t="s">
        <v>1585</v>
      </c>
      <c r="X2086" s="24" t="s">
        <v>1586</v>
      </c>
      <c r="Y2086" s="62"/>
      <c r="Z2086" s="169" t="s">
        <v>894</v>
      </c>
      <c r="AA2086" s="166" t="s">
        <v>9</v>
      </c>
      <c r="AB2086" s="152"/>
      <c r="AC2086" s="153"/>
      <c r="AD2086" s="154"/>
      <c r="AE2086" s="153"/>
      <c r="AF2086" s="153"/>
      <c r="AG2086" s="153"/>
      <c r="AH2086" s="153"/>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c r="BF2086" s="153"/>
      <c r="BG2086" s="153"/>
      <c r="BH2086" s="153"/>
      <c r="BI2086" s="153"/>
      <c r="BJ2086" s="153"/>
      <c r="BK2086" s="153"/>
      <c r="BL2086" s="153"/>
      <c r="BM2086" s="153"/>
      <c r="BN2086" s="153"/>
      <c r="BO2086" s="153"/>
      <c r="BP2086" s="153"/>
      <c r="BQ2086" s="153"/>
      <c r="BR2086" s="153"/>
      <c r="BS2086" s="153"/>
      <c r="BT2086" s="153"/>
      <c r="BU2086" s="153"/>
      <c r="BV2086" s="153"/>
      <c r="BW2086" s="153"/>
      <c r="BX2086" s="153"/>
      <c r="BY2086" s="153"/>
      <c r="BZ2086" s="153"/>
      <c r="CA2086" s="153"/>
      <c r="CB2086" s="153"/>
      <c r="CC2086" s="153"/>
      <c r="CD2086" s="155"/>
      <c r="CE2086" s="156"/>
      <c r="CF2086" s="155"/>
      <c r="CG2086" s="156"/>
      <c r="CH2086" s="155"/>
      <c r="CI2086" s="156"/>
      <c r="CJ2086" s="157">
        <f t="shared" si="259"/>
        <v>0</v>
      </c>
      <c r="CK2086" s="158"/>
      <c r="CL2086" s="159"/>
      <c r="CM2086" s="160"/>
      <c r="CN2086" s="161"/>
      <c r="CO2086" s="162"/>
      <c r="CP2086" s="161"/>
      <c r="CQ2086" s="158"/>
      <c r="CR2086" s="159"/>
      <c r="CS2086" s="68"/>
      <c r="CT2086" s="163"/>
      <c r="EC2086" s="366" t="str">
        <f t="shared" si="260"/>
        <v>CUNDINAMARCA_FUSAGASUGA</v>
      </c>
      <c r="ED2086" s="367"/>
      <c r="EE2086" s="367"/>
      <c r="EF2086" s="368"/>
      <c r="EG2086" s="367"/>
      <c r="EH2086" s="367"/>
      <c r="EI2086" s="367"/>
    </row>
    <row r="2087" spans="1:139" s="164" customFormat="1" ht="38.25">
      <c r="A2087" s="228">
        <v>40522</v>
      </c>
      <c r="B2087" s="205" t="s">
        <v>1604</v>
      </c>
      <c r="C2087" s="205" t="s">
        <v>2351</v>
      </c>
      <c r="D2087" s="207" t="s">
        <v>1878</v>
      </c>
      <c r="E2087" s="323" t="s">
        <v>3764</v>
      </c>
      <c r="F2087" s="323"/>
      <c r="G2087" s="204"/>
      <c r="H2087" s="151"/>
      <c r="I2087" s="151"/>
      <c r="J2087" s="151">
        <v>1250</v>
      </c>
      <c r="K2087" s="151">
        <v>250</v>
      </c>
      <c r="L2087" s="1"/>
      <c r="M2087" s="73">
        <f t="shared" si="257"/>
        <v>0</v>
      </c>
      <c r="N2087" s="73">
        <f t="shared" si="262"/>
        <v>0</v>
      </c>
      <c r="O2087" s="73">
        <f t="shared" si="256"/>
        <v>0</v>
      </c>
      <c r="P2087" s="73">
        <f t="shared" si="258"/>
        <v>0</v>
      </c>
      <c r="Q2087" s="73"/>
      <c r="R2087" s="73">
        <v>0</v>
      </c>
      <c r="S2087" s="75">
        <f t="shared" si="261"/>
        <v>0</v>
      </c>
      <c r="T2087" s="77">
        <v>0</v>
      </c>
      <c r="U2087" s="228">
        <v>40522</v>
      </c>
      <c r="V2087" s="79"/>
      <c r="W2087" s="66" t="s">
        <v>1585</v>
      </c>
      <c r="X2087" s="24" t="s">
        <v>1586</v>
      </c>
      <c r="Y2087" s="62"/>
      <c r="Z2087" s="169" t="s">
        <v>894</v>
      </c>
      <c r="AA2087" s="166" t="s">
        <v>756</v>
      </c>
      <c r="AB2087" s="152"/>
      <c r="AC2087" s="153"/>
      <c r="AD2087" s="154"/>
      <c r="AE2087" s="153"/>
      <c r="AF2087" s="153"/>
      <c r="AG2087" s="153"/>
      <c r="AH2087" s="153"/>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c r="BF2087" s="153"/>
      <c r="BG2087" s="153"/>
      <c r="BH2087" s="153"/>
      <c r="BI2087" s="153"/>
      <c r="BJ2087" s="153"/>
      <c r="BK2087" s="153"/>
      <c r="BL2087" s="153"/>
      <c r="BM2087" s="153"/>
      <c r="BN2087" s="153"/>
      <c r="BO2087" s="153"/>
      <c r="BP2087" s="153"/>
      <c r="BQ2087" s="153"/>
      <c r="BR2087" s="153"/>
      <c r="BS2087" s="153"/>
      <c r="BT2087" s="153"/>
      <c r="BU2087" s="153"/>
      <c r="BV2087" s="153"/>
      <c r="BW2087" s="153"/>
      <c r="BX2087" s="153"/>
      <c r="BY2087" s="153"/>
      <c r="BZ2087" s="153"/>
      <c r="CA2087" s="153"/>
      <c r="CB2087" s="153"/>
      <c r="CC2087" s="153"/>
      <c r="CD2087" s="155"/>
      <c r="CE2087" s="156"/>
      <c r="CF2087" s="155"/>
      <c r="CG2087" s="156"/>
      <c r="CH2087" s="155"/>
      <c r="CI2087" s="156"/>
      <c r="CJ2087" s="157">
        <f t="shared" si="259"/>
        <v>0</v>
      </c>
      <c r="CK2087" s="158"/>
      <c r="CL2087" s="159"/>
      <c r="CM2087" s="160"/>
      <c r="CN2087" s="161"/>
      <c r="CO2087" s="162"/>
      <c r="CP2087" s="161"/>
      <c r="CQ2087" s="158"/>
      <c r="CR2087" s="159"/>
      <c r="CS2087" s="68"/>
      <c r="CT2087" s="163"/>
      <c r="EC2087" s="366" t="str">
        <f t="shared" si="260"/>
        <v>CUNDINAMARCA_SOACHA</v>
      </c>
      <c r="ED2087" s="367"/>
      <c r="EE2087" s="367"/>
      <c r="EF2087" s="368"/>
      <c r="EG2087" s="367"/>
      <c r="EH2087" s="367"/>
      <c r="EI2087" s="367"/>
    </row>
    <row r="2088" spans="1:139" s="164" customFormat="1" ht="25.5">
      <c r="A2088" s="228">
        <v>40522</v>
      </c>
      <c r="B2088" s="205" t="s">
        <v>962</v>
      </c>
      <c r="C2088" s="205" t="s">
        <v>3157</v>
      </c>
      <c r="D2088" s="207" t="s">
        <v>1201</v>
      </c>
      <c r="E2088" s="323" t="s">
        <v>3830</v>
      </c>
      <c r="F2088" s="323"/>
      <c r="G2088" s="204"/>
      <c r="H2088" s="151"/>
      <c r="I2088" s="151"/>
      <c r="J2088" s="151">
        <v>100</v>
      </c>
      <c r="K2088" s="151">
        <v>20</v>
      </c>
      <c r="L2088" s="1"/>
      <c r="M2088" s="73">
        <f t="shared" si="257"/>
        <v>0</v>
      </c>
      <c r="N2088" s="73">
        <f t="shared" si="262"/>
        <v>0</v>
      </c>
      <c r="O2088" s="73">
        <f t="shared" si="256"/>
        <v>0</v>
      </c>
      <c r="P2088" s="73">
        <f t="shared" si="258"/>
        <v>0</v>
      </c>
      <c r="Q2088" s="73"/>
      <c r="R2088" s="73">
        <v>0</v>
      </c>
      <c r="S2088" s="75">
        <f t="shared" si="261"/>
        <v>0</v>
      </c>
      <c r="T2088" s="77">
        <v>0</v>
      </c>
      <c r="U2088" s="228">
        <v>40581</v>
      </c>
      <c r="V2088" s="79"/>
      <c r="W2088" s="66" t="s">
        <v>1585</v>
      </c>
      <c r="X2088" s="24" t="s">
        <v>1586</v>
      </c>
      <c r="Y2088" s="62"/>
      <c r="Z2088" s="169" t="s">
        <v>894</v>
      </c>
      <c r="AA2088" s="166" t="s">
        <v>54</v>
      </c>
      <c r="AB2088" s="152"/>
      <c r="AC2088" s="153"/>
      <c r="AD2088" s="154"/>
      <c r="AE2088" s="153"/>
      <c r="AF2088" s="153"/>
      <c r="AG2088" s="153"/>
      <c r="AH2088" s="153"/>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c r="BF2088" s="153"/>
      <c r="BG2088" s="153"/>
      <c r="BH2088" s="153"/>
      <c r="BI2088" s="153"/>
      <c r="BJ2088" s="153"/>
      <c r="BK2088" s="153"/>
      <c r="BL2088" s="153"/>
      <c r="BM2088" s="153"/>
      <c r="BN2088" s="153"/>
      <c r="BO2088" s="153"/>
      <c r="BP2088" s="153"/>
      <c r="BQ2088" s="153"/>
      <c r="BR2088" s="153"/>
      <c r="BS2088" s="153"/>
      <c r="BT2088" s="153"/>
      <c r="BU2088" s="153"/>
      <c r="BV2088" s="153"/>
      <c r="BW2088" s="153"/>
      <c r="BX2088" s="153"/>
      <c r="BY2088" s="153"/>
      <c r="BZ2088" s="153"/>
      <c r="CA2088" s="153"/>
      <c r="CB2088" s="153"/>
      <c r="CC2088" s="153"/>
      <c r="CD2088" s="155"/>
      <c r="CE2088" s="156"/>
      <c r="CF2088" s="155"/>
      <c r="CG2088" s="156"/>
      <c r="CH2088" s="155"/>
      <c r="CI2088" s="156"/>
      <c r="CJ2088" s="157">
        <f t="shared" si="259"/>
        <v>0</v>
      </c>
      <c r="CK2088" s="158"/>
      <c r="CL2088" s="159"/>
      <c r="CM2088" s="160"/>
      <c r="CN2088" s="161"/>
      <c r="CO2088" s="162"/>
      <c r="CP2088" s="161"/>
      <c r="CQ2088" s="158"/>
      <c r="CR2088" s="159"/>
      <c r="CS2088" s="68"/>
      <c r="CT2088" s="163"/>
      <c r="EC2088" s="366" t="str">
        <f t="shared" si="260"/>
        <v>HUILA_CAMPOALEGRE</v>
      </c>
      <c r="ED2088" s="367"/>
      <c r="EE2088" s="367"/>
      <c r="EF2088" s="368"/>
      <c r="EG2088" s="367"/>
      <c r="EH2088" s="367"/>
      <c r="EI2088" s="367"/>
    </row>
    <row r="2089" spans="1:139" s="164" customFormat="1" ht="25.5">
      <c r="A2089" s="228">
        <v>40522</v>
      </c>
      <c r="B2089" s="205" t="s">
        <v>1609</v>
      </c>
      <c r="C2089" s="205" t="s">
        <v>742</v>
      </c>
      <c r="D2089" s="207" t="s">
        <v>2606</v>
      </c>
      <c r="E2089" s="323" t="s">
        <v>4052</v>
      </c>
      <c r="F2089" s="323"/>
      <c r="G2089" s="204"/>
      <c r="H2089" s="151"/>
      <c r="I2089" s="151"/>
      <c r="J2089" s="151">
        <v>50</v>
      </c>
      <c r="K2089" s="151">
        <v>10</v>
      </c>
      <c r="L2089" s="1"/>
      <c r="M2089" s="73">
        <f t="shared" si="257"/>
        <v>0</v>
      </c>
      <c r="N2089" s="73">
        <f t="shared" si="262"/>
        <v>0</v>
      </c>
      <c r="O2089" s="73">
        <f t="shared" si="256"/>
        <v>0</v>
      </c>
      <c r="P2089" s="73">
        <f t="shared" si="258"/>
        <v>0</v>
      </c>
      <c r="Q2089" s="73"/>
      <c r="R2089" s="73">
        <v>0</v>
      </c>
      <c r="S2089" s="75">
        <f t="shared" si="261"/>
        <v>0</v>
      </c>
      <c r="T2089" s="77">
        <v>0</v>
      </c>
      <c r="U2089" s="228">
        <v>40522</v>
      </c>
      <c r="V2089" s="79"/>
      <c r="W2089" s="66" t="s">
        <v>1585</v>
      </c>
      <c r="X2089" s="24" t="s">
        <v>1586</v>
      </c>
      <c r="Y2089" s="62"/>
      <c r="Z2089" s="169" t="s">
        <v>894</v>
      </c>
      <c r="AA2089" s="166" t="s">
        <v>236</v>
      </c>
      <c r="AB2089" s="152"/>
      <c r="AC2089" s="153"/>
      <c r="AD2089" s="154"/>
      <c r="AE2089" s="153"/>
      <c r="AF2089" s="153"/>
      <c r="AG2089" s="153"/>
      <c r="AH2089" s="153"/>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c r="BF2089" s="153"/>
      <c r="BG2089" s="153"/>
      <c r="BH2089" s="153"/>
      <c r="BI2089" s="153"/>
      <c r="BJ2089" s="153"/>
      <c r="BK2089" s="153"/>
      <c r="BL2089" s="153"/>
      <c r="BM2089" s="153"/>
      <c r="BN2089" s="153"/>
      <c r="BO2089" s="153"/>
      <c r="BP2089" s="153"/>
      <c r="BQ2089" s="153"/>
      <c r="BR2089" s="153"/>
      <c r="BS2089" s="153"/>
      <c r="BT2089" s="153"/>
      <c r="BU2089" s="153"/>
      <c r="BV2089" s="153"/>
      <c r="BW2089" s="153"/>
      <c r="BX2089" s="153"/>
      <c r="BY2089" s="153"/>
      <c r="BZ2089" s="153"/>
      <c r="CA2089" s="153"/>
      <c r="CB2089" s="153"/>
      <c r="CC2089" s="153"/>
      <c r="CD2089" s="155"/>
      <c r="CE2089" s="156"/>
      <c r="CF2089" s="155"/>
      <c r="CG2089" s="156"/>
      <c r="CH2089" s="155"/>
      <c r="CI2089" s="156"/>
      <c r="CJ2089" s="157">
        <f t="shared" si="259"/>
        <v>0</v>
      </c>
      <c r="CK2089" s="158"/>
      <c r="CL2089" s="159"/>
      <c r="CM2089" s="160"/>
      <c r="CN2089" s="161"/>
      <c r="CO2089" s="162"/>
      <c r="CP2089" s="161"/>
      <c r="CQ2089" s="158"/>
      <c r="CR2089" s="159"/>
      <c r="CS2089" s="68"/>
      <c r="CT2089" s="163"/>
      <c r="EC2089" s="366" t="str">
        <f t="shared" si="260"/>
        <v>RISARALDA_BALBOA</v>
      </c>
      <c r="ED2089" s="367"/>
      <c r="EE2089" s="367"/>
      <c r="EF2089" s="368"/>
      <c r="EG2089" s="367"/>
      <c r="EH2089" s="367"/>
      <c r="EI2089" s="367"/>
    </row>
    <row r="2090" spans="1:139" s="164" customFormat="1" ht="25.5">
      <c r="A2090" s="228">
        <v>40522</v>
      </c>
      <c r="B2090" s="205" t="s">
        <v>2400</v>
      </c>
      <c r="C2090" s="205" t="s">
        <v>77</v>
      </c>
      <c r="D2090" s="207" t="s">
        <v>1201</v>
      </c>
      <c r="E2090" s="323" t="s">
        <v>4191</v>
      </c>
      <c r="F2090" s="323"/>
      <c r="G2090" s="204"/>
      <c r="H2090" s="151"/>
      <c r="I2090" s="151"/>
      <c r="J2090" s="151">
        <f>321*5</f>
        <v>1605</v>
      </c>
      <c r="K2090" s="151">
        <v>321</v>
      </c>
      <c r="L2090" s="1"/>
      <c r="M2090" s="73">
        <f t="shared" si="257"/>
        <v>0</v>
      </c>
      <c r="N2090" s="73">
        <f t="shared" si="262"/>
        <v>0</v>
      </c>
      <c r="O2090" s="73">
        <f t="shared" si="256"/>
        <v>0</v>
      </c>
      <c r="P2090" s="73">
        <f t="shared" si="258"/>
        <v>0</v>
      </c>
      <c r="Q2090" s="73"/>
      <c r="R2090" s="73">
        <v>0</v>
      </c>
      <c r="S2090" s="75">
        <f t="shared" si="261"/>
        <v>0</v>
      </c>
      <c r="T2090" s="77">
        <v>0</v>
      </c>
      <c r="U2090" s="228">
        <v>40581</v>
      </c>
      <c r="V2090" s="79"/>
      <c r="W2090" s="66" t="s">
        <v>1585</v>
      </c>
      <c r="X2090" s="24" t="s">
        <v>1586</v>
      </c>
      <c r="Y2090" s="62"/>
      <c r="Z2090" s="169" t="s">
        <v>894</v>
      </c>
      <c r="AA2090" s="166" t="s">
        <v>54</v>
      </c>
      <c r="AB2090" s="152"/>
      <c r="AC2090" s="153"/>
      <c r="AD2090" s="154"/>
      <c r="AE2090" s="153"/>
      <c r="AF2090" s="153"/>
      <c r="AG2090" s="153"/>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c r="BF2090" s="153"/>
      <c r="BG2090" s="153"/>
      <c r="BH2090" s="153"/>
      <c r="BI2090" s="153"/>
      <c r="BJ2090" s="153"/>
      <c r="BK2090" s="153"/>
      <c r="BL2090" s="153"/>
      <c r="BM2090" s="153"/>
      <c r="BN2090" s="153"/>
      <c r="BO2090" s="153"/>
      <c r="BP2090" s="153"/>
      <c r="BQ2090" s="153"/>
      <c r="BR2090" s="153"/>
      <c r="BS2090" s="153"/>
      <c r="BT2090" s="153"/>
      <c r="BU2090" s="153"/>
      <c r="BV2090" s="153"/>
      <c r="BW2090" s="153"/>
      <c r="BX2090" s="153"/>
      <c r="BY2090" s="153"/>
      <c r="BZ2090" s="153"/>
      <c r="CA2090" s="153"/>
      <c r="CB2090" s="153"/>
      <c r="CC2090" s="153"/>
      <c r="CD2090" s="155"/>
      <c r="CE2090" s="156"/>
      <c r="CF2090" s="155"/>
      <c r="CG2090" s="156"/>
      <c r="CH2090" s="155"/>
      <c r="CI2090" s="156"/>
      <c r="CJ2090" s="157">
        <f t="shared" si="259"/>
        <v>0</v>
      </c>
      <c r="CK2090" s="158"/>
      <c r="CL2090" s="159"/>
      <c r="CM2090" s="160"/>
      <c r="CN2090" s="161"/>
      <c r="CO2090" s="162"/>
      <c r="CP2090" s="161"/>
      <c r="CQ2090" s="158"/>
      <c r="CR2090" s="159"/>
      <c r="CS2090" s="68"/>
      <c r="CT2090" s="163"/>
      <c r="EC2090" s="366" t="str">
        <f t="shared" si="260"/>
        <v>TOLIMA_DOLORES</v>
      </c>
      <c r="ED2090" s="367"/>
      <c r="EE2090" s="367"/>
      <c r="EF2090" s="368"/>
      <c r="EG2090" s="367"/>
      <c r="EH2090" s="367"/>
      <c r="EI2090" s="367"/>
    </row>
    <row r="2091" spans="1:139" s="164" customFormat="1" ht="45">
      <c r="A2091" s="228">
        <v>40522</v>
      </c>
      <c r="B2091" s="205" t="s">
        <v>1088</v>
      </c>
      <c r="C2091" s="205" t="s">
        <v>689</v>
      </c>
      <c r="D2091" s="207" t="s">
        <v>1878</v>
      </c>
      <c r="E2091" s="323" t="s">
        <v>4261</v>
      </c>
      <c r="F2091" s="323"/>
      <c r="G2091" s="204"/>
      <c r="H2091" s="151"/>
      <c r="I2091" s="151"/>
      <c r="J2091" s="151">
        <v>250</v>
      </c>
      <c r="K2091" s="151">
        <v>50</v>
      </c>
      <c r="L2091" s="1"/>
      <c r="M2091" s="73">
        <f t="shared" si="257"/>
        <v>0</v>
      </c>
      <c r="N2091" s="73">
        <f t="shared" si="262"/>
        <v>0</v>
      </c>
      <c r="O2091" s="73">
        <f t="shared" si="256"/>
        <v>0</v>
      </c>
      <c r="P2091" s="73">
        <f t="shared" si="258"/>
        <v>0</v>
      </c>
      <c r="Q2091" s="73"/>
      <c r="R2091" s="73">
        <v>0</v>
      </c>
      <c r="S2091" s="75">
        <f t="shared" si="261"/>
        <v>0</v>
      </c>
      <c r="T2091" s="77">
        <v>0</v>
      </c>
      <c r="U2091" s="228"/>
      <c r="V2091" s="79"/>
      <c r="W2091" s="66" t="s">
        <v>1606</v>
      </c>
      <c r="X2091" s="264" t="s">
        <v>1607</v>
      </c>
      <c r="Y2091" s="62"/>
      <c r="Z2091" s="260" t="s">
        <v>18</v>
      </c>
      <c r="AA2091" s="166" t="s">
        <v>3076</v>
      </c>
      <c r="AB2091" s="152"/>
      <c r="AC2091" s="153"/>
      <c r="AD2091" s="154"/>
      <c r="AE2091" s="153"/>
      <c r="AF2091" s="153"/>
      <c r="AG2091" s="153"/>
      <c r="AH2091" s="153"/>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c r="BF2091" s="153"/>
      <c r="BG2091" s="153"/>
      <c r="BH2091" s="153"/>
      <c r="BI2091" s="153"/>
      <c r="BJ2091" s="153"/>
      <c r="BK2091" s="153"/>
      <c r="BL2091" s="153"/>
      <c r="BM2091" s="153"/>
      <c r="BN2091" s="153"/>
      <c r="BO2091" s="153"/>
      <c r="BP2091" s="153"/>
      <c r="BQ2091" s="153"/>
      <c r="BR2091" s="153"/>
      <c r="BS2091" s="153"/>
      <c r="BT2091" s="153"/>
      <c r="BU2091" s="153"/>
      <c r="BV2091" s="153"/>
      <c r="BW2091" s="153"/>
      <c r="BX2091" s="153"/>
      <c r="BY2091" s="153"/>
      <c r="BZ2091" s="153"/>
      <c r="CA2091" s="153"/>
      <c r="CB2091" s="153"/>
      <c r="CC2091" s="153"/>
      <c r="CD2091" s="155"/>
      <c r="CE2091" s="156"/>
      <c r="CF2091" s="155"/>
      <c r="CG2091" s="156"/>
      <c r="CH2091" s="155"/>
      <c r="CI2091" s="156"/>
      <c r="CJ2091" s="157">
        <f t="shared" si="259"/>
        <v>0</v>
      </c>
      <c r="CK2091" s="158"/>
      <c r="CL2091" s="159"/>
      <c r="CM2091" s="160"/>
      <c r="CN2091" s="161"/>
      <c r="CO2091" s="162"/>
      <c r="CP2091" s="161"/>
      <c r="CQ2091" s="158"/>
      <c r="CR2091" s="159"/>
      <c r="CS2091" s="68"/>
      <c r="CT2091" s="163"/>
      <c r="EC2091" s="366" t="str">
        <f t="shared" si="260"/>
        <v>VALLE DEL CAUCA_VERSALLES</v>
      </c>
      <c r="ED2091" s="367"/>
      <c r="EE2091" s="367"/>
      <c r="EF2091" s="368"/>
      <c r="EG2091" s="367"/>
      <c r="EH2091" s="367"/>
      <c r="EI2091" s="367"/>
    </row>
    <row r="2092" spans="1:139" s="164" customFormat="1" ht="48">
      <c r="A2092" s="228">
        <v>40523</v>
      </c>
      <c r="B2092" s="205" t="s">
        <v>1996</v>
      </c>
      <c r="C2092" s="205" t="s">
        <v>2206</v>
      </c>
      <c r="D2092" s="207" t="s">
        <v>1201</v>
      </c>
      <c r="E2092" s="323" t="s">
        <v>3808</v>
      </c>
      <c r="F2092" s="323"/>
      <c r="G2092" s="204"/>
      <c r="H2092" s="151"/>
      <c r="I2092" s="151"/>
      <c r="J2092" s="151">
        <f>3360-1000</f>
        <v>2360</v>
      </c>
      <c r="K2092" s="151">
        <f>672-200</f>
        <v>472</v>
      </c>
      <c r="L2092" s="1"/>
      <c r="M2092" s="73">
        <f t="shared" si="257"/>
        <v>13610000</v>
      </c>
      <c r="N2092" s="73">
        <f t="shared" si="262"/>
        <v>37825000</v>
      </c>
      <c r="O2092" s="73">
        <f t="shared" si="256"/>
        <v>0</v>
      </c>
      <c r="P2092" s="73">
        <f t="shared" si="258"/>
        <v>0</v>
      </c>
      <c r="Q2092" s="73"/>
      <c r="R2092" s="73">
        <v>0</v>
      </c>
      <c r="S2092" s="75">
        <f t="shared" si="261"/>
        <v>51435000</v>
      </c>
      <c r="T2092" s="77">
        <v>0</v>
      </c>
      <c r="U2092" s="228"/>
      <c r="V2092" s="79"/>
      <c r="W2092" s="66" t="s">
        <v>1606</v>
      </c>
      <c r="X2092" s="24" t="s">
        <v>1607</v>
      </c>
      <c r="Y2092" s="62"/>
      <c r="Z2092" s="169"/>
      <c r="AA2092" s="166" t="s">
        <v>757</v>
      </c>
      <c r="AB2092" s="152"/>
      <c r="AC2092" s="153"/>
      <c r="AD2092" s="154"/>
      <c r="AE2092" s="153"/>
      <c r="AF2092" s="153"/>
      <c r="AG2092" s="153"/>
      <c r="AH2092" s="153"/>
      <c r="AI2092" s="153"/>
      <c r="AJ2092" s="153"/>
      <c r="AK2092" s="153"/>
      <c r="AL2092" s="153"/>
      <c r="AM2092" s="153"/>
      <c r="AN2092" s="153"/>
      <c r="AO2092" s="153"/>
      <c r="AP2092" s="153">
        <v>100</v>
      </c>
      <c r="AQ2092" s="153">
        <f>100*56000</f>
        <v>5600000</v>
      </c>
      <c r="AR2092" s="153"/>
      <c r="AS2092" s="153"/>
      <c r="AT2092" s="153"/>
      <c r="AU2092" s="153"/>
      <c r="AV2092" s="153"/>
      <c r="AW2092" s="153"/>
      <c r="AX2092" s="153"/>
      <c r="AY2092" s="153"/>
      <c r="AZ2092" s="153"/>
      <c r="BA2092" s="153"/>
      <c r="BB2092" s="153"/>
      <c r="BC2092" s="153"/>
      <c r="BD2092" s="153"/>
      <c r="BE2092" s="153"/>
      <c r="BF2092" s="153"/>
      <c r="BG2092" s="153"/>
      <c r="BH2092" s="153"/>
      <c r="BI2092" s="153"/>
      <c r="BJ2092" s="153"/>
      <c r="BK2092" s="153"/>
      <c r="BL2092" s="153"/>
      <c r="BM2092" s="153"/>
      <c r="BN2092" s="153"/>
      <c r="BO2092" s="153"/>
      <c r="BP2092" s="153"/>
      <c r="BQ2092" s="153"/>
      <c r="BR2092" s="153"/>
      <c r="BS2092" s="153"/>
      <c r="BT2092" s="153"/>
      <c r="BU2092" s="153"/>
      <c r="BV2092" s="153"/>
      <c r="BW2092" s="153"/>
      <c r="BX2092" s="153"/>
      <c r="BY2092" s="153"/>
      <c r="BZ2092" s="153"/>
      <c r="CA2092" s="153"/>
      <c r="CB2092" s="153">
        <v>445</v>
      </c>
      <c r="CC2092" s="153">
        <f>445*18000</f>
        <v>8010000</v>
      </c>
      <c r="CD2092" s="155"/>
      <c r="CE2092" s="156"/>
      <c r="CF2092" s="155"/>
      <c r="CG2092" s="156"/>
      <c r="CH2092" s="155"/>
      <c r="CI2092" s="156"/>
      <c r="CJ2092" s="157">
        <f t="shared" si="259"/>
        <v>13610000</v>
      </c>
      <c r="CK2092" s="158"/>
      <c r="CL2092" s="159"/>
      <c r="CM2092" s="160">
        <v>445</v>
      </c>
      <c r="CN2092" s="161">
        <f>445*85000</f>
        <v>37825000</v>
      </c>
      <c r="CO2092" s="162"/>
      <c r="CP2092" s="161"/>
      <c r="CQ2092" s="158"/>
      <c r="CR2092" s="159"/>
      <c r="CS2092" s="68"/>
      <c r="CT2092" s="163"/>
      <c r="EC2092" s="366" t="str">
        <f t="shared" si="260"/>
        <v>CHOCO_JURADO</v>
      </c>
      <c r="ED2092" s="367"/>
      <c r="EE2092" s="367"/>
      <c r="EF2092" s="368"/>
      <c r="EG2092" s="367"/>
      <c r="EH2092" s="367"/>
      <c r="EI2092" s="367"/>
    </row>
    <row r="2093" spans="1:139" s="164" customFormat="1" ht="25.5">
      <c r="A2093" s="228">
        <v>40523</v>
      </c>
      <c r="B2093" s="205" t="s">
        <v>1824</v>
      </c>
      <c r="C2093" s="205" t="s">
        <v>840</v>
      </c>
      <c r="D2093" s="207" t="s">
        <v>1878</v>
      </c>
      <c r="E2093" s="323" t="s">
        <v>3982</v>
      </c>
      <c r="F2093" s="323"/>
      <c r="G2093" s="204"/>
      <c r="H2093" s="151"/>
      <c r="I2093" s="151"/>
      <c r="J2093" s="151"/>
      <c r="K2093" s="151"/>
      <c r="L2093" s="1"/>
      <c r="M2093" s="73">
        <f t="shared" si="257"/>
        <v>0</v>
      </c>
      <c r="N2093" s="73">
        <f t="shared" si="262"/>
        <v>0</v>
      </c>
      <c r="O2093" s="73">
        <f t="shared" si="256"/>
        <v>0</v>
      </c>
      <c r="P2093" s="73">
        <f t="shared" si="258"/>
        <v>0</v>
      </c>
      <c r="Q2093" s="73"/>
      <c r="R2093" s="73">
        <v>0</v>
      </c>
      <c r="S2093" s="75">
        <f t="shared" si="261"/>
        <v>0</v>
      </c>
      <c r="T2093" s="77">
        <v>0</v>
      </c>
      <c r="U2093" s="228">
        <v>40523</v>
      </c>
      <c r="V2093" s="79"/>
      <c r="W2093" s="66" t="s">
        <v>1585</v>
      </c>
      <c r="X2093" s="24" t="s">
        <v>1586</v>
      </c>
      <c r="Y2093" s="62"/>
      <c r="Z2093" s="169" t="s">
        <v>894</v>
      </c>
      <c r="AA2093" s="166" t="s">
        <v>758</v>
      </c>
      <c r="AB2093" s="152"/>
      <c r="AC2093" s="153"/>
      <c r="AD2093" s="154"/>
      <c r="AE2093" s="153"/>
      <c r="AF2093" s="153"/>
      <c r="AG2093" s="153"/>
      <c r="AH2093" s="153"/>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c r="BF2093" s="153"/>
      <c r="BG2093" s="153"/>
      <c r="BH2093" s="153"/>
      <c r="BI2093" s="153"/>
      <c r="BJ2093" s="153"/>
      <c r="BK2093" s="153"/>
      <c r="BL2093" s="153"/>
      <c r="BM2093" s="153"/>
      <c r="BN2093" s="153"/>
      <c r="BO2093" s="153"/>
      <c r="BP2093" s="153"/>
      <c r="BQ2093" s="153"/>
      <c r="BR2093" s="153"/>
      <c r="BS2093" s="153"/>
      <c r="BT2093" s="153"/>
      <c r="BU2093" s="153"/>
      <c r="BV2093" s="153"/>
      <c r="BW2093" s="153"/>
      <c r="BX2093" s="153"/>
      <c r="BY2093" s="153"/>
      <c r="BZ2093" s="153"/>
      <c r="CA2093" s="153"/>
      <c r="CB2093" s="153"/>
      <c r="CC2093" s="153"/>
      <c r="CD2093" s="155"/>
      <c r="CE2093" s="156"/>
      <c r="CF2093" s="155"/>
      <c r="CG2093" s="156"/>
      <c r="CH2093" s="155"/>
      <c r="CI2093" s="156"/>
      <c r="CJ2093" s="157">
        <f t="shared" si="259"/>
        <v>0</v>
      </c>
      <c r="CK2093" s="158"/>
      <c r="CL2093" s="159"/>
      <c r="CM2093" s="160"/>
      <c r="CN2093" s="161"/>
      <c r="CO2093" s="162"/>
      <c r="CP2093" s="161"/>
      <c r="CQ2093" s="158"/>
      <c r="CR2093" s="159"/>
      <c r="CS2093" s="68"/>
      <c r="CT2093" s="163"/>
      <c r="EC2093" s="366" t="str">
        <f t="shared" si="260"/>
        <v>NARIÑO_RICAURTE</v>
      </c>
      <c r="ED2093" s="367"/>
      <c r="EE2093" s="367"/>
      <c r="EF2093" s="368"/>
      <c r="EG2093" s="367"/>
      <c r="EH2093" s="367"/>
      <c r="EI2093" s="367"/>
    </row>
    <row r="2094" spans="1:139" s="164" customFormat="1" ht="25.5">
      <c r="A2094" s="228">
        <v>40523</v>
      </c>
      <c r="B2094" s="205" t="s">
        <v>1824</v>
      </c>
      <c r="C2094" s="205" t="s">
        <v>840</v>
      </c>
      <c r="D2094" s="207" t="s">
        <v>1878</v>
      </c>
      <c r="E2094" s="323" t="s">
        <v>3982</v>
      </c>
      <c r="F2094" s="323"/>
      <c r="G2094" s="204"/>
      <c r="H2094" s="151"/>
      <c r="I2094" s="151"/>
      <c r="J2094" s="151">
        <v>35</v>
      </c>
      <c r="K2094" s="151">
        <v>7</v>
      </c>
      <c r="L2094" s="1"/>
      <c r="M2094" s="73">
        <f t="shared" si="257"/>
        <v>0</v>
      </c>
      <c r="N2094" s="73">
        <f t="shared" si="262"/>
        <v>0</v>
      </c>
      <c r="O2094" s="73">
        <f t="shared" si="256"/>
        <v>0</v>
      </c>
      <c r="P2094" s="73">
        <f t="shared" si="258"/>
        <v>0</v>
      </c>
      <c r="Q2094" s="73"/>
      <c r="R2094" s="73">
        <v>0</v>
      </c>
      <c r="S2094" s="75">
        <f t="shared" si="261"/>
        <v>0</v>
      </c>
      <c r="T2094" s="77">
        <v>0</v>
      </c>
      <c r="U2094" s="228">
        <v>40523</v>
      </c>
      <c r="V2094" s="79"/>
      <c r="W2094" s="66" t="s">
        <v>1585</v>
      </c>
      <c r="X2094" s="24" t="s">
        <v>1586</v>
      </c>
      <c r="Y2094" s="62"/>
      <c r="Z2094" s="169" t="s">
        <v>894</v>
      </c>
      <c r="AA2094" s="166" t="s">
        <v>759</v>
      </c>
      <c r="AB2094" s="152"/>
      <c r="AC2094" s="153"/>
      <c r="AD2094" s="154"/>
      <c r="AE2094" s="153"/>
      <c r="AF2094" s="153"/>
      <c r="AG2094" s="153"/>
      <c r="AH2094" s="153"/>
      <c r="AI2094" s="153"/>
      <c r="AJ2094" s="153"/>
      <c r="AK2094" s="153"/>
      <c r="AL2094" s="153"/>
      <c r="AM2094" s="153"/>
      <c r="AN2094" s="153"/>
      <c r="AO2094" s="153"/>
      <c r="AP2094" s="153"/>
      <c r="AQ2094" s="153"/>
      <c r="AR2094" s="153"/>
      <c r="AS2094" s="153"/>
      <c r="AT2094" s="153"/>
      <c r="AU2094" s="153"/>
      <c r="AV2094" s="153"/>
      <c r="AW2094" s="153"/>
      <c r="AX2094" s="153"/>
      <c r="AY2094" s="153"/>
      <c r="AZ2094" s="153"/>
      <c r="BA2094" s="153"/>
      <c r="BB2094" s="153"/>
      <c r="BC2094" s="153"/>
      <c r="BD2094" s="153"/>
      <c r="BE2094" s="153"/>
      <c r="BF2094" s="153"/>
      <c r="BG2094" s="153"/>
      <c r="BH2094" s="153"/>
      <c r="BI2094" s="153"/>
      <c r="BJ2094" s="153"/>
      <c r="BK2094" s="153"/>
      <c r="BL2094" s="153"/>
      <c r="BM2094" s="153"/>
      <c r="BN2094" s="153"/>
      <c r="BO2094" s="153"/>
      <c r="BP2094" s="153"/>
      <c r="BQ2094" s="153"/>
      <c r="BR2094" s="153"/>
      <c r="BS2094" s="153"/>
      <c r="BT2094" s="153"/>
      <c r="BU2094" s="153"/>
      <c r="BV2094" s="153"/>
      <c r="BW2094" s="153"/>
      <c r="BX2094" s="153"/>
      <c r="BY2094" s="153"/>
      <c r="BZ2094" s="153"/>
      <c r="CA2094" s="153"/>
      <c r="CB2094" s="153"/>
      <c r="CC2094" s="153"/>
      <c r="CD2094" s="155"/>
      <c r="CE2094" s="156"/>
      <c r="CF2094" s="155"/>
      <c r="CG2094" s="156"/>
      <c r="CH2094" s="155"/>
      <c r="CI2094" s="156"/>
      <c r="CJ2094" s="157">
        <f t="shared" si="259"/>
        <v>0</v>
      </c>
      <c r="CK2094" s="158"/>
      <c r="CL2094" s="159"/>
      <c r="CM2094" s="160"/>
      <c r="CN2094" s="161"/>
      <c r="CO2094" s="162"/>
      <c r="CP2094" s="161"/>
      <c r="CQ2094" s="158"/>
      <c r="CR2094" s="159"/>
      <c r="CS2094" s="68"/>
      <c r="CT2094" s="163"/>
      <c r="EC2094" s="366" t="str">
        <f t="shared" si="260"/>
        <v>NARIÑO_RICAURTE</v>
      </c>
      <c r="ED2094" s="367"/>
      <c r="EE2094" s="367"/>
      <c r="EF2094" s="368"/>
      <c r="EG2094" s="367"/>
      <c r="EH2094" s="367"/>
      <c r="EI2094" s="367"/>
    </row>
    <row r="2095" spans="1:139" s="164" customFormat="1" ht="45">
      <c r="A2095" s="228">
        <v>40524</v>
      </c>
      <c r="B2095" s="205" t="s">
        <v>1314</v>
      </c>
      <c r="C2095" s="205" t="s">
        <v>3133</v>
      </c>
      <c r="D2095" s="207" t="s">
        <v>1878</v>
      </c>
      <c r="E2095" s="323" t="s">
        <v>3604</v>
      </c>
      <c r="F2095" s="323"/>
      <c r="G2095" s="204"/>
      <c r="H2095" s="151"/>
      <c r="I2095" s="151"/>
      <c r="J2095" s="151">
        <f>802*5</f>
        <v>4010</v>
      </c>
      <c r="K2095" s="151">
        <f>378+424</f>
        <v>802</v>
      </c>
      <c r="L2095" s="1"/>
      <c r="M2095" s="73">
        <f t="shared" si="257"/>
        <v>0</v>
      </c>
      <c r="N2095" s="73">
        <f t="shared" si="262"/>
        <v>0</v>
      </c>
      <c r="O2095" s="73">
        <f t="shared" si="256"/>
        <v>0</v>
      </c>
      <c r="P2095" s="73">
        <f t="shared" si="258"/>
        <v>0</v>
      </c>
      <c r="Q2095" s="73"/>
      <c r="R2095" s="73">
        <v>0</v>
      </c>
      <c r="S2095" s="75">
        <f t="shared" si="261"/>
        <v>0</v>
      </c>
      <c r="T2095" s="77">
        <v>0</v>
      </c>
      <c r="U2095" s="228"/>
      <c r="V2095" s="79"/>
      <c r="W2095" s="66" t="s">
        <v>1606</v>
      </c>
      <c r="X2095" s="264" t="s">
        <v>1607</v>
      </c>
      <c r="Y2095" s="62"/>
      <c r="Z2095" s="260" t="s">
        <v>18</v>
      </c>
      <c r="AA2095" s="166" t="s">
        <v>843</v>
      </c>
      <c r="AB2095" s="152"/>
      <c r="AC2095" s="153"/>
      <c r="AD2095" s="154"/>
      <c r="AE2095" s="153"/>
      <c r="AF2095" s="153"/>
      <c r="AG2095" s="153"/>
      <c r="AH2095" s="153"/>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c r="BF2095" s="153"/>
      <c r="BG2095" s="153"/>
      <c r="BH2095" s="153"/>
      <c r="BI2095" s="153"/>
      <c r="BJ2095" s="153"/>
      <c r="BK2095" s="153"/>
      <c r="BL2095" s="153"/>
      <c r="BM2095" s="153"/>
      <c r="BN2095" s="153"/>
      <c r="BO2095" s="153"/>
      <c r="BP2095" s="153"/>
      <c r="BQ2095" s="153"/>
      <c r="BR2095" s="153"/>
      <c r="BS2095" s="153"/>
      <c r="BT2095" s="153"/>
      <c r="BU2095" s="153"/>
      <c r="BV2095" s="153"/>
      <c r="BW2095" s="153"/>
      <c r="BX2095" s="153"/>
      <c r="BY2095" s="153"/>
      <c r="BZ2095" s="153"/>
      <c r="CA2095" s="153"/>
      <c r="CB2095" s="153"/>
      <c r="CC2095" s="153"/>
      <c r="CD2095" s="155"/>
      <c r="CE2095" s="156"/>
      <c r="CF2095" s="155"/>
      <c r="CG2095" s="156"/>
      <c r="CH2095" s="155"/>
      <c r="CI2095" s="156"/>
      <c r="CJ2095" s="157">
        <f t="shared" si="259"/>
        <v>0</v>
      </c>
      <c r="CK2095" s="158"/>
      <c r="CL2095" s="159"/>
      <c r="CM2095" s="160"/>
      <c r="CN2095" s="161"/>
      <c r="CO2095" s="162"/>
      <c r="CP2095" s="161"/>
      <c r="CQ2095" s="158"/>
      <c r="CR2095" s="159"/>
      <c r="CS2095" s="68"/>
      <c r="CT2095" s="163"/>
      <c r="EC2095" s="366" t="str">
        <f t="shared" si="260"/>
        <v>CAUCA_LOPEZ</v>
      </c>
      <c r="ED2095" s="367"/>
      <c r="EE2095" s="367"/>
      <c r="EF2095" s="368"/>
      <c r="EG2095" s="367"/>
      <c r="EH2095" s="367"/>
      <c r="EI2095" s="367"/>
    </row>
    <row r="2096" spans="1:139" s="164" customFormat="1" ht="45">
      <c r="A2096" s="228">
        <v>40524</v>
      </c>
      <c r="B2096" s="205" t="s">
        <v>1314</v>
      </c>
      <c r="C2096" s="205" t="s">
        <v>768</v>
      </c>
      <c r="D2096" s="207" t="s">
        <v>1201</v>
      </c>
      <c r="E2096" s="323" t="s">
        <v>3620</v>
      </c>
      <c r="F2096" s="323"/>
      <c r="G2096" s="204"/>
      <c r="H2096" s="151"/>
      <c r="I2096" s="151"/>
      <c r="J2096" s="151">
        <f>110*5</f>
        <v>550</v>
      </c>
      <c r="K2096" s="151">
        <v>110</v>
      </c>
      <c r="L2096" s="1"/>
      <c r="M2096" s="73">
        <f t="shared" si="257"/>
        <v>0</v>
      </c>
      <c r="N2096" s="73">
        <f t="shared" si="262"/>
        <v>0</v>
      </c>
      <c r="O2096" s="73">
        <f t="shared" si="256"/>
        <v>0</v>
      </c>
      <c r="P2096" s="73">
        <f t="shared" si="258"/>
        <v>0</v>
      </c>
      <c r="Q2096" s="73"/>
      <c r="R2096" s="73">
        <v>0</v>
      </c>
      <c r="S2096" s="75">
        <f t="shared" si="261"/>
        <v>0</v>
      </c>
      <c r="T2096" s="77">
        <v>0</v>
      </c>
      <c r="U2096" s="66"/>
      <c r="V2096" s="79"/>
      <c r="W2096" s="66" t="s">
        <v>1606</v>
      </c>
      <c r="X2096" s="264" t="s">
        <v>1607</v>
      </c>
      <c r="Y2096" s="62"/>
      <c r="Z2096" s="260" t="s">
        <v>18</v>
      </c>
      <c r="AA2096" s="166" t="s">
        <v>766</v>
      </c>
      <c r="AB2096" s="152"/>
      <c r="AC2096" s="153"/>
      <c r="AD2096" s="154"/>
      <c r="AE2096" s="153"/>
      <c r="AF2096" s="153"/>
      <c r="AG2096" s="153"/>
      <c r="AH2096" s="153"/>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c r="BF2096" s="153"/>
      <c r="BG2096" s="153"/>
      <c r="BH2096" s="153"/>
      <c r="BI2096" s="153"/>
      <c r="BJ2096" s="153"/>
      <c r="BK2096" s="153"/>
      <c r="BL2096" s="153"/>
      <c r="BM2096" s="153"/>
      <c r="BN2096" s="153"/>
      <c r="BO2096" s="153"/>
      <c r="BP2096" s="153"/>
      <c r="BQ2096" s="153"/>
      <c r="BR2096" s="153"/>
      <c r="BS2096" s="153"/>
      <c r="BT2096" s="153"/>
      <c r="BU2096" s="153"/>
      <c r="BV2096" s="153"/>
      <c r="BW2096" s="153"/>
      <c r="BX2096" s="153"/>
      <c r="BY2096" s="153"/>
      <c r="BZ2096" s="153"/>
      <c r="CA2096" s="153"/>
      <c r="CB2096" s="153"/>
      <c r="CC2096" s="153"/>
      <c r="CD2096" s="155"/>
      <c r="CE2096" s="156"/>
      <c r="CF2096" s="155"/>
      <c r="CG2096" s="156"/>
      <c r="CH2096" s="155"/>
      <c r="CI2096" s="156"/>
      <c r="CJ2096" s="157">
        <f t="shared" si="259"/>
        <v>0</v>
      </c>
      <c r="CK2096" s="158"/>
      <c r="CL2096" s="159"/>
      <c r="CM2096" s="160"/>
      <c r="CN2096" s="161"/>
      <c r="CO2096" s="162"/>
      <c r="CP2096" s="161"/>
      <c r="CQ2096" s="158"/>
      <c r="CR2096" s="159"/>
      <c r="CS2096" s="68"/>
      <c r="CT2096" s="163"/>
      <c r="EC2096" s="366" t="str">
        <f t="shared" si="260"/>
        <v>CAUCA_SOTARA</v>
      </c>
      <c r="ED2096" s="367"/>
      <c r="EE2096" s="367"/>
      <c r="EF2096" s="368"/>
      <c r="EG2096" s="367"/>
      <c r="EH2096" s="367"/>
      <c r="EI2096" s="367"/>
    </row>
    <row r="2097" spans="1:139" s="164" customFormat="1" ht="45">
      <c r="A2097" s="228">
        <v>40524</v>
      </c>
      <c r="B2097" s="205" t="s">
        <v>1314</v>
      </c>
      <c r="C2097" s="205" t="s">
        <v>200</v>
      </c>
      <c r="D2097" s="207" t="s">
        <v>1878</v>
      </c>
      <c r="E2097" s="323" t="s">
        <v>3623</v>
      </c>
      <c r="F2097" s="323"/>
      <c r="G2097" s="204"/>
      <c r="H2097" s="151"/>
      <c r="I2097" s="151"/>
      <c r="J2097" s="151">
        <f>376*5</f>
        <v>1880</v>
      </c>
      <c r="K2097" s="151">
        <f>559-183</f>
        <v>376</v>
      </c>
      <c r="L2097" s="1"/>
      <c r="M2097" s="73">
        <f t="shared" si="257"/>
        <v>0</v>
      </c>
      <c r="N2097" s="73">
        <f t="shared" si="262"/>
        <v>0</v>
      </c>
      <c r="O2097" s="73">
        <f t="shared" si="256"/>
        <v>0</v>
      </c>
      <c r="P2097" s="73">
        <f t="shared" si="258"/>
        <v>0</v>
      </c>
      <c r="Q2097" s="73"/>
      <c r="R2097" s="73">
        <v>0</v>
      </c>
      <c r="S2097" s="75">
        <f t="shared" si="261"/>
        <v>0</v>
      </c>
      <c r="T2097" s="77">
        <v>0</v>
      </c>
      <c r="U2097" s="66"/>
      <c r="V2097" s="79"/>
      <c r="W2097" s="66" t="s">
        <v>1606</v>
      </c>
      <c r="X2097" s="264" t="s">
        <v>1607</v>
      </c>
      <c r="Y2097" s="62"/>
      <c r="Z2097" s="260" t="s">
        <v>18</v>
      </c>
      <c r="AA2097" s="166" t="s">
        <v>766</v>
      </c>
      <c r="AB2097" s="152"/>
      <c r="AC2097" s="153"/>
      <c r="AD2097" s="154"/>
      <c r="AE2097" s="153"/>
      <c r="AF2097" s="153"/>
      <c r="AG2097" s="153"/>
      <c r="AH2097" s="153"/>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c r="BF2097" s="153"/>
      <c r="BG2097" s="153"/>
      <c r="BH2097" s="153"/>
      <c r="BI2097" s="153"/>
      <c r="BJ2097" s="153"/>
      <c r="BK2097" s="153"/>
      <c r="BL2097" s="153"/>
      <c r="BM2097" s="153"/>
      <c r="BN2097" s="153"/>
      <c r="BO2097" s="153"/>
      <c r="BP2097" s="153"/>
      <c r="BQ2097" s="153"/>
      <c r="BR2097" s="153"/>
      <c r="BS2097" s="153"/>
      <c r="BT2097" s="153"/>
      <c r="BU2097" s="153"/>
      <c r="BV2097" s="153"/>
      <c r="BW2097" s="153"/>
      <c r="BX2097" s="153"/>
      <c r="BY2097" s="153"/>
      <c r="BZ2097" s="153"/>
      <c r="CA2097" s="153"/>
      <c r="CB2097" s="153"/>
      <c r="CC2097" s="153"/>
      <c r="CD2097" s="155"/>
      <c r="CE2097" s="156"/>
      <c r="CF2097" s="155"/>
      <c r="CG2097" s="156"/>
      <c r="CH2097" s="155"/>
      <c r="CI2097" s="156"/>
      <c r="CJ2097" s="157">
        <f t="shared" si="259"/>
        <v>0</v>
      </c>
      <c r="CK2097" s="158"/>
      <c r="CL2097" s="159"/>
      <c r="CM2097" s="160"/>
      <c r="CN2097" s="161"/>
      <c r="CO2097" s="162"/>
      <c r="CP2097" s="161"/>
      <c r="CQ2097" s="158"/>
      <c r="CR2097" s="159"/>
      <c r="CS2097" s="68"/>
      <c r="CT2097" s="163"/>
      <c r="EC2097" s="366" t="str">
        <f t="shared" si="260"/>
        <v>CAUCA_TIMBIO</v>
      </c>
      <c r="ED2097" s="367"/>
      <c r="EE2097" s="367"/>
      <c r="EF2097" s="368"/>
      <c r="EG2097" s="367"/>
      <c r="EH2097" s="367"/>
      <c r="EI2097" s="367"/>
    </row>
    <row r="2098" spans="1:139" s="164" customFormat="1" ht="38.25">
      <c r="A2098" s="228">
        <v>40524</v>
      </c>
      <c r="B2098" s="205" t="s">
        <v>1604</v>
      </c>
      <c r="C2098" s="205" t="s">
        <v>2664</v>
      </c>
      <c r="D2098" s="207" t="s">
        <v>1201</v>
      </c>
      <c r="E2098" s="323" t="s">
        <v>3704</v>
      </c>
      <c r="F2098" s="323"/>
      <c r="G2098" s="204"/>
      <c r="H2098" s="151"/>
      <c r="I2098" s="151"/>
      <c r="J2098" s="151">
        <v>24</v>
      </c>
      <c r="K2098" s="151">
        <v>5</v>
      </c>
      <c r="L2098" s="1"/>
      <c r="M2098" s="73">
        <f t="shared" si="257"/>
        <v>0</v>
      </c>
      <c r="N2098" s="73">
        <f t="shared" si="262"/>
        <v>0</v>
      </c>
      <c r="O2098" s="73">
        <f t="shared" si="256"/>
        <v>0</v>
      </c>
      <c r="P2098" s="73">
        <f t="shared" si="258"/>
        <v>0</v>
      </c>
      <c r="Q2098" s="73"/>
      <c r="R2098" s="73">
        <v>0</v>
      </c>
      <c r="S2098" s="75">
        <f t="shared" si="261"/>
        <v>0</v>
      </c>
      <c r="T2098" s="77">
        <v>0</v>
      </c>
      <c r="U2098" s="66">
        <v>40528</v>
      </c>
      <c r="V2098" s="79"/>
      <c r="W2098" s="66" t="s">
        <v>1585</v>
      </c>
      <c r="X2098" s="24" t="s">
        <v>1586</v>
      </c>
      <c r="Y2098" s="62"/>
      <c r="Z2098" s="169" t="s">
        <v>894</v>
      </c>
      <c r="AA2098" s="166" t="s">
        <v>232</v>
      </c>
      <c r="AB2098" s="152"/>
      <c r="AC2098" s="153"/>
      <c r="AD2098" s="154"/>
      <c r="AE2098" s="153"/>
      <c r="AF2098" s="153"/>
      <c r="AG2098" s="153"/>
      <c r="AH2098" s="153"/>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c r="BF2098" s="153"/>
      <c r="BG2098" s="153"/>
      <c r="BH2098" s="153"/>
      <c r="BI2098" s="153"/>
      <c r="BJ2098" s="153"/>
      <c r="BK2098" s="153"/>
      <c r="BL2098" s="153"/>
      <c r="BM2098" s="153"/>
      <c r="BN2098" s="153"/>
      <c r="BO2098" s="153"/>
      <c r="BP2098" s="153"/>
      <c r="BQ2098" s="153"/>
      <c r="BR2098" s="153"/>
      <c r="BS2098" s="153"/>
      <c r="BT2098" s="153"/>
      <c r="BU2098" s="153"/>
      <c r="BV2098" s="153"/>
      <c r="BW2098" s="153"/>
      <c r="BX2098" s="153"/>
      <c r="BY2098" s="153"/>
      <c r="BZ2098" s="153"/>
      <c r="CA2098" s="153"/>
      <c r="CB2098" s="153"/>
      <c r="CC2098" s="153"/>
      <c r="CD2098" s="155"/>
      <c r="CE2098" s="156"/>
      <c r="CF2098" s="155"/>
      <c r="CG2098" s="156"/>
      <c r="CH2098" s="155"/>
      <c r="CI2098" s="156"/>
      <c r="CJ2098" s="157">
        <f t="shared" si="259"/>
        <v>0</v>
      </c>
      <c r="CK2098" s="158"/>
      <c r="CL2098" s="159"/>
      <c r="CM2098" s="160"/>
      <c r="CN2098" s="161"/>
      <c r="CO2098" s="162"/>
      <c r="CP2098" s="161"/>
      <c r="CQ2098" s="158"/>
      <c r="CR2098" s="159"/>
      <c r="CS2098" s="68"/>
      <c r="CT2098" s="163"/>
      <c r="EC2098" s="366" t="str">
        <f t="shared" si="260"/>
        <v>CUNDINAMARCA_FACATATIVA</v>
      </c>
      <c r="ED2098" s="367"/>
      <c r="EE2098" s="367"/>
      <c r="EF2098" s="368"/>
      <c r="EG2098" s="367"/>
      <c r="EH2098" s="367"/>
      <c r="EI2098" s="367"/>
    </row>
    <row r="2099" spans="1:139" s="164" customFormat="1" ht="25.5">
      <c r="A2099" s="228">
        <v>40524</v>
      </c>
      <c r="B2099" s="205" t="s">
        <v>1824</v>
      </c>
      <c r="C2099" s="205" t="s">
        <v>83</v>
      </c>
      <c r="D2099" s="207" t="s">
        <v>1878</v>
      </c>
      <c r="E2099" s="323" t="s">
        <v>3961</v>
      </c>
      <c r="F2099" s="323"/>
      <c r="G2099" s="204"/>
      <c r="H2099" s="151"/>
      <c r="I2099" s="151"/>
      <c r="J2099" s="151">
        <v>137</v>
      </c>
      <c r="K2099" s="151">
        <v>25</v>
      </c>
      <c r="L2099" s="1"/>
      <c r="M2099" s="73">
        <f t="shared" si="257"/>
        <v>0</v>
      </c>
      <c r="N2099" s="73">
        <f t="shared" si="262"/>
        <v>0</v>
      </c>
      <c r="O2099" s="73">
        <f t="shared" si="256"/>
        <v>0</v>
      </c>
      <c r="P2099" s="73">
        <f t="shared" si="258"/>
        <v>0</v>
      </c>
      <c r="Q2099" s="73"/>
      <c r="R2099" s="73">
        <v>0</v>
      </c>
      <c r="S2099" s="75">
        <f t="shared" si="261"/>
        <v>0</v>
      </c>
      <c r="T2099" s="77">
        <v>0</v>
      </c>
      <c r="U2099" s="66">
        <v>40581</v>
      </c>
      <c r="V2099" s="79"/>
      <c r="W2099" s="66" t="s">
        <v>1585</v>
      </c>
      <c r="X2099" s="24" t="s">
        <v>1586</v>
      </c>
      <c r="Y2099" s="62"/>
      <c r="Z2099" s="169" t="s">
        <v>894</v>
      </c>
      <c r="AA2099" s="166" t="s">
        <v>54</v>
      </c>
      <c r="AB2099" s="152"/>
      <c r="AC2099" s="153"/>
      <c r="AD2099" s="154"/>
      <c r="AE2099" s="153"/>
      <c r="AF2099" s="153"/>
      <c r="AG2099" s="153"/>
      <c r="AH2099" s="153"/>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c r="BF2099" s="153"/>
      <c r="BG2099" s="153"/>
      <c r="BH2099" s="153"/>
      <c r="BI2099" s="153"/>
      <c r="BJ2099" s="153"/>
      <c r="BK2099" s="153"/>
      <c r="BL2099" s="153"/>
      <c r="BM2099" s="153"/>
      <c r="BN2099" s="153"/>
      <c r="BO2099" s="153"/>
      <c r="BP2099" s="153"/>
      <c r="BQ2099" s="153"/>
      <c r="BR2099" s="153"/>
      <c r="BS2099" s="153"/>
      <c r="BT2099" s="153"/>
      <c r="BU2099" s="153"/>
      <c r="BV2099" s="153"/>
      <c r="BW2099" s="153"/>
      <c r="BX2099" s="153"/>
      <c r="BY2099" s="153"/>
      <c r="BZ2099" s="153"/>
      <c r="CA2099" s="153"/>
      <c r="CB2099" s="153"/>
      <c r="CC2099" s="153"/>
      <c r="CD2099" s="155"/>
      <c r="CE2099" s="156"/>
      <c r="CF2099" s="155"/>
      <c r="CG2099" s="156"/>
      <c r="CH2099" s="155"/>
      <c r="CI2099" s="156"/>
      <c r="CJ2099" s="157">
        <f t="shared" si="259"/>
        <v>0</v>
      </c>
      <c r="CK2099" s="158"/>
      <c r="CL2099" s="159"/>
      <c r="CM2099" s="160"/>
      <c r="CN2099" s="161"/>
      <c r="CO2099" s="162"/>
      <c r="CP2099" s="161"/>
      <c r="CQ2099" s="158"/>
      <c r="CR2099" s="159"/>
      <c r="CS2099" s="68"/>
      <c r="CT2099" s="163"/>
      <c r="EC2099" s="366" t="str">
        <f t="shared" si="260"/>
        <v>NARIÑO_IPIALES</v>
      </c>
      <c r="ED2099" s="367"/>
      <c r="EE2099" s="367"/>
      <c r="EF2099" s="368"/>
      <c r="EG2099" s="367"/>
      <c r="EH2099" s="367"/>
      <c r="EI2099" s="367"/>
    </row>
    <row r="2100" spans="1:139" s="164" customFormat="1" ht="25.5">
      <c r="A2100" s="228">
        <v>40524</v>
      </c>
      <c r="B2100" s="205" t="s">
        <v>1824</v>
      </c>
      <c r="C2100" s="205" t="s">
        <v>81</v>
      </c>
      <c r="D2100" s="207" t="s">
        <v>1878</v>
      </c>
      <c r="E2100" s="323" t="s">
        <v>3981</v>
      </c>
      <c r="F2100" s="323"/>
      <c r="G2100" s="204"/>
      <c r="H2100" s="151"/>
      <c r="I2100" s="151"/>
      <c r="J2100" s="151">
        <v>508</v>
      </c>
      <c r="K2100" s="151">
        <v>139</v>
      </c>
      <c r="L2100" s="1"/>
      <c r="M2100" s="73">
        <f t="shared" si="257"/>
        <v>0</v>
      </c>
      <c r="N2100" s="73">
        <f t="shared" si="262"/>
        <v>0</v>
      </c>
      <c r="O2100" s="73">
        <f t="shared" ref="O2100:O2163" si="263">CP2100+CR2100</f>
        <v>0</v>
      </c>
      <c r="P2100" s="73">
        <f t="shared" si="258"/>
        <v>0</v>
      </c>
      <c r="Q2100" s="73"/>
      <c r="R2100" s="73">
        <v>0</v>
      </c>
      <c r="S2100" s="75">
        <f t="shared" si="261"/>
        <v>0</v>
      </c>
      <c r="T2100" s="77">
        <v>0</v>
      </c>
      <c r="U2100" s="66">
        <v>40581</v>
      </c>
      <c r="V2100" s="79"/>
      <c r="W2100" s="66" t="s">
        <v>1585</v>
      </c>
      <c r="X2100" s="24" t="s">
        <v>1586</v>
      </c>
      <c r="Y2100" s="62"/>
      <c r="Z2100" s="169" t="s">
        <v>894</v>
      </c>
      <c r="AA2100" s="166" t="s">
        <v>54</v>
      </c>
      <c r="AB2100" s="152"/>
      <c r="AC2100" s="153"/>
      <c r="AD2100" s="154"/>
      <c r="AE2100" s="153"/>
      <c r="AF2100" s="153"/>
      <c r="AG2100" s="153"/>
      <c r="AH2100" s="153"/>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c r="BF2100" s="153"/>
      <c r="BG2100" s="153"/>
      <c r="BH2100" s="153"/>
      <c r="BI2100" s="153"/>
      <c r="BJ2100" s="153"/>
      <c r="BK2100" s="153"/>
      <c r="BL2100" s="153"/>
      <c r="BM2100" s="153"/>
      <c r="BN2100" s="153"/>
      <c r="BO2100" s="153"/>
      <c r="BP2100" s="153"/>
      <c r="BQ2100" s="153"/>
      <c r="BR2100" s="153"/>
      <c r="BS2100" s="153"/>
      <c r="BT2100" s="153"/>
      <c r="BU2100" s="153"/>
      <c r="BV2100" s="153"/>
      <c r="BW2100" s="153"/>
      <c r="BX2100" s="153"/>
      <c r="BY2100" s="153"/>
      <c r="BZ2100" s="153"/>
      <c r="CA2100" s="153"/>
      <c r="CB2100" s="153"/>
      <c r="CC2100" s="153"/>
      <c r="CD2100" s="155"/>
      <c r="CE2100" s="156"/>
      <c r="CF2100" s="155"/>
      <c r="CG2100" s="156"/>
      <c r="CH2100" s="155"/>
      <c r="CI2100" s="156"/>
      <c r="CJ2100" s="157">
        <f t="shared" si="259"/>
        <v>0</v>
      </c>
      <c r="CK2100" s="158"/>
      <c r="CL2100" s="159"/>
      <c r="CM2100" s="160"/>
      <c r="CN2100" s="161"/>
      <c r="CO2100" s="162"/>
      <c r="CP2100" s="161"/>
      <c r="CQ2100" s="158"/>
      <c r="CR2100" s="159"/>
      <c r="CS2100" s="68"/>
      <c r="CT2100" s="163"/>
      <c r="EC2100" s="366" t="str">
        <f t="shared" si="260"/>
        <v>NARIÑO_PUPIALES</v>
      </c>
      <c r="ED2100" s="367"/>
      <c r="EE2100" s="367"/>
      <c r="EF2100" s="368"/>
      <c r="EG2100" s="367"/>
      <c r="EH2100" s="367"/>
      <c r="EI2100" s="367"/>
    </row>
    <row r="2101" spans="1:139" s="164" customFormat="1" ht="25.5">
      <c r="A2101" s="228">
        <v>40524</v>
      </c>
      <c r="B2101" s="205" t="s">
        <v>1998</v>
      </c>
      <c r="C2101" s="205" t="s">
        <v>56</v>
      </c>
      <c r="D2101" s="207" t="s">
        <v>1878</v>
      </c>
      <c r="E2101" s="323" t="s">
        <v>4123</v>
      </c>
      <c r="F2101" s="323"/>
      <c r="G2101" s="204"/>
      <c r="H2101" s="151"/>
      <c r="I2101" s="151"/>
      <c r="J2101" s="151">
        <v>450</v>
      </c>
      <c r="K2101" s="151">
        <v>150</v>
      </c>
      <c r="L2101" s="1"/>
      <c r="M2101" s="73">
        <f t="shared" si="257"/>
        <v>0</v>
      </c>
      <c r="N2101" s="73">
        <f t="shared" si="262"/>
        <v>0</v>
      </c>
      <c r="O2101" s="73">
        <f t="shared" si="263"/>
        <v>0</v>
      </c>
      <c r="P2101" s="73">
        <f t="shared" si="258"/>
        <v>0</v>
      </c>
      <c r="Q2101" s="73"/>
      <c r="R2101" s="73">
        <v>0</v>
      </c>
      <c r="S2101" s="75">
        <f t="shared" si="261"/>
        <v>0</v>
      </c>
      <c r="T2101" s="77">
        <v>0</v>
      </c>
      <c r="U2101" s="66">
        <v>40577</v>
      </c>
      <c r="V2101" s="79"/>
      <c r="W2101" s="66" t="s">
        <v>1585</v>
      </c>
      <c r="X2101" s="24" t="s">
        <v>1586</v>
      </c>
      <c r="Y2101" s="62"/>
      <c r="Z2101" s="169" t="s">
        <v>894</v>
      </c>
      <c r="AA2101" s="166" t="s">
        <v>60</v>
      </c>
      <c r="AB2101" s="152"/>
      <c r="AC2101" s="153"/>
      <c r="AD2101" s="154"/>
      <c r="AE2101" s="153"/>
      <c r="AF2101" s="153"/>
      <c r="AG2101" s="153"/>
      <c r="AH2101" s="153"/>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c r="BF2101" s="153"/>
      <c r="BG2101" s="153"/>
      <c r="BH2101" s="153"/>
      <c r="BI2101" s="153"/>
      <c r="BJ2101" s="153"/>
      <c r="BK2101" s="153"/>
      <c r="BL2101" s="153"/>
      <c r="BM2101" s="153"/>
      <c r="BN2101" s="153"/>
      <c r="BO2101" s="153"/>
      <c r="BP2101" s="153"/>
      <c r="BQ2101" s="153"/>
      <c r="BR2101" s="153"/>
      <c r="BS2101" s="153"/>
      <c r="BT2101" s="153"/>
      <c r="BU2101" s="153"/>
      <c r="BV2101" s="153"/>
      <c r="BW2101" s="153"/>
      <c r="BX2101" s="153"/>
      <c r="BY2101" s="153"/>
      <c r="BZ2101" s="153"/>
      <c r="CA2101" s="153"/>
      <c r="CB2101" s="153"/>
      <c r="CC2101" s="153"/>
      <c r="CD2101" s="155"/>
      <c r="CE2101" s="156"/>
      <c r="CF2101" s="155"/>
      <c r="CG2101" s="156"/>
      <c r="CH2101" s="155"/>
      <c r="CI2101" s="156"/>
      <c r="CJ2101" s="157">
        <f t="shared" si="259"/>
        <v>0</v>
      </c>
      <c r="CK2101" s="158"/>
      <c r="CL2101" s="159"/>
      <c r="CM2101" s="160"/>
      <c r="CN2101" s="161"/>
      <c r="CO2101" s="162"/>
      <c r="CP2101" s="161"/>
      <c r="CQ2101" s="158"/>
      <c r="CR2101" s="159"/>
      <c r="CS2101" s="68"/>
      <c r="CT2101" s="163"/>
      <c r="EC2101" s="366" t="str">
        <f t="shared" si="260"/>
        <v>SANTANDER_PARAMO</v>
      </c>
      <c r="ED2101" s="367"/>
      <c r="EE2101" s="367"/>
      <c r="EF2101" s="368"/>
      <c r="EG2101" s="367"/>
      <c r="EH2101" s="367"/>
      <c r="EI2101" s="367"/>
    </row>
    <row r="2102" spans="1:139" s="164" customFormat="1" ht="38.25">
      <c r="A2102" s="228">
        <v>40524</v>
      </c>
      <c r="B2102" s="205" t="s">
        <v>1998</v>
      </c>
      <c r="C2102" s="205" t="s">
        <v>57</v>
      </c>
      <c r="D2102" s="207" t="s">
        <v>1878</v>
      </c>
      <c r="E2102" s="323" t="s">
        <v>4125</v>
      </c>
      <c r="F2102" s="323"/>
      <c r="G2102" s="204"/>
      <c r="H2102" s="151"/>
      <c r="I2102" s="151"/>
      <c r="J2102" s="151">
        <v>500</v>
      </c>
      <c r="K2102" s="151">
        <v>101</v>
      </c>
      <c r="L2102" s="1"/>
      <c r="M2102" s="73">
        <f t="shared" si="257"/>
        <v>0</v>
      </c>
      <c r="N2102" s="73">
        <f t="shared" si="262"/>
        <v>0</v>
      </c>
      <c r="O2102" s="73">
        <f t="shared" si="263"/>
        <v>0</v>
      </c>
      <c r="P2102" s="73">
        <f t="shared" si="258"/>
        <v>0</v>
      </c>
      <c r="Q2102" s="73"/>
      <c r="R2102" s="73">
        <v>0</v>
      </c>
      <c r="S2102" s="75">
        <f t="shared" si="261"/>
        <v>0</v>
      </c>
      <c r="T2102" s="77">
        <v>0</v>
      </c>
      <c r="U2102" s="66">
        <v>40577</v>
      </c>
      <c r="V2102" s="79"/>
      <c r="W2102" s="66" t="s">
        <v>1585</v>
      </c>
      <c r="X2102" s="24" t="s">
        <v>1586</v>
      </c>
      <c r="Y2102" s="62"/>
      <c r="Z2102" s="169" t="s">
        <v>894</v>
      </c>
      <c r="AA2102" s="166" t="s">
        <v>60</v>
      </c>
      <c r="AB2102" s="152"/>
      <c r="AC2102" s="153"/>
      <c r="AD2102" s="154"/>
      <c r="AE2102" s="153"/>
      <c r="AF2102" s="153"/>
      <c r="AG2102" s="153"/>
      <c r="AH2102" s="153"/>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c r="BF2102" s="153"/>
      <c r="BG2102" s="153"/>
      <c r="BH2102" s="153"/>
      <c r="BI2102" s="153"/>
      <c r="BJ2102" s="153"/>
      <c r="BK2102" s="153"/>
      <c r="BL2102" s="153"/>
      <c r="BM2102" s="153"/>
      <c r="BN2102" s="153"/>
      <c r="BO2102" s="153"/>
      <c r="BP2102" s="153"/>
      <c r="BQ2102" s="153"/>
      <c r="BR2102" s="153"/>
      <c r="BS2102" s="153"/>
      <c r="BT2102" s="153"/>
      <c r="BU2102" s="153"/>
      <c r="BV2102" s="153"/>
      <c r="BW2102" s="153"/>
      <c r="BX2102" s="153"/>
      <c r="BY2102" s="153"/>
      <c r="BZ2102" s="153"/>
      <c r="CA2102" s="153"/>
      <c r="CB2102" s="153"/>
      <c r="CC2102" s="153"/>
      <c r="CD2102" s="155"/>
      <c r="CE2102" s="156"/>
      <c r="CF2102" s="155"/>
      <c r="CG2102" s="156"/>
      <c r="CH2102" s="155"/>
      <c r="CI2102" s="156"/>
      <c r="CJ2102" s="157">
        <f t="shared" si="259"/>
        <v>0</v>
      </c>
      <c r="CK2102" s="158"/>
      <c r="CL2102" s="159"/>
      <c r="CM2102" s="160"/>
      <c r="CN2102" s="161"/>
      <c r="CO2102" s="162"/>
      <c r="CP2102" s="161"/>
      <c r="CQ2102" s="158"/>
      <c r="CR2102" s="159"/>
      <c r="CS2102" s="68"/>
      <c r="CT2102" s="163"/>
      <c r="EC2102" s="366" t="str">
        <f t="shared" si="260"/>
        <v>SANTANDER_PINCHOTE</v>
      </c>
      <c r="ED2102" s="367"/>
      <c r="EE2102" s="367"/>
      <c r="EF2102" s="368"/>
      <c r="EG2102" s="367"/>
      <c r="EH2102" s="367"/>
      <c r="EI2102" s="367"/>
    </row>
    <row r="2103" spans="1:139" s="164" customFormat="1" ht="38.25">
      <c r="A2103" s="228">
        <v>40524</v>
      </c>
      <c r="B2103" s="205" t="s">
        <v>1998</v>
      </c>
      <c r="C2103" s="205" t="s">
        <v>1572</v>
      </c>
      <c r="D2103" s="207" t="s">
        <v>1878</v>
      </c>
      <c r="E2103" s="323" t="s">
        <v>4131</v>
      </c>
      <c r="F2103" s="323"/>
      <c r="G2103" s="204"/>
      <c r="H2103" s="151"/>
      <c r="I2103" s="151"/>
      <c r="J2103" s="151">
        <f>189*5</f>
        <v>945</v>
      </c>
      <c r="K2103" s="151">
        <v>189</v>
      </c>
      <c r="L2103" s="1"/>
      <c r="M2103" s="73">
        <f t="shared" si="257"/>
        <v>0</v>
      </c>
      <c r="N2103" s="73">
        <f t="shared" si="262"/>
        <v>0</v>
      </c>
      <c r="O2103" s="73">
        <f t="shared" si="263"/>
        <v>0</v>
      </c>
      <c r="P2103" s="73">
        <f t="shared" si="258"/>
        <v>0</v>
      </c>
      <c r="Q2103" s="73"/>
      <c r="R2103" s="73">
        <v>0</v>
      </c>
      <c r="S2103" s="75">
        <f t="shared" si="261"/>
        <v>0</v>
      </c>
      <c r="T2103" s="77">
        <v>0</v>
      </c>
      <c r="U2103" s="66">
        <v>40577</v>
      </c>
      <c r="V2103" s="79"/>
      <c r="W2103" s="66" t="s">
        <v>1585</v>
      </c>
      <c r="X2103" s="24" t="s">
        <v>1586</v>
      </c>
      <c r="Y2103" s="62"/>
      <c r="Z2103" s="169" t="s">
        <v>894</v>
      </c>
      <c r="AA2103" s="166" t="s">
        <v>60</v>
      </c>
      <c r="AB2103" s="152"/>
      <c r="AC2103" s="153"/>
      <c r="AD2103" s="154"/>
      <c r="AE2103" s="153"/>
      <c r="AF2103" s="153"/>
      <c r="AG2103" s="153"/>
      <c r="AH2103" s="153"/>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c r="BF2103" s="153"/>
      <c r="BG2103" s="153"/>
      <c r="BH2103" s="153"/>
      <c r="BI2103" s="153"/>
      <c r="BJ2103" s="153"/>
      <c r="BK2103" s="153"/>
      <c r="BL2103" s="153"/>
      <c r="BM2103" s="153"/>
      <c r="BN2103" s="153"/>
      <c r="BO2103" s="153"/>
      <c r="BP2103" s="153"/>
      <c r="BQ2103" s="153"/>
      <c r="BR2103" s="153"/>
      <c r="BS2103" s="153"/>
      <c r="BT2103" s="153"/>
      <c r="BU2103" s="153"/>
      <c r="BV2103" s="153"/>
      <c r="BW2103" s="153"/>
      <c r="BX2103" s="153"/>
      <c r="BY2103" s="153"/>
      <c r="BZ2103" s="153"/>
      <c r="CA2103" s="153"/>
      <c r="CB2103" s="153"/>
      <c r="CC2103" s="153"/>
      <c r="CD2103" s="155"/>
      <c r="CE2103" s="156"/>
      <c r="CF2103" s="155"/>
      <c r="CG2103" s="156"/>
      <c r="CH2103" s="155"/>
      <c r="CI2103" s="156"/>
      <c r="CJ2103" s="157">
        <f t="shared" si="259"/>
        <v>0</v>
      </c>
      <c r="CK2103" s="158"/>
      <c r="CL2103" s="159"/>
      <c r="CM2103" s="160"/>
      <c r="CN2103" s="161"/>
      <c r="CO2103" s="162"/>
      <c r="CP2103" s="161"/>
      <c r="CQ2103" s="158"/>
      <c r="CR2103" s="159"/>
      <c r="CS2103" s="68"/>
      <c r="CT2103" s="163"/>
      <c r="EC2103" s="366" t="str">
        <f t="shared" si="260"/>
        <v>SANTANDER_SAN ANDRES</v>
      </c>
      <c r="ED2103" s="367"/>
      <c r="EE2103" s="367"/>
      <c r="EF2103" s="368"/>
      <c r="EG2103" s="367"/>
      <c r="EH2103" s="367"/>
      <c r="EI2103" s="367"/>
    </row>
    <row r="2104" spans="1:139" s="164" customFormat="1" ht="38.25">
      <c r="A2104" s="228">
        <v>40524</v>
      </c>
      <c r="B2104" s="205" t="s">
        <v>1998</v>
      </c>
      <c r="C2104" s="205" t="s">
        <v>58</v>
      </c>
      <c r="D2104" s="207" t="s">
        <v>1201</v>
      </c>
      <c r="E2104" s="323" t="s">
        <v>4136</v>
      </c>
      <c r="F2104" s="323"/>
      <c r="G2104" s="204"/>
      <c r="H2104" s="151"/>
      <c r="I2104" s="151"/>
      <c r="J2104" s="151">
        <f>218*5</f>
        <v>1090</v>
      </c>
      <c r="K2104" s="151">
        <v>218</v>
      </c>
      <c r="L2104" s="1"/>
      <c r="M2104" s="73">
        <f t="shared" si="257"/>
        <v>0</v>
      </c>
      <c r="N2104" s="73">
        <f t="shared" si="262"/>
        <v>0</v>
      </c>
      <c r="O2104" s="73">
        <f t="shared" si="263"/>
        <v>0</v>
      </c>
      <c r="P2104" s="73">
        <f t="shared" si="258"/>
        <v>0</v>
      </c>
      <c r="Q2104" s="73"/>
      <c r="R2104" s="73">
        <v>0</v>
      </c>
      <c r="S2104" s="75">
        <f t="shared" si="261"/>
        <v>0</v>
      </c>
      <c r="T2104" s="77">
        <v>0</v>
      </c>
      <c r="U2104" s="66">
        <v>40577</v>
      </c>
      <c r="V2104" s="79"/>
      <c r="W2104" s="66" t="s">
        <v>1585</v>
      </c>
      <c r="X2104" s="24" t="s">
        <v>1586</v>
      </c>
      <c r="Y2104" s="62"/>
      <c r="Z2104" s="169" t="s">
        <v>894</v>
      </c>
      <c r="AA2104" s="166" t="s">
        <v>60</v>
      </c>
      <c r="AB2104" s="152"/>
      <c r="AC2104" s="153"/>
      <c r="AD2104" s="154"/>
      <c r="AE2104" s="153"/>
      <c r="AF2104" s="153"/>
      <c r="AG2104" s="153"/>
      <c r="AH2104" s="153"/>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c r="BF2104" s="153"/>
      <c r="BG2104" s="153"/>
      <c r="BH2104" s="153"/>
      <c r="BI2104" s="153"/>
      <c r="BJ2104" s="153"/>
      <c r="BK2104" s="153"/>
      <c r="BL2104" s="153"/>
      <c r="BM2104" s="153"/>
      <c r="BN2104" s="153"/>
      <c r="BO2104" s="153"/>
      <c r="BP2104" s="153"/>
      <c r="BQ2104" s="153"/>
      <c r="BR2104" s="153"/>
      <c r="BS2104" s="153"/>
      <c r="BT2104" s="153"/>
      <c r="BU2104" s="153"/>
      <c r="BV2104" s="153"/>
      <c r="BW2104" s="153"/>
      <c r="BX2104" s="153"/>
      <c r="BY2104" s="153"/>
      <c r="BZ2104" s="153"/>
      <c r="CA2104" s="153"/>
      <c r="CB2104" s="153"/>
      <c r="CC2104" s="153"/>
      <c r="CD2104" s="155"/>
      <c r="CE2104" s="156"/>
      <c r="CF2104" s="155"/>
      <c r="CG2104" s="156"/>
      <c r="CH2104" s="155"/>
      <c r="CI2104" s="156"/>
      <c r="CJ2104" s="157">
        <f t="shared" si="259"/>
        <v>0</v>
      </c>
      <c r="CK2104" s="158"/>
      <c r="CL2104" s="159"/>
      <c r="CM2104" s="160"/>
      <c r="CN2104" s="161"/>
      <c r="CO2104" s="162"/>
      <c r="CP2104" s="161"/>
      <c r="CQ2104" s="158"/>
      <c r="CR2104" s="159"/>
      <c r="CS2104" s="68"/>
      <c r="CT2104" s="163"/>
      <c r="EC2104" s="366" t="str">
        <f t="shared" si="260"/>
        <v>SANTANDER_SAN MIGUEL</v>
      </c>
      <c r="ED2104" s="367"/>
      <c r="EE2104" s="367"/>
      <c r="EF2104" s="368"/>
      <c r="EG2104" s="367"/>
      <c r="EH2104" s="367"/>
      <c r="EI2104" s="367"/>
    </row>
    <row r="2105" spans="1:139" s="164" customFormat="1" ht="25.5">
      <c r="A2105" s="228">
        <v>40524</v>
      </c>
      <c r="B2105" s="205" t="s">
        <v>1998</v>
      </c>
      <c r="C2105" s="205" t="s">
        <v>59</v>
      </c>
      <c r="D2105" s="207" t="s">
        <v>1878</v>
      </c>
      <c r="E2105" s="323" t="s">
        <v>4148</v>
      </c>
      <c r="F2105" s="323"/>
      <c r="G2105" s="204"/>
      <c r="H2105" s="151"/>
      <c r="I2105" s="151"/>
      <c r="J2105" s="151">
        <f>50*5</f>
        <v>250</v>
      </c>
      <c r="K2105" s="151">
        <v>50</v>
      </c>
      <c r="L2105" s="1"/>
      <c r="M2105" s="73">
        <f t="shared" si="257"/>
        <v>0</v>
      </c>
      <c r="N2105" s="73">
        <f t="shared" si="262"/>
        <v>0</v>
      </c>
      <c r="O2105" s="73">
        <f t="shared" si="263"/>
        <v>0</v>
      </c>
      <c r="P2105" s="73">
        <f t="shared" si="258"/>
        <v>0</v>
      </c>
      <c r="Q2105" s="73"/>
      <c r="R2105" s="73">
        <v>0</v>
      </c>
      <c r="S2105" s="75">
        <f t="shared" si="261"/>
        <v>0</v>
      </c>
      <c r="T2105" s="77">
        <v>0</v>
      </c>
      <c r="U2105" s="66">
        <v>40577</v>
      </c>
      <c r="V2105" s="79"/>
      <c r="W2105" s="66" t="s">
        <v>1585</v>
      </c>
      <c r="X2105" s="24" t="s">
        <v>1586</v>
      </c>
      <c r="Y2105" s="62"/>
      <c r="Z2105" s="169" t="s">
        <v>894</v>
      </c>
      <c r="AA2105" s="166" t="s">
        <v>60</v>
      </c>
      <c r="AB2105" s="152"/>
      <c r="AC2105" s="153"/>
      <c r="AD2105" s="154"/>
      <c r="AE2105" s="153"/>
      <c r="AF2105" s="153"/>
      <c r="AG2105" s="153"/>
      <c r="AH2105" s="153"/>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c r="BF2105" s="153"/>
      <c r="BG2105" s="153"/>
      <c r="BH2105" s="153"/>
      <c r="BI2105" s="153"/>
      <c r="BJ2105" s="153"/>
      <c r="BK2105" s="153"/>
      <c r="BL2105" s="153"/>
      <c r="BM2105" s="153"/>
      <c r="BN2105" s="153"/>
      <c r="BO2105" s="153"/>
      <c r="BP2105" s="153"/>
      <c r="BQ2105" s="153"/>
      <c r="BR2105" s="153"/>
      <c r="BS2105" s="153"/>
      <c r="BT2105" s="153"/>
      <c r="BU2105" s="153"/>
      <c r="BV2105" s="153"/>
      <c r="BW2105" s="153"/>
      <c r="BX2105" s="153"/>
      <c r="BY2105" s="153"/>
      <c r="BZ2105" s="153"/>
      <c r="CA2105" s="153"/>
      <c r="CB2105" s="153"/>
      <c r="CC2105" s="153"/>
      <c r="CD2105" s="155"/>
      <c r="CE2105" s="156"/>
      <c r="CF2105" s="155"/>
      <c r="CG2105" s="156"/>
      <c r="CH2105" s="155"/>
      <c r="CI2105" s="156"/>
      <c r="CJ2105" s="157">
        <f t="shared" si="259"/>
        <v>0</v>
      </c>
      <c r="CK2105" s="158"/>
      <c r="CL2105" s="159"/>
      <c r="CM2105" s="160"/>
      <c r="CN2105" s="161"/>
      <c r="CO2105" s="162"/>
      <c r="CP2105" s="161"/>
      <c r="CQ2105" s="158"/>
      <c r="CR2105" s="159"/>
      <c r="CS2105" s="68"/>
      <c r="CT2105" s="163"/>
      <c r="EC2105" s="366" t="str">
        <f t="shared" si="260"/>
        <v>SANTANDER_VETAS</v>
      </c>
      <c r="ED2105" s="367"/>
      <c r="EE2105" s="367"/>
      <c r="EF2105" s="368"/>
      <c r="EG2105" s="367"/>
      <c r="EH2105" s="367"/>
      <c r="EI2105" s="367"/>
    </row>
    <row r="2106" spans="1:139" s="164" customFormat="1" ht="45">
      <c r="A2106" s="228">
        <v>40524</v>
      </c>
      <c r="B2106" s="205" t="s">
        <v>1088</v>
      </c>
      <c r="C2106" s="205" t="s">
        <v>1777</v>
      </c>
      <c r="D2106" s="207" t="s">
        <v>1201</v>
      </c>
      <c r="E2106" s="323" t="s">
        <v>4233</v>
      </c>
      <c r="F2106" s="323"/>
      <c r="G2106" s="204"/>
      <c r="H2106" s="151"/>
      <c r="I2106" s="151">
        <v>1</v>
      </c>
      <c r="J2106" s="151">
        <f>472*5</f>
        <v>2360</v>
      </c>
      <c r="K2106" s="151">
        <f>530-44-14</f>
        <v>472</v>
      </c>
      <c r="L2106" s="1"/>
      <c r="M2106" s="73">
        <f t="shared" si="257"/>
        <v>0</v>
      </c>
      <c r="N2106" s="73">
        <f t="shared" si="262"/>
        <v>0</v>
      </c>
      <c r="O2106" s="73">
        <f t="shared" si="263"/>
        <v>0</v>
      </c>
      <c r="P2106" s="73">
        <f t="shared" si="258"/>
        <v>0</v>
      </c>
      <c r="Q2106" s="73"/>
      <c r="R2106" s="73">
        <v>0</v>
      </c>
      <c r="S2106" s="75">
        <f t="shared" si="261"/>
        <v>0</v>
      </c>
      <c r="T2106" s="77">
        <v>0</v>
      </c>
      <c r="U2106" s="66"/>
      <c r="V2106" s="79"/>
      <c r="W2106" s="66" t="s">
        <v>1606</v>
      </c>
      <c r="X2106" s="264" t="s">
        <v>1607</v>
      </c>
      <c r="Y2106" s="62"/>
      <c r="Z2106" s="260" t="s">
        <v>18</v>
      </c>
      <c r="AA2106" s="166" t="s">
        <v>779</v>
      </c>
      <c r="AB2106" s="152"/>
      <c r="AC2106" s="153"/>
      <c r="AD2106" s="154"/>
      <c r="AE2106" s="153"/>
      <c r="AF2106" s="153"/>
      <c r="AG2106" s="153"/>
      <c r="AH2106" s="153"/>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c r="BF2106" s="153"/>
      <c r="BG2106" s="153"/>
      <c r="BH2106" s="153"/>
      <c r="BI2106" s="153"/>
      <c r="BJ2106" s="153"/>
      <c r="BK2106" s="153"/>
      <c r="BL2106" s="153"/>
      <c r="BM2106" s="153"/>
      <c r="BN2106" s="153"/>
      <c r="BO2106" s="153"/>
      <c r="BP2106" s="153"/>
      <c r="BQ2106" s="153"/>
      <c r="BR2106" s="153"/>
      <c r="BS2106" s="153"/>
      <c r="BT2106" s="153"/>
      <c r="BU2106" s="153"/>
      <c r="BV2106" s="153"/>
      <c r="BW2106" s="153"/>
      <c r="BX2106" s="153"/>
      <c r="BY2106" s="153"/>
      <c r="BZ2106" s="153"/>
      <c r="CA2106" s="153"/>
      <c r="CB2106" s="153"/>
      <c r="CC2106" s="153"/>
      <c r="CD2106" s="155"/>
      <c r="CE2106" s="156"/>
      <c r="CF2106" s="155"/>
      <c r="CG2106" s="156"/>
      <c r="CH2106" s="155"/>
      <c r="CI2106" s="156"/>
      <c r="CJ2106" s="157">
        <f t="shared" si="259"/>
        <v>0</v>
      </c>
      <c r="CK2106" s="158"/>
      <c r="CL2106" s="159"/>
      <c r="CM2106" s="160"/>
      <c r="CN2106" s="161"/>
      <c r="CO2106" s="162"/>
      <c r="CP2106" s="161"/>
      <c r="CQ2106" s="158"/>
      <c r="CR2106" s="159"/>
      <c r="CS2106" s="68"/>
      <c r="CT2106" s="163"/>
      <c r="EC2106" s="366" t="str">
        <f t="shared" si="260"/>
        <v>VALLE DEL CAUCA_CAICEDONIA</v>
      </c>
      <c r="ED2106" s="367"/>
      <c r="EE2106" s="367"/>
      <c r="EF2106" s="368"/>
      <c r="EG2106" s="367"/>
      <c r="EH2106" s="367"/>
      <c r="EI2106" s="367"/>
    </row>
    <row r="2107" spans="1:139" s="164" customFormat="1" ht="38.25">
      <c r="A2107" s="235">
        <v>40525</v>
      </c>
      <c r="B2107" s="269" t="s">
        <v>1972</v>
      </c>
      <c r="C2107" s="269" t="s">
        <v>783</v>
      </c>
      <c r="D2107" s="270" t="s">
        <v>1201</v>
      </c>
      <c r="E2107" s="327" t="s">
        <v>3239</v>
      </c>
      <c r="F2107" s="327"/>
      <c r="G2107" s="204">
        <v>1</v>
      </c>
      <c r="H2107" s="151"/>
      <c r="I2107" s="151"/>
      <c r="J2107" s="151">
        <v>862</v>
      </c>
      <c r="K2107" s="151">
        <v>120</v>
      </c>
      <c r="L2107" s="1"/>
      <c r="M2107" s="73">
        <f t="shared" si="257"/>
        <v>0</v>
      </c>
      <c r="N2107" s="73">
        <f t="shared" si="262"/>
        <v>0</v>
      </c>
      <c r="O2107" s="73">
        <f t="shared" si="263"/>
        <v>0</v>
      </c>
      <c r="P2107" s="73">
        <f t="shared" si="258"/>
        <v>0</v>
      </c>
      <c r="Q2107" s="73"/>
      <c r="R2107" s="73">
        <v>0</v>
      </c>
      <c r="S2107" s="75">
        <f t="shared" si="261"/>
        <v>0</v>
      </c>
      <c r="T2107" s="77">
        <v>0</v>
      </c>
      <c r="U2107" s="66">
        <v>40525</v>
      </c>
      <c r="V2107" s="79"/>
      <c r="W2107" s="66" t="s">
        <v>1606</v>
      </c>
      <c r="X2107" s="24" t="s">
        <v>1607</v>
      </c>
      <c r="Y2107" s="62"/>
      <c r="Z2107" s="176" t="s">
        <v>460</v>
      </c>
      <c r="AA2107" s="166" t="s">
        <v>784</v>
      </c>
      <c r="AB2107" s="152"/>
      <c r="AC2107" s="153"/>
      <c r="AD2107" s="154"/>
      <c r="AE2107" s="153"/>
      <c r="AF2107" s="153"/>
      <c r="AG2107" s="153"/>
      <c r="AH2107" s="153"/>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c r="BF2107" s="153"/>
      <c r="BG2107" s="153"/>
      <c r="BH2107" s="153"/>
      <c r="BI2107" s="153"/>
      <c r="BJ2107" s="153"/>
      <c r="BK2107" s="153"/>
      <c r="BL2107" s="153"/>
      <c r="BM2107" s="153"/>
      <c r="BN2107" s="153"/>
      <c r="BO2107" s="153"/>
      <c r="BP2107" s="153"/>
      <c r="BQ2107" s="153"/>
      <c r="BR2107" s="153"/>
      <c r="BS2107" s="153"/>
      <c r="BT2107" s="153"/>
      <c r="BU2107" s="153"/>
      <c r="BV2107" s="153"/>
      <c r="BW2107" s="153"/>
      <c r="BX2107" s="153"/>
      <c r="BY2107" s="153"/>
      <c r="BZ2107" s="153"/>
      <c r="CA2107" s="153"/>
      <c r="CB2107" s="153"/>
      <c r="CC2107" s="153"/>
      <c r="CD2107" s="155"/>
      <c r="CE2107" s="156"/>
      <c r="CF2107" s="155"/>
      <c r="CG2107" s="156"/>
      <c r="CH2107" s="155"/>
      <c r="CI2107" s="156"/>
      <c r="CJ2107" s="157">
        <f t="shared" si="259"/>
        <v>0</v>
      </c>
      <c r="CK2107" s="158"/>
      <c r="CL2107" s="159"/>
      <c r="CM2107" s="160"/>
      <c r="CN2107" s="161"/>
      <c r="CO2107" s="162"/>
      <c r="CP2107" s="161"/>
      <c r="CQ2107" s="158"/>
      <c r="CR2107" s="159"/>
      <c r="CS2107" s="68"/>
      <c r="CT2107" s="163"/>
      <c r="EC2107" s="366" t="str">
        <f t="shared" si="260"/>
        <v>ANTIOQUIA_APARTADO</v>
      </c>
      <c r="ED2107" s="367"/>
      <c r="EE2107" s="367"/>
      <c r="EF2107" s="368"/>
      <c r="EG2107" s="367"/>
      <c r="EH2107" s="367"/>
      <c r="EI2107" s="367"/>
    </row>
    <row r="2108" spans="1:139" s="164" customFormat="1" ht="60">
      <c r="A2108" s="235">
        <v>40525</v>
      </c>
      <c r="B2108" s="269" t="s">
        <v>1972</v>
      </c>
      <c r="C2108" s="269" t="s">
        <v>2297</v>
      </c>
      <c r="D2108" s="270" t="s">
        <v>1201</v>
      </c>
      <c r="E2108" s="327" t="s">
        <v>3240</v>
      </c>
      <c r="F2108" s="327"/>
      <c r="G2108" s="204"/>
      <c r="H2108" s="151"/>
      <c r="I2108" s="151"/>
      <c r="J2108" s="151">
        <v>1566</v>
      </c>
      <c r="K2108" s="151">
        <v>402</v>
      </c>
      <c r="L2108" s="1"/>
      <c r="M2108" s="73">
        <f t="shared" si="257"/>
        <v>0</v>
      </c>
      <c r="N2108" s="73">
        <f t="shared" si="262"/>
        <v>0</v>
      </c>
      <c r="O2108" s="73">
        <f t="shared" si="263"/>
        <v>0</v>
      </c>
      <c r="P2108" s="73">
        <f t="shared" si="258"/>
        <v>0</v>
      </c>
      <c r="Q2108" s="73"/>
      <c r="R2108" s="73">
        <v>0</v>
      </c>
      <c r="S2108" s="75">
        <f t="shared" si="261"/>
        <v>0</v>
      </c>
      <c r="T2108" s="77">
        <v>0</v>
      </c>
      <c r="U2108" s="66">
        <v>40525</v>
      </c>
      <c r="V2108" s="79"/>
      <c r="W2108" s="66" t="s">
        <v>1606</v>
      </c>
      <c r="X2108" s="24" t="s">
        <v>1607</v>
      </c>
      <c r="Y2108" s="62"/>
      <c r="Z2108" s="176" t="s">
        <v>460</v>
      </c>
      <c r="AA2108" s="166" t="s">
        <v>3020</v>
      </c>
      <c r="AB2108" s="152"/>
      <c r="AC2108" s="153"/>
      <c r="AD2108" s="154"/>
      <c r="AE2108" s="153"/>
      <c r="AF2108" s="153"/>
      <c r="AG2108" s="153"/>
      <c r="AH2108" s="153"/>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c r="BF2108" s="153"/>
      <c r="BG2108" s="153"/>
      <c r="BH2108" s="153"/>
      <c r="BI2108" s="153"/>
      <c r="BJ2108" s="153"/>
      <c r="BK2108" s="153"/>
      <c r="BL2108" s="153"/>
      <c r="BM2108" s="153"/>
      <c r="BN2108" s="153"/>
      <c r="BO2108" s="153"/>
      <c r="BP2108" s="153"/>
      <c r="BQ2108" s="153"/>
      <c r="BR2108" s="153"/>
      <c r="BS2108" s="153"/>
      <c r="BT2108" s="153"/>
      <c r="BU2108" s="153"/>
      <c r="BV2108" s="153"/>
      <c r="BW2108" s="153"/>
      <c r="BX2108" s="153"/>
      <c r="BY2108" s="153"/>
      <c r="BZ2108" s="153"/>
      <c r="CA2108" s="153"/>
      <c r="CB2108" s="153"/>
      <c r="CC2108" s="153"/>
      <c r="CD2108" s="155"/>
      <c r="CE2108" s="156"/>
      <c r="CF2108" s="155"/>
      <c r="CG2108" s="156"/>
      <c r="CH2108" s="155"/>
      <c r="CI2108" s="156"/>
      <c r="CJ2108" s="157">
        <f t="shared" si="259"/>
        <v>0</v>
      </c>
      <c r="CK2108" s="158"/>
      <c r="CL2108" s="159"/>
      <c r="CM2108" s="160"/>
      <c r="CN2108" s="161"/>
      <c r="CO2108" s="162"/>
      <c r="CP2108" s="161"/>
      <c r="CQ2108" s="158"/>
      <c r="CR2108" s="159"/>
      <c r="CS2108" s="68"/>
      <c r="CT2108" s="163"/>
      <c r="EC2108" s="366" t="str">
        <f t="shared" si="260"/>
        <v>ANTIOQUIA_ARBOLETES</v>
      </c>
      <c r="ED2108" s="367"/>
      <c r="EE2108" s="367"/>
      <c r="EF2108" s="368"/>
      <c r="EG2108" s="367"/>
      <c r="EH2108" s="367"/>
      <c r="EI2108" s="367"/>
    </row>
    <row r="2109" spans="1:139" s="164" customFormat="1" ht="36">
      <c r="A2109" s="235">
        <v>40525</v>
      </c>
      <c r="B2109" s="269" t="s">
        <v>1972</v>
      </c>
      <c r="C2109" s="269" t="s">
        <v>519</v>
      </c>
      <c r="D2109" s="270" t="s">
        <v>1201</v>
      </c>
      <c r="E2109" s="327" t="s">
        <v>3258</v>
      </c>
      <c r="F2109" s="327"/>
      <c r="G2109" s="204"/>
      <c r="H2109" s="151"/>
      <c r="I2109" s="151"/>
      <c r="J2109" s="151">
        <v>661</v>
      </c>
      <c r="K2109" s="151">
        <v>107</v>
      </c>
      <c r="L2109" s="1"/>
      <c r="M2109" s="73">
        <f t="shared" si="257"/>
        <v>0</v>
      </c>
      <c r="N2109" s="73">
        <f t="shared" si="262"/>
        <v>0</v>
      </c>
      <c r="O2109" s="73">
        <f t="shared" si="263"/>
        <v>0</v>
      </c>
      <c r="P2109" s="73">
        <f t="shared" si="258"/>
        <v>0</v>
      </c>
      <c r="Q2109" s="73"/>
      <c r="R2109" s="73">
        <v>0</v>
      </c>
      <c r="S2109" s="75">
        <f t="shared" si="261"/>
        <v>0</v>
      </c>
      <c r="T2109" s="77">
        <v>0</v>
      </c>
      <c r="U2109" s="66">
        <v>40525</v>
      </c>
      <c r="V2109" s="79"/>
      <c r="W2109" s="66" t="s">
        <v>1606</v>
      </c>
      <c r="X2109" s="24" t="s">
        <v>1607</v>
      </c>
      <c r="Y2109" s="62"/>
      <c r="Z2109" s="176" t="s">
        <v>460</v>
      </c>
      <c r="AA2109" s="166" t="s">
        <v>520</v>
      </c>
      <c r="AB2109" s="152"/>
      <c r="AC2109" s="153"/>
      <c r="AD2109" s="154"/>
      <c r="AE2109" s="153"/>
      <c r="AF2109" s="153"/>
      <c r="AG2109" s="153"/>
      <c r="AH2109" s="153"/>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c r="BF2109" s="153"/>
      <c r="BG2109" s="153"/>
      <c r="BH2109" s="153"/>
      <c r="BI2109" s="153"/>
      <c r="BJ2109" s="153"/>
      <c r="BK2109" s="153"/>
      <c r="BL2109" s="153"/>
      <c r="BM2109" s="153"/>
      <c r="BN2109" s="153"/>
      <c r="BO2109" s="153"/>
      <c r="BP2109" s="153"/>
      <c r="BQ2109" s="153"/>
      <c r="BR2109" s="153"/>
      <c r="BS2109" s="153"/>
      <c r="BT2109" s="153"/>
      <c r="BU2109" s="153"/>
      <c r="BV2109" s="153"/>
      <c r="BW2109" s="153"/>
      <c r="BX2109" s="153"/>
      <c r="BY2109" s="153"/>
      <c r="BZ2109" s="153"/>
      <c r="CA2109" s="153"/>
      <c r="CB2109" s="153"/>
      <c r="CC2109" s="153"/>
      <c r="CD2109" s="155"/>
      <c r="CE2109" s="156"/>
      <c r="CF2109" s="155"/>
      <c r="CG2109" s="156"/>
      <c r="CH2109" s="155"/>
      <c r="CI2109" s="156"/>
      <c r="CJ2109" s="157">
        <f t="shared" si="259"/>
        <v>0</v>
      </c>
      <c r="CK2109" s="158"/>
      <c r="CL2109" s="159"/>
      <c r="CM2109" s="160"/>
      <c r="CN2109" s="161"/>
      <c r="CO2109" s="162"/>
      <c r="CP2109" s="161"/>
      <c r="CQ2109" s="158"/>
      <c r="CR2109" s="159"/>
      <c r="CS2109" s="68"/>
      <c r="CT2109" s="163"/>
      <c r="EC2109" s="366" t="str">
        <f t="shared" si="260"/>
        <v>ANTIOQUIA_CAREPA</v>
      </c>
      <c r="ED2109" s="367"/>
      <c r="EE2109" s="367"/>
      <c r="EF2109" s="368"/>
      <c r="EG2109" s="367"/>
      <c r="EH2109" s="367"/>
      <c r="EI2109" s="367"/>
    </row>
    <row r="2110" spans="1:139" s="164" customFormat="1" ht="38.25">
      <c r="A2110" s="235">
        <v>40525</v>
      </c>
      <c r="B2110" s="269" t="s">
        <v>1972</v>
      </c>
      <c r="C2110" s="269" t="s">
        <v>785</v>
      </c>
      <c r="D2110" s="270" t="s">
        <v>1878</v>
      </c>
      <c r="E2110" s="327" t="s">
        <v>3296</v>
      </c>
      <c r="F2110" s="327"/>
      <c r="G2110" s="204">
        <v>3</v>
      </c>
      <c r="H2110" s="151"/>
      <c r="I2110" s="151"/>
      <c r="J2110" s="151">
        <v>259</v>
      </c>
      <c r="K2110" s="151">
        <v>87</v>
      </c>
      <c r="L2110" s="1"/>
      <c r="M2110" s="73">
        <f t="shared" si="257"/>
        <v>0</v>
      </c>
      <c r="N2110" s="73">
        <f t="shared" si="262"/>
        <v>0</v>
      </c>
      <c r="O2110" s="73">
        <f t="shared" si="263"/>
        <v>0</v>
      </c>
      <c r="P2110" s="73">
        <f t="shared" si="258"/>
        <v>0</v>
      </c>
      <c r="Q2110" s="73"/>
      <c r="R2110" s="73">
        <v>0</v>
      </c>
      <c r="S2110" s="75">
        <f t="shared" si="261"/>
        <v>0</v>
      </c>
      <c r="T2110" s="77">
        <v>0</v>
      </c>
      <c r="U2110" s="66">
        <v>40525</v>
      </c>
      <c r="V2110" s="79"/>
      <c r="W2110" s="66" t="s">
        <v>1606</v>
      </c>
      <c r="X2110" s="24" t="s">
        <v>1607</v>
      </c>
      <c r="Y2110" s="62"/>
      <c r="Z2110" s="176" t="s">
        <v>460</v>
      </c>
      <c r="AA2110" s="166" t="s">
        <v>786</v>
      </c>
      <c r="AB2110" s="152"/>
      <c r="AC2110" s="153"/>
      <c r="AD2110" s="154"/>
      <c r="AE2110" s="153"/>
      <c r="AF2110" s="153"/>
      <c r="AG2110" s="153"/>
      <c r="AH2110" s="153"/>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c r="BF2110" s="153"/>
      <c r="BG2110" s="153"/>
      <c r="BH2110" s="153"/>
      <c r="BI2110" s="153"/>
      <c r="BJ2110" s="153"/>
      <c r="BK2110" s="153"/>
      <c r="BL2110" s="153"/>
      <c r="BM2110" s="153"/>
      <c r="BN2110" s="153"/>
      <c r="BO2110" s="153"/>
      <c r="BP2110" s="153"/>
      <c r="BQ2110" s="153"/>
      <c r="BR2110" s="153"/>
      <c r="BS2110" s="153"/>
      <c r="BT2110" s="153"/>
      <c r="BU2110" s="153"/>
      <c r="BV2110" s="153"/>
      <c r="BW2110" s="153"/>
      <c r="BX2110" s="153"/>
      <c r="BY2110" s="153"/>
      <c r="BZ2110" s="153"/>
      <c r="CA2110" s="153"/>
      <c r="CB2110" s="153"/>
      <c r="CC2110" s="153"/>
      <c r="CD2110" s="155"/>
      <c r="CE2110" s="156"/>
      <c r="CF2110" s="155"/>
      <c r="CG2110" s="156"/>
      <c r="CH2110" s="155"/>
      <c r="CI2110" s="156"/>
      <c r="CJ2110" s="157">
        <f t="shared" si="259"/>
        <v>0</v>
      </c>
      <c r="CK2110" s="158"/>
      <c r="CL2110" s="159"/>
      <c r="CM2110" s="160"/>
      <c r="CN2110" s="161"/>
      <c r="CO2110" s="162"/>
      <c r="CP2110" s="161"/>
      <c r="CQ2110" s="158"/>
      <c r="CR2110" s="159"/>
      <c r="CS2110" s="68"/>
      <c r="CT2110" s="163"/>
      <c r="EC2110" s="366" t="str">
        <f t="shared" si="260"/>
        <v>ANTIOQUIA_MONTEBELLO</v>
      </c>
      <c r="ED2110" s="367"/>
      <c r="EE2110" s="367"/>
      <c r="EF2110" s="368"/>
      <c r="EG2110" s="367"/>
      <c r="EH2110" s="367"/>
      <c r="EI2110" s="367"/>
    </row>
    <row r="2111" spans="1:139" s="164" customFormat="1" ht="36">
      <c r="A2111" s="228">
        <v>40525</v>
      </c>
      <c r="B2111" s="205" t="s">
        <v>1615</v>
      </c>
      <c r="C2111" s="205" t="s">
        <v>604</v>
      </c>
      <c r="D2111" s="207" t="s">
        <v>1201</v>
      </c>
      <c r="E2111" s="323" t="s">
        <v>3380</v>
      </c>
      <c r="F2111" s="323"/>
      <c r="G2111" s="204"/>
      <c r="H2111" s="151"/>
      <c r="I2111" s="151"/>
      <c r="J2111" s="151">
        <f>1309*5</f>
        <v>6545</v>
      </c>
      <c r="K2111" s="175">
        <f>1554-45-200</f>
        <v>1309</v>
      </c>
      <c r="L2111" s="1"/>
      <c r="M2111" s="73">
        <f t="shared" si="257"/>
        <v>0</v>
      </c>
      <c r="N2111" s="73">
        <f t="shared" si="262"/>
        <v>0</v>
      </c>
      <c r="O2111" s="73">
        <f t="shared" si="263"/>
        <v>0</v>
      </c>
      <c r="P2111" s="73">
        <f t="shared" si="258"/>
        <v>0</v>
      </c>
      <c r="Q2111" s="73"/>
      <c r="R2111" s="73">
        <v>0</v>
      </c>
      <c r="S2111" s="75">
        <f t="shared" si="261"/>
        <v>0</v>
      </c>
      <c r="T2111" s="77">
        <v>0</v>
      </c>
      <c r="U2111" s="66">
        <v>40525</v>
      </c>
      <c r="V2111" s="79"/>
      <c r="W2111" s="66" t="s">
        <v>1585</v>
      </c>
      <c r="X2111" s="24" t="s">
        <v>1586</v>
      </c>
      <c r="Y2111" s="62"/>
      <c r="Z2111" s="169" t="s">
        <v>894</v>
      </c>
      <c r="AA2111" s="166" t="s">
        <v>787</v>
      </c>
      <c r="AB2111" s="152"/>
      <c r="AC2111" s="153"/>
      <c r="AD2111" s="154"/>
      <c r="AE2111" s="153"/>
      <c r="AF2111" s="153"/>
      <c r="AG2111" s="153"/>
      <c r="AH2111" s="153"/>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c r="BF2111" s="153"/>
      <c r="BG2111" s="153"/>
      <c r="BH2111" s="153"/>
      <c r="BI2111" s="153"/>
      <c r="BJ2111" s="153"/>
      <c r="BK2111" s="153"/>
      <c r="BL2111" s="153"/>
      <c r="BM2111" s="153"/>
      <c r="BN2111" s="153"/>
      <c r="BO2111" s="153"/>
      <c r="BP2111" s="153"/>
      <c r="BQ2111" s="153"/>
      <c r="BR2111" s="153"/>
      <c r="BS2111" s="153"/>
      <c r="BT2111" s="153"/>
      <c r="BU2111" s="153"/>
      <c r="BV2111" s="153"/>
      <c r="BW2111" s="153"/>
      <c r="BX2111" s="153"/>
      <c r="BY2111" s="153"/>
      <c r="BZ2111" s="153"/>
      <c r="CA2111" s="153"/>
      <c r="CB2111" s="153"/>
      <c r="CC2111" s="153"/>
      <c r="CD2111" s="155"/>
      <c r="CE2111" s="156"/>
      <c r="CF2111" s="155"/>
      <c r="CG2111" s="156"/>
      <c r="CH2111" s="155"/>
      <c r="CI2111" s="156"/>
      <c r="CJ2111" s="157">
        <f t="shared" si="259"/>
        <v>0</v>
      </c>
      <c r="CK2111" s="158"/>
      <c r="CL2111" s="159"/>
      <c r="CM2111" s="160"/>
      <c r="CN2111" s="161"/>
      <c r="CO2111" s="162"/>
      <c r="CP2111" s="161"/>
      <c r="CQ2111" s="158"/>
      <c r="CR2111" s="159"/>
      <c r="CS2111" s="68"/>
      <c r="CT2111" s="163"/>
      <c r="EC2111" s="366" t="str">
        <f t="shared" si="260"/>
        <v>BOLIVAR_ARJONA</v>
      </c>
      <c r="ED2111" s="367"/>
      <c r="EE2111" s="367"/>
      <c r="EF2111" s="368"/>
      <c r="EG2111" s="367"/>
      <c r="EH2111" s="367"/>
      <c r="EI2111" s="367"/>
    </row>
    <row r="2112" spans="1:139" s="164" customFormat="1" ht="51">
      <c r="A2112" s="228">
        <v>40525</v>
      </c>
      <c r="B2112" s="205" t="s">
        <v>1314</v>
      </c>
      <c r="C2112" s="205" t="s">
        <v>435</v>
      </c>
      <c r="D2112" s="207" t="s">
        <v>1878</v>
      </c>
      <c r="E2112" s="323" t="s">
        <v>3617</v>
      </c>
      <c r="F2112" s="323"/>
      <c r="G2112" s="204"/>
      <c r="H2112" s="151"/>
      <c r="I2112" s="151"/>
      <c r="J2112" s="151"/>
      <c r="K2112" s="151"/>
      <c r="L2112" s="1"/>
      <c r="M2112" s="73">
        <f t="shared" si="257"/>
        <v>0</v>
      </c>
      <c r="N2112" s="73">
        <f t="shared" si="262"/>
        <v>0</v>
      </c>
      <c r="O2112" s="73">
        <f t="shared" si="263"/>
        <v>0</v>
      </c>
      <c r="P2112" s="73">
        <f t="shared" si="258"/>
        <v>0</v>
      </c>
      <c r="Q2112" s="73"/>
      <c r="R2112" s="73">
        <v>0</v>
      </c>
      <c r="S2112" s="75">
        <f t="shared" si="261"/>
        <v>0</v>
      </c>
      <c r="T2112" s="77">
        <v>0</v>
      </c>
      <c r="U2112" s="66"/>
      <c r="V2112" s="79"/>
      <c r="W2112" s="66" t="s">
        <v>1606</v>
      </c>
      <c r="X2112" s="264" t="s">
        <v>1607</v>
      </c>
      <c r="Y2112" s="62"/>
      <c r="Z2112" s="260" t="s">
        <v>18</v>
      </c>
      <c r="AA2112" s="166" t="s">
        <v>219</v>
      </c>
      <c r="AB2112" s="152"/>
      <c r="AC2112" s="153"/>
      <c r="AD2112" s="154"/>
      <c r="AE2112" s="153"/>
      <c r="AF2112" s="153"/>
      <c r="AG2112" s="153"/>
      <c r="AH2112" s="153"/>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c r="BF2112" s="153"/>
      <c r="BG2112" s="153"/>
      <c r="BH2112" s="153"/>
      <c r="BI2112" s="153"/>
      <c r="BJ2112" s="153"/>
      <c r="BK2112" s="153"/>
      <c r="BL2112" s="153"/>
      <c r="BM2112" s="153"/>
      <c r="BN2112" s="153"/>
      <c r="BO2112" s="153"/>
      <c r="BP2112" s="153"/>
      <c r="BQ2112" s="153"/>
      <c r="BR2112" s="153"/>
      <c r="BS2112" s="153"/>
      <c r="BT2112" s="153"/>
      <c r="BU2112" s="153"/>
      <c r="BV2112" s="153"/>
      <c r="BW2112" s="153"/>
      <c r="BX2112" s="153"/>
      <c r="BY2112" s="153"/>
      <c r="BZ2112" s="153"/>
      <c r="CA2112" s="153"/>
      <c r="CB2112" s="153"/>
      <c r="CC2112" s="153"/>
      <c r="CD2112" s="155"/>
      <c r="CE2112" s="156"/>
      <c r="CF2112" s="155"/>
      <c r="CG2112" s="156"/>
      <c r="CH2112" s="155"/>
      <c r="CI2112" s="156"/>
      <c r="CJ2112" s="157">
        <f t="shared" si="259"/>
        <v>0</v>
      </c>
      <c r="CK2112" s="158"/>
      <c r="CL2112" s="159"/>
      <c r="CM2112" s="160"/>
      <c r="CN2112" s="161"/>
      <c r="CO2112" s="162"/>
      <c r="CP2112" s="161"/>
      <c r="CQ2112" s="158"/>
      <c r="CR2112" s="159"/>
      <c r="CS2112" s="68"/>
      <c r="CT2112" s="163"/>
      <c r="EC2112" s="366" t="str">
        <f t="shared" si="260"/>
        <v>CAUCA_SANTANDER DE QUILICHAO</v>
      </c>
      <c r="ED2112" s="367"/>
      <c r="EE2112" s="367"/>
      <c r="EF2112" s="368"/>
      <c r="EG2112" s="367"/>
      <c r="EH2112" s="367"/>
      <c r="EI2112" s="367"/>
    </row>
    <row r="2113" spans="1:139" s="164" customFormat="1" ht="45">
      <c r="A2113" s="228">
        <v>40525</v>
      </c>
      <c r="B2113" s="205" t="s">
        <v>1295</v>
      </c>
      <c r="C2113" s="205" t="s">
        <v>2256</v>
      </c>
      <c r="D2113" s="207" t="s">
        <v>1201</v>
      </c>
      <c r="E2113" s="323" t="s">
        <v>3656</v>
      </c>
      <c r="F2113" s="323"/>
      <c r="G2113" s="204"/>
      <c r="H2113" s="151"/>
      <c r="I2113" s="151"/>
      <c r="J2113" s="151">
        <v>257</v>
      </c>
      <c r="K2113" s="151">
        <v>60</v>
      </c>
      <c r="L2113" s="1"/>
      <c r="M2113" s="73">
        <f t="shared" si="257"/>
        <v>0</v>
      </c>
      <c r="N2113" s="73">
        <f t="shared" si="262"/>
        <v>0</v>
      </c>
      <c r="O2113" s="73">
        <f t="shared" si="263"/>
        <v>0</v>
      </c>
      <c r="P2113" s="73">
        <f t="shared" si="258"/>
        <v>0</v>
      </c>
      <c r="Q2113" s="73"/>
      <c r="R2113" s="73">
        <v>0</v>
      </c>
      <c r="S2113" s="75">
        <f t="shared" si="261"/>
        <v>0</v>
      </c>
      <c r="T2113" s="77">
        <v>0</v>
      </c>
      <c r="U2113" s="66">
        <v>40525</v>
      </c>
      <c r="V2113" s="79"/>
      <c r="W2113" s="66" t="s">
        <v>1606</v>
      </c>
      <c r="X2113" s="264" t="s">
        <v>1607</v>
      </c>
      <c r="Y2113" s="62"/>
      <c r="Z2113" s="260" t="s">
        <v>18</v>
      </c>
      <c r="AA2113" s="166" t="s">
        <v>218</v>
      </c>
      <c r="AB2113" s="152"/>
      <c r="AC2113" s="153"/>
      <c r="AD2113" s="154"/>
      <c r="AE2113" s="153"/>
      <c r="AF2113" s="153"/>
      <c r="AG2113" s="153"/>
      <c r="AH2113" s="153"/>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c r="BF2113" s="153"/>
      <c r="BG2113" s="153"/>
      <c r="BH2113" s="153"/>
      <c r="BI2113" s="153"/>
      <c r="BJ2113" s="153"/>
      <c r="BK2113" s="153"/>
      <c r="BL2113" s="153"/>
      <c r="BM2113" s="153"/>
      <c r="BN2113" s="153"/>
      <c r="BO2113" s="153"/>
      <c r="BP2113" s="153"/>
      <c r="BQ2113" s="153"/>
      <c r="BR2113" s="153"/>
      <c r="BS2113" s="153"/>
      <c r="BT2113" s="153"/>
      <c r="BU2113" s="153"/>
      <c r="BV2113" s="153"/>
      <c r="BW2113" s="153"/>
      <c r="BX2113" s="153"/>
      <c r="BY2113" s="153"/>
      <c r="BZ2113" s="153"/>
      <c r="CA2113" s="153"/>
      <c r="CB2113" s="153"/>
      <c r="CC2113" s="153"/>
      <c r="CD2113" s="155"/>
      <c r="CE2113" s="156"/>
      <c r="CF2113" s="155"/>
      <c r="CG2113" s="156"/>
      <c r="CH2113" s="155"/>
      <c r="CI2113" s="156"/>
      <c r="CJ2113" s="157">
        <f t="shared" si="259"/>
        <v>0</v>
      </c>
      <c r="CK2113" s="158"/>
      <c r="CL2113" s="159"/>
      <c r="CM2113" s="160"/>
      <c r="CN2113" s="161"/>
      <c r="CO2113" s="162"/>
      <c r="CP2113" s="161"/>
      <c r="CQ2113" s="158"/>
      <c r="CR2113" s="159"/>
      <c r="CS2113" s="68"/>
      <c r="CT2113" s="163"/>
      <c r="EC2113" s="366" t="str">
        <f t="shared" si="260"/>
        <v>CORDOBA_CANALETE</v>
      </c>
      <c r="ED2113" s="367"/>
      <c r="EE2113" s="367"/>
      <c r="EF2113" s="368"/>
      <c r="EG2113" s="367"/>
      <c r="EH2113" s="367"/>
      <c r="EI2113" s="367"/>
    </row>
    <row r="2114" spans="1:139" s="164" customFormat="1" ht="51">
      <c r="A2114" s="228">
        <v>40525</v>
      </c>
      <c r="B2114" s="102" t="s">
        <v>1295</v>
      </c>
      <c r="C2114" s="205" t="s">
        <v>244</v>
      </c>
      <c r="D2114" s="207" t="s">
        <v>1201</v>
      </c>
      <c r="E2114" s="323" t="s">
        <v>3664</v>
      </c>
      <c r="F2114" s="323"/>
      <c r="G2114" s="204"/>
      <c r="H2114" s="151"/>
      <c r="I2114" s="151"/>
      <c r="J2114" s="151">
        <f>1334-270</f>
        <v>1064</v>
      </c>
      <c r="K2114" s="151">
        <f>317-60</f>
        <v>257</v>
      </c>
      <c r="L2114" s="1"/>
      <c r="M2114" s="73">
        <f t="shared" si="257"/>
        <v>0</v>
      </c>
      <c r="N2114" s="73">
        <f t="shared" si="262"/>
        <v>9350000</v>
      </c>
      <c r="O2114" s="73">
        <f t="shared" si="263"/>
        <v>0</v>
      </c>
      <c r="P2114" s="73">
        <f t="shared" si="258"/>
        <v>0</v>
      </c>
      <c r="Q2114" s="73"/>
      <c r="R2114" s="73">
        <v>0</v>
      </c>
      <c r="S2114" s="75">
        <f t="shared" si="261"/>
        <v>9350000</v>
      </c>
      <c r="T2114" s="77">
        <v>0</v>
      </c>
      <c r="U2114" s="66"/>
      <c r="V2114" s="79"/>
      <c r="W2114" s="66" t="s">
        <v>1606</v>
      </c>
      <c r="X2114" s="24" t="s">
        <v>1607</v>
      </c>
      <c r="Y2114" s="62"/>
      <c r="Z2114" s="169"/>
      <c r="AA2114" s="166" t="s">
        <v>521</v>
      </c>
      <c r="AB2114" s="152"/>
      <c r="AC2114" s="153"/>
      <c r="AD2114" s="154"/>
      <c r="AE2114" s="153"/>
      <c r="AF2114" s="153"/>
      <c r="AG2114" s="153"/>
      <c r="AH2114" s="153"/>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c r="BI2114" s="153"/>
      <c r="BJ2114" s="153"/>
      <c r="BK2114" s="153"/>
      <c r="BL2114" s="153"/>
      <c r="BM2114" s="153"/>
      <c r="BN2114" s="153"/>
      <c r="BO2114" s="153"/>
      <c r="BP2114" s="153"/>
      <c r="BQ2114" s="153"/>
      <c r="BR2114" s="153"/>
      <c r="BS2114" s="153"/>
      <c r="BT2114" s="153"/>
      <c r="BU2114" s="153"/>
      <c r="BV2114" s="153"/>
      <c r="BW2114" s="153"/>
      <c r="BX2114" s="153"/>
      <c r="BY2114" s="153"/>
      <c r="BZ2114" s="153"/>
      <c r="CA2114" s="153"/>
      <c r="CB2114" s="153"/>
      <c r="CC2114" s="153"/>
      <c r="CD2114" s="155"/>
      <c r="CE2114" s="156"/>
      <c r="CF2114" s="155"/>
      <c r="CG2114" s="156"/>
      <c r="CH2114" s="155"/>
      <c r="CI2114" s="156"/>
      <c r="CJ2114" s="157">
        <f t="shared" si="259"/>
        <v>0</v>
      </c>
      <c r="CK2114" s="158"/>
      <c r="CL2114" s="159"/>
      <c r="CM2114" s="160">
        <v>110</v>
      </c>
      <c r="CN2114" s="161">
        <f>110*85000</f>
        <v>9350000</v>
      </c>
      <c r="CO2114" s="162"/>
      <c r="CP2114" s="161"/>
      <c r="CQ2114" s="158"/>
      <c r="CR2114" s="159"/>
      <c r="CS2114" s="68"/>
      <c r="CT2114" s="163"/>
      <c r="EC2114" s="366" t="str">
        <f t="shared" si="260"/>
        <v>CORDOBA_LOS CORDOBAS</v>
      </c>
      <c r="ED2114" s="367"/>
      <c r="EE2114" s="367"/>
      <c r="EF2114" s="368"/>
      <c r="EG2114" s="367"/>
      <c r="EH2114" s="367"/>
      <c r="EI2114" s="367"/>
    </row>
    <row r="2115" spans="1:139" s="164" customFormat="1" ht="36">
      <c r="A2115" s="228">
        <v>40525</v>
      </c>
      <c r="B2115" s="205" t="s">
        <v>1609</v>
      </c>
      <c r="C2115" s="205" t="s">
        <v>2373</v>
      </c>
      <c r="D2115" s="207" t="s">
        <v>1878</v>
      </c>
      <c r="E2115" s="323" t="s">
        <v>4059</v>
      </c>
      <c r="F2115" s="323"/>
      <c r="G2115" s="204"/>
      <c r="H2115" s="151"/>
      <c r="I2115" s="151"/>
      <c r="J2115" s="151">
        <f>59*5</f>
        <v>295</v>
      </c>
      <c r="K2115" s="151">
        <v>59</v>
      </c>
      <c r="L2115" s="1"/>
      <c r="M2115" s="73">
        <f t="shared" ref="M2115:M2178" si="264">CJ2115</f>
        <v>0</v>
      </c>
      <c r="N2115" s="73">
        <f t="shared" si="262"/>
        <v>0</v>
      </c>
      <c r="O2115" s="73">
        <f t="shared" si="263"/>
        <v>0</v>
      </c>
      <c r="P2115" s="73">
        <f t="shared" ref="P2115:P2178" si="265">CL2115</f>
        <v>0</v>
      </c>
      <c r="Q2115" s="73"/>
      <c r="R2115" s="73">
        <v>0</v>
      </c>
      <c r="S2115" s="75">
        <f t="shared" si="261"/>
        <v>0</v>
      </c>
      <c r="T2115" s="77">
        <v>0</v>
      </c>
      <c r="U2115" s="66">
        <v>40527</v>
      </c>
      <c r="V2115" s="79"/>
      <c r="W2115" s="66" t="s">
        <v>1585</v>
      </c>
      <c r="X2115" s="24" t="s">
        <v>1586</v>
      </c>
      <c r="Y2115" s="62"/>
      <c r="Z2115" s="169" t="s">
        <v>894</v>
      </c>
      <c r="AA2115" s="166" t="s">
        <v>524</v>
      </c>
      <c r="AB2115" s="152"/>
      <c r="AC2115" s="153"/>
      <c r="AD2115" s="154"/>
      <c r="AE2115" s="153"/>
      <c r="AF2115" s="153"/>
      <c r="AG2115" s="153"/>
      <c r="AH2115" s="153"/>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c r="BI2115" s="153"/>
      <c r="BJ2115" s="153"/>
      <c r="BK2115" s="153"/>
      <c r="BL2115" s="153"/>
      <c r="BM2115" s="153"/>
      <c r="BN2115" s="153"/>
      <c r="BO2115" s="153"/>
      <c r="BP2115" s="153"/>
      <c r="BQ2115" s="153"/>
      <c r="BR2115" s="153"/>
      <c r="BS2115" s="153"/>
      <c r="BT2115" s="153"/>
      <c r="BU2115" s="153"/>
      <c r="BV2115" s="153"/>
      <c r="BW2115" s="153"/>
      <c r="BX2115" s="153"/>
      <c r="BY2115" s="153"/>
      <c r="BZ2115" s="153"/>
      <c r="CA2115" s="153"/>
      <c r="CB2115" s="153"/>
      <c r="CC2115" s="153"/>
      <c r="CD2115" s="155"/>
      <c r="CE2115" s="156"/>
      <c r="CF2115" s="155"/>
      <c r="CG2115" s="156"/>
      <c r="CH2115" s="155"/>
      <c r="CI2115" s="156"/>
      <c r="CJ2115" s="157">
        <f t="shared" ref="CJ2115:CJ2178" si="266">AC2115+AE2115+AG2115+AI2115+AK2115+AM2115+AO2115+AQ2115+AS2115+AU2115+AW2115+AY2115+BA2115+BC2115+BE2115+BG2115+BI2115+BK2115+BM2115+BO2115+BQ2115+BS2115+BU2115+BW2115+BY2115+CA2115+CC2115+CE2115+CG2115+CI2115</f>
        <v>0</v>
      </c>
      <c r="CK2115" s="158"/>
      <c r="CL2115" s="159"/>
      <c r="CM2115" s="160"/>
      <c r="CN2115" s="161"/>
      <c r="CO2115" s="162"/>
      <c r="CP2115" s="161"/>
      <c r="CQ2115" s="158"/>
      <c r="CR2115" s="159"/>
      <c r="CS2115" s="68"/>
      <c r="CT2115" s="163">
        <v>1457</v>
      </c>
      <c r="EC2115" s="366" t="str">
        <f t="shared" ref="EC2115:EC2178" si="267">B2115&amp;"_"&amp;C2115</f>
        <v>RISARALDA_MISTRATO</v>
      </c>
      <c r="ED2115" s="367"/>
      <c r="EE2115" s="367"/>
      <c r="EF2115" s="368"/>
      <c r="EG2115" s="367"/>
      <c r="EH2115" s="367"/>
      <c r="EI2115" s="367"/>
    </row>
    <row r="2116" spans="1:139" s="315" customFormat="1" ht="25.5">
      <c r="A2116" s="228">
        <v>40525</v>
      </c>
      <c r="B2116" s="205" t="s">
        <v>1943</v>
      </c>
      <c r="C2116" s="205" t="s">
        <v>1965</v>
      </c>
      <c r="D2116" s="207" t="s">
        <v>1201</v>
      </c>
      <c r="E2116" s="323" t="s">
        <v>4171</v>
      </c>
      <c r="F2116" s="323"/>
      <c r="G2116" s="204"/>
      <c r="H2116" s="151"/>
      <c r="I2116" s="151"/>
      <c r="J2116" s="151">
        <v>325</v>
      </c>
      <c r="K2116" s="151">
        <v>65</v>
      </c>
      <c r="L2116" s="1"/>
      <c r="M2116" s="73">
        <f t="shared" si="264"/>
        <v>192290000</v>
      </c>
      <c r="N2116" s="73">
        <f t="shared" si="262"/>
        <v>119000000</v>
      </c>
      <c r="O2116" s="73">
        <f t="shared" si="263"/>
        <v>0</v>
      </c>
      <c r="P2116" s="73">
        <f t="shared" si="265"/>
        <v>0</v>
      </c>
      <c r="Q2116" s="73"/>
      <c r="R2116" s="73">
        <v>0</v>
      </c>
      <c r="S2116" s="75">
        <f t="shared" si="261"/>
        <v>311290000</v>
      </c>
      <c r="T2116" s="77">
        <v>0</v>
      </c>
      <c r="U2116" s="66"/>
      <c r="V2116" s="79"/>
      <c r="W2116" s="66" t="s">
        <v>1606</v>
      </c>
      <c r="X2116" s="24" t="s">
        <v>1607</v>
      </c>
      <c r="Y2116" s="62"/>
      <c r="Z2116" s="169"/>
      <c r="AA2116" s="166" t="s">
        <v>224</v>
      </c>
      <c r="AB2116" s="152"/>
      <c r="AC2116" s="153"/>
      <c r="AD2116" s="154"/>
      <c r="AE2116" s="153"/>
      <c r="AF2116" s="153"/>
      <c r="AG2116" s="153"/>
      <c r="AH2116" s="153"/>
      <c r="AI2116" s="153"/>
      <c r="AJ2116" s="153"/>
      <c r="AK2116" s="153"/>
      <c r="AL2116" s="153"/>
      <c r="AM2116" s="153"/>
      <c r="AN2116" s="153"/>
      <c r="AO2116" s="153"/>
      <c r="AP2116" s="153">
        <v>1400</v>
      </c>
      <c r="AQ2116" s="153">
        <f>1400*56000</f>
        <v>78400000</v>
      </c>
      <c r="AR2116" s="153"/>
      <c r="AS2116" s="153"/>
      <c r="AT2116" s="153"/>
      <c r="AU2116" s="153"/>
      <c r="AV2116" s="153"/>
      <c r="AW2116" s="153"/>
      <c r="AX2116" s="153"/>
      <c r="AY2116" s="153"/>
      <c r="AZ2116" s="153">
        <v>1400</v>
      </c>
      <c r="BA2116" s="153">
        <f>1400*25500</f>
        <v>35700000</v>
      </c>
      <c r="BB2116" s="153"/>
      <c r="BC2116" s="153"/>
      <c r="BD2116" s="153"/>
      <c r="BE2116" s="153"/>
      <c r="BF2116" s="153"/>
      <c r="BG2116" s="153"/>
      <c r="BH2116" s="153"/>
      <c r="BI2116" s="153"/>
      <c r="BJ2116" s="153"/>
      <c r="BK2116" s="153"/>
      <c r="BL2116" s="153"/>
      <c r="BM2116" s="153"/>
      <c r="BN2116" s="153"/>
      <c r="BO2116" s="153"/>
      <c r="BP2116" s="153"/>
      <c r="BQ2116" s="153"/>
      <c r="BR2116" s="153"/>
      <c r="BS2116" s="153"/>
      <c r="BT2116" s="153"/>
      <c r="BU2116" s="153"/>
      <c r="BV2116" s="153"/>
      <c r="BW2116" s="153"/>
      <c r="BX2116" s="153"/>
      <c r="BY2116" s="153"/>
      <c r="BZ2116" s="153"/>
      <c r="CA2116" s="153"/>
      <c r="CB2116" s="153">
        <f>1400+1400</f>
        <v>2800</v>
      </c>
      <c r="CC2116" s="153">
        <f>1400*18000+1400*18000</f>
        <v>50400000</v>
      </c>
      <c r="CD2116" s="155"/>
      <c r="CE2116" s="156"/>
      <c r="CF2116" s="155">
        <v>700</v>
      </c>
      <c r="CG2116" s="156">
        <f>700*39700</f>
        <v>27790000</v>
      </c>
      <c r="CH2116" s="155"/>
      <c r="CI2116" s="156"/>
      <c r="CJ2116" s="157">
        <f t="shared" si="266"/>
        <v>192290000</v>
      </c>
      <c r="CK2116" s="158"/>
      <c r="CL2116" s="159"/>
      <c r="CM2116" s="160">
        <f>700+700</f>
        <v>1400</v>
      </c>
      <c r="CN2116" s="161">
        <f>700*85000+700*85000</f>
        <v>119000000</v>
      </c>
      <c r="CO2116" s="162"/>
      <c r="CP2116" s="161"/>
      <c r="CQ2116" s="158"/>
      <c r="CR2116" s="159"/>
      <c r="CS2116" s="68"/>
      <c r="CT2116" s="163"/>
      <c r="EC2116" s="403" t="str">
        <f t="shared" si="267"/>
        <v>SUCRE_SAN ONOFRE</v>
      </c>
      <c r="ED2116" s="404"/>
      <c r="EE2116" s="404"/>
      <c r="EF2116" s="405"/>
      <c r="EG2116" s="404"/>
      <c r="EH2116" s="404"/>
      <c r="EI2116" s="404"/>
    </row>
    <row r="2117" spans="1:139" s="164" customFormat="1" ht="132">
      <c r="A2117" s="228">
        <v>40525</v>
      </c>
      <c r="B2117" s="205" t="s">
        <v>1943</v>
      </c>
      <c r="C2117" s="205" t="s">
        <v>3195</v>
      </c>
      <c r="D2117" s="207" t="s">
        <v>1201</v>
      </c>
      <c r="E2117" s="323" t="s">
        <v>4175</v>
      </c>
      <c r="F2117" s="323"/>
      <c r="G2117" s="204"/>
      <c r="H2117" s="151"/>
      <c r="I2117" s="151"/>
      <c r="J2117" s="151">
        <f>294*5</f>
        <v>1470</v>
      </c>
      <c r="K2117" s="151">
        <f>1200-172-734</f>
        <v>294</v>
      </c>
      <c r="L2117" s="1"/>
      <c r="M2117" s="73">
        <f t="shared" si="264"/>
        <v>286440000</v>
      </c>
      <c r="N2117" s="73">
        <f t="shared" si="262"/>
        <v>102000000</v>
      </c>
      <c r="O2117" s="73">
        <f t="shared" si="263"/>
        <v>0</v>
      </c>
      <c r="P2117" s="73">
        <f t="shared" si="265"/>
        <v>0</v>
      </c>
      <c r="Q2117" s="73"/>
      <c r="R2117" s="73">
        <v>0</v>
      </c>
      <c r="S2117" s="75">
        <f t="shared" si="261"/>
        <v>388440000</v>
      </c>
      <c r="T2117" s="77">
        <v>0</v>
      </c>
      <c r="U2117" s="66"/>
      <c r="V2117" s="79"/>
      <c r="W2117" s="66" t="s">
        <v>1606</v>
      </c>
      <c r="X2117" s="24" t="s">
        <v>1607</v>
      </c>
      <c r="Y2117" s="62"/>
      <c r="Z2117" s="169"/>
      <c r="AA2117" s="166" t="s">
        <v>152</v>
      </c>
      <c r="AB2117" s="152"/>
      <c r="AC2117" s="153"/>
      <c r="AD2117" s="154"/>
      <c r="AE2117" s="153"/>
      <c r="AF2117" s="153"/>
      <c r="AG2117" s="153"/>
      <c r="AH2117" s="153"/>
      <c r="AI2117" s="153"/>
      <c r="AJ2117" s="153"/>
      <c r="AK2117" s="153"/>
      <c r="AL2117" s="153"/>
      <c r="AM2117" s="153"/>
      <c r="AN2117" s="153"/>
      <c r="AO2117" s="153"/>
      <c r="AP2117" s="153">
        <v>2400</v>
      </c>
      <c r="AQ2117" s="153">
        <f>2400*56000</f>
        <v>134400000</v>
      </c>
      <c r="AR2117" s="153"/>
      <c r="AS2117" s="153"/>
      <c r="AT2117" s="153"/>
      <c r="AU2117" s="153"/>
      <c r="AV2117" s="153"/>
      <c r="AW2117" s="153"/>
      <c r="AX2117" s="153"/>
      <c r="AY2117" s="153"/>
      <c r="AZ2117" s="153">
        <v>2400</v>
      </c>
      <c r="BA2117" s="153">
        <f>2400*25500</f>
        <v>61200000</v>
      </c>
      <c r="BB2117" s="153"/>
      <c r="BC2117" s="153"/>
      <c r="BD2117" s="153"/>
      <c r="BE2117" s="153"/>
      <c r="BF2117" s="153"/>
      <c r="BG2117" s="153"/>
      <c r="BH2117" s="153"/>
      <c r="BI2117" s="153"/>
      <c r="BJ2117" s="153"/>
      <c r="BK2117" s="153"/>
      <c r="BL2117" s="153"/>
      <c r="BM2117" s="153"/>
      <c r="BN2117" s="153"/>
      <c r="BO2117" s="153"/>
      <c r="BP2117" s="153"/>
      <c r="BQ2117" s="153"/>
      <c r="BR2117" s="153"/>
      <c r="BS2117" s="153"/>
      <c r="BT2117" s="153"/>
      <c r="BU2117" s="153"/>
      <c r="BV2117" s="153"/>
      <c r="BW2117" s="153"/>
      <c r="BX2117" s="153"/>
      <c r="BY2117" s="153"/>
      <c r="BZ2117" s="153"/>
      <c r="CA2117" s="153"/>
      <c r="CB2117" s="153">
        <v>2400</v>
      </c>
      <c r="CC2117" s="153">
        <f>2400*18000</f>
        <v>43200000</v>
      </c>
      <c r="CD2117" s="155"/>
      <c r="CE2117" s="156"/>
      <c r="CF2117" s="155">
        <v>1200</v>
      </c>
      <c r="CG2117" s="156">
        <f>1200*39700</f>
        <v>47640000</v>
      </c>
      <c r="CH2117" s="155"/>
      <c r="CI2117" s="156"/>
      <c r="CJ2117" s="157">
        <f t="shared" si="266"/>
        <v>286440000</v>
      </c>
      <c r="CK2117" s="158"/>
      <c r="CL2117" s="159"/>
      <c r="CM2117" s="160">
        <v>1200</v>
      </c>
      <c r="CN2117" s="161">
        <f>1200*85000</f>
        <v>102000000</v>
      </c>
      <c r="CO2117" s="162"/>
      <c r="CP2117" s="161"/>
      <c r="CQ2117" s="158"/>
      <c r="CR2117" s="159"/>
      <c r="CS2117" s="68"/>
      <c r="CT2117" s="163"/>
      <c r="EC2117" s="366" t="str">
        <f t="shared" si="267"/>
        <v>SUCRE_SANTIAGO DE TOLU</v>
      </c>
      <c r="ED2117" s="367"/>
      <c r="EE2117" s="367"/>
      <c r="EF2117" s="368"/>
      <c r="EG2117" s="367"/>
      <c r="EH2117" s="367"/>
      <c r="EI2117" s="367"/>
    </row>
    <row r="2118" spans="1:139" s="164" customFormat="1" ht="25.5">
      <c r="A2118" s="228">
        <v>40525</v>
      </c>
      <c r="B2118" s="205" t="s">
        <v>1943</v>
      </c>
      <c r="C2118" s="205" t="s">
        <v>3196</v>
      </c>
      <c r="D2118" s="207" t="s">
        <v>1201</v>
      </c>
      <c r="E2118" s="323" t="s">
        <v>4176</v>
      </c>
      <c r="F2118" s="323"/>
      <c r="G2118" s="204"/>
      <c r="H2118" s="151"/>
      <c r="I2118" s="151"/>
      <c r="J2118" s="151">
        <f>320*5</f>
        <v>1600</v>
      </c>
      <c r="K2118" s="151">
        <v>320</v>
      </c>
      <c r="L2118" s="1"/>
      <c r="M2118" s="73">
        <f t="shared" si="264"/>
        <v>76384000</v>
      </c>
      <c r="N2118" s="73">
        <f t="shared" si="262"/>
        <v>25500000</v>
      </c>
      <c r="O2118" s="73">
        <f t="shared" si="263"/>
        <v>0</v>
      </c>
      <c r="P2118" s="73">
        <f t="shared" si="265"/>
        <v>0</v>
      </c>
      <c r="Q2118" s="73"/>
      <c r="R2118" s="73">
        <v>0</v>
      </c>
      <c r="S2118" s="75">
        <f t="shared" si="261"/>
        <v>101884000</v>
      </c>
      <c r="T2118" s="77">
        <v>0</v>
      </c>
      <c r="U2118" s="66"/>
      <c r="V2118" s="79"/>
      <c r="W2118" s="66" t="s">
        <v>1606</v>
      </c>
      <c r="X2118" s="24" t="s">
        <v>1607</v>
      </c>
      <c r="Y2118" s="62"/>
      <c r="Z2118" s="169"/>
      <c r="AA2118" s="166" t="s">
        <v>223</v>
      </c>
      <c r="AB2118" s="152"/>
      <c r="AC2118" s="153"/>
      <c r="AD2118" s="154"/>
      <c r="AE2118" s="153"/>
      <c r="AF2118" s="153"/>
      <c r="AG2118" s="153"/>
      <c r="AH2118" s="153"/>
      <c r="AI2118" s="153"/>
      <c r="AJ2118" s="153"/>
      <c r="AK2118" s="153"/>
      <c r="AL2118" s="153"/>
      <c r="AM2118" s="153"/>
      <c r="AN2118" s="153"/>
      <c r="AO2118" s="153"/>
      <c r="AP2118" s="153">
        <v>640</v>
      </c>
      <c r="AQ2118" s="153">
        <f>640*56000</f>
        <v>35840000</v>
      </c>
      <c r="AR2118" s="153"/>
      <c r="AS2118" s="153"/>
      <c r="AT2118" s="153"/>
      <c r="AU2118" s="153"/>
      <c r="AV2118" s="153"/>
      <c r="AW2118" s="153"/>
      <c r="AX2118" s="153"/>
      <c r="AY2118" s="153"/>
      <c r="AZ2118" s="153">
        <v>640</v>
      </c>
      <c r="BA2118" s="153">
        <f>640*25500</f>
        <v>16320000</v>
      </c>
      <c r="BB2118" s="153"/>
      <c r="BC2118" s="153"/>
      <c r="BD2118" s="153"/>
      <c r="BE2118" s="153"/>
      <c r="BF2118" s="153"/>
      <c r="BG2118" s="153"/>
      <c r="BH2118" s="153"/>
      <c r="BI2118" s="153"/>
      <c r="BJ2118" s="153"/>
      <c r="BK2118" s="153"/>
      <c r="BL2118" s="153"/>
      <c r="BM2118" s="153"/>
      <c r="BN2118" s="153"/>
      <c r="BO2118" s="153"/>
      <c r="BP2118" s="153"/>
      <c r="BQ2118" s="153"/>
      <c r="BR2118" s="153"/>
      <c r="BS2118" s="153"/>
      <c r="BT2118" s="153"/>
      <c r="BU2118" s="153"/>
      <c r="BV2118" s="153"/>
      <c r="BW2118" s="153"/>
      <c r="BX2118" s="153"/>
      <c r="BY2118" s="153"/>
      <c r="BZ2118" s="153"/>
      <c r="CA2118" s="153"/>
      <c r="CB2118" s="153">
        <v>640</v>
      </c>
      <c r="CC2118" s="153">
        <f>640*18000</f>
        <v>11520000</v>
      </c>
      <c r="CD2118" s="155"/>
      <c r="CE2118" s="156"/>
      <c r="CF2118" s="155">
        <v>320</v>
      </c>
      <c r="CG2118" s="156">
        <f>320*39700</f>
        <v>12704000</v>
      </c>
      <c r="CH2118" s="155"/>
      <c r="CI2118" s="156"/>
      <c r="CJ2118" s="157">
        <f t="shared" si="266"/>
        <v>76384000</v>
      </c>
      <c r="CK2118" s="158"/>
      <c r="CL2118" s="159"/>
      <c r="CM2118" s="160">
        <v>300</v>
      </c>
      <c r="CN2118" s="161">
        <f>300*85000</f>
        <v>25500000</v>
      </c>
      <c r="CO2118" s="162"/>
      <c r="CP2118" s="161"/>
      <c r="CQ2118" s="158"/>
      <c r="CR2118" s="159"/>
      <c r="CS2118" s="68"/>
      <c r="CT2118" s="163"/>
      <c r="EC2118" s="366" t="str">
        <f t="shared" si="267"/>
        <v>SUCRE_TOLU VIEJO</v>
      </c>
      <c r="ED2118" s="367"/>
      <c r="EE2118" s="367"/>
      <c r="EF2118" s="368"/>
      <c r="EG2118" s="367"/>
      <c r="EH2118" s="367"/>
      <c r="EI2118" s="367"/>
    </row>
    <row r="2119" spans="1:139" s="164" customFormat="1" ht="25.5">
      <c r="A2119" s="228">
        <v>40525</v>
      </c>
      <c r="B2119" s="205" t="s">
        <v>2400</v>
      </c>
      <c r="C2119" s="205" t="s">
        <v>1545</v>
      </c>
      <c r="D2119" s="207" t="s">
        <v>1316</v>
      </c>
      <c r="E2119" s="323" t="s">
        <v>4177</v>
      </c>
      <c r="F2119" s="323"/>
      <c r="G2119" s="204"/>
      <c r="H2119" s="151"/>
      <c r="I2119" s="151"/>
      <c r="J2119" s="151"/>
      <c r="K2119" s="151"/>
      <c r="L2119" s="1"/>
      <c r="M2119" s="73">
        <f t="shared" si="264"/>
        <v>0</v>
      </c>
      <c r="N2119" s="73">
        <f t="shared" si="262"/>
        <v>0</v>
      </c>
      <c r="O2119" s="73">
        <f t="shared" si="263"/>
        <v>0</v>
      </c>
      <c r="P2119" s="73">
        <f t="shared" si="265"/>
        <v>0</v>
      </c>
      <c r="Q2119" s="73"/>
      <c r="R2119" s="73">
        <v>0</v>
      </c>
      <c r="S2119" s="75">
        <f t="shared" si="261"/>
        <v>0</v>
      </c>
      <c r="T2119" s="77">
        <v>0</v>
      </c>
      <c r="U2119" s="66">
        <v>40527</v>
      </c>
      <c r="V2119" s="79"/>
      <c r="W2119" s="66" t="s">
        <v>1585</v>
      </c>
      <c r="X2119" s="24" t="s">
        <v>1586</v>
      </c>
      <c r="Y2119" s="62"/>
      <c r="Z2119" s="169" t="s">
        <v>894</v>
      </c>
      <c r="AA2119" s="166" t="s">
        <v>209</v>
      </c>
      <c r="AB2119" s="152"/>
      <c r="AC2119" s="153"/>
      <c r="AD2119" s="154"/>
      <c r="AE2119" s="153"/>
      <c r="AF2119" s="153"/>
      <c r="AG2119" s="153"/>
      <c r="AH2119" s="153"/>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c r="BI2119" s="153"/>
      <c r="BJ2119" s="153"/>
      <c r="BK2119" s="153"/>
      <c r="BL2119" s="153"/>
      <c r="BM2119" s="153"/>
      <c r="BN2119" s="153"/>
      <c r="BO2119" s="153"/>
      <c r="BP2119" s="153"/>
      <c r="BQ2119" s="153"/>
      <c r="BR2119" s="153"/>
      <c r="BS2119" s="153"/>
      <c r="BT2119" s="153"/>
      <c r="BU2119" s="153"/>
      <c r="BV2119" s="153"/>
      <c r="BW2119" s="153"/>
      <c r="BX2119" s="153"/>
      <c r="BY2119" s="153"/>
      <c r="BZ2119" s="153"/>
      <c r="CA2119" s="153"/>
      <c r="CB2119" s="153"/>
      <c r="CC2119" s="153"/>
      <c r="CD2119" s="155"/>
      <c r="CE2119" s="156"/>
      <c r="CF2119" s="155"/>
      <c r="CG2119" s="156"/>
      <c r="CH2119" s="155"/>
      <c r="CI2119" s="156"/>
      <c r="CJ2119" s="157">
        <f t="shared" si="266"/>
        <v>0</v>
      </c>
      <c r="CK2119" s="158"/>
      <c r="CL2119" s="159"/>
      <c r="CM2119" s="160"/>
      <c r="CN2119" s="161"/>
      <c r="CO2119" s="162"/>
      <c r="CP2119" s="161"/>
      <c r="CQ2119" s="158"/>
      <c r="CR2119" s="159"/>
      <c r="CS2119" s="68"/>
      <c r="CT2119" s="163"/>
      <c r="EC2119" s="366" t="str">
        <f t="shared" si="267"/>
        <v>TOLIMA_IBAGUE</v>
      </c>
      <c r="ED2119" s="367"/>
      <c r="EE2119" s="367"/>
      <c r="EF2119" s="368"/>
      <c r="EG2119" s="367"/>
      <c r="EH2119" s="367"/>
      <c r="EI2119" s="367"/>
    </row>
    <row r="2120" spans="1:139" s="164" customFormat="1" ht="45">
      <c r="A2120" s="228">
        <v>40525</v>
      </c>
      <c r="B2120" s="205" t="s">
        <v>2400</v>
      </c>
      <c r="C2120" s="205" t="s">
        <v>3201</v>
      </c>
      <c r="D2120" s="207" t="s">
        <v>2606</v>
      </c>
      <c r="E2120" s="323" t="s">
        <v>4223</v>
      </c>
      <c r="F2120" s="323"/>
      <c r="G2120" s="204"/>
      <c r="H2120" s="151"/>
      <c r="I2120" s="151"/>
      <c r="J2120" s="151">
        <v>42</v>
      </c>
      <c r="K2120" s="151">
        <v>15</v>
      </c>
      <c r="L2120" s="1"/>
      <c r="M2120" s="73">
        <f t="shared" si="264"/>
        <v>0</v>
      </c>
      <c r="N2120" s="73">
        <f t="shared" si="262"/>
        <v>0</v>
      </c>
      <c r="O2120" s="73">
        <f t="shared" si="263"/>
        <v>0</v>
      </c>
      <c r="P2120" s="73">
        <f t="shared" si="265"/>
        <v>0</v>
      </c>
      <c r="Q2120" s="73"/>
      <c r="R2120" s="73">
        <v>0</v>
      </c>
      <c r="S2120" s="75">
        <f t="shared" si="261"/>
        <v>0</v>
      </c>
      <c r="T2120" s="77">
        <v>0</v>
      </c>
      <c r="U2120" s="66"/>
      <c r="V2120" s="79"/>
      <c r="W2120" s="66" t="s">
        <v>1606</v>
      </c>
      <c r="X2120" s="264" t="s">
        <v>1607</v>
      </c>
      <c r="Y2120" s="62"/>
      <c r="Z2120" s="260" t="s">
        <v>18</v>
      </c>
      <c r="AA2120" s="166" t="s">
        <v>518</v>
      </c>
      <c r="AB2120" s="152"/>
      <c r="AC2120" s="153"/>
      <c r="AD2120" s="154"/>
      <c r="AE2120" s="153"/>
      <c r="AF2120" s="153"/>
      <c r="AG2120" s="153"/>
      <c r="AH2120" s="153"/>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c r="BI2120" s="153"/>
      <c r="BJ2120" s="153"/>
      <c r="BK2120" s="153"/>
      <c r="BL2120" s="153"/>
      <c r="BM2120" s="153"/>
      <c r="BN2120" s="153"/>
      <c r="BO2120" s="153"/>
      <c r="BP2120" s="153"/>
      <c r="BQ2120" s="153"/>
      <c r="BR2120" s="153"/>
      <c r="BS2120" s="153"/>
      <c r="BT2120" s="153"/>
      <c r="BU2120" s="153"/>
      <c r="BV2120" s="153"/>
      <c r="BW2120" s="153"/>
      <c r="BX2120" s="153"/>
      <c r="BY2120" s="153"/>
      <c r="BZ2120" s="153"/>
      <c r="CA2120" s="153"/>
      <c r="CB2120" s="153"/>
      <c r="CC2120" s="153"/>
      <c r="CD2120" s="155"/>
      <c r="CE2120" s="156"/>
      <c r="CF2120" s="155"/>
      <c r="CG2120" s="156"/>
      <c r="CH2120" s="155"/>
      <c r="CI2120" s="156"/>
      <c r="CJ2120" s="157">
        <f t="shared" si="266"/>
        <v>0</v>
      </c>
      <c r="CK2120" s="158"/>
      <c r="CL2120" s="159"/>
      <c r="CM2120" s="160"/>
      <c r="CN2120" s="161"/>
      <c r="CO2120" s="162"/>
      <c r="CP2120" s="161"/>
      <c r="CQ2120" s="158"/>
      <c r="CR2120" s="159"/>
      <c r="CS2120" s="68"/>
      <c r="CT2120" s="163"/>
      <c r="EC2120" s="366" t="str">
        <f t="shared" si="267"/>
        <v>TOLIMA_VILLARRICA</v>
      </c>
      <c r="ED2120" s="367"/>
      <c r="EE2120" s="367"/>
      <c r="EF2120" s="368"/>
      <c r="EG2120" s="367"/>
      <c r="EH2120" s="367"/>
      <c r="EI2120" s="367"/>
    </row>
    <row r="2121" spans="1:139" s="164" customFormat="1" ht="51">
      <c r="A2121" s="228">
        <v>40525</v>
      </c>
      <c r="B2121" s="205" t="s">
        <v>1088</v>
      </c>
      <c r="C2121" s="205" t="s">
        <v>1544</v>
      </c>
      <c r="D2121" s="207" t="s">
        <v>1316</v>
      </c>
      <c r="E2121" s="323" t="s">
        <v>4230</v>
      </c>
      <c r="F2121" s="323"/>
      <c r="G2121" s="204"/>
      <c r="H2121" s="151"/>
      <c r="I2121" s="151"/>
      <c r="J2121" s="151">
        <v>40</v>
      </c>
      <c r="K2121" s="151">
        <v>8</v>
      </c>
      <c r="L2121" s="1"/>
      <c r="M2121" s="73">
        <f t="shared" si="264"/>
        <v>0</v>
      </c>
      <c r="N2121" s="73">
        <f t="shared" si="262"/>
        <v>0</v>
      </c>
      <c r="O2121" s="73">
        <f t="shared" si="263"/>
        <v>0</v>
      </c>
      <c r="P2121" s="73">
        <f t="shared" si="265"/>
        <v>0</v>
      </c>
      <c r="Q2121" s="73"/>
      <c r="R2121" s="73">
        <v>0</v>
      </c>
      <c r="S2121" s="75">
        <f t="shared" ref="S2121:S2184" si="268">M2121+N2121+O2121+P2121+Q2121+R2121</f>
        <v>0</v>
      </c>
      <c r="T2121" s="77">
        <v>0</v>
      </c>
      <c r="U2121" s="66"/>
      <c r="V2121" s="79"/>
      <c r="W2121" s="66" t="s">
        <v>1606</v>
      </c>
      <c r="X2121" s="264" t="s">
        <v>1607</v>
      </c>
      <c r="Y2121" s="62"/>
      <c r="Z2121" s="260" t="s">
        <v>18</v>
      </c>
      <c r="AA2121" s="166" t="s">
        <v>517</v>
      </c>
      <c r="AB2121" s="152"/>
      <c r="AC2121" s="153"/>
      <c r="AD2121" s="154"/>
      <c r="AE2121" s="153"/>
      <c r="AF2121" s="153"/>
      <c r="AG2121" s="153"/>
      <c r="AH2121" s="153"/>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c r="BI2121" s="153"/>
      <c r="BJ2121" s="153"/>
      <c r="BK2121" s="153"/>
      <c r="BL2121" s="153"/>
      <c r="BM2121" s="153"/>
      <c r="BN2121" s="153"/>
      <c r="BO2121" s="153"/>
      <c r="BP2121" s="153"/>
      <c r="BQ2121" s="153"/>
      <c r="BR2121" s="153"/>
      <c r="BS2121" s="153"/>
      <c r="BT2121" s="153"/>
      <c r="BU2121" s="153"/>
      <c r="BV2121" s="153"/>
      <c r="BW2121" s="153"/>
      <c r="BX2121" s="153"/>
      <c r="BY2121" s="153"/>
      <c r="BZ2121" s="153"/>
      <c r="CA2121" s="153"/>
      <c r="CB2121" s="153"/>
      <c r="CC2121" s="153"/>
      <c r="CD2121" s="155"/>
      <c r="CE2121" s="156"/>
      <c r="CF2121" s="155"/>
      <c r="CG2121" s="156"/>
      <c r="CH2121" s="155"/>
      <c r="CI2121" s="156"/>
      <c r="CJ2121" s="157">
        <f t="shared" si="266"/>
        <v>0</v>
      </c>
      <c r="CK2121" s="158"/>
      <c r="CL2121" s="159"/>
      <c r="CM2121" s="160"/>
      <c r="CN2121" s="161"/>
      <c r="CO2121" s="162"/>
      <c r="CP2121" s="161"/>
      <c r="CQ2121" s="158"/>
      <c r="CR2121" s="159"/>
      <c r="CS2121" s="68"/>
      <c r="CT2121" s="163"/>
      <c r="EC2121" s="366" t="str">
        <f t="shared" si="267"/>
        <v>VALLE DEL CAUCA_BUENAVENTURA</v>
      </c>
      <c r="ED2121" s="367"/>
      <c r="EE2121" s="367"/>
      <c r="EF2121" s="368"/>
      <c r="EG2121" s="367"/>
      <c r="EH2121" s="367"/>
      <c r="EI2121" s="367"/>
    </row>
    <row r="2122" spans="1:139" s="164" customFormat="1" ht="45">
      <c r="A2122" s="228">
        <v>40525</v>
      </c>
      <c r="B2122" s="205" t="s">
        <v>1088</v>
      </c>
      <c r="C2122" s="205" t="s">
        <v>993</v>
      </c>
      <c r="D2122" s="207" t="s">
        <v>1201</v>
      </c>
      <c r="E2122" s="323" t="s">
        <v>4245</v>
      </c>
      <c r="F2122" s="323"/>
      <c r="G2122" s="204"/>
      <c r="H2122" s="151"/>
      <c r="I2122" s="151"/>
      <c r="J2122" s="151">
        <v>1000</v>
      </c>
      <c r="K2122" s="151">
        <v>200</v>
      </c>
      <c r="L2122" s="1"/>
      <c r="M2122" s="73">
        <f t="shared" si="264"/>
        <v>0</v>
      </c>
      <c r="N2122" s="73">
        <f t="shared" si="262"/>
        <v>0</v>
      </c>
      <c r="O2122" s="73">
        <f t="shared" si="263"/>
        <v>0</v>
      </c>
      <c r="P2122" s="73">
        <f t="shared" si="265"/>
        <v>0</v>
      </c>
      <c r="Q2122" s="73"/>
      <c r="R2122" s="73">
        <v>0</v>
      </c>
      <c r="S2122" s="75">
        <f t="shared" si="268"/>
        <v>0</v>
      </c>
      <c r="T2122" s="77">
        <v>0</v>
      </c>
      <c r="U2122" s="66"/>
      <c r="V2122" s="79"/>
      <c r="W2122" s="66" t="s">
        <v>1606</v>
      </c>
      <c r="X2122" s="264" t="s">
        <v>1607</v>
      </c>
      <c r="Y2122" s="62"/>
      <c r="Z2122" s="260" t="s">
        <v>18</v>
      </c>
      <c r="AA2122" s="166" t="s">
        <v>516</v>
      </c>
      <c r="AB2122" s="152"/>
      <c r="AC2122" s="153"/>
      <c r="AD2122" s="154"/>
      <c r="AE2122" s="153"/>
      <c r="AF2122" s="153"/>
      <c r="AG2122" s="153"/>
      <c r="AH2122" s="153"/>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c r="BI2122" s="153"/>
      <c r="BJ2122" s="153"/>
      <c r="BK2122" s="153"/>
      <c r="BL2122" s="153"/>
      <c r="BM2122" s="153"/>
      <c r="BN2122" s="153"/>
      <c r="BO2122" s="153"/>
      <c r="BP2122" s="153"/>
      <c r="BQ2122" s="153"/>
      <c r="BR2122" s="153"/>
      <c r="BS2122" s="153"/>
      <c r="BT2122" s="153"/>
      <c r="BU2122" s="153"/>
      <c r="BV2122" s="153"/>
      <c r="BW2122" s="153"/>
      <c r="BX2122" s="153"/>
      <c r="BY2122" s="153"/>
      <c r="BZ2122" s="153"/>
      <c r="CA2122" s="153"/>
      <c r="CB2122" s="153"/>
      <c r="CC2122" s="153"/>
      <c r="CD2122" s="155"/>
      <c r="CE2122" s="156"/>
      <c r="CF2122" s="155"/>
      <c r="CG2122" s="156"/>
      <c r="CH2122" s="155"/>
      <c r="CI2122" s="156"/>
      <c r="CJ2122" s="157">
        <f t="shared" si="266"/>
        <v>0</v>
      </c>
      <c r="CK2122" s="158"/>
      <c r="CL2122" s="159"/>
      <c r="CM2122" s="160"/>
      <c r="CN2122" s="161"/>
      <c r="CO2122" s="162"/>
      <c r="CP2122" s="161"/>
      <c r="CQ2122" s="158"/>
      <c r="CR2122" s="159"/>
      <c r="CS2122" s="68"/>
      <c r="CT2122" s="163"/>
      <c r="EC2122" s="366" t="str">
        <f t="shared" si="267"/>
        <v>VALLE DEL CAUCA_JAMUNDI</v>
      </c>
      <c r="ED2122" s="367"/>
      <c r="EE2122" s="367"/>
      <c r="EF2122" s="368"/>
      <c r="EG2122" s="367"/>
      <c r="EH2122" s="367"/>
      <c r="EI2122" s="367"/>
    </row>
    <row r="2123" spans="1:139" s="164" customFormat="1" ht="38.25">
      <c r="A2123" s="235">
        <v>40526</v>
      </c>
      <c r="B2123" s="269" t="s">
        <v>1972</v>
      </c>
      <c r="C2123" s="269" t="s">
        <v>132</v>
      </c>
      <c r="D2123" s="270" t="s">
        <v>1201</v>
      </c>
      <c r="E2123" s="327" t="s">
        <v>3320</v>
      </c>
      <c r="F2123" s="327"/>
      <c r="G2123" s="204"/>
      <c r="H2123" s="151"/>
      <c r="I2123" s="151"/>
      <c r="J2123" s="151">
        <v>72</v>
      </c>
      <c r="K2123" s="151">
        <v>68</v>
      </c>
      <c r="L2123" s="1"/>
      <c r="M2123" s="73">
        <f t="shared" si="264"/>
        <v>0</v>
      </c>
      <c r="N2123" s="73">
        <f t="shared" si="262"/>
        <v>0</v>
      </c>
      <c r="O2123" s="73">
        <f t="shared" si="263"/>
        <v>0</v>
      </c>
      <c r="P2123" s="73">
        <f t="shared" si="265"/>
        <v>0</v>
      </c>
      <c r="Q2123" s="73"/>
      <c r="R2123" s="73">
        <v>0</v>
      </c>
      <c r="S2123" s="75">
        <f t="shared" si="268"/>
        <v>0</v>
      </c>
      <c r="T2123" s="77">
        <v>0</v>
      </c>
      <c r="U2123" s="66">
        <v>40526</v>
      </c>
      <c r="V2123" s="79"/>
      <c r="W2123" s="66" t="s">
        <v>1606</v>
      </c>
      <c r="X2123" s="24" t="s">
        <v>1607</v>
      </c>
      <c r="Y2123" s="62"/>
      <c r="Z2123" s="176" t="s">
        <v>460</v>
      </c>
      <c r="AA2123" s="166" t="s">
        <v>220</v>
      </c>
      <c r="AB2123" s="152"/>
      <c r="AC2123" s="153"/>
      <c r="AD2123" s="154"/>
      <c r="AE2123" s="153"/>
      <c r="AF2123" s="153"/>
      <c r="AG2123" s="153"/>
      <c r="AH2123" s="153"/>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c r="BI2123" s="153"/>
      <c r="BJ2123" s="153"/>
      <c r="BK2123" s="153"/>
      <c r="BL2123" s="153"/>
      <c r="BM2123" s="153"/>
      <c r="BN2123" s="153"/>
      <c r="BO2123" s="153"/>
      <c r="BP2123" s="153"/>
      <c r="BQ2123" s="153"/>
      <c r="BR2123" s="153"/>
      <c r="BS2123" s="153"/>
      <c r="BT2123" s="153"/>
      <c r="BU2123" s="153"/>
      <c r="BV2123" s="153"/>
      <c r="BW2123" s="153"/>
      <c r="BX2123" s="153"/>
      <c r="BY2123" s="153"/>
      <c r="BZ2123" s="153"/>
      <c r="CA2123" s="153"/>
      <c r="CB2123" s="153"/>
      <c r="CC2123" s="153"/>
      <c r="CD2123" s="155"/>
      <c r="CE2123" s="156"/>
      <c r="CF2123" s="155"/>
      <c r="CG2123" s="156"/>
      <c r="CH2123" s="155"/>
      <c r="CI2123" s="156"/>
      <c r="CJ2123" s="157">
        <f t="shared" si="266"/>
        <v>0</v>
      </c>
      <c r="CK2123" s="158"/>
      <c r="CL2123" s="159"/>
      <c r="CM2123" s="160"/>
      <c r="CN2123" s="161"/>
      <c r="CO2123" s="162"/>
      <c r="CP2123" s="161"/>
      <c r="CQ2123" s="158"/>
      <c r="CR2123" s="159"/>
      <c r="CS2123" s="68"/>
      <c r="CT2123" s="163"/>
      <c r="EC2123" s="366" t="str">
        <f t="shared" si="267"/>
        <v>ANTIOQUIA_SAN JUAN DE URABA</v>
      </c>
      <c r="ED2123" s="367"/>
      <c r="EE2123" s="367"/>
      <c r="EF2123" s="368"/>
      <c r="EG2123" s="367"/>
      <c r="EH2123" s="367"/>
      <c r="EI2123" s="367"/>
    </row>
    <row r="2124" spans="1:139" s="164" customFormat="1" ht="60">
      <c r="A2124" s="228">
        <v>40526</v>
      </c>
      <c r="B2124" s="205" t="s">
        <v>1192</v>
      </c>
      <c r="C2124" s="205" t="s">
        <v>1914</v>
      </c>
      <c r="D2124" s="207" t="s">
        <v>1878</v>
      </c>
      <c r="E2124" s="323" t="s">
        <v>3438</v>
      </c>
      <c r="F2124" s="323"/>
      <c r="G2124" s="204"/>
      <c r="H2124" s="151"/>
      <c r="I2124" s="151"/>
      <c r="J2124" s="151">
        <f>148*5</f>
        <v>740</v>
      </c>
      <c r="K2124" s="151">
        <v>148</v>
      </c>
      <c r="L2124" s="1"/>
      <c r="M2124" s="73">
        <f t="shared" si="264"/>
        <v>0</v>
      </c>
      <c r="N2124" s="73">
        <f t="shared" si="262"/>
        <v>0</v>
      </c>
      <c r="O2124" s="73">
        <f t="shared" si="263"/>
        <v>0</v>
      </c>
      <c r="P2124" s="73">
        <f t="shared" si="265"/>
        <v>0</v>
      </c>
      <c r="Q2124" s="73"/>
      <c r="R2124" s="73">
        <v>0</v>
      </c>
      <c r="S2124" s="75">
        <f t="shared" si="268"/>
        <v>0</v>
      </c>
      <c r="T2124" s="77">
        <v>0</v>
      </c>
      <c r="U2124" s="66">
        <v>40578</v>
      </c>
      <c r="V2124" s="79"/>
      <c r="W2124" s="66" t="s">
        <v>1585</v>
      </c>
      <c r="X2124" s="24" t="s">
        <v>1586</v>
      </c>
      <c r="Y2124" s="62"/>
      <c r="Z2124" s="169" t="s">
        <v>894</v>
      </c>
      <c r="AA2124" s="166" t="s">
        <v>61</v>
      </c>
      <c r="AB2124" s="152"/>
      <c r="AC2124" s="153"/>
      <c r="AD2124" s="154"/>
      <c r="AE2124" s="153"/>
      <c r="AF2124" s="153"/>
      <c r="AG2124" s="153"/>
      <c r="AH2124" s="153"/>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c r="BI2124" s="153"/>
      <c r="BJ2124" s="153"/>
      <c r="BK2124" s="153"/>
      <c r="BL2124" s="153"/>
      <c r="BM2124" s="153"/>
      <c r="BN2124" s="153"/>
      <c r="BO2124" s="153"/>
      <c r="BP2124" s="153"/>
      <c r="BQ2124" s="153"/>
      <c r="BR2124" s="153"/>
      <c r="BS2124" s="153"/>
      <c r="BT2124" s="153"/>
      <c r="BU2124" s="153"/>
      <c r="BV2124" s="153"/>
      <c r="BW2124" s="153"/>
      <c r="BX2124" s="153"/>
      <c r="BY2124" s="153"/>
      <c r="BZ2124" s="153"/>
      <c r="CA2124" s="153"/>
      <c r="CB2124" s="153"/>
      <c r="CC2124" s="153"/>
      <c r="CD2124" s="155"/>
      <c r="CE2124" s="156"/>
      <c r="CF2124" s="155"/>
      <c r="CG2124" s="156"/>
      <c r="CH2124" s="155"/>
      <c r="CI2124" s="156"/>
      <c r="CJ2124" s="157">
        <f t="shared" si="266"/>
        <v>0</v>
      </c>
      <c r="CK2124" s="158"/>
      <c r="CL2124" s="159"/>
      <c r="CM2124" s="160"/>
      <c r="CN2124" s="161"/>
      <c r="CO2124" s="162"/>
      <c r="CP2124" s="161"/>
      <c r="CQ2124" s="158"/>
      <c r="CR2124" s="159"/>
      <c r="CS2124" s="68"/>
      <c r="CT2124" s="163"/>
      <c r="EC2124" s="366" t="str">
        <f t="shared" si="267"/>
        <v>BOYACA_CHISCAS</v>
      </c>
      <c r="ED2124" s="367"/>
      <c r="EE2124" s="367"/>
      <c r="EF2124" s="368"/>
      <c r="EG2124" s="367"/>
      <c r="EH2124" s="367"/>
      <c r="EI2124" s="367"/>
    </row>
    <row r="2125" spans="1:139" s="164" customFormat="1" ht="45">
      <c r="A2125" s="228">
        <v>40526</v>
      </c>
      <c r="B2125" s="205" t="s">
        <v>1314</v>
      </c>
      <c r="C2125" s="205" t="s">
        <v>2638</v>
      </c>
      <c r="D2125" s="207" t="s">
        <v>1878</v>
      </c>
      <c r="E2125" s="323" t="s">
        <v>3610</v>
      </c>
      <c r="F2125" s="323"/>
      <c r="G2125" s="204"/>
      <c r="H2125" s="151"/>
      <c r="I2125" s="151"/>
      <c r="J2125" s="151">
        <v>85</v>
      </c>
      <c r="K2125" s="151">
        <v>17</v>
      </c>
      <c r="L2125" s="1"/>
      <c r="M2125" s="73">
        <f t="shared" si="264"/>
        <v>0</v>
      </c>
      <c r="N2125" s="73">
        <f t="shared" si="262"/>
        <v>0</v>
      </c>
      <c r="O2125" s="73">
        <f t="shared" si="263"/>
        <v>0</v>
      </c>
      <c r="P2125" s="73">
        <f t="shared" si="265"/>
        <v>0</v>
      </c>
      <c r="Q2125" s="73"/>
      <c r="R2125" s="73">
        <v>0</v>
      </c>
      <c r="S2125" s="75">
        <f t="shared" si="268"/>
        <v>0</v>
      </c>
      <c r="T2125" s="77">
        <v>0</v>
      </c>
      <c r="U2125" s="66"/>
      <c r="V2125" s="79"/>
      <c r="W2125" s="66" t="s">
        <v>1606</v>
      </c>
      <c r="X2125" s="264" t="s">
        <v>1607</v>
      </c>
      <c r="Y2125" s="62"/>
      <c r="Z2125" s="260" t="s">
        <v>18</v>
      </c>
      <c r="AA2125" s="166" t="s">
        <v>221</v>
      </c>
      <c r="AB2125" s="152"/>
      <c r="AC2125" s="153"/>
      <c r="AD2125" s="154"/>
      <c r="AE2125" s="153"/>
      <c r="AF2125" s="153"/>
      <c r="AG2125" s="153"/>
      <c r="AH2125" s="153"/>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c r="BI2125" s="153"/>
      <c r="BJ2125" s="153"/>
      <c r="BK2125" s="153"/>
      <c r="BL2125" s="153"/>
      <c r="BM2125" s="153"/>
      <c r="BN2125" s="153"/>
      <c r="BO2125" s="153"/>
      <c r="BP2125" s="153"/>
      <c r="BQ2125" s="153"/>
      <c r="BR2125" s="153"/>
      <c r="BS2125" s="153"/>
      <c r="BT2125" s="153"/>
      <c r="BU2125" s="153"/>
      <c r="BV2125" s="153"/>
      <c r="BW2125" s="153"/>
      <c r="BX2125" s="153"/>
      <c r="BY2125" s="153"/>
      <c r="BZ2125" s="153"/>
      <c r="CA2125" s="153"/>
      <c r="CB2125" s="153"/>
      <c r="CC2125" s="153"/>
      <c r="CD2125" s="155"/>
      <c r="CE2125" s="156"/>
      <c r="CF2125" s="155"/>
      <c r="CG2125" s="156"/>
      <c r="CH2125" s="155"/>
      <c r="CI2125" s="156"/>
      <c r="CJ2125" s="157">
        <f t="shared" si="266"/>
        <v>0</v>
      </c>
      <c r="CK2125" s="158"/>
      <c r="CL2125" s="159"/>
      <c r="CM2125" s="160"/>
      <c r="CN2125" s="161"/>
      <c r="CO2125" s="162"/>
      <c r="CP2125" s="161"/>
      <c r="CQ2125" s="158"/>
      <c r="CR2125" s="159"/>
      <c r="CS2125" s="68"/>
      <c r="CT2125" s="163"/>
      <c r="EC2125" s="366" t="str">
        <f t="shared" si="267"/>
        <v>CAUCA_PATIA</v>
      </c>
      <c r="ED2125" s="367"/>
      <c r="EE2125" s="367"/>
      <c r="EF2125" s="368"/>
      <c r="EG2125" s="367"/>
      <c r="EH2125" s="367"/>
      <c r="EI2125" s="367"/>
    </row>
    <row r="2126" spans="1:139" s="164" customFormat="1" ht="38.25">
      <c r="A2126" s="228">
        <v>40526</v>
      </c>
      <c r="B2126" s="205" t="s">
        <v>1604</v>
      </c>
      <c r="C2126" s="205" t="s">
        <v>949</v>
      </c>
      <c r="D2126" s="207" t="s">
        <v>1878</v>
      </c>
      <c r="E2126" s="323" t="s">
        <v>3744</v>
      </c>
      <c r="F2126" s="323"/>
      <c r="G2126" s="204"/>
      <c r="H2126" s="151"/>
      <c r="I2126" s="151"/>
      <c r="J2126" s="151">
        <v>20</v>
      </c>
      <c r="K2126" s="151">
        <v>4</v>
      </c>
      <c r="L2126" s="1"/>
      <c r="M2126" s="73">
        <f t="shared" si="264"/>
        <v>0</v>
      </c>
      <c r="N2126" s="73">
        <f t="shared" ref="N2126:N2189" si="269">CN2126</f>
        <v>0</v>
      </c>
      <c r="O2126" s="73">
        <f t="shared" si="263"/>
        <v>0</v>
      </c>
      <c r="P2126" s="73">
        <f t="shared" si="265"/>
        <v>0</v>
      </c>
      <c r="Q2126" s="73"/>
      <c r="R2126" s="73">
        <v>0</v>
      </c>
      <c r="S2126" s="75">
        <f t="shared" si="268"/>
        <v>0</v>
      </c>
      <c r="T2126" s="77">
        <v>0</v>
      </c>
      <c r="U2126" s="66">
        <v>40526</v>
      </c>
      <c r="V2126" s="79"/>
      <c r="W2126" s="66" t="s">
        <v>1585</v>
      </c>
      <c r="X2126" s="24" t="s">
        <v>1586</v>
      </c>
      <c r="Y2126" s="62"/>
      <c r="Z2126" s="169" t="s">
        <v>894</v>
      </c>
      <c r="AA2126" s="166" t="s">
        <v>11</v>
      </c>
      <c r="AB2126" s="152"/>
      <c r="AC2126" s="153"/>
      <c r="AD2126" s="154"/>
      <c r="AE2126" s="153"/>
      <c r="AF2126" s="153"/>
      <c r="AG2126" s="153"/>
      <c r="AH2126" s="153"/>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c r="BI2126" s="153"/>
      <c r="BJ2126" s="153"/>
      <c r="BK2126" s="153"/>
      <c r="BL2126" s="153"/>
      <c r="BM2126" s="153"/>
      <c r="BN2126" s="153"/>
      <c r="BO2126" s="153"/>
      <c r="BP2126" s="153"/>
      <c r="BQ2126" s="153"/>
      <c r="BR2126" s="153"/>
      <c r="BS2126" s="153"/>
      <c r="BT2126" s="153"/>
      <c r="BU2126" s="153"/>
      <c r="BV2126" s="153"/>
      <c r="BW2126" s="153"/>
      <c r="BX2126" s="153"/>
      <c r="BY2126" s="153"/>
      <c r="BZ2126" s="153"/>
      <c r="CA2126" s="153"/>
      <c r="CB2126" s="153"/>
      <c r="CC2126" s="153"/>
      <c r="CD2126" s="155"/>
      <c r="CE2126" s="156"/>
      <c r="CF2126" s="155"/>
      <c r="CG2126" s="156"/>
      <c r="CH2126" s="155"/>
      <c r="CI2126" s="156"/>
      <c r="CJ2126" s="157">
        <f t="shared" si="266"/>
        <v>0</v>
      </c>
      <c r="CK2126" s="158"/>
      <c r="CL2126" s="159"/>
      <c r="CM2126" s="160"/>
      <c r="CN2126" s="161"/>
      <c r="CO2126" s="162"/>
      <c r="CP2126" s="161"/>
      <c r="CQ2126" s="158"/>
      <c r="CR2126" s="159"/>
      <c r="CS2126" s="68"/>
      <c r="CT2126" s="163"/>
      <c r="EC2126" s="366" t="str">
        <f t="shared" si="267"/>
        <v>CUNDINAMARCA_PANDI</v>
      </c>
      <c r="ED2126" s="367"/>
      <c r="EE2126" s="367"/>
      <c r="EF2126" s="368"/>
      <c r="EG2126" s="367"/>
      <c r="EH2126" s="367"/>
      <c r="EI2126" s="367"/>
    </row>
    <row r="2127" spans="1:139" s="164" customFormat="1" ht="38.25">
      <c r="A2127" s="228">
        <v>40526</v>
      </c>
      <c r="B2127" s="205" t="s">
        <v>1604</v>
      </c>
      <c r="C2127" s="205" t="s">
        <v>2943</v>
      </c>
      <c r="D2127" s="207" t="s">
        <v>1878</v>
      </c>
      <c r="E2127" s="323" t="s">
        <v>3762</v>
      </c>
      <c r="F2127" s="323"/>
      <c r="G2127" s="204"/>
      <c r="H2127" s="151"/>
      <c r="I2127" s="151"/>
      <c r="J2127" s="151">
        <v>242</v>
      </c>
      <c r="K2127" s="151">
        <v>57</v>
      </c>
      <c r="L2127" s="1"/>
      <c r="M2127" s="73">
        <f t="shared" si="264"/>
        <v>0</v>
      </c>
      <c r="N2127" s="73">
        <f t="shared" si="269"/>
        <v>0</v>
      </c>
      <c r="O2127" s="73">
        <f t="shared" si="263"/>
        <v>0</v>
      </c>
      <c r="P2127" s="73">
        <f t="shared" si="265"/>
        <v>0</v>
      </c>
      <c r="Q2127" s="73"/>
      <c r="R2127" s="73">
        <v>0</v>
      </c>
      <c r="S2127" s="75">
        <f t="shared" si="268"/>
        <v>0</v>
      </c>
      <c r="T2127" s="77">
        <v>0</v>
      </c>
      <c r="U2127" s="66">
        <v>40526</v>
      </c>
      <c r="V2127" s="79"/>
      <c r="W2127" s="66" t="s">
        <v>1585</v>
      </c>
      <c r="X2127" s="24" t="s">
        <v>1586</v>
      </c>
      <c r="Y2127" s="62"/>
      <c r="Z2127" s="169" t="s">
        <v>894</v>
      </c>
      <c r="AA2127" s="166" t="s">
        <v>10</v>
      </c>
      <c r="AB2127" s="152"/>
      <c r="AC2127" s="153"/>
      <c r="AD2127" s="154"/>
      <c r="AE2127" s="153"/>
      <c r="AF2127" s="153"/>
      <c r="AG2127" s="153"/>
      <c r="AH2127" s="153"/>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c r="BI2127" s="153"/>
      <c r="BJ2127" s="153"/>
      <c r="BK2127" s="153"/>
      <c r="BL2127" s="153"/>
      <c r="BM2127" s="153"/>
      <c r="BN2127" s="153"/>
      <c r="BO2127" s="153"/>
      <c r="BP2127" s="153"/>
      <c r="BQ2127" s="153"/>
      <c r="BR2127" s="153"/>
      <c r="BS2127" s="153"/>
      <c r="BT2127" s="153"/>
      <c r="BU2127" s="153"/>
      <c r="BV2127" s="153"/>
      <c r="BW2127" s="153"/>
      <c r="BX2127" s="153"/>
      <c r="BY2127" s="153"/>
      <c r="BZ2127" s="153"/>
      <c r="CA2127" s="153"/>
      <c r="CB2127" s="153"/>
      <c r="CC2127" s="153"/>
      <c r="CD2127" s="155"/>
      <c r="CE2127" s="156"/>
      <c r="CF2127" s="155"/>
      <c r="CG2127" s="156"/>
      <c r="CH2127" s="155"/>
      <c r="CI2127" s="156"/>
      <c r="CJ2127" s="157">
        <f t="shared" si="266"/>
        <v>0</v>
      </c>
      <c r="CK2127" s="158"/>
      <c r="CL2127" s="159"/>
      <c r="CM2127" s="160"/>
      <c r="CN2127" s="161"/>
      <c r="CO2127" s="162"/>
      <c r="CP2127" s="161"/>
      <c r="CQ2127" s="158"/>
      <c r="CR2127" s="159"/>
      <c r="CS2127" s="68"/>
      <c r="CT2127" s="163"/>
      <c r="EC2127" s="366" t="str">
        <f t="shared" si="267"/>
        <v>CUNDINAMARCA_SILVANIA</v>
      </c>
      <c r="ED2127" s="367"/>
      <c r="EE2127" s="367"/>
      <c r="EF2127" s="368"/>
      <c r="EG2127" s="367"/>
      <c r="EH2127" s="367"/>
      <c r="EI2127" s="367"/>
    </row>
    <row r="2128" spans="1:139" s="164" customFormat="1" ht="36">
      <c r="A2128" s="228">
        <v>40526</v>
      </c>
      <c r="B2128" s="205" t="s">
        <v>1612</v>
      </c>
      <c r="C2128" s="205" t="s">
        <v>1295</v>
      </c>
      <c r="D2128" s="207" t="s">
        <v>1201</v>
      </c>
      <c r="E2128" s="323" t="s">
        <v>4042</v>
      </c>
      <c r="F2128" s="323"/>
      <c r="G2128" s="204"/>
      <c r="H2128" s="151"/>
      <c r="I2128" s="151"/>
      <c r="J2128" s="151">
        <v>12</v>
      </c>
      <c r="K2128" s="151">
        <v>6</v>
      </c>
      <c r="L2128" s="1"/>
      <c r="M2128" s="73">
        <f t="shared" si="264"/>
        <v>0</v>
      </c>
      <c r="N2128" s="73">
        <f t="shared" si="269"/>
        <v>0</v>
      </c>
      <c r="O2128" s="73">
        <f t="shared" si="263"/>
        <v>0</v>
      </c>
      <c r="P2128" s="73">
        <f t="shared" si="265"/>
        <v>0</v>
      </c>
      <c r="Q2128" s="73"/>
      <c r="R2128" s="73">
        <v>0</v>
      </c>
      <c r="S2128" s="75">
        <f t="shared" si="268"/>
        <v>0</v>
      </c>
      <c r="T2128" s="77">
        <v>0</v>
      </c>
      <c r="U2128" s="66">
        <v>40527</v>
      </c>
      <c r="V2128" s="79"/>
      <c r="W2128" s="66" t="s">
        <v>1585</v>
      </c>
      <c r="X2128" s="24" t="s">
        <v>1586</v>
      </c>
      <c r="Y2128" s="62"/>
      <c r="Z2128" s="169" t="s">
        <v>894</v>
      </c>
      <c r="AA2128" s="166" t="s">
        <v>210</v>
      </c>
      <c r="AB2128" s="152"/>
      <c r="AC2128" s="153"/>
      <c r="AD2128" s="154"/>
      <c r="AE2128" s="153"/>
      <c r="AF2128" s="153"/>
      <c r="AG2128" s="153"/>
      <c r="AH2128" s="153"/>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c r="BI2128" s="153"/>
      <c r="BJ2128" s="153"/>
      <c r="BK2128" s="153"/>
      <c r="BL2128" s="153"/>
      <c r="BM2128" s="153"/>
      <c r="BN2128" s="153"/>
      <c r="BO2128" s="153"/>
      <c r="BP2128" s="153"/>
      <c r="BQ2128" s="153"/>
      <c r="BR2128" s="153"/>
      <c r="BS2128" s="153"/>
      <c r="BT2128" s="153"/>
      <c r="BU2128" s="153"/>
      <c r="BV2128" s="153"/>
      <c r="BW2128" s="153"/>
      <c r="BX2128" s="153"/>
      <c r="BY2128" s="153"/>
      <c r="BZ2128" s="153"/>
      <c r="CA2128" s="153"/>
      <c r="CB2128" s="153"/>
      <c r="CC2128" s="153"/>
      <c r="CD2128" s="155"/>
      <c r="CE2128" s="156"/>
      <c r="CF2128" s="155"/>
      <c r="CG2128" s="156"/>
      <c r="CH2128" s="155"/>
      <c r="CI2128" s="156"/>
      <c r="CJ2128" s="157">
        <f t="shared" si="266"/>
        <v>0</v>
      </c>
      <c r="CK2128" s="158"/>
      <c r="CL2128" s="159"/>
      <c r="CM2128" s="160"/>
      <c r="CN2128" s="161"/>
      <c r="CO2128" s="162"/>
      <c r="CP2128" s="161"/>
      <c r="CQ2128" s="158"/>
      <c r="CR2128" s="159"/>
      <c r="CS2128" s="68"/>
      <c r="CT2128" s="163"/>
      <c r="EC2128" s="366" t="str">
        <f t="shared" si="267"/>
        <v>QUINDIO_CORDOBA</v>
      </c>
      <c r="ED2128" s="367"/>
      <c r="EE2128" s="367"/>
      <c r="EF2128" s="368"/>
      <c r="EG2128" s="367"/>
      <c r="EH2128" s="367"/>
      <c r="EI2128" s="367"/>
    </row>
    <row r="2129" spans="1:139" s="164" customFormat="1" ht="25.5">
      <c r="A2129" s="228">
        <v>40526</v>
      </c>
      <c r="B2129" s="205" t="s">
        <v>1943</v>
      </c>
      <c r="C2129" s="205" t="s">
        <v>394</v>
      </c>
      <c r="D2129" s="207" t="s">
        <v>1201</v>
      </c>
      <c r="E2129" s="323" t="s">
        <v>4155</v>
      </c>
      <c r="F2129" s="323"/>
      <c r="G2129" s="204"/>
      <c r="H2129" s="151"/>
      <c r="I2129" s="151"/>
      <c r="J2129" s="151">
        <v>2100</v>
      </c>
      <c r="K2129" s="151">
        <v>600</v>
      </c>
      <c r="L2129" s="1"/>
      <c r="M2129" s="73">
        <f t="shared" si="264"/>
        <v>0</v>
      </c>
      <c r="N2129" s="73">
        <f t="shared" si="269"/>
        <v>0</v>
      </c>
      <c r="O2129" s="73">
        <f t="shared" si="263"/>
        <v>0</v>
      </c>
      <c r="P2129" s="73">
        <f t="shared" si="265"/>
        <v>0</v>
      </c>
      <c r="Q2129" s="73"/>
      <c r="R2129" s="73">
        <v>0</v>
      </c>
      <c r="S2129" s="75">
        <f t="shared" si="268"/>
        <v>0</v>
      </c>
      <c r="T2129" s="77">
        <v>0</v>
      </c>
      <c r="U2129" s="66">
        <v>40527</v>
      </c>
      <c r="V2129" s="79"/>
      <c r="W2129" s="66" t="s">
        <v>1585</v>
      </c>
      <c r="X2129" s="24" t="s">
        <v>1586</v>
      </c>
      <c r="Y2129" s="62"/>
      <c r="Z2129" s="169" t="s">
        <v>894</v>
      </c>
      <c r="AA2129" s="166" t="s">
        <v>217</v>
      </c>
      <c r="AB2129" s="152"/>
      <c r="AC2129" s="153"/>
      <c r="AD2129" s="154"/>
      <c r="AE2129" s="153"/>
      <c r="AF2129" s="153"/>
      <c r="AG2129" s="153"/>
      <c r="AH2129" s="153"/>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c r="BI2129" s="153"/>
      <c r="BJ2129" s="153"/>
      <c r="BK2129" s="153"/>
      <c r="BL2129" s="153"/>
      <c r="BM2129" s="153"/>
      <c r="BN2129" s="153"/>
      <c r="BO2129" s="153"/>
      <c r="BP2129" s="153"/>
      <c r="BQ2129" s="153"/>
      <c r="BR2129" s="153"/>
      <c r="BS2129" s="153"/>
      <c r="BT2129" s="153"/>
      <c r="BU2129" s="153"/>
      <c r="BV2129" s="153"/>
      <c r="BW2129" s="153"/>
      <c r="BX2129" s="153"/>
      <c r="BY2129" s="153"/>
      <c r="BZ2129" s="153"/>
      <c r="CA2129" s="153"/>
      <c r="CB2129" s="153"/>
      <c r="CC2129" s="153"/>
      <c r="CD2129" s="155"/>
      <c r="CE2129" s="156"/>
      <c r="CF2129" s="155"/>
      <c r="CG2129" s="156"/>
      <c r="CH2129" s="155"/>
      <c r="CI2129" s="156"/>
      <c r="CJ2129" s="157">
        <f t="shared" si="266"/>
        <v>0</v>
      </c>
      <c r="CK2129" s="158"/>
      <c r="CL2129" s="159"/>
      <c r="CM2129" s="160"/>
      <c r="CN2129" s="161"/>
      <c r="CO2129" s="162"/>
      <c r="CP2129" s="161"/>
      <c r="CQ2129" s="158"/>
      <c r="CR2129" s="159"/>
      <c r="CS2129" s="68"/>
      <c r="CT2129" s="163"/>
      <c r="EC2129" s="366" t="str">
        <f t="shared" si="267"/>
        <v>SUCRE_COROZAL</v>
      </c>
      <c r="ED2129" s="367"/>
      <c r="EE2129" s="367"/>
      <c r="EF2129" s="368"/>
      <c r="EG2129" s="367"/>
      <c r="EH2129" s="367"/>
      <c r="EI2129" s="367"/>
    </row>
    <row r="2130" spans="1:139" s="164" customFormat="1" ht="51">
      <c r="A2130" s="228">
        <v>40526</v>
      </c>
      <c r="B2130" s="205" t="s">
        <v>1088</v>
      </c>
      <c r="C2130" s="205" t="s">
        <v>1544</v>
      </c>
      <c r="D2130" s="207" t="s">
        <v>1878</v>
      </c>
      <c r="E2130" s="323" t="s">
        <v>4230</v>
      </c>
      <c r="F2130" s="323"/>
      <c r="G2130" s="204"/>
      <c r="H2130" s="151"/>
      <c r="I2130" s="151"/>
      <c r="J2130" s="151">
        <f>1618*5</f>
        <v>8090</v>
      </c>
      <c r="K2130" s="151">
        <v>1618</v>
      </c>
      <c r="L2130" s="1"/>
      <c r="M2130" s="73">
        <f t="shared" si="264"/>
        <v>0</v>
      </c>
      <c r="N2130" s="73">
        <f t="shared" si="269"/>
        <v>0</v>
      </c>
      <c r="O2130" s="73">
        <f t="shared" si="263"/>
        <v>0</v>
      </c>
      <c r="P2130" s="73">
        <f t="shared" si="265"/>
        <v>0</v>
      </c>
      <c r="Q2130" s="73"/>
      <c r="R2130" s="73">
        <v>0</v>
      </c>
      <c r="S2130" s="75">
        <f t="shared" si="268"/>
        <v>0</v>
      </c>
      <c r="T2130" s="77">
        <v>0</v>
      </c>
      <c r="U2130" s="66"/>
      <c r="V2130" s="79"/>
      <c r="W2130" s="66" t="s">
        <v>1606</v>
      </c>
      <c r="X2130" s="264" t="s">
        <v>1607</v>
      </c>
      <c r="Y2130" s="62"/>
      <c r="Z2130" s="260" t="s">
        <v>18</v>
      </c>
      <c r="AA2130" s="166" t="s">
        <v>531</v>
      </c>
      <c r="AB2130" s="242"/>
      <c r="AC2130" s="153"/>
      <c r="AD2130" s="154"/>
      <c r="AE2130" s="153"/>
      <c r="AF2130" s="153"/>
      <c r="AG2130" s="153"/>
      <c r="AH2130" s="153"/>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c r="BI2130" s="153"/>
      <c r="BJ2130" s="153"/>
      <c r="BK2130" s="153"/>
      <c r="BL2130" s="153"/>
      <c r="BM2130" s="153"/>
      <c r="BN2130" s="153"/>
      <c r="BO2130" s="153"/>
      <c r="BP2130" s="153"/>
      <c r="BQ2130" s="153"/>
      <c r="BR2130" s="153"/>
      <c r="BS2130" s="153"/>
      <c r="BT2130" s="153"/>
      <c r="BU2130" s="153"/>
      <c r="BV2130" s="153"/>
      <c r="BW2130" s="153"/>
      <c r="BX2130" s="153"/>
      <c r="BY2130" s="153"/>
      <c r="BZ2130" s="153"/>
      <c r="CA2130" s="153"/>
      <c r="CB2130" s="153"/>
      <c r="CC2130" s="153"/>
      <c r="CD2130" s="155"/>
      <c r="CE2130" s="156"/>
      <c r="CF2130" s="155"/>
      <c r="CG2130" s="156"/>
      <c r="CH2130" s="155"/>
      <c r="CI2130" s="156"/>
      <c r="CJ2130" s="157">
        <f t="shared" si="266"/>
        <v>0</v>
      </c>
      <c r="CK2130" s="158"/>
      <c r="CL2130" s="159"/>
      <c r="CM2130" s="160"/>
      <c r="CN2130" s="161"/>
      <c r="CO2130" s="162"/>
      <c r="CP2130" s="161"/>
      <c r="CQ2130" s="158"/>
      <c r="CR2130" s="159"/>
      <c r="CS2130" s="68"/>
      <c r="CT2130" s="163"/>
      <c r="EC2130" s="366" t="str">
        <f t="shared" si="267"/>
        <v>VALLE DEL CAUCA_BUENAVENTURA</v>
      </c>
      <c r="ED2130" s="367"/>
      <c r="EE2130" s="367"/>
      <c r="EF2130" s="368"/>
      <c r="EG2130" s="367"/>
      <c r="EH2130" s="367"/>
      <c r="EI2130" s="367"/>
    </row>
    <row r="2131" spans="1:139" s="164" customFormat="1" ht="36">
      <c r="A2131" s="228">
        <v>40527</v>
      </c>
      <c r="B2131" s="205" t="s">
        <v>607</v>
      </c>
      <c r="C2131" s="205" t="s">
        <v>608</v>
      </c>
      <c r="D2131" s="207" t="s">
        <v>2606</v>
      </c>
      <c r="E2131" s="323" t="s">
        <v>4307</v>
      </c>
      <c r="F2131" s="323"/>
      <c r="G2131" s="204"/>
      <c r="H2131" s="151"/>
      <c r="I2131" s="151"/>
      <c r="J2131" s="151">
        <v>21</v>
      </c>
      <c r="K2131" s="151">
        <v>4</v>
      </c>
      <c r="L2131" s="1"/>
      <c r="M2131" s="73">
        <f t="shared" si="264"/>
        <v>0</v>
      </c>
      <c r="N2131" s="73">
        <f t="shared" si="269"/>
        <v>0</v>
      </c>
      <c r="O2131" s="73">
        <f t="shared" si="263"/>
        <v>0</v>
      </c>
      <c r="P2131" s="73">
        <f t="shared" si="265"/>
        <v>0</v>
      </c>
      <c r="Q2131" s="73"/>
      <c r="R2131" s="73">
        <v>0</v>
      </c>
      <c r="S2131" s="75">
        <f t="shared" si="268"/>
        <v>0</v>
      </c>
      <c r="T2131" s="77">
        <v>0</v>
      </c>
      <c r="U2131" s="66">
        <v>40527</v>
      </c>
      <c r="V2131" s="79"/>
      <c r="W2131" s="66" t="s">
        <v>1585</v>
      </c>
      <c r="X2131" s="24" t="s">
        <v>1586</v>
      </c>
      <c r="Y2131" s="62"/>
      <c r="Z2131" s="169" t="s">
        <v>894</v>
      </c>
      <c r="AA2131" s="166" t="s">
        <v>530</v>
      </c>
      <c r="AB2131" s="152"/>
      <c r="AC2131" s="153"/>
      <c r="AD2131" s="154"/>
      <c r="AE2131" s="153"/>
      <c r="AF2131" s="153"/>
      <c r="AG2131" s="153"/>
      <c r="AH2131" s="153"/>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c r="BI2131" s="153"/>
      <c r="BJ2131" s="153"/>
      <c r="BK2131" s="153"/>
      <c r="BL2131" s="153"/>
      <c r="BM2131" s="153"/>
      <c r="BN2131" s="153"/>
      <c r="BO2131" s="153"/>
      <c r="BP2131" s="153"/>
      <c r="BQ2131" s="153"/>
      <c r="BR2131" s="153"/>
      <c r="BS2131" s="153"/>
      <c r="BT2131" s="153"/>
      <c r="BU2131" s="153"/>
      <c r="BV2131" s="153"/>
      <c r="BW2131" s="153"/>
      <c r="BX2131" s="153"/>
      <c r="BY2131" s="153"/>
      <c r="BZ2131" s="153"/>
      <c r="CA2131" s="153"/>
      <c r="CB2131" s="153"/>
      <c r="CC2131" s="153"/>
      <c r="CD2131" s="155"/>
      <c r="CE2131" s="156"/>
      <c r="CF2131" s="155"/>
      <c r="CG2131" s="156"/>
      <c r="CH2131" s="155"/>
      <c r="CI2131" s="156"/>
      <c r="CJ2131" s="157">
        <f t="shared" si="266"/>
        <v>0</v>
      </c>
      <c r="CK2131" s="158"/>
      <c r="CL2131" s="159"/>
      <c r="CM2131" s="160"/>
      <c r="CN2131" s="161"/>
      <c r="CO2131" s="162"/>
      <c r="CP2131" s="161"/>
      <c r="CQ2131" s="158"/>
      <c r="CR2131" s="159"/>
      <c r="CS2131" s="68"/>
      <c r="CT2131" s="163"/>
      <c r="EC2131" s="366" t="str">
        <f t="shared" si="267"/>
        <v>AMAZONAS_LETICIA</v>
      </c>
      <c r="ED2131" s="367"/>
      <c r="EE2131" s="367"/>
      <c r="EF2131" s="368"/>
      <c r="EG2131" s="367"/>
      <c r="EH2131" s="367"/>
      <c r="EI2131" s="367"/>
    </row>
    <row r="2132" spans="1:139" s="164" customFormat="1" ht="38.25">
      <c r="A2132" s="235">
        <v>40527</v>
      </c>
      <c r="B2132" s="269" t="s">
        <v>1972</v>
      </c>
      <c r="C2132" s="269" t="s">
        <v>108</v>
      </c>
      <c r="D2132" s="270" t="s">
        <v>1201</v>
      </c>
      <c r="E2132" s="327" t="s">
        <v>3228</v>
      </c>
      <c r="F2132" s="327"/>
      <c r="G2132" s="204"/>
      <c r="H2132" s="151"/>
      <c r="I2132" s="151"/>
      <c r="J2132" s="151">
        <v>342</v>
      </c>
      <c r="K2132" s="151">
        <v>153</v>
      </c>
      <c r="L2132" s="1"/>
      <c r="M2132" s="73">
        <f t="shared" si="264"/>
        <v>0</v>
      </c>
      <c r="N2132" s="73">
        <f t="shared" si="269"/>
        <v>0</v>
      </c>
      <c r="O2132" s="73">
        <f t="shared" si="263"/>
        <v>0</v>
      </c>
      <c r="P2132" s="73">
        <f t="shared" si="265"/>
        <v>0</v>
      </c>
      <c r="Q2132" s="73"/>
      <c r="R2132" s="73">
        <v>0</v>
      </c>
      <c r="S2132" s="75">
        <f t="shared" si="268"/>
        <v>0</v>
      </c>
      <c r="T2132" s="77">
        <v>0</v>
      </c>
      <c r="U2132" s="66">
        <v>40596</v>
      </c>
      <c r="V2132" s="79"/>
      <c r="W2132" s="66" t="s">
        <v>1585</v>
      </c>
      <c r="X2132" s="24" t="s">
        <v>1586</v>
      </c>
      <c r="Y2132" s="62"/>
      <c r="Z2132" s="169" t="s">
        <v>894</v>
      </c>
      <c r="AA2132" s="166" t="s">
        <v>139</v>
      </c>
      <c r="AB2132" s="152"/>
      <c r="AC2132" s="153"/>
      <c r="AD2132" s="154"/>
      <c r="AE2132" s="153"/>
      <c r="AF2132" s="153"/>
      <c r="AG2132" s="153"/>
      <c r="AH2132" s="153"/>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c r="BI2132" s="153"/>
      <c r="BJ2132" s="153"/>
      <c r="BK2132" s="153"/>
      <c r="BL2132" s="153"/>
      <c r="BM2132" s="153"/>
      <c r="BN2132" s="153"/>
      <c r="BO2132" s="153"/>
      <c r="BP2132" s="153"/>
      <c r="BQ2132" s="153"/>
      <c r="BR2132" s="153"/>
      <c r="BS2132" s="153"/>
      <c r="BT2132" s="153"/>
      <c r="BU2132" s="153"/>
      <c r="BV2132" s="153"/>
      <c r="BW2132" s="153"/>
      <c r="BX2132" s="153"/>
      <c r="BY2132" s="153"/>
      <c r="BZ2132" s="153"/>
      <c r="CA2132" s="153"/>
      <c r="CB2132" s="153"/>
      <c r="CC2132" s="153"/>
      <c r="CD2132" s="155"/>
      <c r="CE2132" s="156"/>
      <c r="CF2132" s="155"/>
      <c r="CG2132" s="156"/>
      <c r="CH2132" s="155"/>
      <c r="CI2132" s="156"/>
      <c r="CJ2132" s="157">
        <f t="shared" si="266"/>
        <v>0</v>
      </c>
      <c r="CK2132" s="158"/>
      <c r="CL2132" s="159"/>
      <c r="CM2132" s="160"/>
      <c r="CN2132" s="161"/>
      <c r="CO2132" s="162"/>
      <c r="CP2132" s="161"/>
      <c r="CQ2132" s="158"/>
      <c r="CR2132" s="159"/>
      <c r="CS2132" s="68"/>
      <c r="CT2132" s="163"/>
      <c r="EC2132" s="366" t="str">
        <f t="shared" si="267"/>
        <v>ANTIOQUIA_ABEJORRAL</v>
      </c>
      <c r="ED2132" s="367"/>
      <c r="EE2132" s="367"/>
      <c r="EF2132" s="368"/>
      <c r="EG2132" s="367"/>
      <c r="EH2132" s="367"/>
      <c r="EI2132" s="367"/>
    </row>
    <row r="2133" spans="1:139" s="164" customFormat="1" ht="38.25">
      <c r="A2133" s="235">
        <v>40527</v>
      </c>
      <c r="B2133" s="269" t="s">
        <v>1972</v>
      </c>
      <c r="C2133" s="269" t="s">
        <v>109</v>
      </c>
      <c r="D2133" s="270" t="s">
        <v>1878</v>
      </c>
      <c r="E2133" s="327" t="s">
        <v>3234</v>
      </c>
      <c r="F2133" s="327"/>
      <c r="G2133" s="204"/>
      <c r="H2133" s="151"/>
      <c r="I2133" s="151"/>
      <c r="J2133" s="151">
        <v>109</v>
      </c>
      <c r="K2133" s="151">
        <v>35</v>
      </c>
      <c r="L2133" s="1"/>
      <c r="M2133" s="73">
        <f t="shared" si="264"/>
        <v>0</v>
      </c>
      <c r="N2133" s="73">
        <f t="shared" si="269"/>
        <v>0</v>
      </c>
      <c r="O2133" s="73">
        <f t="shared" si="263"/>
        <v>0</v>
      </c>
      <c r="P2133" s="73">
        <f t="shared" si="265"/>
        <v>0</v>
      </c>
      <c r="Q2133" s="73"/>
      <c r="R2133" s="73">
        <v>0</v>
      </c>
      <c r="S2133" s="75">
        <f t="shared" si="268"/>
        <v>0</v>
      </c>
      <c r="T2133" s="77">
        <v>0</v>
      </c>
      <c r="U2133" s="66">
        <v>40596</v>
      </c>
      <c r="V2133" s="79"/>
      <c r="W2133" s="66" t="s">
        <v>1585</v>
      </c>
      <c r="X2133" s="24" t="s">
        <v>1586</v>
      </c>
      <c r="Y2133" s="62"/>
      <c r="Z2133" s="169" t="s">
        <v>894</v>
      </c>
      <c r="AA2133" s="166" t="s">
        <v>139</v>
      </c>
      <c r="AB2133" s="152"/>
      <c r="AC2133" s="153"/>
      <c r="AD2133" s="154"/>
      <c r="AE2133" s="153"/>
      <c r="AF2133" s="153"/>
      <c r="AG2133" s="153"/>
      <c r="AH2133" s="153"/>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c r="BI2133" s="153"/>
      <c r="BJ2133" s="153"/>
      <c r="BK2133" s="153"/>
      <c r="BL2133" s="153"/>
      <c r="BM2133" s="153"/>
      <c r="BN2133" s="153"/>
      <c r="BO2133" s="153"/>
      <c r="BP2133" s="153"/>
      <c r="BQ2133" s="153"/>
      <c r="BR2133" s="153"/>
      <c r="BS2133" s="153"/>
      <c r="BT2133" s="153"/>
      <c r="BU2133" s="153"/>
      <c r="BV2133" s="153"/>
      <c r="BW2133" s="153"/>
      <c r="BX2133" s="153"/>
      <c r="BY2133" s="153"/>
      <c r="BZ2133" s="153"/>
      <c r="CA2133" s="153"/>
      <c r="CB2133" s="153"/>
      <c r="CC2133" s="153"/>
      <c r="CD2133" s="155"/>
      <c r="CE2133" s="156"/>
      <c r="CF2133" s="155"/>
      <c r="CG2133" s="156"/>
      <c r="CH2133" s="155"/>
      <c r="CI2133" s="156"/>
      <c r="CJ2133" s="157">
        <f t="shared" si="266"/>
        <v>0</v>
      </c>
      <c r="CK2133" s="158"/>
      <c r="CL2133" s="159"/>
      <c r="CM2133" s="160"/>
      <c r="CN2133" s="161"/>
      <c r="CO2133" s="162"/>
      <c r="CP2133" s="161"/>
      <c r="CQ2133" s="158"/>
      <c r="CR2133" s="159"/>
      <c r="CS2133" s="68"/>
      <c r="CT2133" s="163"/>
      <c r="EC2133" s="366" t="str">
        <f t="shared" si="267"/>
        <v>ANTIOQUIA_ANGELOPOLIS</v>
      </c>
      <c r="ED2133" s="367"/>
      <c r="EE2133" s="367"/>
      <c r="EF2133" s="368"/>
      <c r="EG2133" s="367"/>
      <c r="EH2133" s="367"/>
      <c r="EI2133" s="367"/>
    </row>
    <row r="2134" spans="1:139" s="164" customFormat="1" ht="25.5">
      <c r="A2134" s="235">
        <v>40527</v>
      </c>
      <c r="B2134" s="269" t="s">
        <v>1972</v>
      </c>
      <c r="C2134" s="269" t="s">
        <v>110</v>
      </c>
      <c r="D2134" s="270" t="s">
        <v>1201</v>
      </c>
      <c r="E2134" s="327" t="s">
        <v>3238</v>
      </c>
      <c r="F2134" s="327"/>
      <c r="G2134" s="204"/>
      <c r="H2134" s="151"/>
      <c r="I2134" s="151"/>
      <c r="J2134" s="151">
        <v>277</v>
      </c>
      <c r="K2134" s="151">
        <v>65</v>
      </c>
      <c r="L2134" s="1"/>
      <c r="M2134" s="73">
        <f t="shared" si="264"/>
        <v>0</v>
      </c>
      <c r="N2134" s="73">
        <f t="shared" si="269"/>
        <v>0</v>
      </c>
      <c r="O2134" s="73">
        <f t="shared" si="263"/>
        <v>0</v>
      </c>
      <c r="P2134" s="73">
        <f t="shared" si="265"/>
        <v>0</v>
      </c>
      <c r="Q2134" s="73"/>
      <c r="R2134" s="73">
        <v>0</v>
      </c>
      <c r="S2134" s="75">
        <f t="shared" si="268"/>
        <v>0</v>
      </c>
      <c r="T2134" s="77">
        <v>0</v>
      </c>
      <c r="U2134" s="66">
        <v>40596</v>
      </c>
      <c r="V2134" s="79"/>
      <c r="W2134" s="66" t="s">
        <v>1585</v>
      </c>
      <c r="X2134" s="24" t="s">
        <v>1586</v>
      </c>
      <c r="Y2134" s="62"/>
      <c r="Z2134" s="169" t="s">
        <v>894</v>
      </c>
      <c r="AA2134" s="166" t="s">
        <v>139</v>
      </c>
      <c r="AB2134" s="152"/>
      <c r="AC2134" s="153"/>
      <c r="AD2134" s="154"/>
      <c r="AE2134" s="153"/>
      <c r="AF2134" s="153"/>
      <c r="AG2134" s="153"/>
      <c r="AH2134" s="153"/>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c r="BI2134" s="153"/>
      <c r="BJ2134" s="153"/>
      <c r="BK2134" s="153"/>
      <c r="BL2134" s="153"/>
      <c r="BM2134" s="153"/>
      <c r="BN2134" s="153"/>
      <c r="BO2134" s="153"/>
      <c r="BP2134" s="153"/>
      <c r="BQ2134" s="153"/>
      <c r="BR2134" s="153"/>
      <c r="BS2134" s="153"/>
      <c r="BT2134" s="153"/>
      <c r="BU2134" s="153"/>
      <c r="BV2134" s="153"/>
      <c r="BW2134" s="153"/>
      <c r="BX2134" s="153"/>
      <c r="BY2134" s="153"/>
      <c r="BZ2134" s="153"/>
      <c r="CA2134" s="153"/>
      <c r="CB2134" s="153"/>
      <c r="CC2134" s="153"/>
      <c r="CD2134" s="155"/>
      <c r="CE2134" s="156"/>
      <c r="CF2134" s="155"/>
      <c r="CG2134" s="156"/>
      <c r="CH2134" s="155"/>
      <c r="CI2134" s="156"/>
      <c r="CJ2134" s="157">
        <f t="shared" si="266"/>
        <v>0</v>
      </c>
      <c r="CK2134" s="158"/>
      <c r="CL2134" s="159"/>
      <c r="CM2134" s="160"/>
      <c r="CN2134" s="161"/>
      <c r="CO2134" s="162"/>
      <c r="CP2134" s="161"/>
      <c r="CQ2134" s="158"/>
      <c r="CR2134" s="159"/>
      <c r="CS2134" s="68"/>
      <c r="CT2134" s="163"/>
      <c r="EC2134" s="366" t="str">
        <f t="shared" si="267"/>
        <v>ANTIOQUIA_ANZA</v>
      </c>
      <c r="ED2134" s="367"/>
      <c r="EE2134" s="367"/>
      <c r="EF2134" s="368"/>
      <c r="EG2134" s="367"/>
      <c r="EH2134" s="367"/>
      <c r="EI2134" s="367"/>
    </row>
    <row r="2135" spans="1:139" s="164" customFormat="1" ht="25.5">
      <c r="A2135" s="235">
        <v>40527</v>
      </c>
      <c r="B2135" s="269" t="s">
        <v>1972</v>
      </c>
      <c r="C2135" s="269" t="s">
        <v>2003</v>
      </c>
      <c r="D2135" s="270" t="s">
        <v>1201</v>
      </c>
      <c r="E2135" s="327" t="s">
        <v>3241</v>
      </c>
      <c r="F2135" s="327"/>
      <c r="G2135" s="204"/>
      <c r="H2135" s="151"/>
      <c r="I2135" s="151"/>
      <c r="J2135" s="151">
        <v>89</v>
      </c>
      <c r="K2135" s="151">
        <v>26</v>
      </c>
      <c r="L2135" s="1"/>
      <c r="M2135" s="73">
        <f t="shared" si="264"/>
        <v>0</v>
      </c>
      <c r="N2135" s="73">
        <f t="shared" si="269"/>
        <v>0</v>
      </c>
      <c r="O2135" s="73">
        <f t="shared" si="263"/>
        <v>0</v>
      </c>
      <c r="P2135" s="73">
        <f t="shared" si="265"/>
        <v>0</v>
      </c>
      <c r="Q2135" s="73"/>
      <c r="R2135" s="73">
        <v>0</v>
      </c>
      <c r="S2135" s="75">
        <f t="shared" si="268"/>
        <v>0</v>
      </c>
      <c r="T2135" s="77">
        <v>0</v>
      </c>
      <c r="U2135" s="66">
        <v>40596</v>
      </c>
      <c r="V2135" s="79"/>
      <c r="W2135" s="66" t="s">
        <v>1585</v>
      </c>
      <c r="X2135" s="24" t="s">
        <v>1586</v>
      </c>
      <c r="Y2135" s="62"/>
      <c r="Z2135" s="169" t="s">
        <v>894</v>
      </c>
      <c r="AA2135" s="166" t="s">
        <v>139</v>
      </c>
      <c r="AB2135" s="152"/>
      <c r="AC2135" s="153"/>
      <c r="AD2135" s="154"/>
      <c r="AE2135" s="153"/>
      <c r="AF2135" s="153"/>
      <c r="AG2135" s="153"/>
      <c r="AH2135" s="153"/>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c r="BI2135" s="153"/>
      <c r="BJ2135" s="153"/>
      <c r="BK2135" s="153"/>
      <c r="BL2135" s="153"/>
      <c r="BM2135" s="153"/>
      <c r="BN2135" s="153"/>
      <c r="BO2135" s="153"/>
      <c r="BP2135" s="153"/>
      <c r="BQ2135" s="153"/>
      <c r="BR2135" s="153"/>
      <c r="BS2135" s="153"/>
      <c r="BT2135" s="153"/>
      <c r="BU2135" s="153"/>
      <c r="BV2135" s="153"/>
      <c r="BW2135" s="153"/>
      <c r="BX2135" s="153"/>
      <c r="BY2135" s="153"/>
      <c r="BZ2135" s="153"/>
      <c r="CA2135" s="153"/>
      <c r="CB2135" s="153"/>
      <c r="CC2135" s="153"/>
      <c r="CD2135" s="155"/>
      <c r="CE2135" s="156"/>
      <c r="CF2135" s="155"/>
      <c r="CG2135" s="156"/>
      <c r="CH2135" s="155"/>
      <c r="CI2135" s="156"/>
      <c r="CJ2135" s="157">
        <f t="shared" si="266"/>
        <v>0</v>
      </c>
      <c r="CK2135" s="158"/>
      <c r="CL2135" s="159"/>
      <c r="CM2135" s="160"/>
      <c r="CN2135" s="161"/>
      <c r="CO2135" s="162"/>
      <c r="CP2135" s="161"/>
      <c r="CQ2135" s="158"/>
      <c r="CR2135" s="159"/>
      <c r="CS2135" s="68"/>
      <c r="CT2135" s="163"/>
      <c r="EC2135" s="366" t="str">
        <f t="shared" si="267"/>
        <v>ANTIOQUIA_ARGELIA</v>
      </c>
      <c r="ED2135" s="367"/>
      <c r="EE2135" s="367"/>
      <c r="EF2135" s="368"/>
      <c r="EG2135" s="367"/>
      <c r="EH2135" s="367"/>
      <c r="EI2135" s="367"/>
    </row>
    <row r="2136" spans="1:139" s="164" customFormat="1" ht="25.5">
      <c r="A2136" s="235">
        <v>40527</v>
      </c>
      <c r="B2136" s="269" t="s">
        <v>1972</v>
      </c>
      <c r="C2136" s="269" t="s">
        <v>1613</v>
      </c>
      <c r="D2136" s="270" t="s">
        <v>1201</v>
      </c>
      <c r="E2136" s="327" t="s">
        <v>3242</v>
      </c>
      <c r="F2136" s="327"/>
      <c r="G2136" s="204"/>
      <c r="H2136" s="151"/>
      <c r="I2136" s="151"/>
      <c r="J2136" s="151">
        <v>278</v>
      </c>
      <c r="K2136" s="151">
        <v>83</v>
      </c>
      <c r="L2136" s="1"/>
      <c r="M2136" s="73">
        <f t="shared" si="264"/>
        <v>0</v>
      </c>
      <c r="N2136" s="73">
        <f t="shared" si="269"/>
        <v>0</v>
      </c>
      <c r="O2136" s="73">
        <f t="shared" si="263"/>
        <v>0</v>
      </c>
      <c r="P2136" s="73">
        <f t="shared" si="265"/>
        <v>0</v>
      </c>
      <c r="Q2136" s="73"/>
      <c r="R2136" s="73">
        <v>0</v>
      </c>
      <c r="S2136" s="75">
        <f t="shared" si="268"/>
        <v>0</v>
      </c>
      <c r="T2136" s="77">
        <v>0</v>
      </c>
      <c r="U2136" s="66">
        <v>40596</v>
      </c>
      <c r="V2136" s="79"/>
      <c r="W2136" s="66" t="s">
        <v>1585</v>
      </c>
      <c r="X2136" s="24" t="s">
        <v>1586</v>
      </c>
      <c r="Y2136" s="62"/>
      <c r="Z2136" s="169" t="s">
        <v>894</v>
      </c>
      <c r="AA2136" s="166" t="s">
        <v>139</v>
      </c>
      <c r="AB2136" s="152"/>
      <c r="AC2136" s="153"/>
      <c r="AD2136" s="154"/>
      <c r="AE2136" s="153"/>
      <c r="AF2136" s="153"/>
      <c r="AG2136" s="153"/>
      <c r="AH2136" s="153"/>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c r="BI2136" s="153"/>
      <c r="BJ2136" s="153"/>
      <c r="BK2136" s="153"/>
      <c r="BL2136" s="153"/>
      <c r="BM2136" s="153"/>
      <c r="BN2136" s="153"/>
      <c r="BO2136" s="153"/>
      <c r="BP2136" s="153"/>
      <c r="BQ2136" s="153"/>
      <c r="BR2136" s="153"/>
      <c r="BS2136" s="153"/>
      <c r="BT2136" s="153"/>
      <c r="BU2136" s="153"/>
      <c r="BV2136" s="153"/>
      <c r="BW2136" s="153"/>
      <c r="BX2136" s="153"/>
      <c r="BY2136" s="153"/>
      <c r="BZ2136" s="153"/>
      <c r="CA2136" s="153"/>
      <c r="CB2136" s="153"/>
      <c r="CC2136" s="153"/>
      <c r="CD2136" s="155"/>
      <c r="CE2136" s="156"/>
      <c r="CF2136" s="155"/>
      <c r="CG2136" s="156"/>
      <c r="CH2136" s="155"/>
      <c r="CI2136" s="156"/>
      <c r="CJ2136" s="157">
        <f t="shared" si="266"/>
        <v>0</v>
      </c>
      <c r="CK2136" s="158"/>
      <c r="CL2136" s="159"/>
      <c r="CM2136" s="160"/>
      <c r="CN2136" s="161"/>
      <c r="CO2136" s="162"/>
      <c r="CP2136" s="161"/>
      <c r="CQ2136" s="158"/>
      <c r="CR2136" s="159"/>
      <c r="CS2136" s="68"/>
      <c r="CT2136" s="163"/>
      <c r="EC2136" s="366" t="str">
        <f t="shared" si="267"/>
        <v>ANTIOQUIA_ARMENIA</v>
      </c>
      <c r="ED2136" s="367"/>
      <c r="EE2136" s="367"/>
      <c r="EF2136" s="368"/>
      <c r="EG2136" s="367"/>
      <c r="EH2136" s="367"/>
      <c r="EI2136" s="367"/>
    </row>
    <row r="2137" spans="1:139" s="164" customFormat="1" ht="25.5">
      <c r="A2137" s="235">
        <v>40527</v>
      </c>
      <c r="B2137" s="269" t="s">
        <v>1972</v>
      </c>
      <c r="C2137" s="269" t="s">
        <v>2251</v>
      </c>
      <c r="D2137" s="270" t="s">
        <v>1201</v>
      </c>
      <c r="E2137" s="327" t="s">
        <v>3243</v>
      </c>
      <c r="F2137" s="327"/>
      <c r="G2137" s="204"/>
      <c r="H2137" s="151"/>
      <c r="I2137" s="151"/>
      <c r="J2137" s="151">
        <v>80</v>
      </c>
      <c r="K2137" s="151">
        <v>22</v>
      </c>
      <c r="L2137" s="1"/>
      <c r="M2137" s="73">
        <f t="shared" si="264"/>
        <v>0</v>
      </c>
      <c r="N2137" s="73">
        <f t="shared" si="269"/>
        <v>0</v>
      </c>
      <c r="O2137" s="73">
        <f t="shared" si="263"/>
        <v>0</v>
      </c>
      <c r="P2137" s="73">
        <f t="shared" si="265"/>
        <v>0</v>
      </c>
      <c r="Q2137" s="73"/>
      <c r="R2137" s="73">
        <v>0</v>
      </c>
      <c r="S2137" s="75">
        <f t="shared" si="268"/>
        <v>0</v>
      </c>
      <c r="T2137" s="77">
        <v>0</v>
      </c>
      <c r="U2137" s="66">
        <v>40596</v>
      </c>
      <c r="V2137" s="79"/>
      <c r="W2137" s="66" t="s">
        <v>1585</v>
      </c>
      <c r="X2137" s="24" t="s">
        <v>1586</v>
      </c>
      <c r="Y2137" s="62"/>
      <c r="Z2137" s="169" t="s">
        <v>894</v>
      </c>
      <c r="AA2137" s="166" t="s">
        <v>139</v>
      </c>
      <c r="AB2137" s="152"/>
      <c r="AC2137" s="153"/>
      <c r="AD2137" s="154"/>
      <c r="AE2137" s="153"/>
      <c r="AF2137" s="153"/>
      <c r="AG2137" s="153"/>
      <c r="AH2137" s="153"/>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c r="BI2137" s="153"/>
      <c r="BJ2137" s="153"/>
      <c r="BK2137" s="153"/>
      <c r="BL2137" s="153"/>
      <c r="BM2137" s="153"/>
      <c r="BN2137" s="153"/>
      <c r="BO2137" s="153"/>
      <c r="BP2137" s="153"/>
      <c r="BQ2137" s="153"/>
      <c r="BR2137" s="153"/>
      <c r="BS2137" s="153"/>
      <c r="BT2137" s="153"/>
      <c r="BU2137" s="153"/>
      <c r="BV2137" s="153"/>
      <c r="BW2137" s="153"/>
      <c r="BX2137" s="153"/>
      <c r="BY2137" s="153"/>
      <c r="BZ2137" s="153"/>
      <c r="CA2137" s="153"/>
      <c r="CB2137" s="153"/>
      <c r="CC2137" s="153"/>
      <c r="CD2137" s="155"/>
      <c r="CE2137" s="156"/>
      <c r="CF2137" s="155"/>
      <c r="CG2137" s="156"/>
      <c r="CH2137" s="155"/>
      <c r="CI2137" s="156"/>
      <c r="CJ2137" s="157">
        <f t="shared" si="266"/>
        <v>0</v>
      </c>
      <c r="CK2137" s="158"/>
      <c r="CL2137" s="159"/>
      <c r="CM2137" s="160"/>
      <c r="CN2137" s="161"/>
      <c r="CO2137" s="162"/>
      <c r="CP2137" s="161"/>
      <c r="CQ2137" s="158"/>
      <c r="CR2137" s="159"/>
      <c r="CS2137" s="68"/>
      <c r="CT2137" s="163"/>
      <c r="EC2137" s="366" t="str">
        <f t="shared" si="267"/>
        <v>ANTIOQUIA_BARBOSA</v>
      </c>
      <c r="ED2137" s="367"/>
      <c r="EE2137" s="367"/>
      <c r="EF2137" s="368"/>
      <c r="EG2137" s="367"/>
      <c r="EH2137" s="367"/>
      <c r="EI2137" s="367"/>
    </row>
    <row r="2138" spans="1:139" s="164" customFormat="1" ht="25.5">
      <c r="A2138" s="235">
        <v>40527</v>
      </c>
      <c r="B2138" s="269" t="s">
        <v>1972</v>
      </c>
      <c r="C2138" s="269" t="s">
        <v>1571</v>
      </c>
      <c r="D2138" s="270" t="s">
        <v>1201</v>
      </c>
      <c r="E2138" s="327" t="s">
        <v>3246</v>
      </c>
      <c r="F2138" s="327"/>
      <c r="G2138" s="204"/>
      <c r="H2138" s="151"/>
      <c r="I2138" s="151"/>
      <c r="J2138" s="151">
        <v>355</v>
      </c>
      <c r="K2138" s="151">
        <v>80</v>
      </c>
      <c r="L2138" s="1"/>
      <c r="M2138" s="73">
        <f t="shared" si="264"/>
        <v>0</v>
      </c>
      <c r="N2138" s="73">
        <f t="shared" si="269"/>
        <v>0</v>
      </c>
      <c r="O2138" s="73">
        <f t="shared" si="263"/>
        <v>0</v>
      </c>
      <c r="P2138" s="73">
        <f t="shared" si="265"/>
        <v>0</v>
      </c>
      <c r="Q2138" s="73"/>
      <c r="R2138" s="73">
        <v>0</v>
      </c>
      <c r="S2138" s="75">
        <f t="shared" si="268"/>
        <v>0</v>
      </c>
      <c r="T2138" s="77">
        <v>0</v>
      </c>
      <c r="U2138" s="66">
        <v>40596</v>
      </c>
      <c r="V2138" s="79"/>
      <c r="W2138" s="66" t="s">
        <v>1585</v>
      </c>
      <c r="X2138" s="24" t="s">
        <v>1586</v>
      </c>
      <c r="Y2138" s="62"/>
      <c r="Z2138" s="169" t="s">
        <v>894</v>
      </c>
      <c r="AA2138" s="166" t="s">
        <v>139</v>
      </c>
      <c r="AB2138" s="152"/>
      <c r="AC2138" s="153"/>
      <c r="AD2138" s="154"/>
      <c r="AE2138" s="153"/>
      <c r="AF2138" s="153"/>
      <c r="AG2138" s="153"/>
      <c r="AH2138" s="153"/>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c r="BI2138" s="153"/>
      <c r="BJ2138" s="153"/>
      <c r="BK2138" s="153"/>
      <c r="BL2138" s="153"/>
      <c r="BM2138" s="153"/>
      <c r="BN2138" s="153"/>
      <c r="BO2138" s="153"/>
      <c r="BP2138" s="153"/>
      <c r="BQ2138" s="153"/>
      <c r="BR2138" s="153"/>
      <c r="BS2138" s="153"/>
      <c r="BT2138" s="153"/>
      <c r="BU2138" s="153"/>
      <c r="BV2138" s="153"/>
      <c r="BW2138" s="153"/>
      <c r="BX2138" s="153"/>
      <c r="BY2138" s="153"/>
      <c r="BZ2138" s="153"/>
      <c r="CA2138" s="153"/>
      <c r="CB2138" s="153"/>
      <c r="CC2138" s="153"/>
      <c r="CD2138" s="155"/>
      <c r="CE2138" s="156"/>
      <c r="CF2138" s="155"/>
      <c r="CG2138" s="156"/>
      <c r="CH2138" s="155"/>
      <c r="CI2138" s="156"/>
      <c r="CJ2138" s="157">
        <f t="shared" si="266"/>
        <v>0</v>
      </c>
      <c r="CK2138" s="158"/>
      <c r="CL2138" s="159"/>
      <c r="CM2138" s="160"/>
      <c r="CN2138" s="161"/>
      <c r="CO2138" s="162"/>
      <c r="CP2138" s="161"/>
      <c r="CQ2138" s="158"/>
      <c r="CR2138" s="159"/>
      <c r="CS2138" s="68"/>
      <c r="CT2138" s="163"/>
      <c r="EC2138" s="366" t="str">
        <f t="shared" si="267"/>
        <v>ANTIOQUIA_BETANIA</v>
      </c>
      <c r="ED2138" s="367"/>
      <c r="EE2138" s="367"/>
      <c r="EF2138" s="368"/>
      <c r="EG2138" s="367"/>
      <c r="EH2138" s="367"/>
      <c r="EI2138" s="367"/>
    </row>
    <row r="2139" spans="1:139" s="164" customFormat="1" ht="25.5">
      <c r="A2139" s="235">
        <v>40527</v>
      </c>
      <c r="B2139" s="269" t="s">
        <v>1972</v>
      </c>
      <c r="C2139" s="269" t="s">
        <v>1166</v>
      </c>
      <c r="D2139" s="270" t="s">
        <v>1201</v>
      </c>
      <c r="E2139" s="327" t="s">
        <v>3247</v>
      </c>
      <c r="F2139" s="327"/>
      <c r="G2139" s="204"/>
      <c r="H2139" s="151"/>
      <c r="I2139" s="151"/>
      <c r="J2139" s="151">
        <v>678</v>
      </c>
      <c r="K2139" s="151">
        <v>178</v>
      </c>
      <c r="L2139" s="1"/>
      <c r="M2139" s="73">
        <f t="shared" si="264"/>
        <v>0</v>
      </c>
      <c r="N2139" s="73">
        <f t="shared" si="269"/>
        <v>0</v>
      </c>
      <c r="O2139" s="73">
        <f t="shared" si="263"/>
        <v>0</v>
      </c>
      <c r="P2139" s="73">
        <f t="shared" si="265"/>
        <v>0</v>
      </c>
      <c r="Q2139" s="73"/>
      <c r="R2139" s="73">
        <v>0</v>
      </c>
      <c r="S2139" s="75">
        <f t="shared" si="268"/>
        <v>0</v>
      </c>
      <c r="T2139" s="77">
        <v>0</v>
      </c>
      <c r="U2139" s="66">
        <v>40596</v>
      </c>
      <c r="V2139" s="79"/>
      <c r="W2139" s="66" t="s">
        <v>1585</v>
      </c>
      <c r="X2139" s="24" t="s">
        <v>1586</v>
      </c>
      <c r="Y2139" s="62"/>
      <c r="Z2139" s="169" t="s">
        <v>894</v>
      </c>
      <c r="AA2139" s="166" t="s">
        <v>139</v>
      </c>
      <c r="AB2139" s="152"/>
      <c r="AC2139" s="153"/>
      <c r="AD2139" s="154"/>
      <c r="AE2139" s="153"/>
      <c r="AF2139" s="153"/>
      <c r="AG2139" s="153"/>
      <c r="AH2139" s="153"/>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c r="BI2139" s="153"/>
      <c r="BJ2139" s="153"/>
      <c r="BK2139" s="153"/>
      <c r="BL2139" s="153"/>
      <c r="BM2139" s="153"/>
      <c r="BN2139" s="153"/>
      <c r="BO2139" s="153"/>
      <c r="BP2139" s="153"/>
      <c r="BQ2139" s="153"/>
      <c r="BR2139" s="153"/>
      <c r="BS2139" s="153"/>
      <c r="BT2139" s="153"/>
      <c r="BU2139" s="153"/>
      <c r="BV2139" s="153"/>
      <c r="BW2139" s="153"/>
      <c r="BX2139" s="153"/>
      <c r="BY2139" s="153"/>
      <c r="BZ2139" s="153"/>
      <c r="CA2139" s="153"/>
      <c r="CB2139" s="153"/>
      <c r="CC2139" s="153"/>
      <c r="CD2139" s="155"/>
      <c r="CE2139" s="156"/>
      <c r="CF2139" s="155"/>
      <c r="CG2139" s="156"/>
      <c r="CH2139" s="155"/>
      <c r="CI2139" s="156"/>
      <c r="CJ2139" s="157">
        <f t="shared" si="266"/>
        <v>0</v>
      </c>
      <c r="CK2139" s="158"/>
      <c r="CL2139" s="159"/>
      <c r="CM2139" s="160"/>
      <c r="CN2139" s="161"/>
      <c r="CO2139" s="162"/>
      <c r="CP2139" s="161"/>
      <c r="CQ2139" s="158"/>
      <c r="CR2139" s="159"/>
      <c r="CS2139" s="68"/>
      <c r="CT2139" s="163"/>
      <c r="EC2139" s="366" t="str">
        <f t="shared" si="267"/>
        <v>ANTIOQUIA_BETULIA</v>
      </c>
      <c r="ED2139" s="367"/>
      <c r="EE2139" s="367"/>
      <c r="EF2139" s="368"/>
      <c r="EG2139" s="367"/>
      <c r="EH2139" s="367"/>
      <c r="EI2139" s="367"/>
    </row>
    <row r="2140" spans="1:139" s="164" customFormat="1" ht="25.5">
      <c r="A2140" s="235">
        <v>40527</v>
      </c>
      <c r="B2140" s="269" t="s">
        <v>1972</v>
      </c>
      <c r="C2140" s="269" t="s">
        <v>111</v>
      </c>
      <c r="D2140" s="270" t="s">
        <v>1201</v>
      </c>
      <c r="E2140" s="327" t="s">
        <v>3251</v>
      </c>
      <c r="F2140" s="327"/>
      <c r="G2140" s="204"/>
      <c r="H2140" s="151"/>
      <c r="I2140" s="151"/>
      <c r="J2140" s="151">
        <v>1410</v>
      </c>
      <c r="K2140" s="151">
        <v>318</v>
      </c>
      <c r="L2140" s="1"/>
      <c r="M2140" s="73">
        <f t="shared" si="264"/>
        <v>0</v>
      </c>
      <c r="N2140" s="73">
        <f t="shared" si="269"/>
        <v>0</v>
      </c>
      <c r="O2140" s="73">
        <f t="shared" si="263"/>
        <v>0</v>
      </c>
      <c r="P2140" s="73">
        <f t="shared" si="265"/>
        <v>0</v>
      </c>
      <c r="Q2140" s="73"/>
      <c r="R2140" s="73">
        <v>0</v>
      </c>
      <c r="S2140" s="75">
        <f t="shared" si="268"/>
        <v>0</v>
      </c>
      <c r="T2140" s="77">
        <v>0</v>
      </c>
      <c r="U2140" s="66">
        <v>40596</v>
      </c>
      <c r="V2140" s="79"/>
      <c r="W2140" s="66" t="s">
        <v>1585</v>
      </c>
      <c r="X2140" s="24" t="s">
        <v>1586</v>
      </c>
      <c r="Y2140" s="62"/>
      <c r="Z2140" s="169" t="s">
        <v>894</v>
      </c>
      <c r="AA2140" s="166" t="s">
        <v>139</v>
      </c>
      <c r="AB2140" s="152"/>
      <c r="AC2140" s="153"/>
      <c r="AD2140" s="154"/>
      <c r="AE2140" s="153"/>
      <c r="AF2140" s="153"/>
      <c r="AG2140" s="153"/>
      <c r="AH2140" s="153"/>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c r="BI2140" s="153"/>
      <c r="BJ2140" s="153"/>
      <c r="BK2140" s="153"/>
      <c r="BL2140" s="153"/>
      <c r="BM2140" s="153"/>
      <c r="BN2140" s="153"/>
      <c r="BO2140" s="153"/>
      <c r="BP2140" s="153"/>
      <c r="BQ2140" s="153"/>
      <c r="BR2140" s="153"/>
      <c r="BS2140" s="153"/>
      <c r="BT2140" s="153"/>
      <c r="BU2140" s="153"/>
      <c r="BV2140" s="153"/>
      <c r="BW2140" s="153"/>
      <c r="BX2140" s="153"/>
      <c r="BY2140" s="153"/>
      <c r="BZ2140" s="153"/>
      <c r="CA2140" s="153"/>
      <c r="CB2140" s="153"/>
      <c r="CC2140" s="153"/>
      <c r="CD2140" s="155"/>
      <c r="CE2140" s="156"/>
      <c r="CF2140" s="155"/>
      <c r="CG2140" s="156"/>
      <c r="CH2140" s="155"/>
      <c r="CI2140" s="156"/>
      <c r="CJ2140" s="157">
        <f t="shared" si="266"/>
        <v>0</v>
      </c>
      <c r="CK2140" s="158"/>
      <c r="CL2140" s="159"/>
      <c r="CM2140" s="160"/>
      <c r="CN2140" s="161"/>
      <c r="CO2140" s="162"/>
      <c r="CP2140" s="161"/>
      <c r="CQ2140" s="158"/>
      <c r="CR2140" s="159"/>
      <c r="CS2140" s="68"/>
      <c r="CT2140" s="163"/>
      <c r="EC2140" s="366" t="str">
        <f t="shared" si="267"/>
        <v>ANTIOQUIA_CACERES</v>
      </c>
      <c r="ED2140" s="367"/>
      <c r="EE2140" s="367"/>
      <c r="EF2140" s="368"/>
      <c r="EG2140" s="367"/>
      <c r="EH2140" s="367"/>
      <c r="EI2140" s="367"/>
    </row>
    <row r="2141" spans="1:139" s="164" customFormat="1" ht="25.5">
      <c r="A2141" s="235">
        <v>40527</v>
      </c>
      <c r="B2141" s="269" t="s">
        <v>1972</v>
      </c>
      <c r="C2141" s="269" t="s">
        <v>112</v>
      </c>
      <c r="D2141" s="270" t="s">
        <v>1201</v>
      </c>
      <c r="E2141" s="327" t="s">
        <v>3252</v>
      </c>
      <c r="F2141" s="327"/>
      <c r="G2141" s="204"/>
      <c r="H2141" s="151"/>
      <c r="I2141" s="151"/>
      <c r="J2141" s="151">
        <v>183</v>
      </c>
      <c r="K2141" s="151">
        <v>54</v>
      </c>
      <c r="L2141" s="1"/>
      <c r="M2141" s="73">
        <f t="shared" si="264"/>
        <v>0</v>
      </c>
      <c r="N2141" s="73">
        <f t="shared" si="269"/>
        <v>0</v>
      </c>
      <c r="O2141" s="73">
        <f t="shared" si="263"/>
        <v>0</v>
      </c>
      <c r="P2141" s="73">
        <f t="shared" si="265"/>
        <v>0</v>
      </c>
      <c r="Q2141" s="73"/>
      <c r="R2141" s="73">
        <v>0</v>
      </c>
      <c r="S2141" s="75">
        <f t="shared" si="268"/>
        <v>0</v>
      </c>
      <c r="T2141" s="77">
        <v>0</v>
      </c>
      <c r="U2141" s="66">
        <v>40596</v>
      </c>
      <c r="V2141" s="79"/>
      <c r="W2141" s="66" t="s">
        <v>1585</v>
      </c>
      <c r="X2141" s="24" t="s">
        <v>1586</v>
      </c>
      <c r="Y2141" s="62"/>
      <c r="Z2141" s="169" t="s">
        <v>894</v>
      </c>
      <c r="AA2141" s="166" t="s">
        <v>139</v>
      </c>
      <c r="AB2141" s="152"/>
      <c r="AC2141" s="153"/>
      <c r="AD2141" s="154"/>
      <c r="AE2141" s="153"/>
      <c r="AF2141" s="153"/>
      <c r="AG2141" s="153"/>
      <c r="AH2141" s="153"/>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c r="BF2141" s="153"/>
      <c r="BG2141" s="153"/>
      <c r="BH2141" s="153"/>
      <c r="BI2141" s="153"/>
      <c r="BJ2141" s="153"/>
      <c r="BK2141" s="153"/>
      <c r="BL2141" s="153"/>
      <c r="BM2141" s="153"/>
      <c r="BN2141" s="153"/>
      <c r="BO2141" s="153"/>
      <c r="BP2141" s="153"/>
      <c r="BQ2141" s="153"/>
      <c r="BR2141" s="153"/>
      <c r="BS2141" s="153"/>
      <c r="BT2141" s="153"/>
      <c r="BU2141" s="153"/>
      <c r="BV2141" s="153"/>
      <c r="BW2141" s="153"/>
      <c r="BX2141" s="153"/>
      <c r="BY2141" s="153"/>
      <c r="BZ2141" s="153"/>
      <c r="CA2141" s="153"/>
      <c r="CB2141" s="153"/>
      <c r="CC2141" s="153"/>
      <c r="CD2141" s="155"/>
      <c r="CE2141" s="156"/>
      <c r="CF2141" s="155"/>
      <c r="CG2141" s="156"/>
      <c r="CH2141" s="155"/>
      <c r="CI2141" s="156"/>
      <c r="CJ2141" s="157">
        <f t="shared" si="266"/>
        <v>0</v>
      </c>
      <c r="CK2141" s="158"/>
      <c r="CL2141" s="159"/>
      <c r="CM2141" s="160"/>
      <c r="CN2141" s="161"/>
      <c r="CO2141" s="162"/>
      <c r="CP2141" s="161"/>
      <c r="CQ2141" s="158"/>
      <c r="CR2141" s="159"/>
      <c r="CS2141" s="68"/>
      <c r="CT2141" s="163"/>
      <c r="EC2141" s="366" t="str">
        <f t="shared" si="267"/>
        <v>ANTIOQUIA_CAICEDO</v>
      </c>
      <c r="ED2141" s="367"/>
      <c r="EE2141" s="367"/>
      <c r="EF2141" s="368"/>
      <c r="EG2141" s="367"/>
      <c r="EH2141" s="367"/>
      <c r="EI2141" s="367"/>
    </row>
    <row r="2142" spans="1:139" s="164" customFormat="1" ht="38.25">
      <c r="A2142" s="235">
        <v>40527</v>
      </c>
      <c r="B2142" s="269" t="s">
        <v>1972</v>
      </c>
      <c r="C2142" s="269" t="s">
        <v>113</v>
      </c>
      <c r="D2142" s="270" t="s">
        <v>1201</v>
      </c>
      <c r="E2142" s="327" t="s">
        <v>3255</v>
      </c>
      <c r="F2142" s="327"/>
      <c r="G2142" s="204"/>
      <c r="H2142" s="151"/>
      <c r="I2142" s="151"/>
      <c r="J2142" s="151">
        <v>525</v>
      </c>
      <c r="K2142" s="151">
        <v>123</v>
      </c>
      <c r="L2142" s="1"/>
      <c r="M2142" s="73">
        <f t="shared" si="264"/>
        <v>0</v>
      </c>
      <c r="N2142" s="73">
        <f t="shared" si="269"/>
        <v>0</v>
      </c>
      <c r="O2142" s="73">
        <f t="shared" si="263"/>
        <v>0</v>
      </c>
      <c r="P2142" s="73">
        <f t="shared" si="265"/>
        <v>0</v>
      </c>
      <c r="Q2142" s="73"/>
      <c r="R2142" s="73">
        <v>0</v>
      </c>
      <c r="S2142" s="75">
        <f t="shared" si="268"/>
        <v>0</v>
      </c>
      <c r="T2142" s="77">
        <v>0</v>
      </c>
      <c r="U2142" s="66">
        <v>40596</v>
      </c>
      <c r="V2142" s="79"/>
      <c r="W2142" s="66" t="s">
        <v>1585</v>
      </c>
      <c r="X2142" s="24" t="s">
        <v>1586</v>
      </c>
      <c r="Y2142" s="62"/>
      <c r="Z2142" s="169" t="s">
        <v>894</v>
      </c>
      <c r="AA2142" s="166" t="s">
        <v>139</v>
      </c>
      <c r="AB2142" s="152"/>
      <c r="AC2142" s="153"/>
      <c r="AD2142" s="154"/>
      <c r="AE2142" s="153"/>
      <c r="AF2142" s="153"/>
      <c r="AG2142" s="153"/>
      <c r="AH2142" s="153"/>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c r="BI2142" s="153"/>
      <c r="BJ2142" s="153"/>
      <c r="BK2142" s="153"/>
      <c r="BL2142" s="153"/>
      <c r="BM2142" s="153"/>
      <c r="BN2142" s="153"/>
      <c r="BO2142" s="153"/>
      <c r="BP2142" s="153"/>
      <c r="BQ2142" s="153"/>
      <c r="BR2142" s="153"/>
      <c r="BS2142" s="153"/>
      <c r="BT2142" s="153"/>
      <c r="BU2142" s="153"/>
      <c r="BV2142" s="153"/>
      <c r="BW2142" s="153"/>
      <c r="BX2142" s="153"/>
      <c r="BY2142" s="153"/>
      <c r="BZ2142" s="153"/>
      <c r="CA2142" s="153"/>
      <c r="CB2142" s="153"/>
      <c r="CC2142" s="153"/>
      <c r="CD2142" s="155"/>
      <c r="CE2142" s="156"/>
      <c r="CF2142" s="155"/>
      <c r="CG2142" s="156"/>
      <c r="CH2142" s="155"/>
      <c r="CI2142" s="156"/>
      <c r="CJ2142" s="157">
        <f t="shared" si="266"/>
        <v>0</v>
      </c>
      <c r="CK2142" s="158"/>
      <c r="CL2142" s="159"/>
      <c r="CM2142" s="160"/>
      <c r="CN2142" s="161"/>
      <c r="CO2142" s="162"/>
      <c r="CP2142" s="161"/>
      <c r="CQ2142" s="158"/>
      <c r="CR2142" s="159"/>
      <c r="CS2142" s="68"/>
      <c r="CT2142" s="163"/>
      <c r="EC2142" s="366" t="str">
        <f t="shared" si="267"/>
        <v>ANTIOQUIA_CAÑASGORDAS</v>
      </c>
      <c r="ED2142" s="367"/>
      <c r="EE2142" s="367"/>
      <c r="EF2142" s="368"/>
      <c r="EG2142" s="367"/>
      <c r="EH2142" s="367"/>
      <c r="EI2142" s="367"/>
    </row>
    <row r="2143" spans="1:139" s="164" customFormat="1" ht="25.5">
      <c r="A2143" s="235">
        <v>40527</v>
      </c>
      <c r="B2143" s="205" t="s">
        <v>1972</v>
      </c>
      <c r="C2143" s="205" t="s">
        <v>1783</v>
      </c>
      <c r="D2143" s="270" t="s">
        <v>1201</v>
      </c>
      <c r="E2143" s="327" t="s">
        <v>3256</v>
      </c>
      <c r="F2143" s="327"/>
      <c r="G2143" s="204"/>
      <c r="H2143" s="151"/>
      <c r="I2143" s="151"/>
      <c r="J2143" s="151">
        <v>293</v>
      </c>
      <c r="K2143" s="151">
        <v>74</v>
      </c>
      <c r="L2143" s="1"/>
      <c r="M2143" s="73">
        <f t="shared" si="264"/>
        <v>0</v>
      </c>
      <c r="N2143" s="73">
        <f t="shared" si="269"/>
        <v>0</v>
      </c>
      <c r="O2143" s="73">
        <f t="shared" si="263"/>
        <v>0</v>
      </c>
      <c r="P2143" s="73">
        <f t="shared" si="265"/>
        <v>0</v>
      </c>
      <c r="Q2143" s="73"/>
      <c r="R2143" s="73">
        <v>0</v>
      </c>
      <c r="S2143" s="75">
        <f t="shared" si="268"/>
        <v>0</v>
      </c>
      <c r="T2143" s="77">
        <v>0</v>
      </c>
      <c r="U2143" s="66">
        <v>40596</v>
      </c>
      <c r="V2143" s="79"/>
      <c r="W2143" s="66" t="s">
        <v>1585</v>
      </c>
      <c r="X2143" s="24" t="s">
        <v>1586</v>
      </c>
      <c r="Y2143" s="62"/>
      <c r="Z2143" s="169" t="s">
        <v>894</v>
      </c>
      <c r="AA2143" s="166" t="s">
        <v>139</v>
      </c>
      <c r="AB2143" s="152"/>
      <c r="AC2143" s="153"/>
      <c r="AD2143" s="154"/>
      <c r="AE2143" s="153"/>
      <c r="AF2143" s="153"/>
      <c r="AG2143" s="153"/>
      <c r="AH2143" s="153"/>
      <c r="AI2143" s="153"/>
      <c r="AJ2143" s="153"/>
      <c r="AK2143" s="153"/>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c r="BF2143" s="153"/>
      <c r="BG2143" s="153"/>
      <c r="BH2143" s="153"/>
      <c r="BI2143" s="153"/>
      <c r="BJ2143" s="153"/>
      <c r="BK2143" s="153"/>
      <c r="BL2143" s="153"/>
      <c r="BM2143" s="153"/>
      <c r="BN2143" s="153"/>
      <c r="BO2143" s="153"/>
      <c r="BP2143" s="153"/>
      <c r="BQ2143" s="153"/>
      <c r="BR2143" s="153"/>
      <c r="BS2143" s="153"/>
      <c r="BT2143" s="153"/>
      <c r="BU2143" s="153"/>
      <c r="BV2143" s="153"/>
      <c r="BW2143" s="153"/>
      <c r="BX2143" s="153"/>
      <c r="BY2143" s="153"/>
      <c r="BZ2143" s="153"/>
      <c r="CA2143" s="153"/>
      <c r="CB2143" s="153"/>
      <c r="CC2143" s="153"/>
      <c r="CD2143" s="155"/>
      <c r="CE2143" s="156"/>
      <c r="CF2143" s="155"/>
      <c r="CG2143" s="156"/>
      <c r="CH2143" s="155"/>
      <c r="CI2143" s="156"/>
      <c r="CJ2143" s="157">
        <f t="shared" si="266"/>
        <v>0</v>
      </c>
      <c r="CK2143" s="158"/>
      <c r="CL2143" s="159"/>
      <c r="CM2143" s="160"/>
      <c r="CN2143" s="161"/>
      <c r="CO2143" s="162"/>
      <c r="CP2143" s="161"/>
      <c r="CQ2143" s="158"/>
      <c r="CR2143" s="159"/>
      <c r="CS2143" s="68"/>
      <c r="CT2143" s="163"/>
      <c r="EC2143" s="366" t="str">
        <f t="shared" si="267"/>
        <v>ANTIOQUIA_CARACOLI</v>
      </c>
      <c r="ED2143" s="367"/>
      <c r="EE2143" s="367"/>
      <c r="EF2143" s="368"/>
      <c r="EG2143" s="367"/>
      <c r="EH2143" s="367"/>
      <c r="EI2143" s="367"/>
    </row>
    <row r="2144" spans="1:139" s="164" customFormat="1" ht="38.25">
      <c r="A2144" s="235">
        <v>40527</v>
      </c>
      <c r="B2144" s="205" t="s">
        <v>1972</v>
      </c>
      <c r="C2144" s="205" t="s">
        <v>114</v>
      </c>
      <c r="D2144" s="270" t="s">
        <v>1201</v>
      </c>
      <c r="E2144" s="327" t="s">
        <v>3257</v>
      </c>
      <c r="F2144" s="327"/>
      <c r="G2144" s="204"/>
      <c r="H2144" s="151"/>
      <c r="I2144" s="151"/>
      <c r="J2144" s="151">
        <v>279</v>
      </c>
      <c r="K2144" s="151">
        <v>78</v>
      </c>
      <c r="L2144" s="1"/>
      <c r="M2144" s="73">
        <f t="shared" si="264"/>
        <v>0</v>
      </c>
      <c r="N2144" s="73">
        <f t="shared" si="269"/>
        <v>0</v>
      </c>
      <c r="O2144" s="73">
        <f t="shared" si="263"/>
        <v>0</v>
      </c>
      <c r="P2144" s="73">
        <f t="shared" si="265"/>
        <v>0</v>
      </c>
      <c r="Q2144" s="73"/>
      <c r="R2144" s="73">
        <v>0</v>
      </c>
      <c r="S2144" s="75">
        <f t="shared" si="268"/>
        <v>0</v>
      </c>
      <c r="T2144" s="77">
        <v>0</v>
      </c>
      <c r="U2144" s="66">
        <v>40596</v>
      </c>
      <c r="V2144" s="79"/>
      <c r="W2144" s="66" t="s">
        <v>1585</v>
      </c>
      <c r="X2144" s="24" t="s">
        <v>1586</v>
      </c>
      <c r="Y2144" s="62"/>
      <c r="Z2144" s="169" t="s">
        <v>894</v>
      </c>
      <c r="AA2144" s="166" t="s">
        <v>139</v>
      </c>
      <c r="AB2144" s="152"/>
      <c r="AC2144" s="153"/>
      <c r="AD2144" s="154"/>
      <c r="AE2144" s="153"/>
      <c r="AF2144" s="153"/>
      <c r="AG2144" s="153"/>
      <c r="AH2144" s="153"/>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c r="BI2144" s="153"/>
      <c r="BJ2144" s="153"/>
      <c r="BK2144" s="153"/>
      <c r="BL2144" s="153"/>
      <c r="BM2144" s="153"/>
      <c r="BN2144" s="153"/>
      <c r="BO2144" s="153"/>
      <c r="BP2144" s="153"/>
      <c r="BQ2144" s="153"/>
      <c r="BR2144" s="153"/>
      <c r="BS2144" s="153"/>
      <c r="BT2144" s="153"/>
      <c r="BU2144" s="153"/>
      <c r="BV2144" s="153"/>
      <c r="BW2144" s="153"/>
      <c r="BX2144" s="153"/>
      <c r="BY2144" s="153"/>
      <c r="BZ2144" s="153"/>
      <c r="CA2144" s="153"/>
      <c r="CB2144" s="153"/>
      <c r="CC2144" s="153"/>
      <c r="CD2144" s="155"/>
      <c r="CE2144" s="156"/>
      <c r="CF2144" s="155"/>
      <c r="CG2144" s="156"/>
      <c r="CH2144" s="155"/>
      <c r="CI2144" s="156"/>
      <c r="CJ2144" s="157">
        <f t="shared" si="266"/>
        <v>0</v>
      </c>
      <c r="CK2144" s="158"/>
      <c r="CL2144" s="159"/>
      <c r="CM2144" s="160"/>
      <c r="CN2144" s="161"/>
      <c r="CO2144" s="162"/>
      <c r="CP2144" s="161"/>
      <c r="CQ2144" s="158"/>
      <c r="CR2144" s="159"/>
      <c r="CS2144" s="68"/>
      <c r="CT2144" s="163"/>
      <c r="EC2144" s="366" t="str">
        <f t="shared" si="267"/>
        <v>ANTIOQUIA_CARAMANTA</v>
      </c>
      <c r="ED2144" s="367"/>
      <c r="EE2144" s="367"/>
      <c r="EF2144" s="368"/>
      <c r="EG2144" s="367"/>
      <c r="EH2144" s="367"/>
      <c r="EI2144" s="367"/>
    </row>
    <row r="2145" spans="1:139" s="164" customFormat="1" ht="25.5">
      <c r="A2145" s="235">
        <v>40527</v>
      </c>
      <c r="B2145" s="205" t="s">
        <v>1972</v>
      </c>
      <c r="C2145" s="205" t="s">
        <v>115</v>
      </c>
      <c r="D2145" s="270" t="s">
        <v>1201</v>
      </c>
      <c r="E2145" s="327" t="s">
        <v>3264</v>
      </c>
      <c r="F2145" s="327"/>
      <c r="G2145" s="204"/>
      <c r="H2145" s="151"/>
      <c r="I2145" s="151"/>
      <c r="J2145" s="151">
        <v>108</v>
      </c>
      <c r="K2145" s="151">
        <v>32</v>
      </c>
      <c r="L2145" s="1"/>
      <c r="M2145" s="73">
        <f t="shared" si="264"/>
        <v>0</v>
      </c>
      <c r="N2145" s="73">
        <f t="shared" si="269"/>
        <v>0</v>
      </c>
      <c r="O2145" s="73">
        <f t="shared" si="263"/>
        <v>0</v>
      </c>
      <c r="P2145" s="73">
        <f t="shared" si="265"/>
        <v>0</v>
      </c>
      <c r="Q2145" s="73"/>
      <c r="R2145" s="73">
        <v>0</v>
      </c>
      <c r="S2145" s="75">
        <f t="shared" si="268"/>
        <v>0</v>
      </c>
      <c r="T2145" s="77">
        <v>0</v>
      </c>
      <c r="U2145" s="66">
        <v>40596</v>
      </c>
      <c r="V2145" s="79"/>
      <c r="W2145" s="66" t="s">
        <v>1585</v>
      </c>
      <c r="X2145" s="24" t="s">
        <v>1586</v>
      </c>
      <c r="Y2145" s="62"/>
      <c r="Z2145" s="169" t="s">
        <v>894</v>
      </c>
      <c r="AA2145" s="166" t="s">
        <v>139</v>
      </c>
      <c r="AB2145" s="152"/>
      <c r="AC2145" s="153"/>
      <c r="AD2145" s="154"/>
      <c r="AE2145" s="153"/>
      <c r="AF2145" s="153"/>
      <c r="AG2145" s="153"/>
      <c r="AH2145" s="153"/>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c r="BI2145" s="153"/>
      <c r="BJ2145" s="153"/>
      <c r="BK2145" s="153"/>
      <c r="BL2145" s="153"/>
      <c r="BM2145" s="153"/>
      <c r="BN2145" s="153"/>
      <c r="BO2145" s="153"/>
      <c r="BP2145" s="153"/>
      <c r="BQ2145" s="153"/>
      <c r="BR2145" s="153"/>
      <c r="BS2145" s="153"/>
      <c r="BT2145" s="153"/>
      <c r="BU2145" s="153"/>
      <c r="BV2145" s="153"/>
      <c r="BW2145" s="153"/>
      <c r="BX2145" s="153"/>
      <c r="BY2145" s="153"/>
      <c r="BZ2145" s="153"/>
      <c r="CA2145" s="153"/>
      <c r="CB2145" s="153"/>
      <c r="CC2145" s="153"/>
      <c r="CD2145" s="155"/>
      <c r="CE2145" s="156"/>
      <c r="CF2145" s="155"/>
      <c r="CG2145" s="156"/>
      <c r="CH2145" s="155"/>
      <c r="CI2145" s="156"/>
      <c r="CJ2145" s="157">
        <f t="shared" si="266"/>
        <v>0</v>
      </c>
      <c r="CK2145" s="158"/>
      <c r="CL2145" s="159"/>
      <c r="CM2145" s="160"/>
      <c r="CN2145" s="161"/>
      <c r="CO2145" s="162"/>
      <c r="CP2145" s="161"/>
      <c r="CQ2145" s="158"/>
      <c r="CR2145" s="159"/>
      <c r="CS2145" s="68"/>
      <c r="CT2145" s="163"/>
      <c r="EC2145" s="366" t="str">
        <f t="shared" si="267"/>
        <v>ANTIOQUIA_COCORNA</v>
      </c>
      <c r="ED2145" s="367"/>
      <c r="EE2145" s="367"/>
      <c r="EF2145" s="368"/>
      <c r="EG2145" s="367"/>
      <c r="EH2145" s="367"/>
      <c r="EI2145" s="367"/>
    </row>
    <row r="2146" spans="1:139" s="164" customFormat="1" ht="72">
      <c r="A2146" s="235">
        <v>40527</v>
      </c>
      <c r="B2146" s="269" t="s">
        <v>1972</v>
      </c>
      <c r="C2146" s="269" t="s">
        <v>1605</v>
      </c>
      <c r="D2146" s="270" t="s">
        <v>1201</v>
      </c>
      <c r="E2146" s="327" t="s">
        <v>3103</v>
      </c>
      <c r="F2146" s="327"/>
      <c r="G2146" s="204"/>
      <c r="H2146" s="151"/>
      <c r="I2146" s="151"/>
      <c r="J2146" s="151"/>
      <c r="K2146" s="151"/>
      <c r="L2146" s="1"/>
      <c r="M2146" s="73">
        <f t="shared" si="264"/>
        <v>343400000</v>
      </c>
      <c r="N2146" s="73">
        <f t="shared" si="269"/>
        <v>340000000</v>
      </c>
      <c r="O2146" s="73">
        <f t="shared" si="263"/>
        <v>0</v>
      </c>
      <c r="P2146" s="73">
        <f t="shared" si="265"/>
        <v>0</v>
      </c>
      <c r="Q2146" s="73"/>
      <c r="R2146" s="73">
        <v>0</v>
      </c>
      <c r="S2146" s="75">
        <f t="shared" si="268"/>
        <v>683400000</v>
      </c>
      <c r="T2146" s="77">
        <v>0</v>
      </c>
      <c r="U2146" s="66">
        <v>40488</v>
      </c>
      <c r="V2146" s="79"/>
      <c r="W2146" s="66" t="s">
        <v>1606</v>
      </c>
      <c r="X2146" s="24" t="s">
        <v>1607</v>
      </c>
      <c r="Y2146" s="62"/>
      <c r="Z2146" s="169"/>
      <c r="AA2146" s="166" t="s">
        <v>12</v>
      </c>
      <c r="AB2146" s="152"/>
      <c r="AC2146" s="153"/>
      <c r="AD2146" s="154"/>
      <c r="AE2146" s="153"/>
      <c r="AF2146" s="153"/>
      <c r="AG2146" s="153"/>
      <c r="AH2146" s="153"/>
      <c r="AI2146" s="153"/>
      <c r="AJ2146" s="153"/>
      <c r="AK2146" s="153"/>
      <c r="AL2146" s="153"/>
      <c r="AM2146" s="153"/>
      <c r="AN2146" s="153"/>
      <c r="AO2146" s="153"/>
      <c r="AP2146" s="153">
        <v>2000</v>
      </c>
      <c r="AQ2146" s="153">
        <f>2000*56000</f>
        <v>112000000</v>
      </c>
      <c r="AR2146" s="153"/>
      <c r="AS2146" s="153"/>
      <c r="AT2146" s="153"/>
      <c r="AU2146" s="153"/>
      <c r="AV2146" s="153"/>
      <c r="AW2146" s="153"/>
      <c r="AX2146" s="153"/>
      <c r="AY2146" s="153"/>
      <c r="AZ2146" s="153"/>
      <c r="BA2146" s="153"/>
      <c r="BB2146" s="153"/>
      <c r="BC2146" s="153"/>
      <c r="BD2146" s="153"/>
      <c r="BE2146" s="153"/>
      <c r="BF2146" s="153"/>
      <c r="BG2146" s="153"/>
      <c r="BH2146" s="153"/>
      <c r="BI2146" s="153"/>
      <c r="BJ2146" s="153"/>
      <c r="BK2146" s="153"/>
      <c r="BL2146" s="153"/>
      <c r="BM2146" s="153"/>
      <c r="BN2146" s="153"/>
      <c r="BO2146" s="153"/>
      <c r="BP2146" s="153"/>
      <c r="BQ2146" s="153"/>
      <c r="BR2146" s="153"/>
      <c r="BS2146" s="153"/>
      <c r="BT2146" s="153"/>
      <c r="BU2146" s="153"/>
      <c r="BV2146" s="153"/>
      <c r="BW2146" s="153"/>
      <c r="BX2146" s="153">
        <v>2000</v>
      </c>
      <c r="BY2146" s="153">
        <f>2000*21000</f>
        <v>42000000</v>
      </c>
      <c r="BZ2146" s="153"/>
      <c r="CA2146" s="153"/>
      <c r="CB2146" s="153">
        <v>2000</v>
      </c>
      <c r="CC2146" s="153">
        <f>2000*18000</f>
        <v>36000000</v>
      </c>
      <c r="CD2146" s="155">
        <v>2000</v>
      </c>
      <c r="CE2146" s="156">
        <f>2000*37000</f>
        <v>74000000</v>
      </c>
      <c r="CF2146" s="155">
        <v>2000</v>
      </c>
      <c r="CG2146" s="156">
        <f>2000*39700</f>
        <v>79400000</v>
      </c>
      <c r="CH2146" s="155"/>
      <c r="CI2146" s="156"/>
      <c r="CJ2146" s="157">
        <f t="shared" si="266"/>
        <v>343400000</v>
      </c>
      <c r="CK2146" s="158"/>
      <c r="CL2146" s="159"/>
      <c r="CM2146" s="160">
        <f>2000+2000</f>
        <v>4000</v>
      </c>
      <c r="CN2146" s="161">
        <f>2000*85000+2000*85000</f>
        <v>340000000</v>
      </c>
      <c r="CO2146" s="162"/>
      <c r="CP2146" s="161"/>
      <c r="CQ2146" s="158"/>
      <c r="CR2146" s="159"/>
      <c r="CS2146" s="68"/>
      <c r="CT2146" s="163"/>
      <c r="EC2146" s="366" t="str">
        <f t="shared" si="267"/>
        <v>ANTIOQUIA_DEPARTAMENTO</v>
      </c>
      <c r="ED2146" s="367"/>
      <c r="EE2146" s="367"/>
      <c r="EF2146" s="368"/>
      <c r="EG2146" s="367"/>
      <c r="EH2146" s="367"/>
      <c r="EI2146" s="367"/>
    </row>
    <row r="2147" spans="1:139" s="164" customFormat="1" ht="38.25">
      <c r="A2147" s="235">
        <v>40527</v>
      </c>
      <c r="B2147" s="205" t="s">
        <v>1972</v>
      </c>
      <c r="C2147" s="205" t="s">
        <v>116</v>
      </c>
      <c r="D2147" s="270" t="s">
        <v>1201</v>
      </c>
      <c r="E2147" s="327" t="s">
        <v>3269</v>
      </c>
      <c r="F2147" s="327"/>
      <c r="G2147" s="204"/>
      <c r="H2147" s="151"/>
      <c r="I2147" s="151"/>
      <c r="J2147" s="151">
        <v>35</v>
      </c>
      <c r="K2147" s="151">
        <v>9</v>
      </c>
      <c r="L2147" s="1"/>
      <c r="M2147" s="73">
        <f t="shared" si="264"/>
        <v>0</v>
      </c>
      <c r="N2147" s="73">
        <f t="shared" si="269"/>
        <v>0</v>
      </c>
      <c r="O2147" s="73">
        <f t="shared" si="263"/>
        <v>0</v>
      </c>
      <c r="P2147" s="73">
        <f t="shared" si="265"/>
        <v>0</v>
      </c>
      <c r="Q2147" s="73"/>
      <c r="R2147" s="73">
        <v>0</v>
      </c>
      <c r="S2147" s="75">
        <f t="shared" si="268"/>
        <v>0</v>
      </c>
      <c r="T2147" s="77">
        <v>0</v>
      </c>
      <c r="U2147" s="66">
        <v>40596</v>
      </c>
      <c r="V2147" s="79"/>
      <c r="W2147" s="66" t="s">
        <v>1585</v>
      </c>
      <c r="X2147" s="24" t="s">
        <v>1586</v>
      </c>
      <c r="Y2147" s="62"/>
      <c r="Z2147" s="169" t="s">
        <v>894</v>
      </c>
      <c r="AA2147" s="166" t="s">
        <v>139</v>
      </c>
      <c r="AB2147" s="152"/>
      <c r="AC2147" s="153"/>
      <c r="AD2147" s="154"/>
      <c r="AE2147" s="153"/>
      <c r="AF2147" s="153"/>
      <c r="AG2147" s="153"/>
      <c r="AH2147" s="153"/>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c r="BI2147" s="153"/>
      <c r="BJ2147" s="153"/>
      <c r="BK2147" s="153"/>
      <c r="BL2147" s="153"/>
      <c r="BM2147" s="153"/>
      <c r="BN2147" s="153"/>
      <c r="BO2147" s="153"/>
      <c r="BP2147" s="153"/>
      <c r="BQ2147" s="153"/>
      <c r="BR2147" s="153"/>
      <c r="BS2147" s="153"/>
      <c r="BT2147" s="153"/>
      <c r="BU2147" s="153"/>
      <c r="BV2147" s="153"/>
      <c r="BW2147" s="153"/>
      <c r="BX2147" s="153"/>
      <c r="BY2147" s="153"/>
      <c r="BZ2147" s="153"/>
      <c r="CA2147" s="153"/>
      <c r="CB2147" s="153"/>
      <c r="CC2147" s="153"/>
      <c r="CD2147" s="155"/>
      <c r="CE2147" s="156"/>
      <c r="CF2147" s="155"/>
      <c r="CG2147" s="156"/>
      <c r="CH2147" s="155"/>
      <c r="CI2147" s="156"/>
      <c r="CJ2147" s="157">
        <f t="shared" si="266"/>
        <v>0</v>
      </c>
      <c r="CK2147" s="158"/>
      <c r="CL2147" s="159"/>
      <c r="CM2147" s="160"/>
      <c r="CN2147" s="161"/>
      <c r="CO2147" s="162"/>
      <c r="CP2147" s="161"/>
      <c r="CQ2147" s="158"/>
      <c r="CR2147" s="159"/>
      <c r="CS2147" s="68"/>
      <c r="CT2147" s="163"/>
      <c r="EC2147" s="366" t="str">
        <f t="shared" si="267"/>
        <v>ANTIOQUIA_DON MATIAS</v>
      </c>
      <c r="ED2147" s="367"/>
      <c r="EE2147" s="367"/>
      <c r="EF2147" s="368"/>
      <c r="EG2147" s="367"/>
      <c r="EH2147" s="367"/>
      <c r="EI2147" s="367"/>
    </row>
    <row r="2148" spans="1:139" s="164" customFormat="1" ht="25.5">
      <c r="A2148" s="235">
        <v>40527</v>
      </c>
      <c r="B2148" s="205" t="s">
        <v>1972</v>
      </c>
      <c r="C2148" s="205" t="s">
        <v>117</v>
      </c>
      <c r="D2148" s="270" t="s">
        <v>1201</v>
      </c>
      <c r="E2148" s="327" t="s">
        <v>3270</v>
      </c>
      <c r="F2148" s="327"/>
      <c r="G2148" s="204"/>
      <c r="H2148" s="151"/>
      <c r="I2148" s="151"/>
      <c r="J2148" s="151">
        <v>284</v>
      </c>
      <c r="K2148" s="151">
        <v>66</v>
      </c>
      <c r="L2148" s="1"/>
      <c r="M2148" s="73">
        <f t="shared" si="264"/>
        <v>0</v>
      </c>
      <c r="N2148" s="73">
        <f t="shared" si="269"/>
        <v>0</v>
      </c>
      <c r="O2148" s="73">
        <f t="shared" si="263"/>
        <v>0</v>
      </c>
      <c r="P2148" s="73">
        <f t="shared" si="265"/>
        <v>0</v>
      </c>
      <c r="Q2148" s="73"/>
      <c r="R2148" s="73">
        <v>0</v>
      </c>
      <c r="S2148" s="75">
        <f t="shared" si="268"/>
        <v>0</v>
      </c>
      <c r="T2148" s="77">
        <v>0</v>
      </c>
      <c r="U2148" s="66">
        <v>40596</v>
      </c>
      <c r="V2148" s="79"/>
      <c r="W2148" s="66" t="s">
        <v>1585</v>
      </c>
      <c r="X2148" s="24" t="s">
        <v>1586</v>
      </c>
      <c r="Y2148" s="62"/>
      <c r="Z2148" s="169" t="s">
        <v>894</v>
      </c>
      <c r="AA2148" s="166" t="s">
        <v>139</v>
      </c>
      <c r="AB2148" s="152"/>
      <c r="AC2148" s="153"/>
      <c r="AD2148" s="154"/>
      <c r="AE2148" s="153"/>
      <c r="AF2148" s="153"/>
      <c r="AG2148" s="153"/>
      <c r="AH2148" s="153"/>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c r="BI2148" s="153"/>
      <c r="BJ2148" s="153"/>
      <c r="BK2148" s="153"/>
      <c r="BL2148" s="153"/>
      <c r="BM2148" s="153"/>
      <c r="BN2148" s="153"/>
      <c r="BO2148" s="153"/>
      <c r="BP2148" s="153"/>
      <c r="BQ2148" s="153"/>
      <c r="BR2148" s="153"/>
      <c r="BS2148" s="153"/>
      <c r="BT2148" s="153"/>
      <c r="BU2148" s="153"/>
      <c r="BV2148" s="153"/>
      <c r="BW2148" s="153"/>
      <c r="BX2148" s="153"/>
      <c r="BY2148" s="153"/>
      <c r="BZ2148" s="153"/>
      <c r="CA2148" s="153"/>
      <c r="CB2148" s="153"/>
      <c r="CC2148" s="153"/>
      <c r="CD2148" s="155"/>
      <c r="CE2148" s="156"/>
      <c r="CF2148" s="155"/>
      <c r="CG2148" s="156"/>
      <c r="CH2148" s="155"/>
      <c r="CI2148" s="156"/>
      <c r="CJ2148" s="157">
        <f t="shared" si="266"/>
        <v>0</v>
      </c>
      <c r="CK2148" s="158"/>
      <c r="CL2148" s="159"/>
      <c r="CM2148" s="160"/>
      <c r="CN2148" s="161"/>
      <c r="CO2148" s="162"/>
      <c r="CP2148" s="161"/>
      <c r="CQ2148" s="158"/>
      <c r="CR2148" s="159"/>
      <c r="CS2148" s="68"/>
      <c r="CT2148" s="163"/>
      <c r="EC2148" s="366" t="str">
        <f t="shared" si="267"/>
        <v>ANTIOQUIA_EBEJICO</v>
      </c>
      <c r="ED2148" s="367"/>
      <c r="EE2148" s="367"/>
      <c r="EF2148" s="368"/>
      <c r="EG2148" s="367"/>
      <c r="EH2148" s="367"/>
      <c r="EI2148" s="367"/>
    </row>
    <row r="2149" spans="1:139" s="164" customFormat="1" ht="38.25">
      <c r="A2149" s="235">
        <v>40527</v>
      </c>
      <c r="B2149" s="205" t="s">
        <v>1972</v>
      </c>
      <c r="C2149" s="205" t="s">
        <v>118</v>
      </c>
      <c r="D2149" s="270" t="s">
        <v>1201</v>
      </c>
      <c r="E2149" s="327" t="s">
        <v>3277</v>
      </c>
      <c r="F2149" s="327"/>
      <c r="G2149" s="204"/>
      <c r="H2149" s="151"/>
      <c r="I2149" s="151"/>
      <c r="J2149" s="151">
        <v>555</v>
      </c>
      <c r="K2149" s="151">
        <v>167</v>
      </c>
      <c r="L2149" s="1"/>
      <c r="M2149" s="73">
        <f t="shared" si="264"/>
        <v>0</v>
      </c>
      <c r="N2149" s="73">
        <f t="shared" si="269"/>
        <v>0</v>
      </c>
      <c r="O2149" s="73">
        <f t="shared" si="263"/>
        <v>0</v>
      </c>
      <c r="P2149" s="73">
        <f t="shared" si="265"/>
        <v>0</v>
      </c>
      <c r="Q2149" s="73"/>
      <c r="R2149" s="73">
        <v>0</v>
      </c>
      <c r="S2149" s="75">
        <f t="shared" si="268"/>
        <v>0</v>
      </c>
      <c r="T2149" s="77">
        <v>0</v>
      </c>
      <c r="U2149" s="66">
        <v>40596</v>
      </c>
      <c r="V2149" s="79"/>
      <c r="W2149" s="66" t="s">
        <v>1585</v>
      </c>
      <c r="X2149" s="24" t="s">
        <v>1586</v>
      </c>
      <c r="Y2149" s="62"/>
      <c r="Z2149" s="169" t="s">
        <v>894</v>
      </c>
      <c r="AA2149" s="166" t="s">
        <v>139</v>
      </c>
      <c r="AB2149" s="152"/>
      <c r="AC2149" s="153"/>
      <c r="AD2149" s="154"/>
      <c r="AE2149" s="153"/>
      <c r="AF2149" s="153"/>
      <c r="AG2149" s="153"/>
      <c r="AH2149" s="153"/>
      <c r="AI2149" s="153"/>
      <c r="AJ2149" s="153"/>
      <c r="AK2149" s="153"/>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c r="BF2149" s="153"/>
      <c r="BG2149" s="153"/>
      <c r="BH2149" s="153"/>
      <c r="BI2149" s="153"/>
      <c r="BJ2149" s="153"/>
      <c r="BK2149" s="153"/>
      <c r="BL2149" s="153"/>
      <c r="BM2149" s="153"/>
      <c r="BN2149" s="153"/>
      <c r="BO2149" s="153"/>
      <c r="BP2149" s="153"/>
      <c r="BQ2149" s="153"/>
      <c r="BR2149" s="153"/>
      <c r="BS2149" s="153"/>
      <c r="BT2149" s="153"/>
      <c r="BU2149" s="153"/>
      <c r="BV2149" s="153"/>
      <c r="BW2149" s="153"/>
      <c r="BX2149" s="153"/>
      <c r="BY2149" s="153"/>
      <c r="BZ2149" s="153"/>
      <c r="CA2149" s="153"/>
      <c r="CB2149" s="153"/>
      <c r="CC2149" s="153"/>
      <c r="CD2149" s="155"/>
      <c r="CE2149" s="156"/>
      <c r="CF2149" s="155"/>
      <c r="CG2149" s="156"/>
      <c r="CH2149" s="155"/>
      <c r="CI2149" s="156"/>
      <c r="CJ2149" s="157">
        <f t="shared" si="266"/>
        <v>0</v>
      </c>
      <c r="CK2149" s="158"/>
      <c r="CL2149" s="159"/>
      <c r="CM2149" s="160"/>
      <c r="CN2149" s="161"/>
      <c r="CO2149" s="162"/>
      <c r="CP2149" s="161"/>
      <c r="CQ2149" s="158"/>
      <c r="CR2149" s="159"/>
      <c r="CS2149" s="68"/>
      <c r="CT2149" s="163"/>
      <c r="EC2149" s="366" t="str">
        <f t="shared" si="267"/>
        <v>ANTIOQUIA_GIRARDOTA</v>
      </c>
      <c r="ED2149" s="367"/>
      <c r="EE2149" s="367"/>
      <c r="EF2149" s="368"/>
      <c r="EG2149" s="367"/>
      <c r="EH2149" s="367"/>
      <c r="EI2149" s="367"/>
    </row>
    <row r="2150" spans="1:139" s="164" customFormat="1" ht="38.25">
      <c r="A2150" s="235">
        <v>40527</v>
      </c>
      <c r="B2150" s="205" t="s">
        <v>1972</v>
      </c>
      <c r="C2150" s="205" t="s">
        <v>119</v>
      </c>
      <c r="D2150" s="270" t="s">
        <v>1201</v>
      </c>
      <c r="E2150" s="327" t="s">
        <v>3278</v>
      </c>
      <c r="F2150" s="327"/>
      <c r="G2150" s="204"/>
      <c r="H2150" s="151"/>
      <c r="I2150" s="151"/>
      <c r="J2150" s="151">
        <v>110</v>
      </c>
      <c r="K2150" s="151">
        <v>27</v>
      </c>
      <c r="L2150" s="1"/>
      <c r="M2150" s="73">
        <f t="shared" si="264"/>
        <v>0</v>
      </c>
      <c r="N2150" s="73">
        <f t="shared" si="269"/>
        <v>0</v>
      </c>
      <c r="O2150" s="73">
        <f t="shared" si="263"/>
        <v>0</v>
      </c>
      <c r="P2150" s="73">
        <f t="shared" si="265"/>
        <v>0</v>
      </c>
      <c r="Q2150" s="73"/>
      <c r="R2150" s="73">
        <v>0</v>
      </c>
      <c r="S2150" s="75">
        <f t="shared" si="268"/>
        <v>0</v>
      </c>
      <c r="T2150" s="77">
        <v>0</v>
      </c>
      <c r="U2150" s="66">
        <v>40596</v>
      </c>
      <c r="V2150" s="79"/>
      <c r="W2150" s="66" t="s">
        <v>1585</v>
      </c>
      <c r="X2150" s="24" t="s">
        <v>1586</v>
      </c>
      <c r="Y2150" s="62"/>
      <c r="Z2150" s="169" t="s">
        <v>894</v>
      </c>
      <c r="AA2150" s="166" t="s">
        <v>139</v>
      </c>
      <c r="AB2150" s="152"/>
      <c r="AC2150" s="153"/>
      <c r="AD2150" s="154"/>
      <c r="AE2150" s="153"/>
      <c r="AF2150" s="153"/>
      <c r="AG2150" s="153"/>
      <c r="AH2150" s="153"/>
      <c r="AI2150" s="153"/>
      <c r="AJ2150" s="153"/>
      <c r="AK2150" s="153"/>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c r="BF2150" s="153"/>
      <c r="BG2150" s="153"/>
      <c r="BH2150" s="153"/>
      <c r="BI2150" s="153"/>
      <c r="BJ2150" s="153"/>
      <c r="BK2150" s="153"/>
      <c r="BL2150" s="153"/>
      <c r="BM2150" s="153"/>
      <c r="BN2150" s="153"/>
      <c r="BO2150" s="153"/>
      <c r="BP2150" s="153"/>
      <c r="BQ2150" s="153"/>
      <c r="BR2150" s="153"/>
      <c r="BS2150" s="153"/>
      <c r="BT2150" s="153"/>
      <c r="BU2150" s="153"/>
      <c r="BV2150" s="153"/>
      <c r="BW2150" s="153"/>
      <c r="BX2150" s="153"/>
      <c r="BY2150" s="153"/>
      <c r="BZ2150" s="153"/>
      <c r="CA2150" s="153"/>
      <c r="CB2150" s="153"/>
      <c r="CC2150" s="153"/>
      <c r="CD2150" s="155"/>
      <c r="CE2150" s="156"/>
      <c r="CF2150" s="155"/>
      <c r="CG2150" s="156"/>
      <c r="CH2150" s="155"/>
      <c r="CI2150" s="156"/>
      <c r="CJ2150" s="157">
        <f t="shared" si="266"/>
        <v>0</v>
      </c>
      <c r="CK2150" s="158"/>
      <c r="CL2150" s="159"/>
      <c r="CM2150" s="160"/>
      <c r="CN2150" s="161"/>
      <c r="CO2150" s="162"/>
      <c r="CP2150" s="161"/>
      <c r="CQ2150" s="158"/>
      <c r="CR2150" s="159"/>
      <c r="CS2150" s="68"/>
      <c r="CT2150" s="163"/>
      <c r="EC2150" s="366" t="str">
        <f t="shared" si="267"/>
        <v>ANTIOQUIA_GOMEZ PLATA</v>
      </c>
      <c r="ED2150" s="367"/>
      <c r="EE2150" s="367"/>
      <c r="EF2150" s="368"/>
      <c r="EG2150" s="367"/>
      <c r="EH2150" s="367"/>
      <c r="EI2150" s="367"/>
    </row>
    <row r="2151" spans="1:139" s="164" customFormat="1" ht="25.5">
      <c r="A2151" s="235">
        <v>40527</v>
      </c>
      <c r="B2151" s="205" t="s">
        <v>1972</v>
      </c>
      <c r="C2151" s="205" t="s">
        <v>1952</v>
      </c>
      <c r="D2151" s="270" t="s">
        <v>1201</v>
      </c>
      <c r="E2151" s="327" t="s">
        <v>3279</v>
      </c>
      <c r="F2151" s="327"/>
      <c r="G2151" s="204"/>
      <c r="H2151" s="151"/>
      <c r="I2151" s="151"/>
      <c r="J2151" s="151">
        <v>196</v>
      </c>
      <c r="K2151" s="151">
        <v>87</v>
      </c>
      <c r="L2151" s="1"/>
      <c r="M2151" s="73">
        <f t="shared" si="264"/>
        <v>0</v>
      </c>
      <c r="N2151" s="73">
        <f t="shared" si="269"/>
        <v>0</v>
      </c>
      <c r="O2151" s="73">
        <f t="shared" si="263"/>
        <v>0</v>
      </c>
      <c r="P2151" s="73">
        <f t="shared" si="265"/>
        <v>0</v>
      </c>
      <c r="Q2151" s="73"/>
      <c r="R2151" s="73">
        <v>0</v>
      </c>
      <c r="S2151" s="75">
        <f t="shared" si="268"/>
        <v>0</v>
      </c>
      <c r="T2151" s="77">
        <v>0</v>
      </c>
      <c r="U2151" s="66">
        <v>40596</v>
      </c>
      <c r="V2151" s="79"/>
      <c r="W2151" s="66" t="s">
        <v>1585</v>
      </c>
      <c r="X2151" s="24" t="s">
        <v>1586</v>
      </c>
      <c r="Y2151" s="62"/>
      <c r="Z2151" s="169" t="s">
        <v>894</v>
      </c>
      <c r="AA2151" s="166" t="s">
        <v>139</v>
      </c>
      <c r="AB2151" s="152"/>
      <c r="AC2151" s="153"/>
      <c r="AD2151" s="154"/>
      <c r="AE2151" s="153"/>
      <c r="AF2151" s="153"/>
      <c r="AG2151" s="153"/>
      <c r="AH2151" s="153"/>
      <c r="AI2151" s="153"/>
      <c r="AJ2151" s="153"/>
      <c r="AK2151" s="153"/>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c r="BF2151" s="153"/>
      <c r="BG2151" s="153"/>
      <c r="BH2151" s="153"/>
      <c r="BI2151" s="153"/>
      <c r="BJ2151" s="153"/>
      <c r="BK2151" s="153"/>
      <c r="BL2151" s="153"/>
      <c r="BM2151" s="153"/>
      <c r="BN2151" s="153"/>
      <c r="BO2151" s="153"/>
      <c r="BP2151" s="153"/>
      <c r="BQ2151" s="153"/>
      <c r="BR2151" s="153"/>
      <c r="BS2151" s="153"/>
      <c r="BT2151" s="153"/>
      <c r="BU2151" s="153"/>
      <c r="BV2151" s="153"/>
      <c r="BW2151" s="153"/>
      <c r="BX2151" s="153"/>
      <c r="BY2151" s="153"/>
      <c r="BZ2151" s="153"/>
      <c r="CA2151" s="153"/>
      <c r="CB2151" s="153"/>
      <c r="CC2151" s="153"/>
      <c r="CD2151" s="155"/>
      <c r="CE2151" s="156"/>
      <c r="CF2151" s="155"/>
      <c r="CG2151" s="156"/>
      <c r="CH2151" s="155"/>
      <c r="CI2151" s="156"/>
      <c r="CJ2151" s="157">
        <f t="shared" si="266"/>
        <v>0</v>
      </c>
      <c r="CK2151" s="158"/>
      <c r="CL2151" s="159"/>
      <c r="CM2151" s="160"/>
      <c r="CN2151" s="161"/>
      <c r="CO2151" s="162"/>
      <c r="CP2151" s="161"/>
      <c r="CQ2151" s="158"/>
      <c r="CR2151" s="159"/>
      <c r="CS2151" s="68"/>
      <c r="CT2151" s="163"/>
      <c r="EC2151" s="366" t="str">
        <f t="shared" si="267"/>
        <v>ANTIOQUIA_GRANADA</v>
      </c>
      <c r="ED2151" s="367"/>
      <c r="EE2151" s="367"/>
      <c r="EF2151" s="368"/>
      <c r="EG2151" s="367"/>
      <c r="EH2151" s="367"/>
      <c r="EI2151" s="367"/>
    </row>
    <row r="2152" spans="1:139" s="164" customFormat="1" ht="25.5">
      <c r="A2152" s="235">
        <v>40527</v>
      </c>
      <c r="B2152" s="205" t="s">
        <v>1972</v>
      </c>
      <c r="C2152" s="205" t="s">
        <v>120</v>
      </c>
      <c r="D2152" s="270" t="s">
        <v>1201</v>
      </c>
      <c r="E2152" s="327" t="s">
        <v>3282</v>
      </c>
      <c r="F2152" s="327"/>
      <c r="G2152" s="204"/>
      <c r="H2152" s="151"/>
      <c r="I2152" s="151"/>
      <c r="J2152" s="151">
        <v>67</v>
      </c>
      <c r="K2152" s="151">
        <v>15</v>
      </c>
      <c r="L2152" s="1"/>
      <c r="M2152" s="73">
        <f t="shared" si="264"/>
        <v>0</v>
      </c>
      <c r="N2152" s="73">
        <f t="shared" si="269"/>
        <v>0</v>
      </c>
      <c r="O2152" s="73">
        <f t="shared" si="263"/>
        <v>0</v>
      </c>
      <c r="P2152" s="73">
        <f t="shared" si="265"/>
        <v>0</v>
      </c>
      <c r="Q2152" s="73"/>
      <c r="R2152" s="73">
        <v>0</v>
      </c>
      <c r="S2152" s="75">
        <f t="shared" si="268"/>
        <v>0</v>
      </c>
      <c r="T2152" s="77">
        <v>0</v>
      </c>
      <c r="U2152" s="66">
        <v>40596</v>
      </c>
      <c r="V2152" s="79"/>
      <c r="W2152" s="66" t="s">
        <v>1585</v>
      </c>
      <c r="X2152" s="24" t="s">
        <v>1586</v>
      </c>
      <c r="Y2152" s="62"/>
      <c r="Z2152" s="169" t="s">
        <v>894</v>
      </c>
      <c r="AA2152" s="166" t="s">
        <v>139</v>
      </c>
      <c r="AB2152" s="152"/>
      <c r="AC2152" s="153"/>
      <c r="AD2152" s="154"/>
      <c r="AE2152" s="153"/>
      <c r="AF2152" s="153"/>
      <c r="AG2152" s="153"/>
      <c r="AH2152" s="153"/>
      <c r="AI2152" s="153"/>
      <c r="AJ2152" s="153"/>
      <c r="AK2152" s="153"/>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c r="BF2152" s="153"/>
      <c r="BG2152" s="153"/>
      <c r="BH2152" s="153"/>
      <c r="BI2152" s="153"/>
      <c r="BJ2152" s="153"/>
      <c r="BK2152" s="153"/>
      <c r="BL2152" s="153"/>
      <c r="BM2152" s="153"/>
      <c r="BN2152" s="153"/>
      <c r="BO2152" s="153"/>
      <c r="BP2152" s="153"/>
      <c r="BQ2152" s="153"/>
      <c r="BR2152" s="153"/>
      <c r="BS2152" s="153"/>
      <c r="BT2152" s="153"/>
      <c r="BU2152" s="153"/>
      <c r="BV2152" s="153"/>
      <c r="BW2152" s="153"/>
      <c r="BX2152" s="153"/>
      <c r="BY2152" s="153"/>
      <c r="BZ2152" s="153"/>
      <c r="CA2152" s="153"/>
      <c r="CB2152" s="153"/>
      <c r="CC2152" s="153"/>
      <c r="CD2152" s="155"/>
      <c r="CE2152" s="156"/>
      <c r="CF2152" s="155"/>
      <c r="CG2152" s="156"/>
      <c r="CH2152" s="155"/>
      <c r="CI2152" s="156"/>
      <c r="CJ2152" s="157">
        <f t="shared" si="266"/>
        <v>0</v>
      </c>
      <c r="CK2152" s="158"/>
      <c r="CL2152" s="159"/>
      <c r="CM2152" s="160"/>
      <c r="CN2152" s="161"/>
      <c r="CO2152" s="162"/>
      <c r="CP2152" s="161"/>
      <c r="CQ2152" s="158"/>
      <c r="CR2152" s="159"/>
      <c r="CS2152" s="68"/>
      <c r="CT2152" s="163"/>
      <c r="EC2152" s="366" t="str">
        <f t="shared" si="267"/>
        <v>ANTIOQUIA_GUATAPE</v>
      </c>
      <c r="ED2152" s="367"/>
      <c r="EE2152" s="367"/>
      <c r="EF2152" s="368"/>
      <c r="EG2152" s="367"/>
      <c r="EH2152" s="367"/>
      <c r="EI2152" s="367"/>
    </row>
    <row r="2153" spans="1:139" s="164" customFormat="1" ht="38.25">
      <c r="A2153" s="235">
        <v>40527</v>
      </c>
      <c r="B2153" s="205" t="s">
        <v>1972</v>
      </c>
      <c r="C2153" s="205" t="s">
        <v>121</v>
      </c>
      <c r="D2153" s="270" t="s">
        <v>1201</v>
      </c>
      <c r="E2153" s="327" t="s">
        <v>3283</v>
      </c>
      <c r="F2153" s="327"/>
      <c r="G2153" s="204"/>
      <c r="H2153" s="151"/>
      <c r="I2153" s="151"/>
      <c r="J2153" s="151">
        <v>626</v>
      </c>
      <c r="K2153" s="151">
        <v>191</v>
      </c>
      <c r="L2153" s="1"/>
      <c r="M2153" s="73">
        <f t="shared" si="264"/>
        <v>0</v>
      </c>
      <c r="N2153" s="73">
        <f t="shared" si="269"/>
        <v>0</v>
      </c>
      <c r="O2153" s="73">
        <f t="shared" si="263"/>
        <v>0</v>
      </c>
      <c r="P2153" s="73">
        <f t="shared" si="265"/>
        <v>0</v>
      </c>
      <c r="Q2153" s="73"/>
      <c r="R2153" s="73">
        <v>0</v>
      </c>
      <c r="S2153" s="75">
        <f t="shared" si="268"/>
        <v>0</v>
      </c>
      <c r="T2153" s="77">
        <v>0</v>
      </c>
      <c r="U2153" s="66">
        <v>40596</v>
      </c>
      <c r="V2153" s="79"/>
      <c r="W2153" s="66" t="s">
        <v>1585</v>
      </c>
      <c r="X2153" s="24" t="s">
        <v>1586</v>
      </c>
      <c r="Y2153" s="62"/>
      <c r="Z2153" s="169" t="s">
        <v>894</v>
      </c>
      <c r="AA2153" s="166" t="s">
        <v>139</v>
      </c>
      <c r="AB2153" s="152"/>
      <c r="AC2153" s="153"/>
      <c r="AD2153" s="154"/>
      <c r="AE2153" s="153"/>
      <c r="AF2153" s="153"/>
      <c r="AG2153" s="153"/>
      <c r="AH2153" s="153"/>
      <c r="AI2153" s="153"/>
      <c r="AJ2153" s="153"/>
      <c r="AK2153" s="153"/>
      <c r="AL2153" s="153"/>
      <c r="AM2153" s="153"/>
      <c r="AN2153" s="153"/>
      <c r="AO2153" s="153"/>
      <c r="AP2153" s="153"/>
      <c r="AQ2153" s="153"/>
      <c r="AR2153" s="153"/>
      <c r="AS2153" s="153"/>
      <c r="AT2153" s="153"/>
      <c r="AU2153" s="153"/>
      <c r="AV2153" s="153"/>
      <c r="AW2153" s="153"/>
      <c r="AX2153" s="153"/>
      <c r="AY2153" s="153"/>
      <c r="AZ2153" s="153"/>
      <c r="BA2153" s="153"/>
      <c r="BB2153" s="153"/>
      <c r="BC2153" s="153"/>
      <c r="BD2153" s="153"/>
      <c r="BE2153" s="153"/>
      <c r="BF2153" s="153"/>
      <c r="BG2153" s="153"/>
      <c r="BH2153" s="153"/>
      <c r="BI2153" s="153"/>
      <c r="BJ2153" s="153"/>
      <c r="BK2153" s="153"/>
      <c r="BL2153" s="153"/>
      <c r="BM2153" s="153"/>
      <c r="BN2153" s="153"/>
      <c r="BO2153" s="153"/>
      <c r="BP2153" s="153"/>
      <c r="BQ2153" s="153"/>
      <c r="BR2153" s="153"/>
      <c r="BS2153" s="153"/>
      <c r="BT2153" s="153"/>
      <c r="BU2153" s="153"/>
      <c r="BV2153" s="153"/>
      <c r="BW2153" s="153"/>
      <c r="BX2153" s="153"/>
      <c r="BY2153" s="153"/>
      <c r="BZ2153" s="153"/>
      <c r="CA2153" s="153"/>
      <c r="CB2153" s="153"/>
      <c r="CC2153" s="153"/>
      <c r="CD2153" s="155"/>
      <c r="CE2153" s="156"/>
      <c r="CF2153" s="155"/>
      <c r="CG2153" s="156"/>
      <c r="CH2153" s="155"/>
      <c r="CI2153" s="156"/>
      <c r="CJ2153" s="157">
        <f t="shared" si="266"/>
        <v>0</v>
      </c>
      <c r="CK2153" s="158"/>
      <c r="CL2153" s="159"/>
      <c r="CM2153" s="160"/>
      <c r="CN2153" s="161"/>
      <c r="CO2153" s="162"/>
      <c r="CP2153" s="161"/>
      <c r="CQ2153" s="158"/>
      <c r="CR2153" s="159"/>
      <c r="CS2153" s="68"/>
      <c r="CT2153" s="163"/>
      <c r="EC2153" s="366" t="str">
        <f t="shared" si="267"/>
        <v>ANTIOQUIA_HELICONIA</v>
      </c>
      <c r="ED2153" s="367"/>
      <c r="EE2153" s="367"/>
      <c r="EF2153" s="368"/>
      <c r="EG2153" s="367"/>
      <c r="EH2153" s="367"/>
      <c r="EI2153" s="367"/>
    </row>
    <row r="2154" spans="1:139" s="164" customFormat="1" ht="25.5">
      <c r="A2154" s="235">
        <v>40527</v>
      </c>
      <c r="B2154" s="205" t="s">
        <v>1972</v>
      </c>
      <c r="C2154" s="205" t="s">
        <v>122</v>
      </c>
      <c r="D2154" s="270" t="s">
        <v>1201</v>
      </c>
      <c r="E2154" s="327" t="s">
        <v>3284</v>
      </c>
      <c r="F2154" s="327"/>
      <c r="G2154" s="204"/>
      <c r="H2154" s="151"/>
      <c r="I2154" s="151"/>
      <c r="J2154" s="151">
        <v>119</v>
      </c>
      <c r="K2154" s="151">
        <v>32</v>
      </c>
      <c r="L2154" s="1"/>
      <c r="M2154" s="73">
        <f t="shared" si="264"/>
        <v>0</v>
      </c>
      <c r="N2154" s="73">
        <f t="shared" si="269"/>
        <v>0</v>
      </c>
      <c r="O2154" s="73">
        <f t="shared" si="263"/>
        <v>0</v>
      </c>
      <c r="P2154" s="73">
        <f t="shared" si="265"/>
        <v>0</v>
      </c>
      <c r="Q2154" s="73"/>
      <c r="R2154" s="73">
        <v>0</v>
      </c>
      <c r="S2154" s="75">
        <f t="shared" si="268"/>
        <v>0</v>
      </c>
      <c r="T2154" s="77">
        <v>0</v>
      </c>
      <c r="U2154" s="66">
        <v>40596</v>
      </c>
      <c r="V2154" s="79"/>
      <c r="W2154" s="66" t="s">
        <v>1585</v>
      </c>
      <c r="X2154" s="24" t="s">
        <v>1586</v>
      </c>
      <c r="Y2154" s="62"/>
      <c r="Z2154" s="169" t="s">
        <v>894</v>
      </c>
      <c r="AA2154" s="166" t="s">
        <v>139</v>
      </c>
      <c r="AB2154" s="152"/>
      <c r="AC2154" s="153"/>
      <c r="AD2154" s="154"/>
      <c r="AE2154" s="153"/>
      <c r="AF2154" s="153"/>
      <c r="AG2154" s="153"/>
      <c r="AH2154" s="153"/>
      <c r="AI2154" s="153"/>
      <c r="AJ2154" s="153"/>
      <c r="AK2154" s="153"/>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c r="BF2154" s="153"/>
      <c r="BG2154" s="153"/>
      <c r="BH2154" s="153"/>
      <c r="BI2154" s="153"/>
      <c r="BJ2154" s="153"/>
      <c r="BK2154" s="153"/>
      <c r="BL2154" s="153"/>
      <c r="BM2154" s="153"/>
      <c r="BN2154" s="153"/>
      <c r="BO2154" s="153"/>
      <c r="BP2154" s="153"/>
      <c r="BQ2154" s="153"/>
      <c r="BR2154" s="153"/>
      <c r="BS2154" s="153"/>
      <c r="BT2154" s="153"/>
      <c r="BU2154" s="153"/>
      <c r="BV2154" s="153"/>
      <c r="BW2154" s="153"/>
      <c r="BX2154" s="153"/>
      <c r="BY2154" s="153"/>
      <c r="BZ2154" s="153"/>
      <c r="CA2154" s="153"/>
      <c r="CB2154" s="153"/>
      <c r="CC2154" s="153"/>
      <c r="CD2154" s="155"/>
      <c r="CE2154" s="156"/>
      <c r="CF2154" s="155"/>
      <c r="CG2154" s="156"/>
      <c r="CH2154" s="155"/>
      <c r="CI2154" s="156"/>
      <c r="CJ2154" s="157">
        <f t="shared" si="266"/>
        <v>0</v>
      </c>
      <c r="CK2154" s="158"/>
      <c r="CL2154" s="159"/>
      <c r="CM2154" s="160"/>
      <c r="CN2154" s="161"/>
      <c r="CO2154" s="162"/>
      <c r="CP2154" s="161"/>
      <c r="CQ2154" s="158"/>
      <c r="CR2154" s="159"/>
      <c r="CS2154" s="68"/>
      <c r="CT2154" s="163"/>
      <c r="EC2154" s="366" t="str">
        <f t="shared" si="267"/>
        <v>ANTIOQUIA_HISPANIA</v>
      </c>
      <c r="ED2154" s="367"/>
      <c r="EE2154" s="367"/>
      <c r="EF2154" s="368"/>
      <c r="EG2154" s="367"/>
      <c r="EH2154" s="367"/>
      <c r="EI2154" s="367"/>
    </row>
    <row r="2155" spans="1:139" s="164" customFormat="1" ht="25.5">
      <c r="A2155" s="235">
        <v>40527</v>
      </c>
      <c r="B2155" s="205" t="s">
        <v>1972</v>
      </c>
      <c r="C2155" s="205" t="s">
        <v>123</v>
      </c>
      <c r="D2155" s="270" t="s">
        <v>1201</v>
      </c>
      <c r="E2155" s="327" t="s">
        <v>3286</v>
      </c>
      <c r="F2155" s="327"/>
      <c r="G2155" s="204"/>
      <c r="H2155" s="151"/>
      <c r="I2155" s="151"/>
      <c r="J2155" s="151">
        <v>758</v>
      </c>
      <c r="K2155" s="151">
        <v>251</v>
      </c>
      <c r="L2155" s="1"/>
      <c r="M2155" s="73">
        <f t="shared" si="264"/>
        <v>0</v>
      </c>
      <c r="N2155" s="73">
        <f t="shared" si="269"/>
        <v>0</v>
      </c>
      <c r="O2155" s="73">
        <f t="shared" si="263"/>
        <v>0</v>
      </c>
      <c r="P2155" s="73">
        <f t="shared" si="265"/>
        <v>0</v>
      </c>
      <c r="Q2155" s="73"/>
      <c r="R2155" s="73">
        <v>0</v>
      </c>
      <c r="S2155" s="75">
        <f t="shared" si="268"/>
        <v>0</v>
      </c>
      <c r="T2155" s="77">
        <v>0</v>
      </c>
      <c r="U2155" s="66">
        <v>40596</v>
      </c>
      <c r="V2155" s="79"/>
      <c r="W2155" s="66" t="s">
        <v>1585</v>
      </c>
      <c r="X2155" s="24" t="s">
        <v>1586</v>
      </c>
      <c r="Y2155" s="62"/>
      <c r="Z2155" s="169" t="s">
        <v>894</v>
      </c>
      <c r="AA2155" s="166" t="s">
        <v>139</v>
      </c>
      <c r="AB2155" s="152"/>
      <c r="AC2155" s="153"/>
      <c r="AD2155" s="154"/>
      <c r="AE2155" s="153"/>
      <c r="AF2155" s="153"/>
      <c r="AG2155" s="153"/>
      <c r="AH2155" s="153"/>
      <c r="AI2155" s="153"/>
      <c r="AJ2155" s="153"/>
      <c r="AK2155" s="153"/>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c r="BF2155" s="153"/>
      <c r="BG2155" s="153"/>
      <c r="BH2155" s="153"/>
      <c r="BI2155" s="153"/>
      <c r="BJ2155" s="153"/>
      <c r="BK2155" s="153"/>
      <c r="BL2155" s="153"/>
      <c r="BM2155" s="153"/>
      <c r="BN2155" s="153"/>
      <c r="BO2155" s="153"/>
      <c r="BP2155" s="153"/>
      <c r="BQ2155" s="153"/>
      <c r="BR2155" s="153"/>
      <c r="BS2155" s="153"/>
      <c r="BT2155" s="153"/>
      <c r="BU2155" s="153"/>
      <c r="BV2155" s="153"/>
      <c r="BW2155" s="153"/>
      <c r="BX2155" s="153"/>
      <c r="BY2155" s="153"/>
      <c r="BZ2155" s="153"/>
      <c r="CA2155" s="153"/>
      <c r="CB2155" s="153"/>
      <c r="CC2155" s="153"/>
      <c r="CD2155" s="155"/>
      <c r="CE2155" s="156"/>
      <c r="CF2155" s="155"/>
      <c r="CG2155" s="156"/>
      <c r="CH2155" s="155"/>
      <c r="CI2155" s="156"/>
      <c r="CJ2155" s="157">
        <f t="shared" si="266"/>
        <v>0</v>
      </c>
      <c r="CK2155" s="158"/>
      <c r="CL2155" s="159"/>
      <c r="CM2155" s="160"/>
      <c r="CN2155" s="161"/>
      <c r="CO2155" s="162"/>
      <c r="CP2155" s="161"/>
      <c r="CQ2155" s="158"/>
      <c r="CR2155" s="159"/>
      <c r="CS2155" s="68"/>
      <c r="CT2155" s="163"/>
      <c r="EC2155" s="366" t="str">
        <f t="shared" si="267"/>
        <v>ANTIOQUIA_ITUANGO</v>
      </c>
      <c r="ED2155" s="367"/>
      <c r="EE2155" s="367"/>
      <c r="EF2155" s="368"/>
      <c r="EG2155" s="367"/>
      <c r="EH2155" s="367"/>
      <c r="EI2155" s="367"/>
    </row>
    <row r="2156" spans="1:139" s="164" customFormat="1" ht="25.5">
      <c r="A2156" s="235">
        <v>40527</v>
      </c>
      <c r="B2156" s="205" t="s">
        <v>1972</v>
      </c>
      <c r="C2156" s="205" t="s">
        <v>124</v>
      </c>
      <c r="D2156" s="270" t="s">
        <v>1201</v>
      </c>
      <c r="E2156" s="327" t="s">
        <v>3289</v>
      </c>
      <c r="F2156" s="327"/>
      <c r="G2156" s="204"/>
      <c r="H2156" s="151"/>
      <c r="I2156" s="151"/>
      <c r="J2156" s="151">
        <v>94</v>
      </c>
      <c r="K2156" s="151">
        <v>18</v>
      </c>
      <c r="L2156" s="1"/>
      <c r="M2156" s="73">
        <f t="shared" si="264"/>
        <v>0</v>
      </c>
      <c r="N2156" s="73">
        <f t="shared" si="269"/>
        <v>0</v>
      </c>
      <c r="O2156" s="73">
        <f t="shared" si="263"/>
        <v>0</v>
      </c>
      <c r="P2156" s="73">
        <f t="shared" si="265"/>
        <v>0</v>
      </c>
      <c r="Q2156" s="73"/>
      <c r="R2156" s="73">
        <v>0</v>
      </c>
      <c r="S2156" s="75">
        <f t="shared" si="268"/>
        <v>0</v>
      </c>
      <c r="T2156" s="77">
        <v>0</v>
      </c>
      <c r="U2156" s="66">
        <v>40596</v>
      </c>
      <c r="V2156" s="79"/>
      <c r="W2156" s="66" t="s">
        <v>1585</v>
      </c>
      <c r="X2156" s="24" t="s">
        <v>1586</v>
      </c>
      <c r="Y2156" s="62"/>
      <c r="Z2156" s="169" t="s">
        <v>894</v>
      </c>
      <c r="AA2156" s="166" t="s">
        <v>139</v>
      </c>
      <c r="AB2156" s="152"/>
      <c r="AC2156" s="153"/>
      <c r="AD2156" s="154"/>
      <c r="AE2156" s="153"/>
      <c r="AF2156" s="153"/>
      <c r="AG2156" s="153"/>
      <c r="AH2156" s="153"/>
      <c r="AI2156" s="153"/>
      <c r="AJ2156" s="153"/>
      <c r="AK2156" s="153"/>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c r="BF2156" s="153"/>
      <c r="BG2156" s="153"/>
      <c r="BH2156" s="153"/>
      <c r="BI2156" s="153"/>
      <c r="BJ2156" s="153"/>
      <c r="BK2156" s="153"/>
      <c r="BL2156" s="153"/>
      <c r="BM2156" s="153"/>
      <c r="BN2156" s="153"/>
      <c r="BO2156" s="153"/>
      <c r="BP2156" s="153"/>
      <c r="BQ2156" s="153"/>
      <c r="BR2156" s="153"/>
      <c r="BS2156" s="153"/>
      <c r="BT2156" s="153"/>
      <c r="BU2156" s="153"/>
      <c r="BV2156" s="153"/>
      <c r="BW2156" s="153"/>
      <c r="BX2156" s="153"/>
      <c r="BY2156" s="153"/>
      <c r="BZ2156" s="153"/>
      <c r="CA2156" s="153"/>
      <c r="CB2156" s="153"/>
      <c r="CC2156" s="153"/>
      <c r="CD2156" s="155"/>
      <c r="CE2156" s="156"/>
      <c r="CF2156" s="155"/>
      <c r="CG2156" s="156"/>
      <c r="CH2156" s="155"/>
      <c r="CI2156" s="156"/>
      <c r="CJ2156" s="157">
        <f t="shared" si="266"/>
        <v>0</v>
      </c>
      <c r="CK2156" s="158"/>
      <c r="CL2156" s="159"/>
      <c r="CM2156" s="160"/>
      <c r="CN2156" s="161"/>
      <c r="CO2156" s="162"/>
      <c r="CP2156" s="161"/>
      <c r="CQ2156" s="158"/>
      <c r="CR2156" s="159"/>
      <c r="CS2156" s="68"/>
      <c r="CT2156" s="163"/>
      <c r="EC2156" s="366" t="str">
        <f t="shared" si="267"/>
        <v>ANTIOQUIA_LA CEJA</v>
      </c>
      <c r="ED2156" s="367"/>
      <c r="EE2156" s="367"/>
      <c r="EF2156" s="368"/>
      <c r="EG2156" s="367"/>
      <c r="EH2156" s="367"/>
      <c r="EI2156" s="367"/>
    </row>
    <row r="2157" spans="1:139" s="164" customFormat="1" ht="25.5">
      <c r="A2157" s="235">
        <v>40527</v>
      </c>
      <c r="B2157" s="205" t="s">
        <v>1972</v>
      </c>
      <c r="C2157" s="205" t="s">
        <v>125</v>
      </c>
      <c r="D2157" s="270" t="s">
        <v>1201</v>
      </c>
      <c r="E2157" s="327" t="s">
        <v>3293</v>
      </c>
      <c r="F2157" s="327"/>
      <c r="G2157" s="204"/>
      <c r="H2157" s="151"/>
      <c r="I2157" s="151"/>
      <c r="J2157" s="151">
        <v>417</v>
      </c>
      <c r="K2157" s="151">
        <v>101</v>
      </c>
      <c r="L2157" s="1"/>
      <c r="M2157" s="73">
        <f t="shared" si="264"/>
        <v>0</v>
      </c>
      <c r="N2157" s="73">
        <f t="shared" si="269"/>
        <v>0</v>
      </c>
      <c r="O2157" s="73">
        <f t="shared" si="263"/>
        <v>0</v>
      </c>
      <c r="P2157" s="73">
        <f t="shared" si="265"/>
        <v>0</v>
      </c>
      <c r="Q2157" s="73"/>
      <c r="R2157" s="73">
        <v>0</v>
      </c>
      <c r="S2157" s="75">
        <f t="shared" si="268"/>
        <v>0</v>
      </c>
      <c r="T2157" s="77">
        <v>0</v>
      </c>
      <c r="U2157" s="66">
        <v>40596</v>
      </c>
      <c r="V2157" s="79"/>
      <c r="W2157" s="66" t="s">
        <v>1585</v>
      </c>
      <c r="X2157" s="24" t="s">
        <v>1586</v>
      </c>
      <c r="Y2157" s="62"/>
      <c r="Z2157" s="169" t="s">
        <v>894</v>
      </c>
      <c r="AA2157" s="166" t="s">
        <v>139</v>
      </c>
      <c r="AB2157" s="152"/>
      <c r="AC2157" s="153"/>
      <c r="AD2157" s="154"/>
      <c r="AE2157" s="153"/>
      <c r="AF2157" s="153"/>
      <c r="AG2157" s="153"/>
      <c r="AH2157" s="153"/>
      <c r="AI2157" s="153"/>
      <c r="AJ2157" s="153"/>
      <c r="AK2157" s="153"/>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c r="BF2157" s="153"/>
      <c r="BG2157" s="153"/>
      <c r="BH2157" s="153"/>
      <c r="BI2157" s="153"/>
      <c r="BJ2157" s="153"/>
      <c r="BK2157" s="153"/>
      <c r="BL2157" s="153"/>
      <c r="BM2157" s="153"/>
      <c r="BN2157" s="153"/>
      <c r="BO2157" s="153"/>
      <c r="BP2157" s="153"/>
      <c r="BQ2157" s="153"/>
      <c r="BR2157" s="153"/>
      <c r="BS2157" s="153"/>
      <c r="BT2157" s="153"/>
      <c r="BU2157" s="153"/>
      <c r="BV2157" s="153"/>
      <c r="BW2157" s="153"/>
      <c r="BX2157" s="153"/>
      <c r="BY2157" s="153"/>
      <c r="BZ2157" s="153"/>
      <c r="CA2157" s="153"/>
      <c r="CB2157" s="153"/>
      <c r="CC2157" s="153"/>
      <c r="CD2157" s="155"/>
      <c r="CE2157" s="156"/>
      <c r="CF2157" s="155"/>
      <c r="CG2157" s="156"/>
      <c r="CH2157" s="155"/>
      <c r="CI2157" s="156"/>
      <c r="CJ2157" s="157">
        <f t="shared" si="266"/>
        <v>0</v>
      </c>
      <c r="CK2157" s="158"/>
      <c r="CL2157" s="159"/>
      <c r="CM2157" s="160"/>
      <c r="CN2157" s="161"/>
      <c r="CO2157" s="162"/>
      <c r="CP2157" s="161"/>
      <c r="CQ2157" s="158"/>
      <c r="CR2157" s="159"/>
      <c r="CS2157" s="68"/>
      <c r="CT2157" s="163"/>
      <c r="EC2157" s="366" t="str">
        <f t="shared" si="267"/>
        <v>ANTIOQUIA_LIBORINA</v>
      </c>
      <c r="ED2157" s="367"/>
      <c r="EE2157" s="367"/>
      <c r="EF2157" s="368"/>
      <c r="EG2157" s="367"/>
      <c r="EH2157" s="367"/>
      <c r="EI2157" s="367"/>
    </row>
    <row r="2158" spans="1:139" s="164" customFormat="1" ht="38.25">
      <c r="A2158" s="235">
        <v>40527</v>
      </c>
      <c r="B2158" s="205" t="s">
        <v>1972</v>
      </c>
      <c r="C2158" s="205" t="s">
        <v>126</v>
      </c>
      <c r="D2158" s="270" t="s">
        <v>1201</v>
      </c>
      <c r="E2158" s="327" t="s">
        <v>3295</v>
      </c>
      <c r="F2158" s="327"/>
      <c r="G2158" s="204"/>
      <c r="H2158" s="151"/>
      <c r="I2158" s="151"/>
      <c r="J2158" s="151">
        <v>106</v>
      </c>
      <c r="K2158" s="151">
        <v>22</v>
      </c>
      <c r="L2158" s="1"/>
      <c r="M2158" s="73">
        <f t="shared" si="264"/>
        <v>0</v>
      </c>
      <c r="N2158" s="73">
        <f t="shared" si="269"/>
        <v>0</v>
      </c>
      <c r="O2158" s="73">
        <f t="shared" si="263"/>
        <v>0</v>
      </c>
      <c r="P2158" s="73">
        <f t="shared" si="265"/>
        <v>0</v>
      </c>
      <c r="Q2158" s="73"/>
      <c r="R2158" s="73">
        <v>0</v>
      </c>
      <c r="S2158" s="75">
        <f t="shared" si="268"/>
        <v>0</v>
      </c>
      <c r="T2158" s="77">
        <v>0</v>
      </c>
      <c r="U2158" s="66">
        <v>40596</v>
      </c>
      <c r="V2158" s="79"/>
      <c r="W2158" s="66" t="s">
        <v>1585</v>
      </c>
      <c r="X2158" s="24" t="s">
        <v>1586</v>
      </c>
      <c r="Y2158" s="62"/>
      <c r="Z2158" s="169" t="s">
        <v>894</v>
      </c>
      <c r="AA2158" s="166" t="s">
        <v>139</v>
      </c>
      <c r="AB2158" s="152"/>
      <c r="AC2158" s="153"/>
      <c r="AD2158" s="154"/>
      <c r="AE2158" s="153"/>
      <c r="AF2158" s="153"/>
      <c r="AG2158" s="153"/>
      <c r="AH2158" s="153"/>
      <c r="AI2158" s="153"/>
      <c r="AJ2158" s="153"/>
      <c r="AK2158" s="153"/>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c r="BF2158" s="153"/>
      <c r="BG2158" s="153"/>
      <c r="BH2158" s="153"/>
      <c r="BI2158" s="153"/>
      <c r="BJ2158" s="153"/>
      <c r="BK2158" s="153"/>
      <c r="BL2158" s="153"/>
      <c r="BM2158" s="153"/>
      <c r="BN2158" s="153"/>
      <c r="BO2158" s="153"/>
      <c r="BP2158" s="153"/>
      <c r="BQ2158" s="153"/>
      <c r="BR2158" s="153"/>
      <c r="BS2158" s="153"/>
      <c r="BT2158" s="153"/>
      <c r="BU2158" s="153"/>
      <c r="BV2158" s="153"/>
      <c r="BW2158" s="153"/>
      <c r="BX2158" s="153"/>
      <c r="BY2158" s="153"/>
      <c r="BZ2158" s="153"/>
      <c r="CA2158" s="153"/>
      <c r="CB2158" s="153"/>
      <c r="CC2158" s="153"/>
      <c r="CD2158" s="155"/>
      <c r="CE2158" s="156"/>
      <c r="CF2158" s="155"/>
      <c r="CG2158" s="156"/>
      <c r="CH2158" s="155"/>
      <c r="CI2158" s="156"/>
      <c r="CJ2158" s="157">
        <f t="shared" si="266"/>
        <v>0</v>
      </c>
      <c r="CK2158" s="158"/>
      <c r="CL2158" s="159"/>
      <c r="CM2158" s="160"/>
      <c r="CN2158" s="161"/>
      <c r="CO2158" s="162"/>
      <c r="CP2158" s="161"/>
      <c r="CQ2158" s="158"/>
      <c r="CR2158" s="159"/>
      <c r="CS2158" s="68"/>
      <c r="CT2158" s="163"/>
      <c r="EC2158" s="366" t="str">
        <f t="shared" si="267"/>
        <v>ANTIOQUIA_MARINILLA</v>
      </c>
      <c r="ED2158" s="367"/>
      <c r="EE2158" s="367"/>
      <c r="EF2158" s="368"/>
      <c r="EG2158" s="367"/>
      <c r="EH2158" s="367"/>
      <c r="EI2158" s="367"/>
    </row>
    <row r="2159" spans="1:139" s="164" customFormat="1" ht="25.5">
      <c r="A2159" s="235">
        <v>40527</v>
      </c>
      <c r="B2159" s="205" t="s">
        <v>1972</v>
      </c>
      <c r="C2159" s="205" t="s">
        <v>3107</v>
      </c>
      <c r="D2159" s="270" t="s">
        <v>1201</v>
      </c>
      <c r="E2159" s="327" t="s">
        <v>3303</v>
      </c>
      <c r="F2159" s="327"/>
      <c r="G2159" s="204"/>
      <c r="H2159" s="151"/>
      <c r="I2159" s="151"/>
      <c r="J2159" s="151">
        <v>51</v>
      </c>
      <c r="K2159" s="151">
        <v>12</v>
      </c>
      <c r="L2159" s="1"/>
      <c r="M2159" s="73">
        <f t="shared" si="264"/>
        <v>0</v>
      </c>
      <c r="N2159" s="73">
        <f t="shared" si="269"/>
        <v>0</v>
      </c>
      <c r="O2159" s="73">
        <f t="shared" si="263"/>
        <v>0</v>
      </c>
      <c r="P2159" s="73">
        <f t="shared" si="265"/>
        <v>0</v>
      </c>
      <c r="Q2159" s="73"/>
      <c r="R2159" s="73">
        <v>0</v>
      </c>
      <c r="S2159" s="75">
        <f t="shared" si="268"/>
        <v>0</v>
      </c>
      <c r="T2159" s="77">
        <v>0</v>
      </c>
      <c r="U2159" s="66">
        <v>40596</v>
      </c>
      <c r="V2159" s="79"/>
      <c r="W2159" s="66" t="s">
        <v>1585</v>
      </c>
      <c r="X2159" s="24" t="s">
        <v>1586</v>
      </c>
      <c r="Y2159" s="62"/>
      <c r="Z2159" s="169" t="s">
        <v>894</v>
      </c>
      <c r="AA2159" s="166" t="s">
        <v>139</v>
      </c>
      <c r="AB2159" s="152"/>
      <c r="AC2159" s="153"/>
      <c r="AD2159" s="154"/>
      <c r="AE2159" s="153"/>
      <c r="AF2159" s="153"/>
      <c r="AG2159" s="153"/>
      <c r="AH2159" s="153"/>
      <c r="AI2159" s="153"/>
      <c r="AJ2159" s="153"/>
      <c r="AK2159" s="153"/>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c r="BF2159" s="153"/>
      <c r="BG2159" s="153"/>
      <c r="BH2159" s="153"/>
      <c r="BI2159" s="153"/>
      <c r="BJ2159" s="153"/>
      <c r="BK2159" s="153"/>
      <c r="BL2159" s="153"/>
      <c r="BM2159" s="153"/>
      <c r="BN2159" s="153"/>
      <c r="BO2159" s="153"/>
      <c r="BP2159" s="153"/>
      <c r="BQ2159" s="153"/>
      <c r="BR2159" s="153"/>
      <c r="BS2159" s="153"/>
      <c r="BT2159" s="153"/>
      <c r="BU2159" s="153"/>
      <c r="BV2159" s="153"/>
      <c r="BW2159" s="153"/>
      <c r="BX2159" s="153"/>
      <c r="BY2159" s="153"/>
      <c r="BZ2159" s="153"/>
      <c r="CA2159" s="153"/>
      <c r="CB2159" s="153"/>
      <c r="CC2159" s="153"/>
      <c r="CD2159" s="155"/>
      <c r="CE2159" s="156"/>
      <c r="CF2159" s="155"/>
      <c r="CG2159" s="156"/>
      <c r="CH2159" s="155"/>
      <c r="CI2159" s="156"/>
      <c r="CJ2159" s="157">
        <f t="shared" si="266"/>
        <v>0</v>
      </c>
      <c r="CK2159" s="158"/>
      <c r="CL2159" s="159"/>
      <c r="CM2159" s="160"/>
      <c r="CN2159" s="161"/>
      <c r="CO2159" s="162"/>
      <c r="CP2159" s="161"/>
      <c r="CQ2159" s="158"/>
      <c r="CR2159" s="159"/>
      <c r="CS2159" s="68"/>
      <c r="CT2159" s="163"/>
      <c r="EC2159" s="366" t="str">
        <f t="shared" si="267"/>
        <v>ANTIOQUIA_PEÑOL</v>
      </c>
      <c r="ED2159" s="367"/>
      <c r="EE2159" s="367"/>
      <c r="EF2159" s="368"/>
      <c r="EG2159" s="367"/>
      <c r="EH2159" s="367"/>
      <c r="EI2159" s="367"/>
    </row>
    <row r="2160" spans="1:139" s="164" customFormat="1" ht="25.5">
      <c r="A2160" s="235">
        <v>40527</v>
      </c>
      <c r="B2160" s="205" t="s">
        <v>1972</v>
      </c>
      <c r="C2160" s="205" t="s">
        <v>127</v>
      </c>
      <c r="D2160" s="270" t="s">
        <v>1201</v>
      </c>
      <c r="E2160" s="327" t="s">
        <v>3304</v>
      </c>
      <c r="F2160" s="327"/>
      <c r="G2160" s="204"/>
      <c r="H2160" s="151"/>
      <c r="I2160" s="151"/>
      <c r="J2160" s="151">
        <v>332</v>
      </c>
      <c r="K2160" s="151">
        <v>77</v>
      </c>
      <c r="L2160" s="1"/>
      <c r="M2160" s="73">
        <f t="shared" si="264"/>
        <v>0</v>
      </c>
      <c r="N2160" s="73">
        <f t="shared" si="269"/>
        <v>0</v>
      </c>
      <c r="O2160" s="73">
        <f t="shared" si="263"/>
        <v>0</v>
      </c>
      <c r="P2160" s="73">
        <f t="shared" si="265"/>
        <v>0</v>
      </c>
      <c r="Q2160" s="73"/>
      <c r="R2160" s="73">
        <v>0</v>
      </c>
      <c r="S2160" s="75">
        <f t="shared" si="268"/>
        <v>0</v>
      </c>
      <c r="T2160" s="77">
        <v>0</v>
      </c>
      <c r="U2160" s="66">
        <v>40596</v>
      </c>
      <c r="V2160" s="79"/>
      <c r="W2160" s="66" t="s">
        <v>1585</v>
      </c>
      <c r="X2160" s="24" t="s">
        <v>1586</v>
      </c>
      <c r="Y2160" s="62"/>
      <c r="Z2160" s="169" t="s">
        <v>894</v>
      </c>
      <c r="AA2160" s="166" t="s">
        <v>139</v>
      </c>
      <c r="AB2160" s="152"/>
      <c r="AC2160" s="153"/>
      <c r="AD2160" s="154"/>
      <c r="AE2160" s="153"/>
      <c r="AF2160" s="153"/>
      <c r="AG2160" s="153"/>
      <c r="AH2160" s="153"/>
      <c r="AI2160" s="153"/>
      <c r="AJ2160" s="153"/>
      <c r="AK2160" s="153"/>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c r="BF2160" s="153"/>
      <c r="BG2160" s="153"/>
      <c r="BH2160" s="153"/>
      <c r="BI2160" s="153"/>
      <c r="BJ2160" s="153"/>
      <c r="BK2160" s="153"/>
      <c r="BL2160" s="153"/>
      <c r="BM2160" s="153"/>
      <c r="BN2160" s="153"/>
      <c r="BO2160" s="153"/>
      <c r="BP2160" s="153"/>
      <c r="BQ2160" s="153"/>
      <c r="BR2160" s="153"/>
      <c r="BS2160" s="153"/>
      <c r="BT2160" s="153"/>
      <c r="BU2160" s="153"/>
      <c r="BV2160" s="153"/>
      <c r="BW2160" s="153"/>
      <c r="BX2160" s="153"/>
      <c r="BY2160" s="153"/>
      <c r="BZ2160" s="153"/>
      <c r="CA2160" s="153"/>
      <c r="CB2160" s="153"/>
      <c r="CC2160" s="153"/>
      <c r="CD2160" s="155"/>
      <c r="CE2160" s="156"/>
      <c r="CF2160" s="155"/>
      <c r="CG2160" s="156"/>
      <c r="CH2160" s="155"/>
      <c r="CI2160" s="156"/>
      <c r="CJ2160" s="157">
        <f t="shared" si="266"/>
        <v>0</v>
      </c>
      <c r="CK2160" s="158"/>
      <c r="CL2160" s="159"/>
      <c r="CM2160" s="160"/>
      <c r="CN2160" s="161"/>
      <c r="CO2160" s="162"/>
      <c r="CP2160" s="161"/>
      <c r="CQ2160" s="158"/>
      <c r="CR2160" s="159"/>
      <c r="CS2160" s="68"/>
      <c r="CT2160" s="163"/>
      <c r="EC2160" s="366" t="str">
        <f t="shared" si="267"/>
        <v>ANTIOQUIA_PEQUE</v>
      </c>
      <c r="ED2160" s="367"/>
      <c r="EE2160" s="367"/>
      <c r="EF2160" s="368"/>
      <c r="EG2160" s="367"/>
      <c r="EH2160" s="367"/>
      <c r="EI2160" s="367"/>
    </row>
    <row r="2161" spans="1:139" s="164" customFormat="1" ht="38.25">
      <c r="A2161" s="235">
        <v>40527</v>
      </c>
      <c r="B2161" s="205" t="s">
        <v>1972</v>
      </c>
      <c r="C2161" s="205" t="s">
        <v>128</v>
      </c>
      <c r="D2161" s="270" t="s">
        <v>1201</v>
      </c>
      <c r="E2161" s="327" t="s">
        <v>3305</v>
      </c>
      <c r="F2161" s="327"/>
      <c r="G2161" s="204"/>
      <c r="H2161" s="151"/>
      <c r="I2161" s="151"/>
      <c r="J2161" s="151">
        <v>235</v>
      </c>
      <c r="K2161" s="151">
        <v>55</v>
      </c>
      <c r="L2161" s="1"/>
      <c r="M2161" s="73">
        <f t="shared" si="264"/>
        <v>0</v>
      </c>
      <c r="N2161" s="73">
        <f t="shared" si="269"/>
        <v>0</v>
      </c>
      <c r="O2161" s="73">
        <f t="shared" si="263"/>
        <v>0</v>
      </c>
      <c r="P2161" s="73">
        <f t="shared" si="265"/>
        <v>0</v>
      </c>
      <c r="Q2161" s="73"/>
      <c r="R2161" s="73">
        <v>0</v>
      </c>
      <c r="S2161" s="75">
        <f t="shared" si="268"/>
        <v>0</v>
      </c>
      <c r="T2161" s="77">
        <v>0</v>
      </c>
      <c r="U2161" s="66">
        <v>40596</v>
      </c>
      <c r="V2161" s="79"/>
      <c r="W2161" s="66" t="s">
        <v>1585</v>
      </c>
      <c r="X2161" s="24" t="s">
        <v>1586</v>
      </c>
      <c r="Y2161" s="62"/>
      <c r="Z2161" s="169" t="s">
        <v>894</v>
      </c>
      <c r="AA2161" s="166" t="s">
        <v>139</v>
      </c>
      <c r="AB2161" s="152"/>
      <c r="AC2161" s="153"/>
      <c r="AD2161" s="154"/>
      <c r="AE2161" s="153"/>
      <c r="AF2161" s="153"/>
      <c r="AG2161" s="153"/>
      <c r="AH2161" s="153"/>
      <c r="AI2161" s="153"/>
      <c r="AJ2161" s="153"/>
      <c r="AK2161" s="153"/>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c r="BF2161" s="153"/>
      <c r="BG2161" s="153"/>
      <c r="BH2161" s="153"/>
      <c r="BI2161" s="153"/>
      <c r="BJ2161" s="153"/>
      <c r="BK2161" s="153"/>
      <c r="BL2161" s="153"/>
      <c r="BM2161" s="153"/>
      <c r="BN2161" s="153"/>
      <c r="BO2161" s="153"/>
      <c r="BP2161" s="153"/>
      <c r="BQ2161" s="153"/>
      <c r="BR2161" s="153"/>
      <c r="BS2161" s="153"/>
      <c r="BT2161" s="153"/>
      <c r="BU2161" s="153"/>
      <c r="BV2161" s="153"/>
      <c r="BW2161" s="153"/>
      <c r="BX2161" s="153"/>
      <c r="BY2161" s="153"/>
      <c r="BZ2161" s="153"/>
      <c r="CA2161" s="153"/>
      <c r="CB2161" s="153"/>
      <c r="CC2161" s="153"/>
      <c r="CD2161" s="155"/>
      <c r="CE2161" s="156"/>
      <c r="CF2161" s="155"/>
      <c r="CG2161" s="156"/>
      <c r="CH2161" s="155"/>
      <c r="CI2161" s="156"/>
      <c r="CJ2161" s="157">
        <f t="shared" si="266"/>
        <v>0</v>
      </c>
      <c r="CK2161" s="158"/>
      <c r="CL2161" s="159"/>
      <c r="CM2161" s="160"/>
      <c r="CN2161" s="161"/>
      <c r="CO2161" s="162"/>
      <c r="CP2161" s="161"/>
      <c r="CQ2161" s="158"/>
      <c r="CR2161" s="159"/>
      <c r="CS2161" s="68"/>
      <c r="CT2161" s="163"/>
      <c r="EC2161" s="366" t="str">
        <f t="shared" si="267"/>
        <v>ANTIOQUIA_PUEBLORRICO</v>
      </c>
      <c r="ED2161" s="367"/>
      <c r="EE2161" s="367"/>
      <c r="EF2161" s="368"/>
      <c r="EG2161" s="367"/>
      <c r="EH2161" s="367"/>
      <c r="EI2161" s="367"/>
    </row>
    <row r="2162" spans="1:139" s="164" customFormat="1" ht="25.5">
      <c r="A2162" s="235">
        <v>40527</v>
      </c>
      <c r="B2162" s="205" t="s">
        <v>1972</v>
      </c>
      <c r="C2162" s="205" t="s">
        <v>3108</v>
      </c>
      <c r="D2162" s="270" t="s">
        <v>1201</v>
      </c>
      <c r="E2162" s="327" t="s">
        <v>3310</v>
      </c>
      <c r="F2162" s="327"/>
      <c r="G2162" s="204"/>
      <c r="H2162" s="151"/>
      <c r="I2162" s="151"/>
      <c r="J2162" s="151">
        <v>36</v>
      </c>
      <c r="K2162" s="151">
        <v>17</v>
      </c>
      <c r="L2162" s="1"/>
      <c r="M2162" s="73">
        <f t="shared" si="264"/>
        <v>0</v>
      </c>
      <c r="N2162" s="73">
        <f t="shared" si="269"/>
        <v>0</v>
      </c>
      <c r="O2162" s="73">
        <f t="shared" si="263"/>
        <v>0</v>
      </c>
      <c r="P2162" s="73">
        <f t="shared" si="265"/>
        <v>0</v>
      </c>
      <c r="Q2162" s="73"/>
      <c r="R2162" s="73">
        <v>0</v>
      </c>
      <c r="S2162" s="75">
        <f t="shared" si="268"/>
        <v>0</v>
      </c>
      <c r="T2162" s="77">
        <v>0</v>
      </c>
      <c r="U2162" s="66">
        <v>40596</v>
      </c>
      <c r="V2162" s="79"/>
      <c r="W2162" s="66" t="s">
        <v>1585</v>
      </c>
      <c r="X2162" s="24" t="s">
        <v>1586</v>
      </c>
      <c r="Y2162" s="62"/>
      <c r="Z2162" s="169" t="s">
        <v>894</v>
      </c>
      <c r="AA2162" s="166" t="s">
        <v>139</v>
      </c>
      <c r="AB2162" s="152"/>
      <c r="AC2162" s="153"/>
      <c r="AD2162" s="154"/>
      <c r="AE2162" s="153"/>
      <c r="AF2162" s="153"/>
      <c r="AG2162" s="153"/>
      <c r="AH2162" s="153"/>
      <c r="AI2162" s="153"/>
      <c r="AJ2162" s="153"/>
      <c r="AK2162" s="153"/>
      <c r="AL2162" s="153"/>
      <c r="AM2162" s="153"/>
      <c r="AN2162" s="153"/>
      <c r="AO2162" s="153"/>
      <c r="AP2162" s="153"/>
      <c r="AQ2162" s="153"/>
      <c r="AR2162" s="153"/>
      <c r="AS2162" s="153"/>
      <c r="AT2162" s="153"/>
      <c r="AU2162" s="153"/>
      <c r="AV2162" s="153"/>
      <c r="AW2162" s="153"/>
      <c r="AX2162" s="153"/>
      <c r="AY2162" s="153"/>
      <c r="AZ2162" s="153"/>
      <c r="BA2162" s="153"/>
      <c r="BB2162" s="153"/>
      <c r="BC2162" s="153"/>
      <c r="BD2162" s="153"/>
      <c r="BE2162" s="153"/>
      <c r="BF2162" s="153"/>
      <c r="BG2162" s="153"/>
      <c r="BH2162" s="153"/>
      <c r="BI2162" s="153"/>
      <c r="BJ2162" s="153"/>
      <c r="BK2162" s="153"/>
      <c r="BL2162" s="153"/>
      <c r="BM2162" s="153"/>
      <c r="BN2162" s="153"/>
      <c r="BO2162" s="153"/>
      <c r="BP2162" s="153"/>
      <c r="BQ2162" s="153"/>
      <c r="BR2162" s="153"/>
      <c r="BS2162" s="153"/>
      <c r="BT2162" s="153"/>
      <c r="BU2162" s="153"/>
      <c r="BV2162" s="153"/>
      <c r="BW2162" s="153"/>
      <c r="BX2162" s="153"/>
      <c r="BY2162" s="153"/>
      <c r="BZ2162" s="153"/>
      <c r="CA2162" s="153"/>
      <c r="CB2162" s="153"/>
      <c r="CC2162" s="153"/>
      <c r="CD2162" s="155"/>
      <c r="CE2162" s="156"/>
      <c r="CF2162" s="155"/>
      <c r="CG2162" s="156"/>
      <c r="CH2162" s="155"/>
      <c r="CI2162" s="156"/>
      <c r="CJ2162" s="157">
        <f t="shared" si="266"/>
        <v>0</v>
      </c>
      <c r="CK2162" s="158"/>
      <c r="CL2162" s="159"/>
      <c r="CM2162" s="160"/>
      <c r="CN2162" s="161"/>
      <c r="CO2162" s="162"/>
      <c r="CP2162" s="161"/>
      <c r="CQ2162" s="158"/>
      <c r="CR2162" s="159"/>
      <c r="CS2162" s="68"/>
      <c r="CT2162" s="163"/>
      <c r="EC2162" s="366" t="str">
        <f t="shared" si="267"/>
        <v>ANTIOQUIA_RETIRO</v>
      </c>
      <c r="ED2162" s="367"/>
      <c r="EE2162" s="367"/>
      <c r="EF2162" s="368"/>
      <c r="EG2162" s="367"/>
      <c r="EH2162" s="367"/>
      <c r="EI2162" s="367"/>
    </row>
    <row r="2163" spans="1:139" s="164" customFormat="1" ht="38.25">
      <c r="A2163" s="235">
        <v>40527</v>
      </c>
      <c r="B2163" s="205" t="s">
        <v>1972</v>
      </c>
      <c r="C2163" s="205" t="s">
        <v>1057</v>
      </c>
      <c r="D2163" s="270" t="s">
        <v>1201</v>
      </c>
      <c r="E2163" s="327" t="s">
        <v>3312</v>
      </c>
      <c r="F2163" s="327"/>
      <c r="G2163" s="204"/>
      <c r="H2163" s="151"/>
      <c r="I2163" s="151"/>
      <c r="J2163" s="151">
        <v>89</v>
      </c>
      <c r="K2163" s="151">
        <v>22</v>
      </c>
      <c r="L2163" s="1"/>
      <c r="M2163" s="73">
        <f t="shared" si="264"/>
        <v>0</v>
      </c>
      <c r="N2163" s="73">
        <f t="shared" si="269"/>
        <v>0</v>
      </c>
      <c r="O2163" s="73">
        <f t="shared" si="263"/>
        <v>0</v>
      </c>
      <c r="P2163" s="73">
        <f t="shared" si="265"/>
        <v>0</v>
      </c>
      <c r="Q2163" s="73"/>
      <c r="R2163" s="73">
        <v>0</v>
      </c>
      <c r="S2163" s="75">
        <f t="shared" si="268"/>
        <v>0</v>
      </c>
      <c r="T2163" s="77">
        <v>0</v>
      </c>
      <c r="U2163" s="66">
        <v>40596</v>
      </c>
      <c r="V2163" s="79"/>
      <c r="W2163" s="66" t="s">
        <v>1585</v>
      </c>
      <c r="X2163" s="24" t="s">
        <v>1586</v>
      </c>
      <c r="Y2163" s="62"/>
      <c r="Z2163" s="169" t="s">
        <v>894</v>
      </c>
      <c r="AA2163" s="166" t="s">
        <v>139</v>
      </c>
      <c r="AB2163" s="152"/>
      <c r="AC2163" s="153"/>
      <c r="AD2163" s="154"/>
      <c r="AE2163" s="153"/>
      <c r="AF2163" s="153"/>
      <c r="AG2163" s="153"/>
      <c r="AH2163" s="153"/>
      <c r="AI2163" s="153"/>
      <c r="AJ2163" s="153"/>
      <c r="AK2163" s="153"/>
      <c r="AL2163" s="153"/>
      <c r="AM2163" s="153"/>
      <c r="AN2163" s="153"/>
      <c r="AO2163" s="153"/>
      <c r="AP2163" s="153"/>
      <c r="AQ2163" s="153"/>
      <c r="AR2163" s="153"/>
      <c r="AS2163" s="153"/>
      <c r="AT2163" s="153"/>
      <c r="AU2163" s="153"/>
      <c r="AV2163" s="153"/>
      <c r="AW2163" s="153"/>
      <c r="AX2163" s="153"/>
      <c r="AY2163" s="153"/>
      <c r="AZ2163" s="153"/>
      <c r="BA2163" s="153"/>
      <c r="BB2163" s="153"/>
      <c r="BC2163" s="153"/>
      <c r="BD2163" s="153"/>
      <c r="BE2163" s="153"/>
      <c r="BF2163" s="153"/>
      <c r="BG2163" s="153"/>
      <c r="BH2163" s="153"/>
      <c r="BI2163" s="153"/>
      <c r="BJ2163" s="153"/>
      <c r="BK2163" s="153"/>
      <c r="BL2163" s="153"/>
      <c r="BM2163" s="153"/>
      <c r="BN2163" s="153"/>
      <c r="BO2163" s="153"/>
      <c r="BP2163" s="153"/>
      <c r="BQ2163" s="153"/>
      <c r="BR2163" s="153"/>
      <c r="BS2163" s="153"/>
      <c r="BT2163" s="153"/>
      <c r="BU2163" s="153"/>
      <c r="BV2163" s="153"/>
      <c r="BW2163" s="153"/>
      <c r="BX2163" s="153"/>
      <c r="BY2163" s="153"/>
      <c r="BZ2163" s="153"/>
      <c r="CA2163" s="153"/>
      <c r="CB2163" s="153"/>
      <c r="CC2163" s="153"/>
      <c r="CD2163" s="155"/>
      <c r="CE2163" s="156"/>
      <c r="CF2163" s="155"/>
      <c r="CG2163" s="156"/>
      <c r="CH2163" s="155"/>
      <c r="CI2163" s="156"/>
      <c r="CJ2163" s="157">
        <f t="shared" si="266"/>
        <v>0</v>
      </c>
      <c r="CK2163" s="158"/>
      <c r="CL2163" s="159"/>
      <c r="CM2163" s="160"/>
      <c r="CN2163" s="161"/>
      <c r="CO2163" s="162"/>
      <c r="CP2163" s="161"/>
      <c r="CQ2163" s="158"/>
      <c r="CR2163" s="159"/>
      <c r="CS2163" s="68"/>
      <c r="CT2163" s="163"/>
      <c r="EC2163" s="366" t="str">
        <f t="shared" si="267"/>
        <v>ANTIOQUIA_SABANALARGA</v>
      </c>
      <c r="ED2163" s="367"/>
      <c r="EE2163" s="367"/>
      <c r="EF2163" s="368"/>
      <c r="EG2163" s="367"/>
      <c r="EH2163" s="367"/>
      <c r="EI2163" s="367"/>
    </row>
    <row r="2164" spans="1:139" s="164" customFormat="1" ht="38.25">
      <c r="A2164" s="235">
        <v>40527</v>
      </c>
      <c r="B2164" s="205" t="s">
        <v>1972</v>
      </c>
      <c r="C2164" s="205" t="s">
        <v>129</v>
      </c>
      <c r="D2164" s="270" t="s">
        <v>1201</v>
      </c>
      <c r="E2164" s="327" t="s">
        <v>3313</v>
      </c>
      <c r="F2164" s="327"/>
      <c r="G2164" s="204"/>
      <c r="H2164" s="151"/>
      <c r="I2164" s="151"/>
      <c r="J2164" s="151">
        <v>75</v>
      </c>
      <c r="K2164" s="151">
        <v>21</v>
      </c>
      <c r="L2164" s="1"/>
      <c r="M2164" s="73">
        <f t="shared" si="264"/>
        <v>0</v>
      </c>
      <c r="N2164" s="73">
        <f t="shared" si="269"/>
        <v>0</v>
      </c>
      <c r="O2164" s="73">
        <f t="shared" ref="O2164:O2227" si="270">CP2164+CR2164</f>
        <v>0</v>
      </c>
      <c r="P2164" s="73">
        <f t="shared" si="265"/>
        <v>0</v>
      </c>
      <c r="Q2164" s="73"/>
      <c r="R2164" s="73">
        <v>0</v>
      </c>
      <c r="S2164" s="75">
        <f t="shared" si="268"/>
        <v>0</v>
      </c>
      <c r="T2164" s="77">
        <v>0</v>
      </c>
      <c r="U2164" s="66">
        <v>40596</v>
      </c>
      <c r="V2164" s="79"/>
      <c r="W2164" s="66" t="s">
        <v>1585</v>
      </c>
      <c r="X2164" s="24" t="s">
        <v>1586</v>
      </c>
      <c r="Y2164" s="62"/>
      <c r="Z2164" s="169" t="s">
        <v>894</v>
      </c>
      <c r="AA2164" s="166" t="s">
        <v>139</v>
      </c>
      <c r="AB2164" s="152"/>
      <c r="AC2164" s="153"/>
      <c r="AD2164" s="154"/>
      <c r="AE2164" s="153"/>
      <c r="AF2164" s="153"/>
      <c r="AG2164" s="153"/>
      <c r="AH2164" s="153"/>
      <c r="AI2164" s="153"/>
      <c r="AJ2164" s="153"/>
      <c r="AK2164" s="153"/>
      <c r="AL2164" s="153"/>
      <c r="AM2164" s="153"/>
      <c r="AN2164" s="153"/>
      <c r="AO2164" s="153"/>
      <c r="AP2164" s="153"/>
      <c r="AQ2164" s="153"/>
      <c r="AR2164" s="153"/>
      <c r="AS2164" s="153"/>
      <c r="AT2164" s="153"/>
      <c r="AU2164" s="153"/>
      <c r="AV2164" s="153"/>
      <c r="AW2164" s="153"/>
      <c r="AX2164" s="153"/>
      <c r="AY2164" s="153"/>
      <c r="AZ2164" s="153"/>
      <c r="BA2164" s="153"/>
      <c r="BB2164" s="153"/>
      <c r="BC2164" s="153"/>
      <c r="BD2164" s="153"/>
      <c r="BE2164" s="153"/>
      <c r="BF2164" s="153"/>
      <c r="BG2164" s="153"/>
      <c r="BH2164" s="153"/>
      <c r="BI2164" s="153"/>
      <c r="BJ2164" s="153"/>
      <c r="BK2164" s="153"/>
      <c r="BL2164" s="153"/>
      <c r="BM2164" s="153"/>
      <c r="BN2164" s="153"/>
      <c r="BO2164" s="153"/>
      <c r="BP2164" s="153"/>
      <c r="BQ2164" s="153"/>
      <c r="BR2164" s="153"/>
      <c r="BS2164" s="153"/>
      <c r="BT2164" s="153"/>
      <c r="BU2164" s="153"/>
      <c r="BV2164" s="153"/>
      <c r="BW2164" s="153"/>
      <c r="BX2164" s="153"/>
      <c r="BY2164" s="153"/>
      <c r="BZ2164" s="153"/>
      <c r="CA2164" s="153"/>
      <c r="CB2164" s="153"/>
      <c r="CC2164" s="153"/>
      <c r="CD2164" s="155"/>
      <c r="CE2164" s="156"/>
      <c r="CF2164" s="155"/>
      <c r="CG2164" s="156"/>
      <c r="CH2164" s="155"/>
      <c r="CI2164" s="156"/>
      <c r="CJ2164" s="157">
        <f t="shared" si="266"/>
        <v>0</v>
      </c>
      <c r="CK2164" s="158"/>
      <c r="CL2164" s="159"/>
      <c r="CM2164" s="160"/>
      <c r="CN2164" s="161"/>
      <c r="CO2164" s="162"/>
      <c r="CP2164" s="161"/>
      <c r="CQ2164" s="158"/>
      <c r="CR2164" s="159"/>
      <c r="CS2164" s="68"/>
      <c r="CT2164" s="163"/>
      <c r="EC2164" s="366" t="str">
        <f t="shared" si="267"/>
        <v>ANTIOQUIA_SABANETA</v>
      </c>
      <c r="ED2164" s="367"/>
      <c r="EE2164" s="367"/>
      <c r="EF2164" s="368"/>
      <c r="EG2164" s="367"/>
      <c r="EH2164" s="367"/>
      <c r="EI2164" s="367"/>
    </row>
    <row r="2165" spans="1:139" s="164" customFormat="1" ht="51">
      <c r="A2165" s="235">
        <v>40527</v>
      </c>
      <c r="B2165" s="205" t="s">
        <v>1972</v>
      </c>
      <c r="C2165" s="205" t="s">
        <v>2293</v>
      </c>
      <c r="D2165" s="270" t="s">
        <v>1201</v>
      </c>
      <c r="E2165" s="327" t="s">
        <v>3317</v>
      </c>
      <c r="F2165" s="327"/>
      <c r="G2165" s="204"/>
      <c r="H2165" s="151"/>
      <c r="I2165" s="151"/>
      <c r="J2165" s="151">
        <v>209</v>
      </c>
      <c r="K2165" s="151">
        <v>49</v>
      </c>
      <c r="L2165" s="1"/>
      <c r="M2165" s="73">
        <f t="shared" si="264"/>
        <v>0</v>
      </c>
      <c r="N2165" s="73">
        <f t="shared" si="269"/>
        <v>0</v>
      </c>
      <c r="O2165" s="73">
        <f t="shared" si="270"/>
        <v>0</v>
      </c>
      <c r="P2165" s="73">
        <f t="shared" si="265"/>
        <v>0</v>
      </c>
      <c r="Q2165" s="73"/>
      <c r="R2165" s="73">
        <v>0</v>
      </c>
      <c r="S2165" s="75">
        <f t="shared" si="268"/>
        <v>0</v>
      </c>
      <c r="T2165" s="77">
        <v>0</v>
      </c>
      <c r="U2165" s="66">
        <v>40596</v>
      </c>
      <c r="V2165" s="79"/>
      <c r="W2165" s="66" t="s">
        <v>1585</v>
      </c>
      <c r="X2165" s="24" t="s">
        <v>1586</v>
      </c>
      <c r="Y2165" s="62"/>
      <c r="Z2165" s="169" t="s">
        <v>894</v>
      </c>
      <c r="AA2165" s="166" t="s">
        <v>139</v>
      </c>
      <c r="AB2165" s="152"/>
      <c r="AC2165" s="153"/>
      <c r="AD2165" s="154"/>
      <c r="AE2165" s="153"/>
      <c r="AF2165" s="153"/>
      <c r="AG2165" s="153"/>
      <c r="AH2165" s="153"/>
      <c r="AI2165" s="153"/>
      <c r="AJ2165" s="153"/>
      <c r="AK2165" s="153"/>
      <c r="AL2165" s="153"/>
      <c r="AM2165" s="153"/>
      <c r="AN2165" s="153"/>
      <c r="AO2165" s="153"/>
      <c r="AP2165" s="153"/>
      <c r="AQ2165" s="153"/>
      <c r="AR2165" s="153"/>
      <c r="AS2165" s="153"/>
      <c r="AT2165" s="153"/>
      <c r="AU2165" s="153"/>
      <c r="AV2165" s="153"/>
      <c r="AW2165" s="153"/>
      <c r="AX2165" s="153"/>
      <c r="AY2165" s="153"/>
      <c r="AZ2165" s="153"/>
      <c r="BA2165" s="153"/>
      <c r="BB2165" s="153"/>
      <c r="BC2165" s="153"/>
      <c r="BD2165" s="153"/>
      <c r="BE2165" s="153"/>
      <c r="BF2165" s="153"/>
      <c r="BG2165" s="153"/>
      <c r="BH2165" s="153"/>
      <c r="BI2165" s="153"/>
      <c r="BJ2165" s="153"/>
      <c r="BK2165" s="153"/>
      <c r="BL2165" s="153"/>
      <c r="BM2165" s="153"/>
      <c r="BN2165" s="153"/>
      <c r="BO2165" s="153"/>
      <c r="BP2165" s="153"/>
      <c r="BQ2165" s="153"/>
      <c r="BR2165" s="153"/>
      <c r="BS2165" s="153"/>
      <c r="BT2165" s="153"/>
      <c r="BU2165" s="153"/>
      <c r="BV2165" s="153"/>
      <c r="BW2165" s="153"/>
      <c r="BX2165" s="153"/>
      <c r="BY2165" s="153"/>
      <c r="BZ2165" s="153"/>
      <c r="CA2165" s="153"/>
      <c r="CB2165" s="153"/>
      <c r="CC2165" s="153"/>
      <c r="CD2165" s="155"/>
      <c r="CE2165" s="156"/>
      <c r="CF2165" s="155"/>
      <c r="CG2165" s="156"/>
      <c r="CH2165" s="155"/>
      <c r="CI2165" s="156"/>
      <c r="CJ2165" s="157">
        <f t="shared" si="266"/>
        <v>0</v>
      </c>
      <c r="CK2165" s="158"/>
      <c r="CL2165" s="159"/>
      <c r="CM2165" s="160"/>
      <c r="CN2165" s="161"/>
      <c r="CO2165" s="162"/>
      <c r="CP2165" s="161"/>
      <c r="CQ2165" s="158"/>
      <c r="CR2165" s="159"/>
      <c r="CS2165" s="68"/>
      <c r="CT2165" s="163"/>
      <c r="EC2165" s="366" t="str">
        <f t="shared" si="267"/>
        <v>ANTIOQUIA_SAN FRANCISCO</v>
      </c>
      <c r="ED2165" s="367"/>
      <c r="EE2165" s="367"/>
      <c r="EF2165" s="368"/>
      <c r="EG2165" s="367"/>
      <c r="EH2165" s="367"/>
      <c r="EI2165" s="367"/>
    </row>
    <row r="2166" spans="1:139" s="164" customFormat="1" ht="38.25">
      <c r="A2166" s="235">
        <v>40527</v>
      </c>
      <c r="B2166" s="205" t="s">
        <v>1972</v>
      </c>
      <c r="C2166" s="205" t="s">
        <v>130</v>
      </c>
      <c r="D2166" s="270" t="s">
        <v>1201</v>
      </c>
      <c r="E2166" s="327" t="s">
        <v>3318</v>
      </c>
      <c r="F2166" s="327"/>
      <c r="G2166" s="204"/>
      <c r="H2166" s="151"/>
      <c r="I2166" s="151"/>
      <c r="J2166" s="151">
        <v>86</v>
      </c>
      <c r="K2166" s="151">
        <v>21</v>
      </c>
      <c r="L2166" s="1"/>
      <c r="M2166" s="73">
        <f t="shared" si="264"/>
        <v>0</v>
      </c>
      <c r="N2166" s="73">
        <f t="shared" si="269"/>
        <v>0</v>
      </c>
      <c r="O2166" s="73">
        <f t="shared" si="270"/>
        <v>0</v>
      </c>
      <c r="P2166" s="73">
        <f t="shared" si="265"/>
        <v>0</v>
      </c>
      <c r="Q2166" s="73"/>
      <c r="R2166" s="73">
        <v>0</v>
      </c>
      <c r="S2166" s="75">
        <f t="shared" si="268"/>
        <v>0</v>
      </c>
      <c r="T2166" s="77">
        <v>0</v>
      </c>
      <c r="U2166" s="66">
        <v>40596</v>
      </c>
      <c r="V2166" s="79"/>
      <c r="W2166" s="66" t="s">
        <v>1585</v>
      </c>
      <c r="X2166" s="24" t="s">
        <v>1586</v>
      </c>
      <c r="Y2166" s="62"/>
      <c r="Z2166" s="169" t="s">
        <v>894</v>
      </c>
      <c r="AA2166" s="166" t="s">
        <v>139</v>
      </c>
      <c r="AB2166" s="152"/>
      <c r="AC2166" s="153"/>
      <c r="AD2166" s="154"/>
      <c r="AE2166" s="153"/>
      <c r="AF2166" s="153"/>
      <c r="AG2166" s="153"/>
      <c r="AH2166" s="153"/>
      <c r="AI2166" s="153"/>
      <c r="AJ2166" s="153"/>
      <c r="AK2166" s="153"/>
      <c r="AL2166" s="153"/>
      <c r="AM2166" s="153"/>
      <c r="AN2166" s="153"/>
      <c r="AO2166" s="153"/>
      <c r="AP2166" s="153"/>
      <c r="AQ2166" s="153"/>
      <c r="AR2166" s="153"/>
      <c r="AS2166" s="153"/>
      <c r="AT2166" s="153"/>
      <c r="AU2166" s="153"/>
      <c r="AV2166" s="153"/>
      <c r="AW2166" s="153"/>
      <c r="AX2166" s="153"/>
      <c r="AY2166" s="153"/>
      <c r="AZ2166" s="153"/>
      <c r="BA2166" s="153"/>
      <c r="BB2166" s="153"/>
      <c r="BC2166" s="153"/>
      <c r="BD2166" s="153"/>
      <c r="BE2166" s="153"/>
      <c r="BF2166" s="153"/>
      <c r="BG2166" s="153"/>
      <c r="BH2166" s="153"/>
      <c r="BI2166" s="153"/>
      <c r="BJ2166" s="153"/>
      <c r="BK2166" s="153"/>
      <c r="BL2166" s="153"/>
      <c r="BM2166" s="153"/>
      <c r="BN2166" s="153"/>
      <c r="BO2166" s="153"/>
      <c r="BP2166" s="153"/>
      <c r="BQ2166" s="153"/>
      <c r="BR2166" s="153"/>
      <c r="BS2166" s="153"/>
      <c r="BT2166" s="153"/>
      <c r="BU2166" s="153"/>
      <c r="BV2166" s="153"/>
      <c r="BW2166" s="153"/>
      <c r="BX2166" s="153"/>
      <c r="BY2166" s="153"/>
      <c r="BZ2166" s="153"/>
      <c r="CA2166" s="153"/>
      <c r="CB2166" s="153"/>
      <c r="CC2166" s="153"/>
      <c r="CD2166" s="155"/>
      <c r="CE2166" s="156"/>
      <c r="CF2166" s="155"/>
      <c r="CG2166" s="156"/>
      <c r="CH2166" s="155"/>
      <c r="CI2166" s="156"/>
      <c r="CJ2166" s="157">
        <f t="shared" si="266"/>
        <v>0</v>
      </c>
      <c r="CK2166" s="158"/>
      <c r="CL2166" s="159"/>
      <c r="CM2166" s="160"/>
      <c r="CN2166" s="161"/>
      <c r="CO2166" s="162"/>
      <c r="CP2166" s="161"/>
      <c r="CQ2166" s="158"/>
      <c r="CR2166" s="159"/>
      <c r="CS2166" s="68"/>
      <c r="CT2166" s="163"/>
      <c r="EC2166" s="366" t="str">
        <f t="shared" si="267"/>
        <v>ANTIOQUIA_SAN JERONIMO</v>
      </c>
      <c r="ED2166" s="367"/>
      <c r="EE2166" s="367"/>
      <c r="EF2166" s="368"/>
      <c r="EG2166" s="367"/>
      <c r="EH2166" s="367"/>
      <c r="EI2166" s="367"/>
    </row>
    <row r="2167" spans="1:139" s="164" customFormat="1" ht="51">
      <c r="A2167" s="235">
        <v>40527</v>
      </c>
      <c r="B2167" s="205" t="s">
        <v>1972</v>
      </c>
      <c r="C2167" s="205" t="s">
        <v>131</v>
      </c>
      <c r="D2167" s="270" t="s">
        <v>1201</v>
      </c>
      <c r="E2167" s="327" t="s">
        <v>3319</v>
      </c>
      <c r="F2167" s="327"/>
      <c r="G2167" s="204"/>
      <c r="H2167" s="151"/>
      <c r="I2167" s="151"/>
      <c r="J2167" s="151">
        <v>176</v>
      </c>
      <c r="K2167" s="151">
        <v>51</v>
      </c>
      <c r="L2167" s="1"/>
      <c r="M2167" s="73">
        <f t="shared" si="264"/>
        <v>0</v>
      </c>
      <c r="N2167" s="73">
        <f t="shared" si="269"/>
        <v>0</v>
      </c>
      <c r="O2167" s="73">
        <f t="shared" si="270"/>
        <v>0</v>
      </c>
      <c r="P2167" s="73">
        <f t="shared" si="265"/>
        <v>0</v>
      </c>
      <c r="Q2167" s="73"/>
      <c r="R2167" s="73">
        <v>0</v>
      </c>
      <c r="S2167" s="75">
        <f t="shared" si="268"/>
        <v>0</v>
      </c>
      <c r="T2167" s="77">
        <v>0</v>
      </c>
      <c r="U2167" s="66">
        <v>40596</v>
      </c>
      <c r="V2167" s="79"/>
      <c r="W2167" s="66" t="s">
        <v>1585</v>
      </c>
      <c r="X2167" s="24" t="s">
        <v>1586</v>
      </c>
      <c r="Y2167" s="62"/>
      <c r="Z2167" s="169" t="s">
        <v>894</v>
      </c>
      <c r="AA2167" s="166" t="s">
        <v>139</v>
      </c>
      <c r="AB2167" s="152"/>
      <c r="AC2167" s="153"/>
      <c r="AD2167" s="154"/>
      <c r="AE2167" s="153"/>
      <c r="AF2167" s="153"/>
      <c r="AG2167" s="153"/>
      <c r="AH2167" s="153"/>
      <c r="AI2167" s="153"/>
      <c r="AJ2167" s="153"/>
      <c r="AK2167" s="153"/>
      <c r="AL2167" s="153"/>
      <c r="AM2167" s="153"/>
      <c r="AN2167" s="153"/>
      <c r="AO2167" s="153"/>
      <c r="AP2167" s="153"/>
      <c r="AQ2167" s="153"/>
      <c r="AR2167" s="153"/>
      <c r="AS2167" s="153"/>
      <c r="AT2167" s="153"/>
      <c r="AU2167" s="153"/>
      <c r="AV2167" s="153"/>
      <c r="AW2167" s="153"/>
      <c r="AX2167" s="153"/>
      <c r="AY2167" s="153"/>
      <c r="AZ2167" s="153"/>
      <c r="BA2167" s="153"/>
      <c r="BB2167" s="153"/>
      <c r="BC2167" s="153"/>
      <c r="BD2167" s="153"/>
      <c r="BE2167" s="153"/>
      <c r="BF2167" s="153"/>
      <c r="BG2167" s="153"/>
      <c r="BH2167" s="153"/>
      <c r="BI2167" s="153"/>
      <c r="BJ2167" s="153"/>
      <c r="BK2167" s="153"/>
      <c r="BL2167" s="153"/>
      <c r="BM2167" s="153"/>
      <c r="BN2167" s="153"/>
      <c r="BO2167" s="153"/>
      <c r="BP2167" s="153"/>
      <c r="BQ2167" s="153"/>
      <c r="BR2167" s="153"/>
      <c r="BS2167" s="153"/>
      <c r="BT2167" s="153"/>
      <c r="BU2167" s="153"/>
      <c r="BV2167" s="153"/>
      <c r="BW2167" s="153"/>
      <c r="BX2167" s="153"/>
      <c r="BY2167" s="153"/>
      <c r="BZ2167" s="153"/>
      <c r="CA2167" s="153"/>
      <c r="CB2167" s="153"/>
      <c r="CC2167" s="153"/>
      <c r="CD2167" s="155"/>
      <c r="CE2167" s="156"/>
      <c r="CF2167" s="155"/>
      <c r="CG2167" s="156"/>
      <c r="CH2167" s="155"/>
      <c r="CI2167" s="156"/>
      <c r="CJ2167" s="157">
        <f t="shared" si="266"/>
        <v>0</v>
      </c>
      <c r="CK2167" s="158"/>
      <c r="CL2167" s="159"/>
      <c r="CM2167" s="160"/>
      <c r="CN2167" s="161"/>
      <c r="CO2167" s="162"/>
      <c r="CP2167" s="161"/>
      <c r="CQ2167" s="158"/>
      <c r="CR2167" s="159"/>
      <c r="CS2167" s="68"/>
      <c r="CT2167" s="163"/>
      <c r="EC2167" s="366" t="str">
        <f t="shared" si="267"/>
        <v>ANTIOQUIA_SAN JOSE DE LA MONTAÑA</v>
      </c>
      <c r="ED2167" s="367"/>
      <c r="EE2167" s="367"/>
      <c r="EF2167" s="368"/>
      <c r="EG2167" s="367"/>
      <c r="EH2167" s="367"/>
      <c r="EI2167" s="367"/>
    </row>
    <row r="2168" spans="1:139" s="164" customFormat="1" ht="25.5">
      <c r="A2168" s="235">
        <v>40527</v>
      </c>
      <c r="B2168" s="205" t="s">
        <v>1972</v>
      </c>
      <c r="C2168" s="205" t="s">
        <v>2286</v>
      </c>
      <c r="D2168" s="270" t="s">
        <v>1201</v>
      </c>
      <c r="E2168" s="327" t="s">
        <v>3321</v>
      </c>
      <c r="F2168" s="327"/>
      <c r="G2168" s="204"/>
      <c r="H2168" s="151"/>
      <c r="I2168" s="151"/>
      <c r="J2168" s="151">
        <v>178</v>
      </c>
      <c r="K2168" s="151">
        <v>60</v>
      </c>
      <c r="L2168" s="1"/>
      <c r="M2168" s="73">
        <f t="shared" si="264"/>
        <v>0</v>
      </c>
      <c r="N2168" s="73">
        <f t="shared" si="269"/>
        <v>0</v>
      </c>
      <c r="O2168" s="73">
        <f t="shared" si="270"/>
        <v>0</v>
      </c>
      <c r="P2168" s="73">
        <f t="shared" si="265"/>
        <v>0</v>
      </c>
      <c r="Q2168" s="73"/>
      <c r="R2168" s="73">
        <v>0</v>
      </c>
      <c r="S2168" s="75">
        <f t="shared" si="268"/>
        <v>0</v>
      </c>
      <c r="T2168" s="77">
        <v>0</v>
      </c>
      <c r="U2168" s="66">
        <v>40596</v>
      </c>
      <c r="V2168" s="79"/>
      <c r="W2168" s="66" t="s">
        <v>1585</v>
      </c>
      <c r="X2168" s="24" t="s">
        <v>1586</v>
      </c>
      <c r="Y2168" s="62"/>
      <c r="Z2168" s="169" t="s">
        <v>894</v>
      </c>
      <c r="AA2168" s="166" t="s">
        <v>139</v>
      </c>
      <c r="AB2168" s="152"/>
      <c r="AC2168" s="153"/>
      <c r="AD2168" s="154"/>
      <c r="AE2168" s="153"/>
      <c r="AF2168" s="153"/>
      <c r="AG2168" s="153"/>
      <c r="AH2168" s="153"/>
      <c r="AI2168" s="153"/>
      <c r="AJ2168" s="153"/>
      <c r="AK2168" s="153"/>
      <c r="AL2168" s="153"/>
      <c r="AM2168" s="153"/>
      <c r="AN2168" s="153"/>
      <c r="AO2168" s="153"/>
      <c r="AP2168" s="153"/>
      <c r="AQ2168" s="153"/>
      <c r="AR2168" s="153"/>
      <c r="AS2168" s="153"/>
      <c r="AT2168" s="153"/>
      <c r="AU2168" s="153"/>
      <c r="AV2168" s="153"/>
      <c r="AW2168" s="153"/>
      <c r="AX2168" s="153"/>
      <c r="AY2168" s="153"/>
      <c r="AZ2168" s="153"/>
      <c r="BA2168" s="153"/>
      <c r="BB2168" s="153"/>
      <c r="BC2168" s="153"/>
      <c r="BD2168" s="153"/>
      <c r="BE2168" s="153"/>
      <c r="BF2168" s="153"/>
      <c r="BG2168" s="153"/>
      <c r="BH2168" s="153"/>
      <c r="BI2168" s="153"/>
      <c r="BJ2168" s="153"/>
      <c r="BK2168" s="153"/>
      <c r="BL2168" s="153"/>
      <c r="BM2168" s="153"/>
      <c r="BN2168" s="153"/>
      <c r="BO2168" s="153"/>
      <c r="BP2168" s="153"/>
      <c r="BQ2168" s="153"/>
      <c r="BR2168" s="153"/>
      <c r="BS2168" s="153"/>
      <c r="BT2168" s="153"/>
      <c r="BU2168" s="153"/>
      <c r="BV2168" s="153"/>
      <c r="BW2168" s="153"/>
      <c r="BX2168" s="153"/>
      <c r="BY2168" s="153"/>
      <c r="BZ2168" s="153"/>
      <c r="CA2168" s="153"/>
      <c r="CB2168" s="153"/>
      <c r="CC2168" s="153"/>
      <c r="CD2168" s="155"/>
      <c r="CE2168" s="156"/>
      <c r="CF2168" s="155"/>
      <c r="CG2168" s="156"/>
      <c r="CH2168" s="155"/>
      <c r="CI2168" s="156"/>
      <c r="CJ2168" s="157">
        <f t="shared" si="266"/>
        <v>0</v>
      </c>
      <c r="CK2168" s="158"/>
      <c r="CL2168" s="159"/>
      <c r="CM2168" s="160"/>
      <c r="CN2168" s="161"/>
      <c r="CO2168" s="162"/>
      <c r="CP2168" s="161"/>
      <c r="CQ2168" s="158"/>
      <c r="CR2168" s="159"/>
      <c r="CS2168" s="68"/>
      <c r="CT2168" s="163"/>
      <c r="EC2168" s="366" t="str">
        <f t="shared" si="267"/>
        <v>ANTIOQUIA_SAN LUIS</v>
      </c>
      <c r="ED2168" s="367"/>
      <c r="EE2168" s="367"/>
      <c r="EF2168" s="368"/>
      <c r="EG2168" s="367"/>
      <c r="EH2168" s="367"/>
      <c r="EI2168" s="367"/>
    </row>
    <row r="2169" spans="1:139" s="164" customFormat="1" ht="38.25">
      <c r="A2169" s="288">
        <v>40527</v>
      </c>
      <c r="B2169" s="289" t="s">
        <v>1972</v>
      </c>
      <c r="C2169" s="289" t="s">
        <v>504</v>
      </c>
      <c r="D2169" s="290" t="s">
        <v>1201</v>
      </c>
      <c r="E2169" s="329" t="s">
        <v>3322</v>
      </c>
      <c r="F2169" s="329"/>
      <c r="G2169" s="316"/>
      <c r="H2169" s="291"/>
      <c r="I2169" s="291"/>
      <c r="J2169" s="291">
        <v>44</v>
      </c>
      <c r="K2169" s="291">
        <v>11</v>
      </c>
      <c r="L2169" s="292"/>
      <c r="M2169" s="293">
        <f t="shared" si="264"/>
        <v>0</v>
      </c>
      <c r="N2169" s="293">
        <f t="shared" si="269"/>
        <v>0</v>
      </c>
      <c r="O2169" s="293">
        <f t="shared" si="270"/>
        <v>0</v>
      </c>
      <c r="P2169" s="293">
        <f t="shared" si="265"/>
        <v>0</v>
      </c>
      <c r="Q2169" s="293"/>
      <c r="R2169" s="293">
        <v>0</v>
      </c>
      <c r="S2169" s="294">
        <f t="shared" si="268"/>
        <v>0</v>
      </c>
      <c r="T2169" s="295">
        <v>0</v>
      </c>
      <c r="U2169" s="296">
        <v>40596</v>
      </c>
      <c r="V2169" s="297"/>
      <c r="W2169" s="296" t="s">
        <v>1585</v>
      </c>
      <c r="X2169" s="298" t="s">
        <v>1586</v>
      </c>
      <c r="Y2169" s="299"/>
      <c r="Z2169" s="300" t="s">
        <v>894</v>
      </c>
      <c r="AA2169" s="301" t="s">
        <v>139</v>
      </c>
      <c r="AB2169" s="302"/>
      <c r="AC2169" s="303"/>
      <c r="AD2169" s="304"/>
      <c r="AE2169" s="303"/>
      <c r="AF2169" s="303"/>
      <c r="AG2169" s="303"/>
      <c r="AH2169" s="303"/>
      <c r="AI2169" s="303"/>
      <c r="AJ2169" s="303"/>
      <c r="AK2169" s="303"/>
      <c r="AL2169" s="303"/>
      <c r="AM2169" s="303"/>
      <c r="AN2169" s="303"/>
      <c r="AO2169" s="303"/>
      <c r="AP2169" s="303"/>
      <c r="AQ2169" s="303"/>
      <c r="AR2169" s="303"/>
      <c r="AS2169" s="303"/>
      <c r="AT2169" s="303"/>
      <c r="AU2169" s="303"/>
      <c r="AV2169" s="303"/>
      <c r="AW2169" s="303"/>
      <c r="AX2169" s="303"/>
      <c r="AY2169" s="303"/>
      <c r="AZ2169" s="303"/>
      <c r="BA2169" s="303"/>
      <c r="BB2169" s="303"/>
      <c r="BC2169" s="303"/>
      <c r="BD2169" s="303"/>
      <c r="BE2169" s="303"/>
      <c r="BF2169" s="303"/>
      <c r="BG2169" s="303"/>
      <c r="BH2169" s="303"/>
      <c r="BI2169" s="303"/>
      <c r="BJ2169" s="303"/>
      <c r="BK2169" s="303"/>
      <c r="BL2169" s="303"/>
      <c r="BM2169" s="303"/>
      <c r="BN2169" s="303"/>
      <c r="BO2169" s="303"/>
      <c r="BP2169" s="303"/>
      <c r="BQ2169" s="303"/>
      <c r="BR2169" s="303"/>
      <c r="BS2169" s="303"/>
      <c r="BT2169" s="303"/>
      <c r="BU2169" s="303"/>
      <c r="BV2169" s="303"/>
      <c r="BW2169" s="303"/>
      <c r="BX2169" s="303"/>
      <c r="BY2169" s="303"/>
      <c r="BZ2169" s="303"/>
      <c r="CA2169" s="303"/>
      <c r="CB2169" s="303"/>
      <c r="CC2169" s="303"/>
      <c r="CD2169" s="305"/>
      <c r="CE2169" s="306"/>
      <c r="CF2169" s="305"/>
      <c r="CG2169" s="306"/>
      <c r="CH2169" s="305"/>
      <c r="CI2169" s="306"/>
      <c r="CJ2169" s="307">
        <f t="shared" si="266"/>
        <v>0</v>
      </c>
      <c r="CK2169" s="308"/>
      <c r="CL2169" s="309"/>
      <c r="CM2169" s="310"/>
      <c r="CN2169" s="311"/>
      <c r="CO2169" s="312"/>
      <c r="CP2169" s="311"/>
      <c r="CQ2169" s="308"/>
      <c r="CR2169" s="309"/>
      <c r="CS2169" s="313"/>
      <c r="CT2169" s="314"/>
      <c r="EC2169" s="366" t="str">
        <f t="shared" si="267"/>
        <v>ANTIOQUIA_SAN PEDRO</v>
      </c>
      <c r="ED2169" s="367"/>
      <c r="EE2169" s="367"/>
      <c r="EF2169" s="368"/>
      <c r="EG2169" s="367"/>
      <c r="EH2169" s="367"/>
      <c r="EI2169" s="367"/>
    </row>
    <row r="2170" spans="1:139" s="164" customFormat="1" ht="38.25">
      <c r="A2170" s="235">
        <v>40527</v>
      </c>
      <c r="B2170" s="205" t="s">
        <v>1972</v>
      </c>
      <c r="C2170" s="205" t="s">
        <v>133</v>
      </c>
      <c r="D2170" s="270" t="s">
        <v>1201</v>
      </c>
      <c r="E2170" s="327" t="s">
        <v>3325</v>
      </c>
      <c r="F2170" s="327"/>
      <c r="G2170" s="204"/>
      <c r="H2170" s="151"/>
      <c r="I2170" s="151"/>
      <c r="J2170" s="151">
        <v>224</v>
      </c>
      <c r="K2170" s="151">
        <v>78</v>
      </c>
      <c r="L2170" s="1"/>
      <c r="M2170" s="73">
        <f t="shared" si="264"/>
        <v>0</v>
      </c>
      <c r="N2170" s="73">
        <f t="shared" si="269"/>
        <v>0</v>
      </c>
      <c r="O2170" s="73">
        <f t="shared" si="270"/>
        <v>0</v>
      </c>
      <c r="P2170" s="73">
        <f t="shared" si="265"/>
        <v>0</v>
      </c>
      <c r="Q2170" s="73"/>
      <c r="R2170" s="73">
        <v>0</v>
      </c>
      <c r="S2170" s="75">
        <f t="shared" si="268"/>
        <v>0</v>
      </c>
      <c r="T2170" s="77">
        <v>0</v>
      </c>
      <c r="U2170" s="66">
        <v>40596</v>
      </c>
      <c r="V2170" s="79"/>
      <c r="W2170" s="66" t="s">
        <v>1585</v>
      </c>
      <c r="X2170" s="24" t="s">
        <v>1586</v>
      </c>
      <c r="Y2170" s="62"/>
      <c r="Z2170" s="169" t="s">
        <v>894</v>
      </c>
      <c r="AA2170" s="166" t="s">
        <v>139</v>
      </c>
      <c r="AB2170" s="152"/>
      <c r="AC2170" s="153"/>
      <c r="AD2170" s="154"/>
      <c r="AE2170" s="153"/>
      <c r="AF2170" s="153"/>
      <c r="AG2170" s="153"/>
      <c r="AH2170" s="153"/>
      <c r="AI2170" s="153"/>
      <c r="AJ2170" s="153"/>
      <c r="AK2170" s="153"/>
      <c r="AL2170" s="153"/>
      <c r="AM2170" s="153"/>
      <c r="AN2170" s="153"/>
      <c r="AO2170" s="153"/>
      <c r="AP2170" s="153"/>
      <c r="AQ2170" s="153"/>
      <c r="AR2170" s="153"/>
      <c r="AS2170" s="153"/>
      <c r="AT2170" s="153"/>
      <c r="AU2170" s="153"/>
      <c r="AV2170" s="153"/>
      <c r="AW2170" s="153"/>
      <c r="AX2170" s="153"/>
      <c r="AY2170" s="153"/>
      <c r="AZ2170" s="153"/>
      <c r="BA2170" s="153"/>
      <c r="BB2170" s="153"/>
      <c r="BC2170" s="153"/>
      <c r="BD2170" s="153"/>
      <c r="BE2170" s="153"/>
      <c r="BF2170" s="153"/>
      <c r="BG2170" s="153"/>
      <c r="BH2170" s="153"/>
      <c r="BI2170" s="153"/>
      <c r="BJ2170" s="153"/>
      <c r="BK2170" s="153"/>
      <c r="BL2170" s="153"/>
      <c r="BM2170" s="153"/>
      <c r="BN2170" s="153"/>
      <c r="BO2170" s="153"/>
      <c r="BP2170" s="153"/>
      <c r="BQ2170" s="153"/>
      <c r="BR2170" s="153"/>
      <c r="BS2170" s="153"/>
      <c r="BT2170" s="153"/>
      <c r="BU2170" s="153"/>
      <c r="BV2170" s="153"/>
      <c r="BW2170" s="153"/>
      <c r="BX2170" s="153"/>
      <c r="BY2170" s="153"/>
      <c r="BZ2170" s="153"/>
      <c r="CA2170" s="153"/>
      <c r="CB2170" s="153"/>
      <c r="CC2170" s="153"/>
      <c r="CD2170" s="155"/>
      <c r="CE2170" s="156"/>
      <c r="CF2170" s="155"/>
      <c r="CG2170" s="156"/>
      <c r="CH2170" s="155"/>
      <c r="CI2170" s="156"/>
      <c r="CJ2170" s="157">
        <f t="shared" si="266"/>
        <v>0</v>
      </c>
      <c r="CK2170" s="158"/>
      <c r="CL2170" s="159"/>
      <c r="CM2170" s="160"/>
      <c r="CN2170" s="161"/>
      <c r="CO2170" s="162"/>
      <c r="CP2170" s="161"/>
      <c r="CQ2170" s="158"/>
      <c r="CR2170" s="159"/>
      <c r="CS2170" s="68"/>
      <c r="CT2170" s="163"/>
      <c r="EC2170" s="366" t="str">
        <f t="shared" si="267"/>
        <v>ANTIOQUIA_SAN ROQUE</v>
      </c>
      <c r="ED2170" s="367"/>
      <c r="EE2170" s="367"/>
      <c r="EF2170" s="368"/>
      <c r="EG2170" s="367"/>
      <c r="EH2170" s="367"/>
      <c r="EI2170" s="367"/>
    </row>
    <row r="2171" spans="1:139" s="164" customFormat="1" ht="38.25">
      <c r="A2171" s="235">
        <v>40527</v>
      </c>
      <c r="B2171" s="205" t="s">
        <v>1972</v>
      </c>
      <c r="C2171" s="205" t="s">
        <v>134</v>
      </c>
      <c r="D2171" s="270" t="s">
        <v>1201</v>
      </c>
      <c r="E2171" s="327" t="s">
        <v>3333</v>
      </c>
      <c r="F2171" s="327"/>
      <c r="G2171" s="204"/>
      <c r="H2171" s="151"/>
      <c r="I2171" s="151"/>
      <c r="J2171" s="151">
        <v>68</v>
      </c>
      <c r="K2171" s="151">
        <v>26</v>
      </c>
      <c r="L2171" s="1"/>
      <c r="M2171" s="73">
        <f t="shared" si="264"/>
        <v>0</v>
      </c>
      <c r="N2171" s="73">
        <f t="shared" si="269"/>
        <v>0</v>
      </c>
      <c r="O2171" s="73">
        <f t="shared" si="270"/>
        <v>0</v>
      </c>
      <c r="P2171" s="73">
        <f t="shared" si="265"/>
        <v>0</v>
      </c>
      <c r="Q2171" s="73"/>
      <c r="R2171" s="73">
        <v>0</v>
      </c>
      <c r="S2171" s="75">
        <f t="shared" si="268"/>
        <v>0</v>
      </c>
      <c r="T2171" s="77">
        <v>0</v>
      </c>
      <c r="U2171" s="66">
        <v>40596</v>
      </c>
      <c r="V2171" s="79"/>
      <c r="W2171" s="66" t="s">
        <v>1585</v>
      </c>
      <c r="X2171" s="24" t="s">
        <v>1586</v>
      </c>
      <c r="Y2171" s="62"/>
      <c r="Z2171" s="169" t="s">
        <v>894</v>
      </c>
      <c r="AA2171" s="166" t="s">
        <v>139</v>
      </c>
      <c r="AB2171" s="152"/>
      <c r="AC2171" s="153"/>
      <c r="AD2171" s="154"/>
      <c r="AE2171" s="153"/>
      <c r="AF2171" s="153"/>
      <c r="AG2171" s="153"/>
      <c r="AH2171" s="153"/>
      <c r="AI2171" s="153"/>
      <c r="AJ2171" s="153"/>
      <c r="AK2171" s="153"/>
      <c r="AL2171" s="153"/>
      <c r="AM2171" s="153"/>
      <c r="AN2171" s="153"/>
      <c r="AO2171" s="153"/>
      <c r="AP2171" s="153"/>
      <c r="AQ2171" s="153"/>
      <c r="AR2171" s="153"/>
      <c r="AS2171" s="153"/>
      <c r="AT2171" s="153"/>
      <c r="AU2171" s="153"/>
      <c r="AV2171" s="153"/>
      <c r="AW2171" s="153"/>
      <c r="AX2171" s="153"/>
      <c r="AY2171" s="153"/>
      <c r="AZ2171" s="153"/>
      <c r="BA2171" s="153"/>
      <c r="BB2171" s="153"/>
      <c r="BC2171" s="153"/>
      <c r="BD2171" s="153"/>
      <c r="BE2171" s="153"/>
      <c r="BF2171" s="153"/>
      <c r="BG2171" s="153"/>
      <c r="BH2171" s="153"/>
      <c r="BI2171" s="153"/>
      <c r="BJ2171" s="153"/>
      <c r="BK2171" s="153"/>
      <c r="BL2171" s="153"/>
      <c r="BM2171" s="153"/>
      <c r="BN2171" s="153"/>
      <c r="BO2171" s="153"/>
      <c r="BP2171" s="153"/>
      <c r="BQ2171" s="153"/>
      <c r="BR2171" s="153"/>
      <c r="BS2171" s="153"/>
      <c r="BT2171" s="153"/>
      <c r="BU2171" s="153"/>
      <c r="BV2171" s="153"/>
      <c r="BW2171" s="153"/>
      <c r="BX2171" s="153"/>
      <c r="BY2171" s="153"/>
      <c r="BZ2171" s="153"/>
      <c r="CA2171" s="153"/>
      <c r="CB2171" s="153"/>
      <c r="CC2171" s="153"/>
      <c r="CD2171" s="155"/>
      <c r="CE2171" s="156"/>
      <c r="CF2171" s="155"/>
      <c r="CG2171" s="156"/>
      <c r="CH2171" s="155"/>
      <c r="CI2171" s="156"/>
      <c r="CJ2171" s="157">
        <f t="shared" si="266"/>
        <v>0</v>
      </c>
      <c r="CK2171" s="158"/>
      <c r="CL2171" s="159"/>
      <c r="CM2171" s="160"/>
      <c r="CN2171" s="161"/>
      <c r="CO2171" s="162"/>
      <c r="CP2171" s="161"/>
      <c r="CQ2171" s="158"/>
      <c r="CR2171" s="159"/>
      <c r="CS2171" s="68"/>
      <c r="CT2171" s="163"/>
      <c r="EC2171" s="366" t="str">
        <f t="shared" si="267"/>
        <v>ANTIOQUIA_SOPETRAN</v>
      </c>
      <c r="ED2171" s="367"/>
      <c r="EE2171" s="367"/>
      <c r="EF2171" s="368"/>
      <c r="EG2171" s="367"/>
      <c r="EH2171" s="367"/>
      <c r="EI2171" s="367"/>
    </row>
    <row r="2172" spans="1:139" s="164" customFormat="1" ht="25.5">
      <c r="A2172" s="235">
        <v>40527</v>
      </c>
      <c r="B2172" s="205" t="s">
        <v>1972</v>
      </c>
      <c r="C2172" s="205" t="s">
        <v>1524</v>
      </c>
      <c r="D2172" s="270" t="s">
        <v>1201</v>
      </c>
      <c r="E2172" s="327" t="s">
        <v>3335</v>
      </c>
      <c r="F2172" s="327"/>
      <c r="G2172" s="204"/>
      <c r="H2172" s="151"/>
      <c r="I2172" s="151"/>
      <c r="J2172" s="151">
        <v>1114</v>
      </c>
      <c r="K2172" s="151">
        <v>284</v>
      </c>
      <c r="L2172" s="1"/>
      <c r="M2172" s="73">
        <f t="shared" si="264"/>
        <v>0</v>
      </c>
      <c r="N2172" s="73">
        <f t="shared" si="269"/>
        <v>0</v>
      </c>
      <c r="O2172" s="73">
        <f t="shared" si="270"/>
        <v>0</v>
      </c>
      <c r="P2172" s="73">
        <f t="shared" si="265"/>
        <v>0</v>
      </c>
      <c r="Q2172" s="73"/>
      <c r="R2172" s="73">
        <v>0</v>
      </c>
      <c r="S2172" s="75">
        <f t="shared" si="268"/>
        <v>0</v>
      </c>
      <c r="T2172" s="77">
        <v>0</v>
      </c>
      <c r="U2172" s="66">
        <v>40596</v>
      </c>
      <c r="V2172" s="79"/>
      <c r="W2172" s="66" t="s">
        <v>1585</v>
      </c>
      <c r="X2172" s="24" t="s">
        <v>1586</v>
      </c>
      <c r="Y2172" s="62"/>
      <c r="Z2172" s="169" t="s">
        <v>894</v>
      </c>
      <c r="AA2172" s="166" t="s">
        <v>139</v>
      </c>
      <c r="AB2172" s="152"/>
      <c r="AC2172" s="153"/>
      <c r="AD2172" s="154"/>
      <c r="AE2172" s="153"/>
      <c r="AF2172" s="153"/>
      <c r="AG2172" s="153"/>
      <c r="AH2172" s="153"/>
      <c r="AI2172" s="153"/>
      <c r="AJ2172" s="153"/>
      <c r="AK2172" s="153"/>
      <c r="AL2172" s="153"/>
      <c r="AM2172" s="153"/>
      <c r="AN2172" s="153"/>
      <c r="AO2172" s="153"/>
      <c r="AP2172" s="153"/>
      <c r="AQ2172" s="153"/>
      <c r="AR2172" s="153"/>
      <c r="AS2172" s="153"/>
      <c r="AT2172" s="153"/>
      <c r="AU2172" s="153"/>
      <c r="AV2172" s="153"/>
      <c r="AW2172" s="153"/>
      <c r="AX2172" s="153"/>
      <c r="AY2172" s="153"/>
      <c r="AZ2172" s="153"/>
      <c r="BA2172" s="153"/>
      <c r="BB2172" s="153"/>
      <c r="BC2172" s="153"/>
      <c r="BD2172" s="153"/>
      <c r="BE2172" s="153"/>
      <c r="BF2172" s="153"/>
      <c r="BG2172" s="153"/>
      <c r="BH2172" s="153"/>
      <c r="BI2172" s="153"/>
      <c r="BJ2172" s="153"/>
      <c r="BK2172" s="153"/>
      <c r="BL2172" s="153"/>
      <c r="BM2172" s="153"/>
      <c r="BN2172" s="153"/>
      <c r="BO2172" s="153"/>
      <c r="BP2172" s="153"/>
      <c r="BQ2172" s="153"/>
      <c r="BR2172" s="153"/>
      <c r="BS2172" s="153"/>
      <c r="BT2172" s="153"/>
      <c r="BU2172" s="153"/>
      <c r="BV2172" s="153"/>
      <c r="BW2172" s="153"/>
      <c r="BX2172" s="153"/>
      <c r="BY2172" s="153"/>
      <c r="BZ2172" s="153"/>
      <c r="CA2172" s="153"/>
      <c r="CB2172" s="153"/>
      <c r="CC2172" s="153"/>
      <c r="CD2172" s="155"/>
      <c r="CE2172" s="156"/>
      <c r="CF2172" s="155"/>
      <c r="CG2172" s="156"/>
      <c r="CH2172" s="155"/>
      <c r="CI2172" s="156"/>
      <c r="CJ2172" s="157">
        <f t="shared" si="266"/>
        <v>0</v>
      </c>
      <c r="CK2172" s="158"/>
      <c r="CL2172" s="159"/>
      <c r="CM2172" s="160"/>
      <c r="CN2172" s="161"/>
      <c r="CO2172" s="162"/>
      <c r="CP2172" s="161"/>
      <c r="CQ2172" s="158"/>
      <c r="CR2172" s="159"/>
      <c r="CS2172" s="68"/>
      <c r="CT2172" s="163"/>
      <c r="EC2172" s="366" t="str">
        <f t="shared" si="267"/>
        <v>ANTIOQUIA_TARAZA</v>
      </c>
      <c r="ED2172" s="367"/>
      <c r="EE2172" s="367"/>
      <c r="EF2172" s="368"/>
      <c r="EG2172" s="367"/>
      <c r="EH2172" s="367"/>
      <c r="EI2172" s="367"/>
    </row>
    <row r="2173" spans="1:139" s="164" customFormat="1" ht="25.5">
      <c r="A2173" s="235">
        <v>40527</v>
      </c>
      <c r="B2173" s="205" t="s">
        <v>1972</v>
      </c>
      <c r="C2173" s="205" t="s">
        <v>135</v>
      </c>
      <c r="D2173" s="270" t="s">
        <v>1201</v>
      </c>
      <c r="E2173" s="327" t="s">
        <v>3336</v>
      </c>
      <c r="F2173" s="327"/>
      <c r="G2173" s="204"/>
      <c r="H2173" s="151"/>
      <c r="I2173" s="151"/>
      <c r="J2173" s="151">
        <v>176</v>
      </c>
      <c r="K2173" s="151">
        <v>36</v>
      </c>
      <c r="L2173" s="1"/>
      <c r="M2173" s="73">
        <f t="shared" si="264"/>
        <v>0</v>
      </c>
      <c r="N2173" s="73">
        <f t="shared" si="269"/>
        <v>0</v>
      </c>
      <c r="O2173" s="73">
        <f t="shared" si="270"/>
        <v>0</v>
      </c>
      <c r="P2173" s="73">
        <f t="shared" si="265"/>
        <v>0</v>
      </c>
      <c r="Q2173" s="73"/>
      <c r="R2173" s="73">
        <v>0</v>
      </c>
      <c r="S2173" s="75">
        <f t="shared" si="268"/>
        <v>0</v>
      </c>
      <c r="T2173" s="77">
        <v>0</v>
      </c>
      <c r="U2173" s="66">
        <v>40596</v>
      </c>
      <c r="V2173" s="79"/>
      <c r="W2173" s="66" t="s">
        <v>1585</v>
      </c>
      <c r="X2173" s="24" t="s">
        <v>1586</v>
      </c>
      <c r="Y2173" s="62"/>
      <c r="Z2173" s="169" t="s">
        <v>894</v>
      </c>
      <c r="AA2173" s="166" t="s">
        <v>139</v>
      </c>
      <c r="AB2173" s="152"/>
      <c r="AC2173" s="153"/>
      <c r="AD2173" s="154"/>
      <c r="AE2173" s="153"/>
      <c r="AF2173" s="153"/>
      <c r="AG2173" s="153"/>
      <c r="AH2173" s="153"/>
      <c r="AI2173" s="153"/>
      <c r="AJ2173" s="153"/>
      <c r="AK2173" s="153"/>
      <c r="AL2173" s="153"/>
      <c r="AM2173" s="153"/>
      <c r="AN2173" s="153"/>
      <c r="AO2173" s="153"/>
      <c r="AP2173" s="153"/>
      <c r="AQ2173" s="153"/>
      <c r="AR2173" s="153"/>
      <c r="AS2173" s="153"/>
      <c r="AT2173" s="153"/>
      <c r="AU2173" s="153"/>
      <c r="AV2173" s="153"/>
      <c r="AW2173" s="153"/>
      <c r="AX2173" s="153"/>
      <c r="AY2173" s="153"/>
      <c r="AZ2173" s="153"/>
      <c r="BA2173" s="153"/>
      <c r="BB2173" s="153"/>
      <c r="BC2173" s="153"/>
      <c r="BD2173" s="153"/>
      <c r="BE2173" s="153"/>
      <c r="BF2173" s="153"/>
      <c r="BG2173" s="153"/>
      <c r="BH2173" s="153"/>
      <c r="BI2173" s="153"/>
      <c r="BJ2173" s="153"/>
      <c r="BK2173" s="153"/>
      <c r="BL2173" s="153"/>
      <c r="BM2173" s="153"/>
      <c r="BN2173" s="153"/>
      <c r="BO2173" s="153"/>
      <c r="BP2173" s="153"/>
      <c r="BQ2173" s="153"/>
      <c r="BR2173" s="153"/>
      <c r="BS2173" s="153"/>
      <c r="BT2173" s="153"/>
      <c r="BU2173" s="153"/>
      <c r="BV2173" s="153"/>
      <c r="BW2173" s="153"/>
      <c r="BX2173" s="153"/>
      <c r="BY2173" s="153"/>
      <c r="BZ2173" s="153"/>
      <c r="CA2173" s="153"/>
      <c r="CB2173" s="153"/>
      <c r="CC2173" s="153"/>
      <c r="CD2173" s="155"/>
      <c r="CE2173" s="156"/>
      <c r="CF2173" s="155"/>
      <c r="CG2173" s="156"/>
      <c r="CH2173" s="155"/>
      <c r="CI2173" s="156"/>
      <c r="CJ2173" s="157">
        <f t="shared" si="266"/>
        <v>0</v>
      </c>
      <c r="CK2173" s="158"/>
      <c r="CL2173" s="159"/>
      <c r="CM2173" s="160"/>
      <c r="CN2173" s="161"/>
      <c r="CO2173" s="162"/>
      <c r="CP2173" s="161"/>
      <c r="CQ2173" s="158"/>
      <c r="CR2173" s="159"/>
      <c r="CS2173" s="68"/>
      <c r="CT2173" s="163"/>
      <c r="EC2173" s="366" t="str">
        <f t="shared" si="267"/>
        <v>ANTIOQUIA_TARSO</v>
      </c>
      <c r="ED2173" s="367"/>
      <c r="EE2173" s="367"/>
      <c r="EF2173" s="368"/>
      <c r="EG2173" s="367"/>
      <c r="EH2173" s="367"/>
      <c r="EI2173" s="367"/>
    </row>
    <row r="2174" spans="1:139" s="164" customFormat="1" ht="25.5">
      <c r="A2174" s="235">
        <v>40527</v>
      </c>
      <c r="B2174" s="205" t="s">
        <v>1972</v>
      </c>
      <c r="C2174" s="205" t="s">
        <v>136</v>
      </c>
      <c r="D2174" s="270" t="s">
        <v>1201</v>
      </c>
      <c r="E2174" s="327" t="s">
        <v>3340</v>
      </c>
      <c r="F2174" s="327"/>
      <c r="G2174" s="204"/>
      <c r="H2174" s="151"/>
      <c r="I2174" s="151"/>
      <c r="J2174" s="151">
        <v>416</v>
      </c>
      <c r="K2174" s="151">
        <v>123</v>
      </c>
      <c r="L2174" s="1"/>
      <c r="M2174" s="73">
        <f t="shared" si="264"/>
        <v>0</v>
      </c>
      <c r="N2174" s="73">
        <f t="shared" si="269"/>
        <v>0</v>
      </c>
      <c r="O2174" s="73">
        <f t="shared" si="270"/>
        <v>0</v>
      </c>
      <c r="P2174" s="73">
        <f t="shared" si="265"/>
        <v>0</v>
      </c>
      <c r="Q2174" s="73"/>
      <c r="R2174" s="73">
        <v>0</v>
      </c>
      <c r="S2174" s="75">
        <f t="shared" si="268"/>
        <v>0</v>
      </c>
      <c r="T2174" s="77">
        <v>0</v>
      </c>
      <c r="U2174" s="66">
        <v>40596</v>
      </c>
      <c r="V2174" s="79"/>
      <c r="W2174" s="66" t="s">
        <v>1585</v>
      </c>
      <c r="X2174" s="24" t="s">
        <v>1586</v>
      </c>
      <c r="Y2174" s="62"/>
      <c r="Z2174" s="169" t="s">
        <v>894</v>
      </c>
      <c r="AA2174" s="166" t="s">
        <v>139</v>
      </c>
      <c r="AB2174" s="152"/>
      <c r="AC2174" s="153"/>
      <c r="AD2174" s="154"/>
      <c r="AE2174" s="153"/>
      <c r="AF2174" s="153"/>
      <c r="AG2174" s="153"/>
      <c r="AH2174" s="153"/>
      <c r="AI2174" s="153"/>
      <c r="AJ2174" s="153"/>
      <c r="AK2174" s="153"/>
      <c r="AL2174" s="153"/>
      <c r="AM2174" s="153"/>
      <c r="AN2174" s="153"/>
      <c r="AO2174" s="153"/>
      <c r="AP2174" s="153"/>
      <c r="AQ2174" s="153"/>
      <c r="AR2174" s="153"/>
      <c r="AS2174" s="153"/>
      <c r="AT2174" s="153"/>
      <c r="AU2174" s="153"/>
      <c r="AV2174" s="153"/>
      <c r="AW2174" s="153"/>
      <c r="AX2174" s="153"/>
      <c r="AY2174" s="153"/>
      <c r="AZ2174" s="153"/>
      <c r="BA2174" s="153"/>
      <c r="BB2174" s="153"/>
      <c r="BC2174" s="153"/>
      <c r="BD2174" s="153"/>
      <c r="BE2174" s="153"/>
      <c r="BF2174" s="153"/>
      <c r="BG2174" s="153"/>
      <c r="BH2174" s="153"/>
      <c r="BI2174" s="153"/>
      <c r="BJ2174" s="153"/>
      <c r="BK2174" s="153"/>
      <c r="BL2174" s="153"/>
      <c r="BM2174" s="153"/>
      <c r="BN2174" s="153"/>
      <c r="BO2174" s="153"/>
      <c r="BP2174" s="153"/>
      <c r="BQ2174" s="153"/>
      <c r="BR2174" s="153"/>
      <c r="BS2174" s="153"/>
      <c r="BT2174" s="153"/>
      <c r="BU2174" s="153"/>
      <c r="BV2174" s="153"/>
      <c r="BW2174" s="153"/>
      <c r="BX2174" s="153"/>
      <c r="BY2174" s="153"/>
      <c r="BZ2174" s="153"/>
      <c r="CA2174" s="153"/>
      <c r="CB2174" s="153"/>
      <c r="CC2174" s="153"/>
      <c r="CD2174" s="155"/>
      <c r="CE2174" s="156"/>
      <c r="CF2174" s="155"/>
      <c r="CG2174" s="156"/>
      <c r="CH2174" s="155"/>
      <c r="CI2174" s="156"/>
      <c r="CJ2174" s="157">
        <f t="shared" si="266"/>
        <v>0</v>
      </c>
      <c r="CK2174" s="158"/>
      <c r="CL2174" s="159"/>
      <c r="CM2174" s="160"/>
      <c r="CN2174" s="161"/>
      <c r="CO2174" s="162"/>
      <c r="CP2174" s="161"/>
      <c r="CQ2174" s="158"/>
      <c r="CR2174" s="159"/>
      <c r="CS2174" s="68"/>
      <c r="CT2174" s="163"/>
      <c r="EC2174" s="366" t="str">
        <f t="shared" si="267"/>
        <v>ANTIOQUIA_URAMITA</v>
      </c>
      <c r="ED2174" s="367"/>
      <c r="EE2174" s="367"/>
      <c r="EF2174" s="368"/>
      <c r="EG2174" s="367"/>
      <c r="EH2174" s="367"/>
      <c r="EI2174" s="367"/>
    </row>
    <row r="2175" spans="1:139" s="164" customFormat="1" ht="38.25">
      <c r="A2175" s="235">
        <v>40527</v>
      </c>
      <c r="B2175" s="205" t="s">
        <v>1972</v>
      </c>
      <c r="C2175" s="205" t="s">
        <v>137</v>
      </c>
      <c r="D2175" s="270" t="s">
        <v>1201</v>
      </c>
      <c r="E2175" s="327" t="s">
        <v>3343</v>
      </c>
      <c r="F2175" s="327"/>
      <c r="G2175" s="204"/>
      <c r="H2175" s="151"/>
      <c r="I2175" s="151"/>
      <c r="J2175" s="151">
        <v>106</v>
      </c>
      <c r="K2175" s="151">
        <v>28</v>
      </c>
      <c r="L2175" s="1"/>
      <c r="M2175" s="73">
        <f t="shared" si="264"/>
        <v>0</v>
      </c>
      <c r="N2175" s="73">
        <f t="shared" si="269"/>
        <v>0</v>
      </c>
      <c r="O2175" s="73">
        <f t="shared" si="270"/>
        <v>0</v>
      </c>
      <c r="P2175" s="73">
        <f t="shared" si="265"/>
        <v>0</v>
      </c>
      <c r="Q2175" s="73"/>
      <c r="R2175" s="73">
        <v>0</v>
      </c>
      <c r="S2175" s="75">
        <f t="shared" si="268"/>
        <v>0</v>
      </c>
      <c r="T2175" s="77">
        <v>0</v>
      </c>
      <c r="U2175" s="66">
        <v>40596</v>
      </c>
      <c r="V2175" s="79"/>
      <c r="W2175" s="66" t="s">
        <v>1585</v>
      </c>
      <c r="X2175" s="24" t="s">
        <v>1586</v>
      </c>
      <c r="Y2175" s="62"/>
      <c r="Z2175" s="169" t="s">
        <v>894</v>
      </c>
      <c r="AA2175" s="166" t="s">
        <v>139</v>
      </c>
      <c r="AB2175" s="152"/>
      <c r="AC2175" s="153"/>
      <c r="AD2175" s="154"/>
      <c r="AE2175" s="153"/>
      <c r="AF2175" s="153"/>
      <c r="AG2175" s="153"/>
      <c r="AH2175" s="153"/>
      <c r="AI2175" s="153"/>
      <c r="AJ2175" s="153"/>
      <c r="AK2175" s="153"/>
      <c r="AL2175" s="153"/>
      <c r="AM2175" s="153"/>
      <c r="AN2175" s="153"/>
      <c r="AO2175" s="153"/>
      <c r="AP2175" s="153"/>
      <c r="AQ2175" s="153"/>
      <c r="AR2175" s="153"/>
      <c r="AS2175" s="153"/>
      <c r="AT2175" s="153"/>
      <c r="AU2175" s="153"/>
      <c r="AV2175" s="153"/>
      <c r="AW2175" s="153"/>
      <c r="AX2175" s="153"/>
      <c r="AY2175" s="153"/>
      <c r="AZ2175" s="153"/>
      <c r="BA2175" s="153"/>
      <c r="BB2175" s="153"/>
      <c r="BC2175" s="153"/>
      <c r="BD2175" s="153"/>
      <c r="BE2175" s="153"/>
      <c r="BF2175" s="153"/>
      <c r="BG2175" s="153"/>
      <c r="BH2175" s="153"/>
      <c r="BI2175" s="153"/>
      <c r="BJ2175" s="153"/>
      <c r="BK2175" s="153"/>
      <c r="BL2175" s="153"/>
      <c r="BM2175" s="153"/>
      <c r="BN2175" s="153"/>
      <c r="BO2175" s="153"/>
      <c r="BP2175" s="153"/>
      <c r="BQ2175" s="153"/>
      <c r="BR2175" s="153"/>
      <c r="BS2175" s="153"/>
      <c r="BT2175" s="153"/>
      <c r="BU2175" s="153"/>
      <c r="BV2175" s="153"/>
      <c r="BW2175" s="153"/>
      <c r="BX2175" s="153"/>
      <c r="BY2175" s="153"/>
      <c r="BZ2175" s="153"/>
      <c r="CA2175" s="153"/>
      <c r="CB2175" s="153"/>
      <c r="CC2175" s="153"/>
      <c r="CD2175" s="155"/>
      <c r="CE2175" s="156"/>
      <c r="CF2175" s="155"/>
      <c r="CG2175" s="156"/>
      <c r="CH2175" s="155"/>
      <c r="CI2175" s="156"/>
      <c r="CJ2175" s="157">
        <f t="shared" si="266"/>
        <v>0</v>
      </c>
      <c r="CK2175" s="158"/>
      <c r="CL2175" s="159"/>
      <c r="CM2175" s="160"/>
      <c r="CN2175" s="161"/>
      <c r="CO2175" s="162"/>
      <c r="CP2175" s="161"/>
      <c r="CQ2175" s="158"/>
      <c r="CR2175" s="159"/>
      <c r="CS2175" s="68"/>
      <c r="CT2175" s="163"/>
      <c r="EC2175" s="366" t="str">
        <f t="shared" si="267"/>
        <v>ANTIOQUIA_VALPARAISO</v>
      </c>
      <c r="ED2175" s="367"/>
      <c r="EE2175" s="367"/>
      <c r="EF2175" s="368"/>
      <c r="EG2175" s="367"/>
      <c r="EH2175" s="367"/>
      <c r="EI2175" s="367"/>
    </row>
    <row r="2176" spans="1:139" s="164" customFormat="1" ht="25.5">
      <c r="A2176" s="235">
        <v>40527</v>
      </c>
      <c r="B2176" s="205" t="s">
        <v>1972</v>
      </c>
      <c r="C2176" s="205" t="s">
        <v>138</v>
      </c>
      <c r="D2176" s="270" t="s">
        <v>1201</v>
      </c>
      <c r="E2176" s="327" t="s">
        <v>3349</v>
      </c>
      <c r="F2176" s="327"/>
      <c r="G2176" s="204"/>
      <c r="H2176" s="151"/>
      <c r="I2176" s="151"/>
      <c r="J2176" s="151">
        <v>159</v>
      </c>
      <c r="K2176" s="151">
        <v>37</v>
      </c>
      <c r="L2176" s="1"/>
      <c r="M2176" s="73">
        <f t="shared" si="264"/>
        <v>0</v>
      </c>
      <c r="N2176" s="73">
        <f t="shared" si="269"/>
        <v>0</v>
      </c>
      <c r="O2176" s="73">
        <f t="shared" si="270"/>
        <v>0</v>
      </c>
      <c r="P2176" s="73">
        <f t="shared" si="265"/>
        <v>0</v>
      </c>
      <c r="Q2176" s="73"/>
      <c r="R2176" s="73">
        <v>0</v>
      </c>
      <c r="S2176" s="75">
        <f t="shared" si="268"/>
        <v>0</v>
      </c>
      <c r="T2176" s="77">
        <v>0</v>
      </c>
      <c r="U2176" s="66">
        <v>40596</v>
      </c>
      <c r="V2176" s="79"/>
      <c r="W2176" s="66" t="s">
        <v>1585</v>
      </c>
      <c r="X2176" s="24" t="s">
        <v>1586</v>
      </c>
      <c r="Y2176" s="62"/>
      <c r="Z2176" s="169" t="s">
        <v>894</v>
      </c>
      <c r="AA2176" s="166" t="s">
        <v>139</v>
      </c>
      <c r="AB2176" s="152"/>
      <c r="AC2176" s="153"/>
      <c r="AD2176" s="154"/>
      <c r="AE2176" s="153"/>
      <c r="AF2176" s="153"/>
      <c r="AG2176" s="153"/>
      <c r="AH2176" s="153"/>
      <c r="AI2176" s="153"/>
      <c r="AJ2176" s="153"/>
      <c r="AK2176" s="153"/>
      <c r="AL2176" s="153"/>
      <c r="AM2176" s="153"/>
      <c r="AN2176" s="153"/>
      <c r="AO2176" s="153"/>
      <c r="AP2176" s="153"/>
      <c r="AQ2176" s="153"/>
      <c r="AR2176" s="153"/>
      <c r="AS2176" s="153"/>
      <c r="AT2176" s="153"/>
      <c r="AU2176" s="153"/>
      <c r="AV2176" s="153"/>
      <c r="AW2176" s="153"/>
      <c r="AX2176" s="153"/>
      <c r="AY2176" s="153"/>
      <c r="AZ2176" s="153"/>
      <c r="BA2176" s="153"/>
      <c r="BB2176" s="153"/>
      <c r="BC2176" s="153"/>
      <c r="BD2176" s="153"/>
      <c r="BE2176" s="153"/>
      <c r="BF2176" s="153"/>
      <c r="BG2176" s="153"/>
      <c r="BH2176" s="153"/>
      <c r="BI2176" s="153"/>
      <c r="BJ2176" s="153"/>
      <c r="BK2176" s="153"/>
      <c r="BL2176" s="153"/>
      <c r="BM2176" s="153"/>
      <c r="BN2176" s="153"/>
      <c r="BO2176" s="153"/>
      <c r="BP2176" s="153"/>
      <c r="BQ2176" s="153"/>
      <c r="BR2176" s="153"/>
      <c r="BS2176" s="153"/>
      <c r="BT2176" s="153"/>
      <c r="BU2176" s="153"/>
      <c r="BV2176" s="153"/>
      <c r="BW2176" s="153"/>
      <c r="BX2176" s="153"/>
      <c r="BY2176" s="153"/>
      <c r="BZ2176" s="153"/>
      <c r="CA2176" s="153"/>
      <c r="CB2176" s="153"/>
      <c r="CC2176" s="153"/>
      <c r="CD2176" s="155"/>
      <c r="CE2176" s="156"/>
      <c r="CF2176" s="155"/>
      <c r="CG2176" s="156"/>
      <c r="CH2176" s="155"/>
      <c r="CI2176" s="156"/>
      <c r="CJ2176" s="157">
        <f t="shared" si="266"/>
        <v>0</v>
      </c>
      <c r="CK2176" s="158"/>
      <c r="CL2176" s="159"/>
      <c r="CM2176" s="160"/>
      <c r="CN2176" s="161"/>
      <c r="CO2176" s="162"/>
      <c r="CP2176" s="161"/>
      <c r="CQ2176" s="158"/>
      <c r="CR2176" s="159"/>
      <c r="CS2176" s="68"/>
      <c r="CT2176" s="163"/>
      <c r="EC2176" s="366" t="str">
        <f t="shared" si="267"/>
        <v>ANTIOQUIA_YOLOMBO</v>
      </c>
      <c r="ED2176" s="367"/>
      <c r="EE2176" s="367"/>
      <c r="EF2176" s="368"/>
      <c r="EG2176" s="367"/>
      <c r="EH2176" s="367"/>
      <c r="EI2176" s="367"/>
    </row>
    <row r="2177" spans="1:139" s="164" customFormat="1" ht="25.5">
      <c r="A2177" s="228">
        <v>40527</v>
      </c>
      <c r="B2177" s="205" t="s">
        <v>653</v>
      </c>
      <c r="C2177" s="205" t="s">
        <v>46</v>
      </c>
      <c r="D2177" s="207" t="s">
        <v>1878</v>
      </c>
      <c r="E2177" s="323" t="s">
        <v>3548</v>
      </c>
      <c r="F2177" s="323"/>
      <c r="G2177" s="204"/>
      <c r="H2177" s="151"/>
      <c r="I2177" s="151"/>
      <c r="J2177" s="151">
        <v>350</v>
      </c>
      <c r="K2177" s="151">
        <v>70</v>
      </c>
      <c r="L2177" s="1"/>
      <c r="M2177" s="73">
        <f t="shared" si="264"/>
        <v>0</v>
      </c>
      <c r="N2177" s="73">
        <f t="shared" si="269"/>
        <v>0</v>
      </c>
      <c r="O2177" s="73">
        <f t="shared" si="270"/>
        <v>0</v>
      </c>
      <c r="P2177" s="73">
        <f t="shared" si="265"/>
        <v>0</v>
      </c>
      <c r="Q2177" s="73"/>
      <c r="R2177" s="73">
        <v>0</v>
      </c>
      <c r="S2177" s="75">
        <f t="shared" si="268"/>
        <v>0</v>
      </c>
      <c r="T2177" s="77">
        <v>0</v>
      </c>
      <c r="U2177" s="66">
        <v>40575</v>
      </c>
      <c r="V2177" s="79"/>
      <c r="W2177" s="66" t="s">
        <v>1585</v>
      </c>
      <c r="X2177" s="24" t="s">
        <v>1586</v>
      </c>
      <c r="Y2177" s="62"/>
      <c r="Z2177" s="169" t="s">
        <v>894</v>
      </c>
      <c r="AA2177" s="166" t="s">
        <v>54</v>
      </c>
      <c r="AB2177" s="152"/>
      <c r="AC2177" s="153"/>
      <c r="AD2177" s="154"/>
      <c r="AE2177" s="153"/>
      <c r="AF2177" s="153"/>
      <c r="AG2177" s="153"/>
      <c r="AH2177" s="153"/>
      <c r="AI2177" s="153"/>
      <c r="AJ2177" s="153"/>
      <c r="AK2177" s="153"/>
      <c r="AL2177" s="153"/>
      <c r="AM2177" s="153"/>
      <c r="AN2177" s="153"/>
      <c r="AO2177" s="153"/>
      <c r="AP2177" s="153"/>
      <c r="AQ2177" s="153"/>
      <c r="AR2177" s="153"/>
      <c r="AS2177" s="153"/>
      <c r="AT2177" s="153"/>
      <c r="AU2177" s="153"/>
      <c r="AV2177" s="153"/>
      <c r="AW2177" s="153"/>
      <c r="AX2177" s="153"/>
      <c r="AY2177" s="153"/>
      <c r="AZ2177" s="153"/>
      <c r="BA2177" s="153"/>
      <c r="BB2177" s="153"/>
      <c r="BC2177" s="153"/>
      <c r="BD2177" s="153"/>
      <c r="BE2177" s="153"/>
      <c r="BF2177" s="153"/>
      <c r="BG2177" s="153"/>
      <c r="BH2177" s="153"/>
      <c r="BI2177" s="153"/>
      <c r="BJ2177" s="153"/>
      <c r="BK2177" s="153"/>
      <c r="BL2177" s="153"/>
      <c r="BM2177" s="153"/>
      <c r="BN2177" s="153"/>
      <c r="BO2177" s="153"/>
      <c r="BP2177" s="153"/>
      <c r="BQ2177" s="153"/>
      <c r="BR2177" s="153"/>
      <c r="BS2177" s="153"/>
      <c r="BT2177" s="153"/>
      <c r="BU2177" s="153"/>
      <c r="BV2177" s="153"/>
      <c r="BW2177" s="153"/>
      <c r="BX2177" s="153"/>
      <c r="BY2177" s="153"/>
      <c r="BZ2177" s="153"/>
      <c r="CA2177" s="153"/>
      <c r="CB2177" s="153"/>
      <c r="CC2177" s="153"/>
      <c r="CD2177" s="155"/>
      <c r="CE2177" s="156"/>
      <c r="CF2177" s="155"/>
      <c r="CG2177" s="156"/>
      <c r="CH2177" s="155"/>
      <c r="CI2177" s="156"/>
      <c r="CJ2177" s="157">
        <f t="shared" si="266"/>
        <v>0</v>
      </c>
      <c r="CK2177" s="158"/>
      <c r="CL2177" s="159"/>
      <c r="CM2177" s="160"/>
      <c r="CN2177" s="161"/>
      <c r="CO2177" s="162"/>
      <c r="CP2177" s="161"/>
      <c r="CQ2177" s="158"/>
      <c r="CR2177" s="159"/>
      <c r="CS2177" s="68"/>
      <c r="CT2177" s="163"/>
      <c r="EC2177" s="366" t="str">
        <f t="shared" si="267"/>
        <v>CALDAS_CHINCHINA</v>
      </c>
      <c r="ED2177" s="367"/>
      <c r="EE2177" s="367"/>
      <c r="EF2177" s="368"/>
      <c r="EG2177" s="367"/>
      <c r="EH2177" s="367"/>
      <c r="EI2177" s="367"/>
    </row>
    <row r="2178" spans="1:139" s="164" customFormat="1" ht="25.5">
      <c r="A2178" s="228">
        <v>40527</v>
      </c>
      <c r="B2178" s="205" t="s">
        <v>653</v>
      </c>
      <c r="C2178" s="205" t="s">
        <v>399</v>
      </c>
      <c r="D2178" s="207" t="s">
        <v>1923</v>
      </c>
      <c r="E2178" s="323" t="s">
        <v>3543</v>
      </c>
      <c r="F2178" s="323"/>
      <c r="G2178" s="204">
        <v>1</v>
      </c>
      <c r="H2178" s="151"/>
      <c r="I2178" s="151"/>
      <c r="J2178" s="151"/>
      <c r="K2178" s="151"/>
      <c r="L2178" s="1"/>
      <c r="M2178" s="73">
        <f t="shared" si="264"/>
        <v>0</v>
      </c>
      <c r="N2178" s="73">
        <f t="shared" si="269"/>
        <v>0</v>
      </c>
      <c r="O2178" s="73">
        <f t="shared" si="270"/>
        <v>0</v>
      </c>
      <c r="P2178" s="73">
        <f t="shared" si="265"/>
        <v>0</v>
      </c>
      <c r="Q2178" s="73"/>
      <c r="R2178" s="73">
        <v>0</v>
      </c>
      <c r="S2178" s="75">
        <f t="shared" si="268"/>
        <v>0</v>
      </c>
      <c r="T2178" s="77">
        <v>0</v>
      </c>
      <c r="U2178" s="66">
        <v>40527</v>
      </c>
      <c r="V2178" s="79"/>
      <c r="W2178" s="66" t="s">
        <v>1585</v>
      </c>
      <c r="X2178" s="24" t="s">
        <v>1586</v>
      </c>
      <c r="Y2178" s="62"/>
      <c r="Z2178" s="169" t="s">
        <v>894</v>
      </c>
      <c r="AA2178" s="166" t="s">
        <v>536</v>
      </c>
      <c r="AB2178" s="152"/>
      <c r="AC2178" s="153"/>
      <c r="AD2178" s="154"/>
      <c r="AE2178" s="153"/>
      <c r="AF2178" s="153"/>
      <c r="AG2178" s="153"/>
      <c r="AH2178" s="153"/>
      <c r="AI2178" s="153"/>
      <c r="AJ2178" s="153"/>
      <c r="AK2178" s="153"/>
      <c r="AL2178" s="153"/>
      <c r="AM2178" s="153"/>
      <c r="AN2178" s="153"/>
      <c r="AO2178" s="153"/>
      <c r="AP2178" s="153"/>
      <c r="AQ2178" s="153"/>
      <c r="AR2178" s="153"/>
      <c r="AS2178" s="153"/>
      <c r="AT2178" s="153"/>
      <c r="AU2178" s="153"/>
      <c r="AV2178" s="153"/>
      <c r="AW2178" s="153"/>
      <c r="AX2178" s="153"/>
      <c r="AY2178" s="153"/>
      <c r="AZ2178" s="153"/>
      <c r="BA2178" s="153"/>
      <c r="BB2178" s="153"/>
      <c r="BC2178" s="153"/>
      <c r="BD2178" s="153"/>
      <c r="BE2178" s="153"/>
      <c r="BF2178" s="153"/>
      <c r="BG2178" s="153"/>
      <c r="BH2178" s="153"/>
      <c r="BI2178" s="153"/>
      <c r="BJ2178" s="153"/>
      <c r="BK2178" s="153"/>
      <c r="BL2178" s="153"/>
      <c r="BM2178" s="153"/>
      <c r="BN2178" s="153"/>
      <c r="BO2178" s="153"/>
      <c r="BP2178" s="153"/>
      <c r="BQ2178" s="153"/>
      <c r="BR2178" s="153"/>
      <c r="BS2178" s="153"/>
      <c r="BT2178" s="153"/>
      <c r="BU2178" s="153"/>
      <c r="BV2178" s="153"/>
      <c r="BW2178" s="153"/>
      <c r="BX2178" s="153"/>
      <c r="BY2178" s="153"/>
      <c r="BZ2178" s="153"/>
      <c r="CA2178" s="153"/>
      <c r="CB2178" s="153"/>
      <c r="CC2178" s="153"/>
      <c r="CD2178" s="155"/>
      <c r="CE2178" s="156"/>
      <c r="CF2178" s="155"/>
      <c r="CG2178" s="156"/>
      <c r="CH2178" s="155"/>
      <c r="CI2178" s="156"/>
      <c r="CJ2178" s="157">
        <f t="shared" si="266"/>
        <v>0</v>
      </c>
      <c r="CK2178" s="158"/>
      <c r="CL2178" s="159"/>
      <c r="CM2178" s="160"/>
      <c r="CN2178" s="161"/>
      <c r="CO2178" s="162"/>
      <c r="CP2178" s="161"/>
      <c r="CQ2178" s="158"/>
      <c r="CR2178" s="159"/>
      <c r="CS2178" s="68"/>
      <c r="CT2178" s="163"/>
      <c r="EC2178" s="366" t="str">
        <f t="shared" si="267"/>
        <v>CALDAS_MANIZALES</v>
      </c>
      <c r="ED2178" s="367"/>
      <c r="EE2178" s="367"/>
      <c r="EF2178" s="368"/>
      <c r="EG2178" s="367"/>
      <c r="EH2178" s="367"/>
      <c r="EI2178" s="367"/>
    </row>
    <row r="2179" spans="1:139" s="164" customFormat="1" ht="38.25">
      <c r="A2179" s="228">
        <v>40527</v>
      </c>
      <c r="B2179" s="205" t="s">
        <v>653</v>
      </c>
      <c r="C2179" s="205" t="s">
        <v>1974</v>
      </c>
      <c r="D2179" s="207" t="s">
        <v>1201</v>
      </c>
      <c r="E2179" s="323" t="s">
        <v>3552</v>
      </c>
      <c r="F2179" s="323"/>
      <c r="G2179" s="204"/>
      <c r="H2179" s="151"/>
      <c r="I2179" s="151"/>
      <c r="J2179" s="151">
        <f>250*5</f>
        <v>1250</v>
      </c>
      <c r="K2179" s="151">
        <v>250</v>
      </c>
      <c r="L2179" s="1"/>
      <c r="M2179" s="73">
        <f t="shared" ref="M2179:M2242" si="271">CJ2179</f>
        <v>0</v>
      </c>
      <c r="N2179" s="73">
        <f t="shared" si="269"/>
        <v>0</v>
      </c>
      <c r="O2179" s="73">
        <f t="shared" si="270"/>
        <v>0</v>
      </c>
      <c r="P2179" s="73">
        <f t="shared" ref="P2179:P2242" si="272">CL2179</f>
        <v>0</v>
      </c>
      <c r="Q2179" s="73"/>
      <c r="R2179" s="73">
        <v>0</v>
      </c>
      <c r="S2179" s="75">
        <f t="shared" si="268"/>
        <v>0</v>
      </c>
      <c r="T2179" s="77">
        <v>0</v>
      </c>
      <c r="U2179" s="66">
        <v>40595</v>
      </c>
      <c r="V2179" s="79"/>
      <c r="W2179" s="66" t="s">
        <v>1585</v>
      </c>
      <c r="X2179" s="24" t="s">
        <v>1586</v>
      </c>
      <c r="Y2179" s="62"/>
      <c r="Z2179" s="169" t="s">
        <v>894</v>
      </c>
      <c r="AA2179" s="166" t="s">
        <v>60</v>
      </c>
      <c r="AB2179" s="152"/>
      <c r="AC2179" s="153"/>
      <c r="AD2179" s="154"/>
      <c r="AE2179" s="153"/>
      <c r="AF2179" s="153"/>
      <c r="AG2179" s="153"/>
      <c r="AH2179" s="153"/>
      <c r="AI2179" s="153"/>
      <c r="AJ2179" s="153"/>
      <c r="AK2179" s="153"/>
      <c r="AL2179" s="153"/>
      <c r="AM2179" s="153"/>
      <c r="AN2179" s="153"/>
      <c r="AO2179" s="153"/>
      <c r="AP2179" s="153"/>
      <c r="AQ2179" s="153"/>
      <c r="AR2179" s="153"/>
      <c r="AS2179" s="153"/>
      <c r="AT2179" s="153"/>
      <c r="AU2179" s="153"/>
      <c r="AV2179" s="153"/>
      <c r="AW2179" s="153"/>
      <c r="AX2179" s="153"/>
      <c r="AY2179" s="153"/>
      <c r="AZ2179" s="153"/>
      <c r="BA2179" s="153"/>
      <c r="BB2179" s="153"/>
      <c r="BC2179" s="153"/>
      <c r="BD2179" s="153"/>
      <c r="BE2179" s="153"/>
      <c r="BF2179" s="153"/>
      <c r="BG2179" s="153"/>
      <c r="BH2179" s="153"/>
      <c r="BI2179" s="153"/>
      <c r="BJ2179" s="153"/>
      <c r="BK2179" s="153"/>
      <c r="BL2179" s="153"/>
      <c r="BM2179" s="153"/>
      <c r="BN2179" s="153"/>
      <c r="BO2179" s="153"/>
      <c r="BP2179" s="153"/>
      <c r="BQ2179" s="153"/>
      <c r="BR2179" s="153"/>
      <c r="BS2179" s="153"/>
      <c r="BT2179" s="153"/>
      <c r="BU2179" s="153"/>
      <c r="BV2179" s="153"/>
      <c r="BW2179" s="153"/>
      <c r="BX2179" s="153"/>
      <c r="BY2179" s="153"/>
      <c r="BZ2179" s="153"/>
      <c r="CA2179" s="153"/>
      <c r="CB2179" s="153"/>
      <c r="CC2179" s="153"/>
      <c r="CD2179" s="155"/>
      <c r="CE2179" s="156"/>
      <c r="CF2179" s="155"/>
      <c r="CG2179" s="156"/>
      <c r="CH2179" s="155"/>
      <c r="CI2179" s="156"/>
      <c r="CJ2179" s="157">
        <f t="shared" ref="CJ2179:CJ2242" si="273">AC2179+AE2179+AG2179+AI2179+AK2179+AM2179+AO2179+AQ2179+AS2179+AU2179+AW2179+AY2179+BA2179+BC2179+BE2179+BG2179+BI2179+BK2179+BM2179+BO2179+BQ2179+BS2179+BU2179+BW2179+BY2179+CA2179+CC2179+CE2179+CG2179+CI2179</f>
        <v>0</v>
      </c>
      <c r="CK2179" s="158"/>
      <c r="CL2179" s="159"/>
      <c r="CM2179" s="160"/>
      <c r="CN2179" s="161"/>
      <c r="CO2179" s="162"/>
      <c r="CP2179" s="161"/>
      <c r="CQ2179" s="158"/>
      <c r="CR2179" s="159"/>
      <c r="CS2179" s="68"/>
      <c r="CT2179" s="163">
        <v>1595</v>
      </c>
      <c r="EC2179" s="366" t="str">
        <f t="shared" ref="EC2179:EC2242" si="274">B2179&amp;"_"&amp;C2179</f>
        <v>CALDAS_MANZANARES</v>
      </c>
      <c r="ED2179" s="367"/>
      <c r="EE2179" s="367"/>
      <c r="EF2179" s="368"/>
      <c r="EG2179" s="367"/>
      <c r="EH2179" s="367"/>
      <c r="EI2179" s="367"/>
    </row>
    <row r="2180" spans="1:139" s="164" customFormat="1" ht="25.5">
      <c r="A2180" s="228">
        <v>40527</v>
      </c>
      <c r="B2180" s="205" t="s">
        <v>653</v>
      </c>
      <c r="C2180" s="205" t="s">
        <v>48</v>
      </c>
      <c r="D2180" s="207" t="s">
        <v>1201</v>
      </c>
      <c r="E2180" s="323" t="s">
        <v>3556</v>
      </c>
      <c r="F2180" s="323"/>
      <c r="G2180" s="204"/>
      <c r="H2180" s="151"/>
      <c r="I2180" s="151"/>
      <c r="J2180" s="151">
        <f>235*5</f>
        <v>1175</v>
      </c>
      <c r="K2180" s="151">
        <v>235</v>
      </c>
      <c r="L2180" s="1"/>
      <c r="M2180" s="73">
        <f t="shared" si="271"/>
        <v>0</v>
      </c>
      <c r="N2180" s="73">
        <f t="shared" si="269"/>
        <v>0</v>
      </c>
      <c r="O2180" s="73">
        <f t="shared" si="270"/>
        <v>0</v>
      </c>
      <c r="P2180" s="73">
        <f t="shared" si="272"/>
        <v>0</v>
      </c>
      <c r="Q2180" s="73"/>
      <c r="R2180" s="73">
        <v>0</v>
      </c>
      <c r="S2180" s="75">
        <f t="shared" si="268"/>
        <v>0</v>
      </c>
      <c r="T2180" s="77">
        <v>0</v>
      </c>
      <c r="U2180" s="66">
        <v>40571</v>
      </c>
      <c r="V2180" s="79"/>
      <c r="W2180" s="66" t="s">
        <v>1585</v>
      </c>
      <c r="X2180" s="24" t="s">
        <v>1586</v>
      </c>
      <c r="Y2180" s="62"/>
      <c r="Z2180" s="169" t="s">
        <v>894</v>
      </c>
      <c r="AA2180" s="166" t="s">
        <v>60</v>
      </c>
      <c r="AB2180" s="152"/>
      <c r="AC2180" s="153"/>
      <c r="AD2180" s="154"/>
      <c r="AE2180" s="153"/>
      <c r="AF2180" s="153"/>
      <c r="AG2180" s="153"/>
      <c r="AH2180" s="153"/>
      <c r="AI2180" s="153"/>
      <c r="AJ2180" s="153"/>
      <c r="AK2180" s="153"/>
      <c r="AL2180" s="153"/>
      <c r="AM2180" s="153"/>
      <c r="AN2180" s="153"/>
      <c r="AO2180" s="153"/>
      <c r="AP2180" s="153"/>
      <c r="AQ2180" s="153"/>
      <c r="AR2180" s="153"/>
      <c r="AS2180" s="153"/>
      <c r="AT2180" s="153"/>
      <c r="AU2180" s="153"/>
      <c r="AV2180" s="153"/>
      <c r="AW2180" s="153"/>
      <c r="AX2180" s="153"/>
      <c r="AY2180" s="153"/>
      <c r="AZ2180" s="153"/>
      <c r="BA2180" s="153"/>
      <c r="BB2180" s="153"/>
      <c r="BC2180" s="153"/>
      <c r="BD2180" s="153"/>
      <c r="BE2180" s="153"/>
      <c r="BF2180" s="153"/>
      <c r="BG2180" s="153"/>
      <c r="BH2180" s="153"/>
      <c r="BI2180" s="153"/>
      <c r="BJ2180" s="153"/>
      <c r="BK2180" s="153"/>
      <c r="BL2180" s="153"/>
      <c r="BM2180" s="153"/>
      <c r="BN2180" s="153"/>
      <c r="BO2180" s="153"/>
      <c r="BP2180" s="153"/>
      <c r="BQ2180" s="153"/>
      <c r="BR2180" s="153"/>
      <c r="BS2180" s="153"/>
      <c r="BT2180" s="153"/>
      <c r="BU2180" s="153"/>
      <c r="BV2180" s="153"/>
      <c r="BW2180" s="153"/>
      <c r="BX2180" s="153"/>
      <c r="BY2180" s="153"/>
      <c r="BZ2180" s="153"/>
      <c r="CA2180" s="153"/>
      <c r="CB2180" s="153"/>
      <c r="CC2180" s="153"/>
      <c r="CD2180" s="155"/>
      <c r="CE2180" s="156"/>
      <c r="CF2180" s="155"/>
      <c r="CG2180" s="156"/>
      <c r="CH2180" s="155"/>
      <c r="CI2180" s="156"/>
      <c r="CJ2180" s="157">
        <f t="shared" si="273"/>
        <v>0</v>
      </c>
      <c r="CK2180" s="158"/>
      <c r="CL2180" s="159"/>
      <c r="CM2180" s="160"/>
      <c r="CN2180" s="161"/>
      <c r="CO2180" s="162"/>
      <c r="CP2180" s="161"/>
      <c r="CQ2180" s="158"/>
      <c r="CR2180" s="159"/>
      <c r="CS2180" s="68"/>
      <c r="CT2180" s="163"/>
      <c r="EC2180" s="366" t="str">
        <f t="shared" si="274"/>
        <v>CALDAS_NEIRA</v>
      </c>
      <c r="ED2180" s="367"/>
      <c r="EE2180" s="367"/>
      <c r="EF2180" s="368"/>
      <c r="EG2180" s="367"/>
      <c r="EH2180" s="367"/>
      <c r="EI2180" s="367"/>
    </row>
    <row r="2181" spans="1:139" s="164" customFormat="1" ht="25.5">
      <c r="A2181" s="228">
        <v>40527</v>
      </c>
      <c r="B2181" s="205" t="s">
        <v>653</v>
      </c>
      <c r="C2181" s="205" t="s">
        <v>49</v>
      </c>
      <c r="D2181" s="207" t="s">
        <v>1878</v>
      </c>
      <c r="E2181" s="323" t="s">
        <v>3557</v>
      </c>
      <c r="F2181" s="323"/>
      <c r="G2181" s="204"/>
      <c r="H2181" s="151"/>
      <c r="I2181" s="151"/>
      <c r="J2181" s="151">
        <v>5</v>
      </c>
      <c r="K2181" s="151">
        <v>1</v>
      </c>
      <c r="L2181" s="1"/>
      <c r="M2181" s="73">
        <f t="shared" si="271"/>
        <v>0</v>
      </c>
      <c r="N2181" s="73">
        <f t="shared" si="269"/>
        <v>0</v>
      </c>
      <c r="O2181" s="73">
        <f t="shared" si="270"/>
        <v>0</v>
      </c>
      <c r="P2181" s="73">
        <f t="shared" si="272"/>
        <v>0</v>
      </c>
      <c r="Q2181" s="73"/>
      <c r="R2181" s="73">
        <v>0</v>
      </c>
      <c r="S2181" s="75">
        <f t="shared" si="268"/>
        <v>0</v>
      </c>
      <c r="T2181" s="77">
        <v>0</v>
      </c>
      <c r="U2181" s="66">
        <v>40571</v>
      </c>
      <c r="V2181" s="79"/>
      <c r="W2181" s="66" t="s">
        <v>1585</v>
      </c>
      <c r="X2181" s="24" t="s">
        <v>1586</v>
      </c>
      <c r="Y2181" s="62"/>
      <c r="Z2181" s="169" t="s">
        <v>894</v>
      </c>
      <c r="AA2181" s="166" t="s">
        <v>60</v>
      </c>
      <c r="AB2181" s="152"/>
      <c r="AC2181" s="153"/>
      <c r="AD2181" s="154"/>
      <c r="AE2181" s="153"/>
      <c r="AF2181" s="153"/>
      <c r="AG2181" s="153"/>
      <c r="AH2181" s="153"/>
      <c r="AI2181" s="153"/>
      <c r="AJ2181" s="153"/>
      <c r="AK2181" s="153"/>
      <c r="AL2181" s="153"/>
      <c r="AM2181" s="153"/>
      <c r="AN2181" s="153"/>
      <c r="AO2181" s="153"/>
      <c r="AP2181" s="153"/>
      <c r="AQ2181" s="153"/>
      <c r="AR2181" s="153"/>
      <c r="AS2181" s="153"/>
      <c r="AT2181" s="153"/>
      <c r="AU2181" s="153"/>
      <c r="AV2181" s="153"/>
      <c r="AW2181" s="153"/>
      <c r="AX2181" s="153"/>
      <c r="AY2181" s="153"/>
      <c r="AZ2181" s="153"/>
      <c r="BA2181" s="153"/>
      <c r="BB2181" s="153"/>
      <c r="BC2181" s="153"/>
      <c r="BD2181" s="153"/>
      <c r="BE2181" s="153"/>
      <c r="BF2181" s="153"/>
      <c r="BG2181" s="153"/>
      <c r="BH2181" s="153"/>
      <c r="BI2181" s="153"/>
      <c r="BJ2181" s="153"/>
      <c r="BK2181" s="153"/>
      <c r="BL2181" s="153"/>
      <c r="BM2181" s="153"/>
      <c r="BN2181" s="153"/>
      <c r="BO2181" s="153"/>
      <c r="BP2181" s="153"/>
      <c r="BQ2181" s="153"/>
      <c r="BR2181" s="153"/>
      <c r="BS2181" s="153"/>
      <c r="BT2181" s="153"/>
      <c r="BU2181" s="153"/>
      <c r="BV2181" s="153"/>
      <c r="BW2181" s="153"/>
      <c r="BX2181" s="153"/>
      <c r="BY2181" s="153"/>
      <c r="BZ2181" s="153"/>
      <c r="CA2181" s="153"/>
      <c r="CB2181" s="153"/>
      <c r="CC2181" s="153"/>
      <c r="CD2181" s="155"/>
      <c r="CE2181" s="156"/>
      <c r="CF2181" s="155"/>
      <c r="CG2181" s="156"/>
      <c r="CH2181" s="155"/>
      <c r="CI2181" s="156"/>
      <c r="CJ2181" s="157">
        <f t="shared" si="273"/>
        <v>0</v>
      </c>
      <c r="CK2181" s="158"/>
      <c r="CL2181" s="159"/>
      <c r="CM2181" s="160"/>
      <c r="CN2181" s="161"/>
      <c r="CO2181" s="162"/>
      <c r="CP2181" s="161"/>
      <c r="CQ2181" s="158"/>
      <c r="CR2181" s="159"/>
      <c r="CS2181" s="68"/>
      <c r="CT2181" s="163"/>
      <c r="EC2181" s="366" t="str">
        <f t="shared" si="274"/>
        <v>CALDAS_NORCASIA</v>
      </c>
      <c r="ED2181" s="367"/>
      <c r="EE2181" s="367"/>
      <c r="EF2181" s="368"/>
      <c r="EG2181" s="367"/>
      <c r="EH2181" s="367"/>
      <c r="EI2181" s="367"/>
    </row>
    <row r="2182" spans="1:139" s="164" customFormat="1" ht="25.5">
      <c r="A2182" s="228">
        <v>40527</v>
      </c>
      <c r="B2182" s="205" t="s">
        <v>653</v>
      </c>
      <c r="C2182" s="205" t="s">
        <v>1609</v>
      </c>
      <c r="D2182" s="207" t="s">
        <v>1878</v>
      </c>
      <c r="E2182" s="323" t="s">
        <v>3562</v>
      </c>
      <c r="F2182" s="323"/>
      <c r="G2182" s="204">
        <v>2</v>
      </c>
      <c r="H2182" s="151"/>
      <c r="I2182" s="151"/>
      <c r="J2182" s="151"/>
      <c r="K2182" s="151"/>
      <c r="L2182" s="1"/>
      <c r="M2182" s="73">
        <f t="shared" si="271"/>
        <v>0</v>
      </c>
      <c r="N2182" s="73">
        <f t="shared" si="269"/>
        <v>0</v>
      </c>
      <c r="O2182" s="73">
        <f t="shared" si="270"/>
        <v>0</v>
      </c>
      <c r="P2182" s="73">
        <f t="shared" si="272"/>
        <v>0</v>
      </c>
      <c r="Q2182" s="73"/>
      <c r="R2182" s="73">
        <v>0</v>
      </c>
      <c r="S2182" s="75">
        <f t="shared" si="268"/>
        <v>0</v>
      </c>
      <c r="T2182" s="77">
        <v>0</v>
      </c>
      <c r="U2182" s="66"/>
      <c r="V2182" s="79"/>
      <c r="W2182" s="66" t="s">
        <v>1606</v>
      </c>
      <c r="X2182" s="24" t="s">
        <v>1607</v>
      </c>
      <c r="Y2182" s="62"/>
      <c r="Z2182" s="176" t="s">
        <v>3056</v>
      </c>
      <c r="AA2182" s="166" t="s">
        <v>227</v>
      </c>
      <c r="AB2182" s="152"/>
      <c r="AC2182" s="153"/>
      <c r="AD2182" s="154"/>
      <c r="AE2182" s="153"/>
      <c r="AF2182" s="153"/>
      <c r="AG2182" s="153"/>
      <c r="AH2182" s="153"/>
      <c r="AI2182" s="153"/>
      <c r="AJ2182" s="153"/>
      <c r="AK2182" s="153"/>
      <c r="AL2182" s="153"/>
      <c r="AM2182" s="153"/>
      <c r="AN2182" s="153"/>
      <c r="AO2182" s="153"/>
      <c r="AP2182" s="153"/>
      <c r="AQ2182" s="153"/>
      <c r="AR2182" s="153"/>
      <c r="AS2182" s="153"/>
      <c r="AT2182" s="153"/>
      <c r="AU2182" s="153"/>
      <c r="AV2182" s="153"/>
      <c r="AW2182" s="153"/>
      <c r="AX2182" s="153"/>
      <c r="AY2182" s="153"/>
      <c r="AZ2182" s="153"/>
      <c r="BA2182" s="153"/>
      <c r="BB2182" s="153"/>
      <c r="BC2182" s="153"/>
      <c r="BD2182" s="153"/>
      <c r="BE2182" s="153"/>
      <c r="BF2182" s="153"/>
      <c r="BG2182" s="153"/>
      <c r="BH2182" s="153"/>
      <c r="BI2182" s="153"/>
      <c r="BJ2182" s="153"/>
      <c r="BK2182" s="153"/>
      <c r="BL2182" s="153"/>
      <c r="BM2182" s="153"/>
      <c r="BN2182" s="153"/>
      <c r="BO2182" s="153"/>
      <c r="BP2182" s="153"/>
      <c r="BQ2182" s="153"/>
      <c r="BR2182" s="153"/>
      <c r="BS2182" s="153"/>
      <c r="BT2182" s="153"/>
      <c r="BU2182" s="153"/>
      <c r="BV2182" s="153"/>
      <c r="BW2182" s="153"/>
      <c r="BX2182" s="153"/>
      <c r="BY2182" s="153"/>
      <c r="BZ2182" s="153"/>
      <c r="CA2182" s="153"/>
      <c r="CB2182" s="153"/>
      <c r="CC2182" s="153"/>
      <c r="CD2182" s="155"/>
      <c r="CE2182" s="156"/>
      <c r="CF2182" s="155"/>
      <c r="CG2182" s="156"/>
      <c r="CH2182" s="155"/>
      <c r="CI2182" s="156"/>
      <c r="CJ2182" s="157">
        <f t="shared" si="273"/>
        <v>0</v>
      </c>
      <c r="CK2182" s="158"/>
      <c r="CL2182" s="159"/>
      <c r="CM2182" s="160"/>
      <c r="CN2182" s="161"/>
      <c r="CO2182" s="162"/>
      <c r="CP2182" s="161"/>
      <c r="CQ2182" s="158"/>
      <c r="CR2182" s="159"/>
      <c r="CS2182" s="68"/>
      <c r="CT2182" s="163"/>
      <c r="EC2182" s="366" t="str">
        <f t="shared" si="274"/>
        <v>CALDAS_RISARALDA</v>
      </c>
      <c r="ED2182" s="367"/>
      <c r="EE2182" s="367"/>
      <c r="EF2182" s="368"/>
      <c r="EG2182" s="367"/>
      <c r="EH2182" s="367"/>
      <c r="EI2182" s="367"/>
    </row>
    <row r="2183" spans="1:139" s="164" customFormat="1" ht="25.5">
      <c r="A2183" s="228">
        <v>40527</v>
      </c>
      <c r="B2183" s="205" t="s">
        <v>653</v>
      </c>
      <c r="C2183" s="205" t="s">
        <v>50</v>
      </c>
      <c r="D2183" s="207" t="s">
        <v>1878</v>
      </c>
      <c r="E2183" s="323" t="s">
        <v>3565</v>
      </c>
      <c r="F2183" s="323"/>
      <c r="G2183" s="204"/>
      <c r="H2183" s="151"/>
      <c r="I2183" s="151"/>
      <c r="J2183" s="151">
        <f>350*5</f>
        <v>1750</v>
      </c>
      <c r="K2183" s="151">
        <v>350</v>
      </c>
      <c r="L2183" s="1"/>
      <c r="M2183" s="73">
        <f t="shared" si="271"/>
        <v>0</v>
      </c>
      <c r="N2183" s="73">
        <f t="shared" si="269"/>
        <v>0</v>
      </c>
      <c r="O2183" s="73">
        <f t="shared" si="270"/>
        <v>0</v>
      </c>
      <c r="P2183" s="73">
        <f t="shared" si="272"/>
        <v>0</v>
      </c>
      <c r="Q2183" s="73"/>
      <c r="R2183" s="73">
        <v>0</v>
      </c>
      <c r="S2183" s="75">
        <f t="shared" si="268"/>
        <v>0</v>
      </c>
      <c r="T2183" s="77">
        <v>0</v>
      </c>
      <c r="U2183" s="66">
        <v>40571</v>
      </c>
      <c r="V2183" s="79"/>
      <c r="W2183" s="66" t="s">
        <v>1585</v>
      </c>
      <c r="X2183" s="24" t="s">
        <v>1586</v>
      </c>
      <c r="Y2183" s="62"/>
      <c r="Z2183" s="169" t="s">
        <v>894</v>
      </c>
      <c r="AA2183" s="166" t="s">
        <v>60</v>
      </c>
      <c r="AB2183" s="152"/>
      <c r="AC2183" s="153"/>
      <c r="AD2183" s="154"/>
      <c r="AE2183" s="153"/>
      <c r="AF2183" s="153"/>
      <c r="AG2183" s="153"/>
      <c r="AH2183" s="153"/>
      <c r="AI2183" s="153"/>
      <c r="AJ2183" s="153"/>
      <c r="AK2183" s="153"/>
      <c r="AL2183" s="153"/>
      <c r="AM2183" s="153"/>
      <c r="AN2183" s="153"/>
      <c r="AO2183" s="153"/>
      <c r="AP2183" s="153"/>
      <c r="AQ2183" s="153"/>
      <c r="AR2183" s="153"/>
      <c r="AS2183" s="153"/>
      <c r="AT2183" s="153"/>
      <c r="AU2183" s="153"/>
      <c r="AV2183" s="153"/>
      <c r="AW2183" s="153"/>
      <c r="AX2183" s="153"/>
      <c r="AY2183" s="153"/>
      <c r="AZ2183" s="153"/>
      <c r="BA2183" s="153"/>
      <c r="BB2183" s="153"/>
      <c r="BC2183" s="153"/>
      <c r="BD2183" s="153"/>
      <c r="BE2183" s="153"/>
      <c r="BF2183" s="153"/>
      <c r="BG2183" s="153"/>
      <c r="BH2183" s="153"/>
      <c r="BI2183" s="153"/>
      <c r="BJ2183" s="153"/>
      <c r="BK2183" s="153"/>
      <c r="BL2183" s="153"/>
      <c r="BM2183" s="153"/>
      <c r="BN2183" s="153"/>
      <c r="BO2183" s="153"/>
      <c r="BP2183" s="153"/>
      <c r="BQ2183" s="153"/>
      <c r="BR2183" s="153"/>
      <c r="BS2183" s="153"/>
      <c r="BT2183" s="153"/>
      <c r="BU2183" s="153"/>
      <c r="BV2183" s="153"/>
      <c r="BW2183" s="153"/>
      <c r="BX2183" s="153"/>
      <c r="BY2183" s="153"/>
      <c r="BZ2183" s="153"/>
      <c r="CA2183" s="153"/>
      <c r="CB2183" s="153"/>
      <c r="CC2183" s="153"/>
      <c r="CD2183" s="155"/>
      <c r="CE2183" s="156"/>
      <c r="CF2183" s="155"/>
      <c r="CG2183" s="156"/>
      <c r="CH2183" s="155"/>
      <c r="CI2183" s="156"/>
      <c r="CJ2183" s="157">
        <f t="shared" si="273"/>
        <v>0</v>
      </c>
      <c r="CK2183" s="158"/>
      <c r="CL2183" s="159"/>
      <c r="CM2183" s="160"/>
      <c r="CN2183" s="161"/>
      <c r="CO2183" s="162"/>
      <c r="CP2183" s="161"/>
      <c r="CQ2183" s="158"/>
      <c r="CR2183" s="159"/>
      <c r="CS2183" s="68"/>
      <c r="CT2183" s="163"/>
      <c r="EC2183" s="366" t="str">
        <f t="shared" si="274"/>
        <v>CALDAS_SAN JOSE</v>
      </c>
      <c r="ED2183" s="367"/>
      <c r="EE2183" s="367"/>
      <c r="EF2183" s="368"/>
      <c r="EG2183" s="367"/>
      <c r="EH2183" s="367"/>
      <c r="EI2183" s="367"/>
    </row>
    <row r="2184" spans="1:139" s="164" customFormat="1" ht="25.5">
      <c r="A2184" s="228">
        <v>40527</v>
      </c>
      <c r="B2184" s="205" t="s">
        <v>653</v>
      </c>
      <c r="C2184" s="205" t="s">
        <v>51</v>
      </c>
      <c r="D2184" s="207" t="s">
        <v>1201</v>
      </c>
      <c r="E2184" s="323" t="s">
        <v>3569</v>
      </c>
      <c r="F2184" s="323"/>
      <c r="G2184" s="204"/>
      <c r="H2184" s="151"/>
      <c r="I2184" s="151"/>
      <c r="J2184" s="151">
        <f>87*5</f>
        <v>435</v>
      </c>
      <c r="K2184" s="151">
        <v>87</v>
      </c>
      <c r="L2184" s="1"/>
      <c r="M2184" s="73">
        <f t="shared" si="271"/>
        <v>0</v>
      </c>
      <c r="N2184" s="73">
        <f t="shared" si="269"/>
        <v>0</v>
      </c>
      <c r="O2184" s="73">
        <f t="shared" si="270"/>
        <v>0</v>
      </c>
      <c r="P2184" s="73">
        <f t="shared" si="272"/>
        <v>0</v>
      </c>
      <c r="Q2184" s="73"/>
      <c r="R2184" s="73">
        <v>0</v>
      </c>
      <c r="S2184" s="75">
        <f t="shared" si="268"/>
        <v>0</v>
      </c>
      <c r="T2184" s="77">
        <v>0</v>
      </c>
      <c r="U2184" s="66">
        <v>40571</v>
      </c>
      <c r="V2184" s="79"/>
      <c r="W2184" s="66" t="s">
        <v>1585</v>
      </c>
      <c r="X2184" s="24" t="s">
        <v>1586</v>
      </c>
      <c r="Y2184" s="62"/>
      <c r="Z2184" s="169" t="s">
        <v>894</v>
      </c>
      <c r="AA2184" s="166" t="s">
        <v>60</v>
      </c>
      <c r="AB2184" s="152"/>
      <c r="AC2184" s="153"/>
      <c r="AD2184" s="154"/>
      <c r="AE2184" s="153"/>
      <c r="AF2184" s="153"/>
      <c r="AG2184" s="153"/>
      <c r="AH2184" s="153"/>
      <c r="AI2184" s="153"/>
      <c r="AJ2184" s="153"/>
      <c r="AK2184" s="153"/>
      <c r="AL2184" s="153"/>
      <c r="AM2184" s="153"/>
      <c r="AN2184" s="153"/>
      <c r="AO2184" s="153"/>
      <c r="AP2184" s="153"/>
      <c r="AQ2184" s="153"/>
      <c r="AR2184" s="153"/>
      <c r="AS2184" s="153"/>
      <c r="AT2184" s="153"/>
      <c r="AU2184" s="153"/>
      <c r="AV2184" s="153"/>
      <c r="AW2184" s="153"/>
      <c r="AX2184" s="153"/>
      <c r="AY2184" s="153"/>
      <c r="AZ2184" s="153"/>
      <c r="BA2184" s="153"/>
      <c r="BB2184" s="153"/>
      <c r="BC2184" s="153"/>
      <c r="BD2184" s="153"/>
      <c r="BE2184" s="153"/>
      <c r="BF2184" s="153"/>
      <c r="BG2184" s="153"/>
      <c r="BH2184" s="153"/>
      <c r="BI2184" s="153"/>
      <c r="BJ2184" s="153"/>
      <c r="BK2184" s="153"/>
      <c r="BL2184" s="153"/>
      <c r="BM2184" s="153"/>
      <c r="BN2184" s="153"/>
      <c r="BO2184" s="153"/>
      <c r="BP2184" s="153"/>
      <c r="BQ2184" s="153"/>
      <c r="BR2184" s="153"/>
      <c r="BS2184" s="153"/>
      <c r="BT2184" s="153"/>
      <c r="BU2184" s="153"/>
      <c r="BV2184" s="153"/>
      <c r="BW2184" s="153"/>
      <c r="BX2184" s="153"/>
      <c r="BY2184" s="153"/>
      <c r="BZ2184" s="153"/>
      <c r="CA2184" s="153"/>
      <c r="CB2184" s="153"/>
      <c r="CC2184" s="153"/>
      <c r="CD2184" s="155"/>
      <c r="CE2184" s="156"/>
      <c r="CF2184" s="155"/>
      <c r="CG2184" s="156"/>
      <c r="CH2184" s="155"/>
      <c r="CI2184" s="156"/>
      <c r="CJ2184" s="157">
        <f t="shared" si="273"/>
        <v>0</v>
      </c>
      <c r="CK2184" s="158"/>
      <c r="CL2184" s="159"/>
      <c r="CM2184" s="160"/>
      <c r="CN2184" s="161"/>
      <c r="CO2184" s="162"/>
      <c r="CP2184" s="161"/>
      <c r="CQ2184" s="158"/>
      <c r="CR2184" s="159"/>
      <c r="CS2184" s="68"/>
      <c r="CT2184" s="163"/>
      <c r="EC2184" s="366" t="str">
        <f t="shared" si="274"/>
        <v>CALDAS_VITERBO</v>
      </c>
      <c r="ED2184" s="367"/>
      <c r="EE2184" s="367"/>
      <c r="EF2184" s="368"/>
      <c r="EG2184" s="367"/>
      <c r="EH2184" s="367"/>
      <c r="EI2184" s="367"/>
    </row>
    <row r="2185" spans="1:139" s="164" customFormat="1" ht="25.5">
      <c r="A2185" s="228">
        <v>40527</v>
      </c>
      <c r="B2185" s="205" t="s">
        <v>1617</v>
      </c>
      <c r="C2185" s="205" t="s">
        <v>649</v>
      </c>
      <c r="D2185" s="207" t="s">
        <v>1201</v>
      </c>
      <c r="E2185" s="323" t="s">
        <v>4274</v>
      </c>
      <c r="F2185" s="323"/>
      <c r="G2185" s="204"/>
      <c r="H2185" s="151"/>
      <c r="I2185" s="151"/>
      <c r="J2185" s="151">
        <v>94</v>
      </c>
      <c r="K2185" s="151">
        <v>20</v>
      </c>
      <c r="L2185" s="1"/>
      <c r="M2185" s="73">
        <f t="shared" si="271"/>
        <v>0</v>
      </c>
      <c r="N2185" s="73">
        <f t="shared" si="269"/>
        <v>0</v>
      </c>
      <c r="O2185" s="73">
        <f t="shared" si="270"/>
        <v>0</v>
      </c>
      <c r="P2185" s="73">
        <f t="shared" si="272"/>
        <v>0</v>
      </c>
      <c r="Q2185" s="73"/>
      <c r="R2185" s="73">
        <v>0</v>
      </c>
      <c r="S2185" s="75">
        <f t="shared" ref="S2185:S2248" si="275">M2185+N2185+O2185+P2185+Q2185+R2185</f>
        <v>0</v>
      </c>
      <c r="T2185" s="77">
        <v>0</v>
      </c>
      <c r="U2185" s="66"/>
      <c r="V2185" s="79"/>
      <c r="W2185" s="66" t="s">
        <v>1585</v>
      </c>
      <c r="X2185" s="24" t="s">
        <v>1586</v>
      </c>
      <c r="Y2185" s="62"/>
      <c r="Z2185" s="169" t="s">
        <v>894</v>
      </c>
      <c r="AA2185" s="166" t="s">
        <v>155</v>
      </c>
      <c r="AB2185" s="152"/>
      <c r="AC2185" s="153"/>
      <c r="AD2185" s="154"/>
      <c r="AE2185" s="153"/>
      <c r="AF2185" s="153"/>
      <c r="AG2185" s="153"/>
      <c r="AH2185" s="153"/>
      <c r="AI2185" s="153"/>
      <c r="AJ2185" s="153"/>
      <c r="AK2185" s="153"/>
      <c r="AL2185" s="153"/>
      <c r="AM2185" s="153"/>
      <c r="AN2185" s="153"/>
      <c r="AO2185" s="153"/>
      <c r="AP2185" s="153"/>
      <c r="AQ2185" s="153"/>
      <c r="AR2185" s="153"/>
      <c r="AS2185" s="153"/>
      <c r="AT2185" s="153"/>
      <c r="AU2185" s="153"/>
      <c r="AV2185" s="153"/>
      <c r="AW2185" s="153"/>
      <c r="AX2185" s="153"/>
      <c r="AY2185" s="153"/>
      <c r="AZ2185" s="153"/>
      <c r="BA2185" s="153"/>
      <c r="BB2185" s="153"/>
      <c r="BC2185" s="153"/>
      <c r="BD2185" s="153"/>
      <c r="BE2185" s="153"/>
      <c r="BF2185" s="153"/>
      <c r="BG2185" s="153"/>
      <c r="BH2185" s="153"/>
      <c r="BI2185" s="153"/>
      <c r="BJ2185" s="153"/>
      <c r="BK2185" s="153"/>
      <c r="BL2185" s="153"/>
      <c r="BM2185" s="153"/>
      <c r="BN2185" s="153"/>
      <c r="BO2185" s="153"/>
      <c r="BP2185" s="153"/>
      <c r="BQ2185" s="153"/>
      <c r="BR2185" s="153"/>
      <c r="BS2185" s="153"/>
      <c r="BT2185" s="153"/>
      <c r="BU2185" s="153"/>
      <c r="BV2185" s="153"/>
      <c r="BW2185" s="153"/>
      <c r="BX2185" s="153"/>
      <c r="BY2185" s="153"/>
      <c r="BZ2185" s="153"/>
      <c r="CA2185" s="153"/>
      <c r="CB2185" s="153"/>
      <c r="CC2185" s="153"/>
      <c r="CD2185" s="155"/>
      <c r="CE2185" s="156"/>
      <c r="CF2185" s="155"/>
      <c r="CG2185" s="156"/>
      <c r="CH2185" s="155"/>
      <c r="CI2185" s="156"/>
      <c r="CJ2185" s="157">
        <f t="shared" si="273"/>
        <v>0</v>
      </c>
      <c r="CK2185" s="158"/>
      <c r="CL2185" s="159"/>
      <c r="CM2185" s="160"/>
      <c r="CN2185" s="161"/>
      <c r="CO2185" s="162"/>
      <c r="CP2185" s="161"/>
      <c r="CQ2185" s="158"/>
      <c r="CR2185" s="159"/>
      <c r="CS2185" s="68"/>
      <c r="CT2185" s="163"/>
      <c r="EC2185" s="366" t="str">
        <f t="shared" si="274"/>
        <v>CASANARE_AGUAZUL</v>
      </c>
      <c r="ED2185" s="367"/>
      <c r="EE2185" s="367"/>
      <c r="EF2185" s="368"/>
      <c r="EG2185" s="367"/>
      <c r="EH2185" s="367"/>
      <c r="EI2185" s="367"/>
    </row>
    <row r="2186" spans="1:139" s="164" customFormat="1" ht="25.5">
      <c r="A2186" s="228">
        <v>40527</v>
      </c>
      <c r="B2186" s="205" t="s">
        <v>1617</v>
      </c>
      <c r="C2186" s="205" t="s">
        <v>3209</v>
      </c>
      <c r="D2186" s="207" t="s">
        <v>1201</v>
      </c>
      <c r="E2186" s="323" t="s">
        <v>4277</v>
      </c>
      <c r="F2186" s="323"/>
      <c r="G2186" s="204"/>
      <c r="H2186" s="151"/>
      <c r="I2186" s="151"/>
      <c r="J2186" s="151">
        <f>57*5</f>
        <v>285</v>
      </c>
      <c r="K2186" s="151">
        <v>57</v>
      </c>
      <c r="L2186" s="1"/>
      <c r="M2186" s="73">
        <f t="shared" si="271"/>
        <v>0</v>
      </c>
      <c r="N2186" s="73">
        <f t="shared" si="269"/>
        <v>0</v>
      </c>
      <c r="O2186" s="73">
        <f t="shared" si="270"/>
        <v>0</v>
      </c>
      <c r="P2186" s="73">
        <f t="shared" si="272"/>
        <v>0</v>
      </c>
      <c r="Q2186" s="73"/>
      <c r="R2186" s="73">
        <v>0</v>
      </c>
      <c r="S2186" s="75">
        <f t="shared" si="275"/>
        <v>0</v>
      </c>
      <c r="T2186" s="77">
        <v>0</v>
      </c>
      <c r="U2186" s="66"/>
      <c r="V2186" s="79"/>
      <c r="W2186" s="66" t="s">
        <v>1585</v>
      </c>
      <c r="X2186" s="24" t="s">
        <v>1586</v>
      </c>
      <c r="Y2186" s="62"/>
      <c r="Z2186" s="169" t="s">
        <v>894</v>
      </c>
      <c r="AA2186" s="166" t="s">
        <v>155</v>
      </c>
      <c r="AB2186" s="152"/>
      <c r="AC2186" s="153"/>
      <c r="AD2186" s="154"/>
      <c r="AE2186" s="153"/>
      <c r="AF2186" s="153"/>
      <c r="AG2186" s="153"/>
      <c r="AH2186" s="153"/>
      <c r="AI2186" s="153"/>
      <c r="AJ2186" s="153"/>
      <c r="AK2186" s="153"/>
      <c r="AL2186" s="153"/>
      <c r="AM2186" s="153"/>
      <c r="AN2186" s="153"/>
      <c r="AO2186" s="153"/>
      <c r="AP2186" s="153"/>
      <c r="AQ2186" s="153"/>
      <c r="AR2186" s="153"/>
      <c r="AS2186" s="153"/>
      <c r="AT2186" s="153"/>
      <c r="AU2186" s="153"/>
      <c r="AV2186" s="153"/>
      <c r="AW2186" s="153"/>
      <c r="AX2186" s="153"/>
      <c r="AY2186" s="153"/>
      <c r="AZ2186" s="153"/>
      <c r="BA2186" s="153"/>
      <c r="BB2186" s="153"/>
      <c r="BC2186" s="153"/>
      <c r="BD2186" s="153"/>
      <c r="BE2186" s="153"/>
      <c r="BF2186" s="153"/>
      <c r="BG2186" s="153"/>
      <c r="BH2186" s="153"/>
      <c r="BI2186" s="153"/>
      <c r="BJ2186" s="153"/>
      <c r="BK2186" s="153"/>
      <c r="BL2186" s="153"/>
      <c r="BM2186" s="153"/>
      <c r="BN2186" s="153"/>
      <c r="BO2186" s="153"/>
      <c r="BP2186" s="153"/>
      <c r="BQ2186" s="153"/>
      <c r="BR2186" s="153"/>
      <c r="BS2186" s="153"/>
      <c r="BT2186" s="153"/>
      <c r="BU2186" s="153"/>
      <c r="BV2186" s="153"/>
      <c r="BW2186" s="153"/>
      <c r="BX2186" s="153"/>
      <c r="BY2186" s="153"/>
      <c r="BZ2186" s="153"/>
      <c r="CA2186" s="153"/>
      <c r="CB2186" s="153"/>
      <c r="CC2186" s="153"/>
      <c r="CD2186" s="155"/>
      <c r="CE2186" s="156"/>
      <c r="CF2186" s="155"/>
      <c r="CG2186" s="156"/>
      <c r="CH2186" s="155"/>
      <c r="CI2186" s="156"/>
      <c r="CJ2186" s="157">
        <f t="shared" si="273"/>
        <v>0</v>
      </c>
      <c r="CK2186" s="158"/>
      <c r="CL2186" s="159"/>
      <c r="CM2186" s="160"/>
      <c r="CN2186" s="161"/>
      <c r="CO2186" s="162"/>
      <c r="CP2186" s="161"/>
      <c r="CQ2186" s="158"/>
      <c r="CR2186" s="159"/>
      <c r="CS2186" s="68"/>
      <c r="CT2186" s="163"/>
      <c r="EC2186" s="366" t="str">
        <f t="shared" si="274"/>
        <v>CASANARE_LA SALINA</v>
      </c>
      <c r="ED2186" s="367"/>
      <c r="EE2186" s="367"/>
      <c r="EF2186" s="368"/>
      <c r="EG2186" s="367"/>
      <c r="EH2186" s="367"/>
      <c r="EI2186" s="367"/>
    </row>
    <row r="2187" spans="1:139" s="164" customFormat="1" ht="25.5">
      <c r="A2187" s="228">
        <v>40527</v>
      </c>
      <c r="B2187" s="205" t="s">
        <v>1617</v>
      </c>
      <c r="C2187" s="205" t="s">
        <v>3210</v>
      </c>
      <c r="D2187" s="207" t="s">
        <v>1201</v>
      </c>
      <c r="E2187" s="323" t="s">
        <v>4284</v>
      </c>
      <c r="F2187" s="323"/>
      <c r="G2187" s="204"/>
      <c r="H2187" s="151"/>
      <c r="I2187" s="151"/>
      <c r="J2187" s="151">
        <f>300*5</f>
        <v>1500</v>
      </c>
      <c r="K2187" s="151">
        <v>300</v>
      </c>
      <c r="L2187" s="1"/>
      <c r="M2187" s="73">
        <f t="shared" si="271"/>
        <v>0</v>
      </c>
      <c r="N2187" s="73">
        <f t="shared" si="269"/>
        <v>0</v>
      </c>
      <c r="O2187" s="73">
        <f t="shared" si="270"/>
        <v>0</v>
      </c>
      <c r="P2187" s="73">
        <f t="shared" si="272"/>
        <v>0</v>
      </c>
      <c r="Q2187" s="73"/>
      <c r="R2187" s="73">
        <v>0</v>
      </c>
      <c r="S2187" s="75">
        <f t="shared" si="275"/>
        <v>0</v>
      </c>
      <c r="T2187" s="77">
        <v>0</v>
      </c>
      <c r="U2187" s="66"/>
      <c r="V2187" s="79"/>
      <c r="W2187" s="66" t="s">
        <v>1585</v>
      </c>
      <c r="X2187" s="24" t="s">
        <v>1586</v>
      </c>
      <c r="Y2187" s="62"/>
      <c r="Z2187" s="169" t="s">
        <v>894</v>
      </c>
      <c r="AA2187" s="166" t="s">
        <v>155</v>
      </c>
      <c r="AB2187" s="152"/>
      <c r="AC2187" s="153"/>
      <c r="AD2187" s="154"/>
      <c r="AE2187" s="153"/>
      <c r="AF2187" s="153"/>
      <c r="AG2187" s="153"/>
      <c r="AH2187" s="153"/>
      <c r="AI2187" s="153"/>
      <c r="AJ2187" s="153"/>
      <c r="AK2187" s="153"/>
      <c r="AL2187" s="153"/>
      <c r="AM2187" s="153"/>
      <c r="AN2187" s="153"/>
      <c r="AO2187" s="153"/>
      <c r="AP2187" s="153"/>
      <c r="AQ2187" s="153"/>
      <c r="AR2187" s="153"/>
      <c r="AS2187" s="153"/>
      <c r="AT2187" s="153"/>
      <c r="AU2187" s="153"/>
      <c r="AV2187" s="153"/>
      <c r="AW2187" s="153"/>
      <c r="AX2187" s="153"/>
      <c r="AY2187" s="153"/>
      <c r="AZ2187" s="153"/>
      <c r="BA2187" s="153"/>
      <c r="BB2187" s="153"/>
      <c r="BC2187" s="153"/>
      <c r="BD2187" s="153"/>
      <c r="BE2187" s="153"/>
      <c r="BF2187" s="153"/>
      <c r="BG2187" s="153"/>
      <c r="BH2187" s="153"/>
      <c r="BI2187" s="153"/>
      <c r="BJ2187" s="153"/>
      <c r="BK2187" s="153"/>
      <c r="BL2187" s="153"/>
      <c r="BM2187" s="153"/>
      <c r="BN2187" s="153"/>
      <c r="BO2187" s="153"/>
      <c r="BP2187" s="153"/>
      <c r="BQ2187" s="153"/>
      <c r="BR2187" s="153"/>
      <c r="BS2187" s="153"/>
      <c r="BT2187" s="153"/>
      <c r="BU2187" s="153"/>
      <c r="BV2187" s="153"/>
      <c r="BW2187" s="153"/>
      <c r="BX2187" s="153"/>
      <c r="BY2187" s="153"/>
      <c r="BZ2187" s="153"/>
      <c r="CA2187" s="153"/>
      <c r="CB2187" s="153"/>
      <c r="CC2187" s="153"/>
      <c r="CD2187" s="155"/>
      <c r="CE2187" s="156"/>
      <c r="CF2187" s="155"/>
      <c r="CG2187" s="156"/>
      <c r="CH2187" s="155"/>
      <c r="CI2187" s="156"/>
      <c r="CJ2187" s="157">
        <f t="shared" si="273"/>
        <v>0</v>
      </c>
      <c r="CK2187" s="158"/>
      <c r="CL2187" s="159"/>
      <c r="CM2187" s="160"/>
      <c r="CN2187" s="161"/>
      <c r="CO2187" s="162"/>
      <c r="CP2187" s="161"/>
      <c r="CQ2187" s="158"/>
      <c r="CR2187" s="159"/>
      <c r="CS2187" s="68"/>
      <c r="CT2187" s="163"/>
      <c r="EC2187" s="366" t="str">
        <f t="shared" si="274"/>
        <v>CASANARE_RECETOR</v>
      </c>
      <c r="ED2187" s="367"/>
      <c r="EE2187" s="367"/>
      <c r="EF2187" s="368"/>
      <c r="EG2187" s="367"/>
      <c r="EH2187" s="367"/>
      <c r="EI2187" s="367"/>
    </row>
    <row r="2188" spans="1:139" s="164" customFormat="1" ht="25.5">
      <c r="A2188" s="228">
        <v>40527</v>
      </c>
      <c r="B2188" s="205" t="s">
        <v>1617</v>
      </c>
      <c r="C2188" s="205" t="s">
        <v>3211</v>
      </c>
      <c r="D2188" s="207" t="s">
        <v>1201</v>
      </c>
      <c r="E2188" s="323" t="s">
        <v>4286</v>
      </c>
      <c r="F2188" s="323"/>
      <c r="G2188" s="204"/>
      <c r="H2188" s="151"/>
      <c r="I2188" s="151"/>
      <c r="J2188" s="151">
        <v>81</v>
      </c>
      <c r="K2188" s="151">
        <v>16</v>
      </c>
      <c r="L2188" s="1"/>
      <c r="M2188" s="73">
        <f t="shared" si="271"/>
        <v>0</v>
      </c>
      <c r="N2188" s="73">
        <f t="shared" si="269"/>
        <v>0</v>
      </c>
      <c r="O2188" s="73">
        <f t="shared" si="270"/>
        <v>0</v>
      </c>
      <c r="P2188" s="73">
        <f t="shared" si="272"/>
        <v>0</v>
      </c>
      <c r="Q2188" s="73"/>
      <c r="R2188" s="73">
        <v>0</v>
      </c>
      <c r="S2188" s="75">
        <f t="shared" si="275"/>
        <v>0</v>
      </c>
      <c r="T2188" s="77">
        <v>0</v>
      </c>
      <c r="U2188" s="66"/>
      <c r="V2188" s="79"/>
      <c r="W2188" s="66" t="s">
        <v>1585</v>
      </c>
      <c r="X2188" s="24" t="s">
        <v>1586</v>
      </c>
      <c r="Y2188" s="62"/>
      <c r="Z2188" s="169" t="s">
        <v>894</v>
      </c>
      <c r="AA2188" s="166" t="s">
        <v>155</v>
      </c>
      <c r="AB2188" s="152"/>
      <c r="AC2188" s="153"/>
      <c r="AD2188" s="154"/>
      <c r="AE2188" s="153"/>
      <c r="AF2188" s="153"/>
      <c r="AG2188" s="153"/>
      <c r="AH2188" s="153"/>
      <c r="AI2188" s="153"/>
      <c r="AJ2188" s="153"/>
      <c r="AK2188" s="153"/>
      <c r="AL2188" s="153"/>
      <c r="AM2188" s="153"/>
      <c r="AN2188" s="153"/>
      <c r="AO2188" s="153"/>
      <c r="AP2188" s="153"/>
      <c r="AQ2188" s="153"/>
      <c r="AR2188" s="153"/>
      <c r="AS2188" s="153"/>
      <c r="AT2188" s="153"/>
      <c r="AU2188" s="153"/>
      <c r="AV2188" s="153"/>
      <c r="AW2188" s="153"/>
      <c r="AX2188" s="153"/>
      <c r="AY2188" s="153"/>
      <c r="AZ2188" s="153"/>
      <c r="BA2188" s="153"/>
      <c r="BB2188" s="153"/>
      <c r="BC2188" s="153"/>
      <c r="BD2188" s="153"/>
      <c r="BE2188" s="153"/>
      <c r="BF2188" s="153"/>
      <c r="BG2188" s="153"/>
      <c r="BH2188" s="153"/>
      <c r="BI2188" s="153"/>
      <c r="BJ2188" s="153"/>
      <c r="BK2188" s="153"/>
      <c r="BL2188" s="153"/>
      <c r="BM2188" s="153"/>
      <c r="BN2188" s="153"/>
      <c r="BO2188" s="153"/>
      <c r="BP2188" s="153"/>
      <c r="BQ2188" s="153"/>
      <c r="BR2188" s="153"/>
      <c r="BS2188" s="153"/>
      <c r="BT2188" s="153"/>
      <c r="BU2188" s="153"/>
      <c r="BV2188" s="153"/>
      <c r="BW2188" s="153"/>
      <c r="BX2188" s="153"/>
      <c r="BY2188" s="153"/>
      <c r="BZ2188" s="153"/>
      <c r="CA2188" s="153"/>
      <c r="CB2188" s="153"/>
      <c r="CC2188" s="153"/>
      <c r="CD2188" s="155"/>
      <c r="CE2188" s="156"/>
      <c r="CF2188" s="155"/>
      <c r="CG2188" s="156"/>
      <c r="CH2188" s="155"/>
      <c r="CI2188" s="156"/>
      <c r="CJ2188" s="157">
        <f t="shared" si="273"/>
        <v>0</v>
      </c>
      <c r="CK2188" s="158"/>
      <c r="CL2188" s="159"/>
      <c r="CM2188" s="160"/>
      <c r="CN2188" s="161"/>
      <c r="CO2188" s="162"/>
      <c r="CP2188" s="161"/>
      <c r="CQ2188" s="158"/>
      <c r="CR2188" s="159"/>
      <c r="CS2188" s="68"/>
      <c r="CT2188" s="163"/>
      <c r="EC2188" s="366" t="str">
        <f t="shared" si="274"/>
        <v>CASANARE_SACAMA</v>
      </c>
      <c r="ED2188" s="367"/>
      <c r="EE2188" s="367"/>
      <c r="EF2188" s="368"/>
      <c r="EG2188" s="367"/>
      <c r="EH2188" s="367"/>
      <c r="EI2188" s="367"/>
    </row>
    <row r="2189" spans="1:139" s="164" customFormat="1" ht="51">
      <c r="A2189" s="228">
        <v>40527</v>
      </c>
      <c r="B2189" s="205" t="s">
        <v>1617</v>
      </c>
      <c r="C2189" s="205" t="s">
        <v>3212</v>
      </c>
      <c r="D2189" s="207" t="s">
        <v>1201</v>
      </c>
      <c r="E2189" s="323" t="s">
        <v>4287</v>
      </c>
      <c r="F2189" s="323"/>
      <c r="G2189" s="204"/>
      <c r="H2189" s="151"/>
      <c r="I2189" s="151"/>
      <c r="J2189" s="151">
        <f>56*5</f>
        <v>280</v>
      </c>
      <c r="K2189" s="151">
        <v>56</v>
      </c>
      <c r="L2189" s="1"/>
      <c r="M2189" s="73">
        <f t="shared" si="271"/>
        <v>0</v>
      </c>
      <c r="N2189" s="73">
        <f t="shared" si="269"/>
        <v>0</v>
      </c>
      <c r="O2189" s="73">
        <f t="shared" si="270"/>
        <v>0</v>
      </c>
      <c r="P2189" s="73">
        <f t="shared" si="272"/>
        <v>0</v>
      </c>
      <c r="Q2189" s="73"/>
      <c r="R2189" s="73">
        <v>0</v>
      </c>
      <c r="S2189" s="75">
        <f t="shared" si="275"/>
        <v>0</v>
      </c>
      <c r="T2189" s="77">
        <v>0</v>
      </c>
      <c r="U2189" s="66">
        <v>40618</v>
      </c>
      <c r="V2189" s="79"/>
      <c r="W2189" s="66" t="s">
        <v>1585</v>
      </c>
      <c r="X2189" s="24" t="s">
        <v>1586</v>
      </c>
      <c r="Y2189" s="62"/>
      <c r="Z2189" s="169" t="s">
        <v>894</v>
      </c>
      <c r="AA2189" s="166" t="s">
        <v>4328</v>
      </c>
      <c r="AB2189" s="152"/>
      <c r="AC2189" s="153"/>
      <c r="AD2189" s="154"/>
      <c r="AE2189" s="153"/>
      <c r="AF2189" s="153"/>
      <c r="AG2189" s="153"/>
      <c r="AH2189" s="153"/>
      <c r="AI2189" s="153"/>
      <c r="AJ2189" s="153"/>
      <c r="AK2189" s="153"/>
      <c r="AL2189" s="153"/>
      <c r="AM2189" s="153"/>
      <c r="AN2189" s="153"/>
      <c r="AO2189" s="153"/>
      <c r="AP2189" s="153"/>
      <c r="AQ2189" s="153"/>
      <c r="AR2189" s="153"/>
      <c r="AS2189" s="153"/>
      <c r="AT2189" s="153"/>
      <c r="AU2189" s="153"/>
      <c r="AV2189" s="153"/>
      <c r="AW2189" s="153"/>
      <c r="AX2189" s="153"/>
      <c r="AY2189" s="153"/>
      <c r="AZ2189" s="153"/>
      <c r="BA2189" s="153"/>
      <c r="BB2189" s="153"/>
      <c r="BC2189" s="153"/>
      <c r="BD2189" s="153"/>
      <c r="BE2189" s="153"/>
      <c r="BF2189" s="153"/>
      <c r="BG2189" s="153"/>
      <c r="BH2189" s="153"/>
      <c r="BI2189" s="153"/>
      <c r="BJ2189" s="153"/>
      <c r="BK2189" s="153"/>
      <c r="BL2189" s="153"/>
      <c r="BM2189" s="153"/>
      <c r="BN2189" s="153"/>
      <c r="BO2189" s="153"/>
      <c r="BP2189" s="153"/>
      <c r="BQ2189" s="153"/>
      <c r="BR2189" s="153"/>
      <c r="BS2189" s="153"/>
      <c r="BT2189" s="153"/>
      <c r="BU2189" s="153"/>
      <c r="BV2189" s="153"/>
      <c r="BW2189" s="153"/>
      <c r="BX2189" s="153"/>
      <c r="BY2189" s="153"/>
      <c r="BZ2189" s="153"/>
      <c r="CA2189" s="153"/>
      <c r="CB2189" s="153"/>
      <c r="CC2189" s="153"/>
      <c r="CD2189" s="155"/>
      <c r="CE2189" s="156"/>
      <c r="CF2189" s="155"/>
      <c r="CG2189" s="156"/>
      <c r="CH2189" s="155"/>
      <c r="CI2189" s="156"/>
      <c r="CJ2189" s="157">
        <f t="shared" si="273"/>
        <v>0</v>
      </c>
      <c r="CK2189" s="158"/>
      <c r="CL2189" s="159"/>
      <c r="CM2189" s="160"/>
      <c r="CN2189" s="161"/>
      <c r="CO2189" s="162"/>
      <c r="CP2189" s="161"/>
      <c r="CQ2189" s="158"/>
      <c r="CR2189" s="159"/>
      <c r="CS2189" s="68"/>
      <c r="CT2189" s="163"/>
      <c r="EC2189" s="366" t="str">
        <f t="shared" si="274"/>
        <v>CASANARE_SAN LUIS DE PALENQUE</v>
      </c>
      <c r="ED2189" s="367"/>
      <c r="EE2189" s="367"/>
      <c r="EF2189" s="368"/>
      <c r="EG2189" s="367"/>
      <c r="EH2189" s="367"/>
      <c r="EI2189" s="367"/>
    </row>
    <row r="2190" spans="1:139" s="164" customFormat="1" ht="25.5">
      <c r="A2190" s="228">
        <v>40527</v>
      </c>
      <c r="B2190" s="205" t="s">
        <v>1617</v>
      </c>
      <c r="C2190" s="205" t="s">
        <v>3213</v>
      </c>
      <c r="D2190" s="207" t="s">
        <v>1201</v>
      </c>
      <c r="E2190" s="323" t="s">
        <v>4288</v>
      </c>
      <c r="F2190" s="323"/>
      <c r="G2190" s="204"/>
      <c r="H2190" s="151"/>
      <c r="I2190" s="151"/>
      <c r="J2190" s="151">
        <v>101</v>
      </c>
      <c r="K2190" s="151">
        <v>20</v>
      </c>
      <c r="L2190" s="1"/>
      <c r="M2190" s="73">
        <f t="shared" si="271"/>
        <v>0</v>
      </c>
      <c r="N2190" s="73">
        <f t="shared" ref="N2190:N2253" si="276">CN2190</f>
        <v>0</v>
      </c>
      <c r="O2190" s="73">
        <f t="shared" si="270"/>
        <v>0</v>
      </c>
      <c r="P2190" s="73">
        <f t="shared" si="272"/>
        <v>0</v>
      </c>
      <c r="Q2190" s="73"/>
      <c r="R2190" s="73">
        <v>0</v>
      </c>
      <c r="S2190" s="75">
        <f t="shared" si="275"/>
        <v>0</v>
      </c>
      <c r="T2190" s="77">
        <v>0</v>
      </c>
      <c r="U2190" s="66"/>
      <c r="V2190" s="79"/>
      <c r="W2190" s="66" t="s">
        <v>1585</v>
      </c>
      <c r="X2190" s="24" t="s">
        <v>1586</v>
      </c>
      <c r="Y2190" s="62"/>
      <c r="Z2190" s="169" t="s">
        <v>894</v>
      </c>
      <c r="AA2190" s="166" t="s">
        <v>155</v>
      </c>
      <c r="AB2190" s="152"/>
      <c r="AC2190" s="153"/>
      <c r="AD2190" s="154"/>
      <c r="AE2190" s="153"/>
      <c r="AF2190" s="153"/>
      <c r="AG2190" s="153"/>
      <c r="AH2190" s="153"/>
      <c r="AI2190" s="153"/>
      <c r="AJ2190" s="153"/>
      <c r="AK2190" s="153"/>
      <c r="AL2190" s="153"/>
      <c r="AM2190" s="153"/>
      <c r="AN2190" s="153"/>
      <c r="AO2190" s="153"/>
      <c r="AP2190" s="153"/>
      <c r="AQ2190" s="153"/>
      <c r="AR2190" s="153"/>
      <c r="AS2190" s="153"/>
      <c r="AT2190" s="153"/>
      <c r="AU2190" s="153"/>
      <c r="AV2190" s="153"/>
      <c r="AW2190" s="153"/>
      <c r="AX2190" s="153"/>
      <c r="AY2190" s="153"/>
      <c r="AZ2190" s="153"/>
      <c r="BA2190" s="153"/>
      <c r="BB2190" s="153"/>
      <c r="BC2190" s="153"/>
      <c r="BD2190" s="153"/>
      <c r="BE2190" s="153"/>
      <c r="BF2190" s="153"/>
      <c r="BG2190" s="153"/>
      <c r="BH2190" s="153"/>
      <c r="BI2190" s="153"/>
      <c r="BJ2190" s="153"/>
      <c r="BK2190" s="153"/>
      <c r="BL2190" s="153"/>
      <c r="BM2190" s="153"/>
      <c r="BN2190" s="153"/>
      <c r="BO2190" s="153"/>
      <c r="BP2190" s="153"/>
      <c r="BQ2190" s="153"/>
      <c r="BR2190" s="153"/>
      <c r="BS2190" s="153"/>
      <c r="BT2190" s="153"/>
      <c r="BU2190" s="153"/>
      <c r="BV2190" s="153"/>
      <c r="BW2190" s="153"/>
      <c r="BX2190" s="153"/>
      <c r="BY2190" s="153"/>
      <c r="BZ2190" s="153"/>
      <c r="CA2190" s="153"/>
      <c r="CB2190" s="153"/>
      <c r="CC2190" s="153"/>
      <c r="CD2190" s="155"/>
      <c r="CE2190" s="156"/>
      <c r="CF2190" s="155"/>
      <c r="CG2190" s="156"/>
      <c r="CH2190" s="155"/>
      <c r="CI2190" s="156"/>
      <c r="CJ2190" s="157">
        <f t="shared" si="273"/>
        <v>0</v>
      </c>
      <c r="CK2190" s="158"/>
      <c r="CL2190" s="159"/>
      <c r="CM2190" s="160"/>
      <c r="CN2190" s="161"/>
      <c r="CO2190" s="162"/>
      <c r="CP2190" s="161"/>
      <c r="CQ2190" s="158"/>
      <c r="CR2190" s="159"/>
      <c r="CS2190" s="68"/>
      <c r="CT2190" s="163"/>
      <c r="EC2190" s="366" t="str">
        <f t="shared" si="274"/>
        <v>CASANARE_TAMARA</v>
      </c>
      <c r="ED2190" s="367"/>
      <c r="EE2190" s="367"/>
      <c r="EF2190" s="368"/>
      <c r="EG2190" s="367"/>
      <c r="EH2190" s="367"/>
      <c r="EI2190" s="367"/>
    </row>
    <row r="2191" spans="1:139" s="164" customFormat="1" ht="38.25">
      <c r="A2191" s="228">
        <v>40527</v>
      </c>
      <c r="B2191" s="205" t="s">
        <v>1821</v>
      </c>
      <c r="C2191" s="102" t="s">
        <v>664</v>
      </c>
      <c r="D2191" s="207" t="s">
        <v>1201</v>
      </c>
      <c r="E2191" s="323" t="s">
        <v>3642</v>
      </c>
      <c r="F2191" s="323"/>
      <c r="G2191" s="204"/>
      <c r="H2191" s="151"/>
      <c r="I2191" s="151"/>
      <c r="J2191" s="151">
        <f>1516*5</f>
        <v>7580</v>
      </c>
      <c r="K2191" s="151">
        <v>1516</v>
      </c>
      <c r="L2191" s="1"/>
      <c r="M2191" s="73">
        <f t="shared" si="271"/>
        <v>0</v>
      </c>
      <c r="N2191" s="73">
        <f t="shared" si="276"/>
        <v>0</v>
      </c>
      <c r="O2191" s="73">
        <f t="shared" si="270"/>
        <v>0</v>
      </c>
      <c r="P2191" s="73">
        <f t="shared" si="272"/>
        <v>0</v>
      </c>
      <c r="Q2191" s="73"/>
      <c r="R2191" s="73">
        <v>0</v>
      </c>
      <c r="S2191" s="75">
        <f t="shared" si="275"/>
        <v>0</v>
      </c>
      <c r="T2191" s="77">
        <v>0</v>
      </c>
      <c r="U2191" s="66">
        <v>40581</v>
      </c>
      <c r="V2191" s="79"/>
      <c r="W2191" s="66" t="s">
        <v>1585</v>
      </c>
      <c r="X2191" s="24" t="s">
        <v>1586</v>
      </c>
      <c r="Y2191" s="62"/>
      <c r="Z2191" s="169" t="s">
        <v>894</v>
      </c>
      <c r="AA2191" s="166" t="s">
        <v>54</v>
      </c>
      <c r="AB2191" s="152"/>
      <c r="AC2191" s="153"/>
      <c r="AD2191" s="154"/>
      <c r="AE2191" s="153"/>
      <c r="AF2191" s="153"/>
      <c r="AG2191" s="153"/>
      <c r="AH2191" s="153"/>
      <c r="AI2191" s="153"/>
      <c r="AJ2191" s="153"/>
      <c r="AK2191" s="153"/>
      <c r="AL2191" s="153"/>
      <c r="AM2191" s="153"/>
      <c r="AN2191" s="153"/>
      <c r="AO2191" s="153"/>
      <c r="AP2191" s="153"/>
      <c r="AQ2191" s="153"/>
      <c r="AR2191" s="153"/>
      <c r="AS2191" s="153"/>
      <c r="AT2191" s="153"/>
      <c r="AU2191" s="153"/>
      <c r="AV2191" s="153"/>
      <c r="AW2191" s="153"/>
      <c r="AX2191" s="153"/>
      <c r="AY2191" s="153"/>
      <c r="AZ2191" s="153"/>
      <c r="BA2191" s="153"/>
      <c r="BB2191" s="153"/>
      <c r="BC2191" s="153"/>
      <c r="BD2191" s="153"/>
      <c r="BE2191" s="153"/>
      <c r="BF2191" s="153"/>
      <c r="BG2191" s="153"/>
      <c r="BH2191" s="153"/>
      <c r="BI2191" s="153"/>
      <c r="BJ2191" s="153"/>
      <c r="BK2191" s="153"/>
      <c r="BL2191" s="153"/>
      <c r="BM2191" s="153"/>
      <c r="BN2191" s="153"/>
      <c r="BO2191" s="153"/>
      <c r="BP2191" s="153"/>
      <c r="BQ2191" s="153"/>
      <c r="BR2191" s="153"/>
      <c r="BS2191" s="153"/>
      <c r="BT2191" s="153"/>
      <c r="BU2191" s="153"/>
      <c r="BV2191" s="153"/>
      <c r="BW2191" s="153"/>
      <c r="BX2191" s="153"/>
      <c r="BY2191" s="153"/>
      <c r="BZ2191" s="153"/>
      <c r="CA2191" s="153"/>
      <c r="CB2191" s="153"/>
      <c r="CC2191" s="153"/>
      <c r="CD2191" s="155"/>
      <c r="CE2191" s="156"/>
      <c r="CF2191" s="155"/>
      <c r="CG2191" s="156"/>
      <c r="CH2191" s="155"/>
      <c r="CI2191" s="156"/>
      <c r="CJ2191" s="157">
        <f t="shared" si="273"/>
        <v>0</v>
      </c>
      <c r="CK2191" s="158"/>
      <c r="CL2191" s="159"/>
      <c r="CM2191" s="160"/>
      <c r="CN2191" s="161"/>
      <c r="CO2191" s="162"/>
      <c r="CP2191" s="161"/>
      <c r="CQ2191" s="158"/>
      <c r="CR2191" s="159"/>
      <c r="CS2191" s="68"/>
      <c r="CT2191" s="163"/>
      <c r="EC2191" s="366" t="str">
        <f t="shared" si="274"/>
        <v>CESAR_LA JAGUA DE IBIRICO</v>
      </c>
      <c r="ED2191" s="367"/>
      <c r="EE2191" s="367"/>
      <c r="EF2191" s="368"/>
      <c r="EG2191" s="367"/>
      <c r="EH2191" s="367"/>
      <c r="EI2191" s="367"/>
    </row>
    <row r="2192" spans="1:139" s="164" customFormat="1" ht="25.5">
      <c r="A2192" s="228">
        <v>40527</v>
      </c>
      <c r="B2192" s="205" t="s">
        <v>1821</v>
      </c>
      <c r="C2192" s="205" t="s">
        <v>75</v>
      </c>
      <c r="D2192" s="207" t="s">
        <v>1201</v>
      </c>
      <c r="E2192" s="323" t="s">
        <v>3649</v>
      </c>
      <c r="F2192" s="323"/>
      <c r="G2192" s="204"/>
      <c r="H2192" s="151"/>
      <c r="I2192" s="151"/>
      <c r="J2192" s="151">
        <f>202*5</f>
        <v>1010</v>
      </c>
      <c r="K2192" s="151">
        <v>202</v>
      </c>
      <c r="L2192" s="1"/>
      <c r="M2192" s="73">
        <f t="shared" si="271"/>
        <v>0</v>
      </c>
      <c r="N2192" s="73">
        <f t="shared" si="276"/>
        <v>0</v>
      </c>
      <c r="O2192" s="73">
        <f t="shared" si="270"/>
        <v>0</v>
      </c>
      <c r="P2192" s="73">
        <f t="shared" si="272"/>
        <v>0</v>
      </c>
      <c r="Q2192" s="73"/>
      <c r="R2192" s="73">
        <v>0</v>
      </c>
      <c r="S2192" s="75">
        <f t="shared" si="275"/>
        <v>0</v>
      </c>
      <c r="T2192" s="77">
        <v>0</v>
      </c>
      <c r="U2192" s="66">
        <v>40581</v>
      </c>
      <c r="V2192" s="79"/>
      <c r="W2192" s="66" t="s">
        <v>1585</v>
      </c>
      <c r="X2192" s="24" t="s">
        <v>1586</v>
      </c>
      <c r="Y2192" s="62"/>
      <c r="Z2192" s="169" t="s">
        <v>894</v>
      </c>
      <c r="AA2192" s="166" t="s">
        <v>54</v>
      </c>
      <c r="AB2192" s="152"/>
      <c r="AC2192" s="153"/>
      <c r="AD2192" s="154"/>
      <c r="AE2192" s="153"/>
      <c r="AF2192" s="153"/>
      <c r="AG2192" s="153"/>
      <c r="AH2192" s="153"/>
      <c r="AI2192" s="153"/>
      <c r="AJ2192" s="153"/>
      <c r="AK2192" s="153"/>
      <c r="AL2192" s="153"/>
      <c r="AM2192" s="153"/>
      <c r="AN2192" s="153"/>
      <c r="AO2192" s="153"/>
      <c r="AP2192" s="153"/>
      <c r="AQ2192" s="153"/>
      <c r="AR2192" s="153"/>
      <c r="AS2192" s="153"/>
      <c r="AT2192" s="153"/>
      <c r="AU2192" s="153"/>
      <c r="AV2192" s="153"/>
      <c r="AW2192" s="153"/>
      <c r="AX2192" s="153"/>
      <c r="AY2192" s="153"/>
      <c r="AZ2192" s="153"/>
      <c r="BA2192" s="153"/>
      <c r="BB2192" s="153"/>
      <c r="BC2192" s="153"/>
      <c r="BD2192" s="153"/>
      <c r="BE2192" s="153"/>
      <c r="BF2192" s="153"/>
      <c r="BG2192" s="153"/>
      <c r="BH2192" s="153"/>
      <c r="BI2192" s="153"/>
      <c r="BJ2192" s="153"/>
      <c r="BK2192" s="153"/>
      <c r="BL2192" s="153"/>
      <c r="BM2192" s="153"/>
      <c r="BN2192" s="153"/>
      <c r="BO2192" s="153"/>
      <c r="BP2192" s="153"/>
      <c r="BQ2192" s="153"/>
      <c r="BR2192" s="153"/>
      <c r="BS2192" s="153"/>
      <c r="BT2192" s="153"/>
      <c r="BU2192" s="153"/>
      <c r="BV2192" s="153"/>
      <c r="BW2192" s="153"/>
      <c r="BX2192" s="153"/>
      <c r="BY2192" s="153"/>
      <c r="BZ2192" s="153"/>
      <c r="CA2192" s="153"/>
      <c r="CB2192" s="153"/>
      <c r="CC2192" s="153"/>
      <c r="CD2192" s="155"/>
      <c r="CE2192" s="156"/>
      <c r="CF2192" s="155"/>
      <c r="CG2192" s="156"/>
      <c r="CH2192" s="155"/>
      <c r="CI2192" s="156"/>
      <c r="CJ2192" s="157">
        <f t="shared" si="273"/>
        <v>0</v>
      </c>
      <c r="CK2192" s="158"/>
      <c r="CL2192" s="159"/>
      <c r="CM2192" s="160"/>
      <c r="CN2192" s="161"/>
      <c r="CO2192" s="162"/>
      <c r="CP2192" s="161"/>
      <c r="CQ2192" s="158"/>
      <c r="CR2192" s="159"/>
      <c r="CS2192" s="68"/>
      <c r="CT2192" s="163"/>
      <c r="EC2192" s="366" t="str">
        <f t="shared" si="274"/>
        <v>CESAR_SAN ALBERTO</v>
      </c>
      <c r="ED2192" s="367"/>
      <c r="EE2192" s="367"/>
      <c r="EF2192" s="368"/>
      <c r="EG2192" s="367"/>
      <c r="EH2192" s="367"/>
      <c r="EI2192" s="367"/>
    </row>
    <row r="2193" spans="1:139" s="164" customFormat="1" ht="51">
      <c r="A2193" s="228">
        <v>40527</v>
      </c>
      <c r="B2193" s="205" t="s">
        <v>1295</v>
      </c>
      <c r="C2193" s="205" t="s">
        <v>2853</v>
      </c>
      <c r="D2193" s="207" t="s">
        <v>1201</v>
      </c>
      <c r="E2193" s="323" t="s">
        <v>3670</v>
      </c>
      <c r="F2193" s="323"/>
      <c r="G2193" s="204"/>
      <c r="H2193" s="151"/>
      <c r="I2193" s="151"/>
      <c r="J2193" s="151">
        <v>138</v>
      </c>
      <c r="K2193" s="151">
        <v>28</v>
      </c>
      <c r="L2193" s="1"/>
      <c r="M2193" s="73">
        <f t="shared" si="271"/>
        <v>0</v>
      </c>
      <c r="N2193" s="73">
        <f t="shared" si="276"/>
        <v>8500000</v>
      </c>
      <c r="O2193" s="73">
        <f t="shared" si="270"/>
        <v>0</v>
      </c>
      <c r="P2193" s="73">
        <f t="shared" si="272"/>
        <v>0</v>
      </c>
      <c r="Q2193" s="73"/>
      <c r="R2193" s="73">
        <v>0</v>
      </c>
      <c r="S2193" s="75">
        <f t="shared" si="275"/>
        <v>8500000</v>
      </c>
      <c r="T2193" s="77">
        <v>0</v>
      </c>
      <c r="U2193" s="66"/>
      <c r="V2193" s="79"/>
      <c r="W2193" s="66" t="s">
        <v>1606</v>
      </c>
      <c r="X2193" s="24" t="s">
        <v>1607</v>
      </c>
      <c r="Y2193" s="62"/>
      <c r="Z2193" s="169"/>
      <c r="AA2193" s="166" t="s">
        <v>225</v>
      </c>
      <c r="AB2193" s="152"/>
      <c r="AC2193" s="153"/>
      <c r="AD2193" s="154"/>
      <c r="AE2193" s="153"/>
      <c r="AF2193" s="153"/>
      <c r="AG2193" s="153"/>
      <c r="AH2193" s="153"/>
      <c r="AI2193" s="153"/>
      <c r="AJ2193" s="153"/>
      <c r="AK2193" s="153"/>
      <c r="AL2193" s="153"/>
      <c r="AM2193" s="153"/>
      <c r="AN2193" s="153"/>
      <c r="AO2193" s="153"/>
      <c r="AP2193" s="153"/>
      <c r="AQ2193" s="153"/>
      <c r="AR2193" s="153"/>
      <c r="AS2193" s="153"/>
      <c r="AT2193" s="153"/>
      <c r="AU2193" s="153"/>
      <c r="AV2193" s="153"/>
      <c r="AW2193" s="153"/>
      <c r="AX2193" s="153"/>
      <c r="AY2193" s="153"/>
      <c r="AZ2193" s="153"/>
      <c r="BA2193" s="153"/>
      <c r="BB2193" s="153"/>
      <c r="BC2193" s="153"/>
      <c r="BD2193" s="153"/>
      <c r="BE2193" s="153"/>
      <c r="BF2193" s="153"/>
      <c r="BG2193" s="153"/>
      <c r="BH2193" s="153"/>
      <c r="BI2193" s="153"/>
      <c r="BJ2193" s="153"/>
      <c r="BK2193" s="153"/>
      <c r="BL2193" s="153"/>
      <c r="BM2193" s="153"/>
      <c r="BN2193" s="153"/>
      <c r="BO2193" s="153"/>
      <c r="BP2193" s="153"/>
      <c r="BQ2193" s="153"/>
      <c r="BR2193" s="153"/>
      <c r="BS2193" s="153"/>
      <c r="BT2193" s="153"/>
      <c r="BU2193" s="153"/>
      <c r="BV2193" s="153"/>
      <c r="BW2193" s="153"/>
      <c r="BX2193" s="153"/>
      <c r="BY2193" s="153"/>
      <c r="BZ2193" s="153"/>
      <c r="CA2193" s="153"/>
      <c r="CB2193" s="153"/>
      <c r="CC2193" s="153"/>
      <c r="CD2193" s="155"/>
      <c r="CE2193" s="156"/>
      <c r="CF2193" s="155"/>
      <c r="CG2193" s="156"/>
      <c r="CH2193" s="155"/>
      <c r="CI2193" s="156"/>
      <c r="CJ2193" s="157">
        <f t="shared" si="273"/>
        <v>0</v>
      </c>
      <c r="CK2193" s="158"/>
      <c r="CL2193" s="159"/>
      <c r="CM2193" s="160">
        <v>100</v>
      </c>
      <c r="CN2193" s="161">
        <f>100*85000</f>
        <v>8500000</v>
      </c>
      <c r="CO2193" s="162"/>
      <c r="CP2193" s="161"/>
      <c r="CQ2193" s="158"/>
      <c r="CR2193" s="159"/>
      <c r="CS2193" s="68"/>
      <c r="CT2193" s="163"/>
      <c r="EC2193" s="366" t="str">
        <f t="shared" si="274"/>
        <v>CORDOBA_PUERTO ESCONDIDO</v>
      </c>
      <c r="ED2193" s="367"/>
      <c r="EE2193" s="367"/>
      <c r="EF2193" s="368"/>
      <c r="EG2193" s="367"/>
      <c r="EH2193" s="367"/>
      <c r="EI2193" s="367"/>
    </row>
    <row r="2194" spans="1:139" s="164" customFormat="1" ht="60">
      <c r="A2194" s="228">
        <v>40527</v>
      </c>
      <c r="B2194" s="205" t="s">
        <v>1295</v>
      </c>
      <c r="C2194" s="205" t="s">
        <v>684</v>
      </c>
      <c r="D2194" s="207" t="s">
        <v>1201</v>
      </c>
      <c r="E2194" s="323" t="s">
        <v>3679</v>
      </c>
      <c r="F2194" s="323"/>
      <c r="G2194" s="204"/>
      <c r="H2194" s="151"/>
      <c r="I2194" s="151"/>
      <c r="J2194" s="151">
        <f>8435-2810-49</f>
        <v>5576</v>
      </c>
      <c r="K2194" s="151">
        <f>1687-562-13</f>
        <v>1112</v>
      </c>
      <c r="L2194" s="1"/>
      <c r="M2194" s="73">
        <f t="shared" si="271"/>
        <v>0</v>
      </c>
      <c r="N2194" s="73">
        <f t="shared" si="276"/>
        <v>90270000</v>
      </c>
      <c r="O2194" s="73">
        <f t="shared" si="270"/>
        <v>0</v>
      </c>
      <c r="P2194" s="73">
        <f t="shared" si="272"/>
        <v>0</v>
      </c>
      <c r="Q2194" s="73"/>
      <c r="R2194" s="73">
        <v>0</v>
      </c>
      <c r="S2194" s="75">
        <f t="shared" si="275"/>
        <v>90270000</v>
      </c>
      <c r="T2194" s="77">
        <v>0</v>
      </c>
      <c r="U2194" s="66"/>
      <c r="V2194" s="79"/>
      <c r="W2194" s="66" t="s">
        <v>1606</v>
      </c>
      <c r="X2194" s="24" t="s">
        <v>1607</v>
      </c>
      <c r="Y2194" s="62"/>
      <c r="Z2194" s="169"/>
      <c r="AA2194" s="166" t="s">
        <v>3013</v>
      </c>
      <c r="AB2194" s="152"/>
      <c r="AC2194" s="153"/>
      <c r="AD2194" s="154"/>
      <c r="AE2194" s="153"/>
      <c r="AF2194" s="153"/>
      <c r="AG2194" s="153"/>
      <c r="AH2194" s="153"/>
      <c r="AI2194" s="153"/>
      <c r="AJ2194" s="153"/>
      <c r="AK2194" s="153"/>
      <c r="AL2194" s="153"/>
      <c r="AM2194" s="153"/>
      <c r="AN2194" s="153"/>
      <c r="AO2194" s="153"/>
      <c r="AP2194" s="153"/>
      <c r="AQ2194" s="153"/>
      <c r="AR2194" s="153"/>
      <c r="AS2194" s="153"/>
      <c r="AT2194" s="153"/>
      <c r="AU2194" s="153"/>
      <c r="AV2194" s="153"/>
      <c r="AW2194" s="153"/>
      <c r="AX2194" s="153"/>
      <c r="AY2194" s="153"/>
      <c r="AZ2194" s="153"/>
      <c r="BA2194" s="153"/>
      <c r="BB2194" s="153"/>
      <c r="BC2194" s="153"/>
      <c r="BD2194" s="153"/>
      <c r="BE2194" s="153"/>
      <c r="BF2194" s="153"/>
      <c r="BG2194" s="153"/>
      <c r="BH2194" s="153"/>
      <c r="BI2194" s="153"/>
      <c r="BJ2194" s="153"/>
      <c r="BK2194" s="153"/>
      <c r="BL2194" s="153"/>
      <c r="BM2194" s="153"/>
      <c r="BN2194" s="153"/>
      <c r="BO2194" s="153"/>
      <c r="BP2194" s="153"/>
      <c r="BQ2194" s="153"/>
      <c r="BR2194" s="153"/>
      <c r="BS2194" s="153"/>
      <c r="BT2194" s="153"/>
      <c r="BU2194" s="153"/>
      <c r="BV2194" s="153"/>
      <c r="BW2194" s="153"/>
      <c r="BX2194" s="153"/>
      <c r="BY2194" s="153"/>
      <c r="BZ2194" s="153"/>
      <c r="CA2194" s="153"/>
      <c r="CB2194" s="153"/>
      <c r="CC2194" s="153"/>
      <c r="CD2194" s="155"/>
      <c r="CE2194" s="156"/>
      <c r="CF2194" s="155"/>
      <c r="CG2194" s="156"/>
      <c r="CH2194" s="155"/>
      <c r="CI2194" s="156"/>
      <c r="CJ2194" s="157">
        <f t="shared" si="273"/>
        <v>0</v>
      </c>
      <c r="CK2194" s="158"/>
      <c r="CL2194" s="159"/>
      <c r="CM2194" s="160">
        <v>1062</v>
      </c>
      <c r="CN2194" s="161">
        <f>1062*85000</f>
        <v>90270000</v>
      </c>
      <c r="CO2194" s="162"/>
      <c r="CP2194" s="161"/>
      <c r="CQ2194" s="158"/>
      <c r="CR2194" s="159"/>
      <c r="CS2194" s="68"/>
      <c r="CT2194" s="163"/>
      <c r="EC2194" s="366" t="str">
        <f t="shared" si="274"/>
        <v>CORDOBA_TIERRALTA</v>
      </c>
      <c r="ED2194" s="367"/>
      <c r="EE2194" s="367"/>
      <c r="EF2194" s="368"/>
      <c r="EG2194" s="367"/>
      <c r="EH2194" s="367"/>
      <c r="EI2194" s="367"/>
    </row>
    <row r="2195" spans="1:139" s="164" customFormat="1" ht="38.25">
      <c r="A2195" s="228">
        <v>40527</v>
      </c>
      <c r="B2195" s="205" t="s">
        <v>1604</v>
      </c>
      <c r="C2195" s="205" t="s">
        <v>3140</v>
      </c>
      <c r="D2195" s="207" t="s">
        <v>1878</v>
      </c>
      <c r="E2195" s="323" t="s">
        <v>3685</v>
      </c>
      <c r="F2195" s="323"/>
      <c r="G2195" s="204"/>
      <c r="H2195" s="151"/>
      <c r="I2195" s="151"/>
      <c r="J2195" s="151"/>
      <c r="K2195" s="151"/>
      <c r="L2195" s="1"/>
      <c r="M2195" s="73">
        <f t="shared" si="271"/>
        <v>0</v>
      </c>
      <c r="N2195" s="73">
        <f t="shared" si="276"/>
        <v>0</v>
      </c>
      <c r="O2195" s="73">
        <f t="shared" si="270"/>
        <v>0</v>
      </c>
      <c r="P2195" s="73">
        <f t="shared" si="272"/>
        <v>0</v>
      </c>
      <c r="Q2195" s="73"/>
      <c r="R2195" s="73">
        <v>0</v>
      </c>
      <c r="S2195" s="75">
        <f t="shared" si="275"/>
        <v>0</v>
      </c>
      <c r="T2195" s="77">
        <v>0</v>
      </c>
      <c r="U2195" s="66">
        <v>40618</v>
      </c>
      <c r="V2195" s="79"/>
      <c r="W2195" s="66" t="s">
        <v>1585</v>
      </c>
      <c r="X2195" s="24" t="s">
        <v>1586</v>
      </c>
      <c r="Y2195" s="62"/>
      <c r="Z2195" s="169" t="s">
        <v>894</v>
      </c>
      <c r="AA2195" s="166" t="s">
        <v>4327</v>
      </c>
      <c r="AB2195" s="152"/>
      <c r="AC2195" s="153"/>
      <c r="AD2195" s="154"/>
      <c r="AE2195" s="153"/>
      <c r="AF2195" s="153"/>
      <c r="AG2195" s="153"/>
      <c r="AH2195" s="153"/>
      <c r="AI2195" s="153"/>
      <c r="AJ2195" s="153"/>
      <c r="AK2195" s="153"/>
      <c r="AL2195" s="153"/>
      <c r="AM2195" s="153"/>
      <c r="AN2195" s="153"/>
      <c r="AO2195" s="153"/>
      <c r="AP2195" s="153"/>
      <c r="AQ2195" s="153"/>
      <c r="AR2195" s="153"/>
      <c r="AS2195" s="153"/>
      <c r="AT2195" s="153"/>
      <c r="AU2195" s="153"/>
      <c r="AV2195" s="153"/>
      <c r="AW2195" s="153"/>
      <c r="AX2195" s="153"/>
      <c r="AY2195" s="153"/>
      <c r="AZ2195" s="153"/>
      <c r="BA2195" s="153"/>
      <c r="BB2195" s="153"/>
      <c r="BC2195" s="153"/>
      <c r="BD2195" s="153"/>
      <c r="BE2195" s="153"/>
      <c r="BF2195" s="153"/>
      <c r="BG2195" s="153"/>
      <c r="BH2195" s="153"/>
      <c r="BI2195" s="153"/>
      <c r="BJ2195" s="153"/>
      <c r="BK2195" s="153"/>
      <c r="BL2195" s="153"/>
      <c r="BM2195" s="153"/>
      <c r="BN2195" s="153"/>
      <c r="BO2195" s="153"/>
      <c r="BP2195" s="153"/>
      <c r="BQ2195" s="153"/>
      <c r="BR2195" s="153"/>
      <c r="BS2195" s="153"/>
      <c r="BT2195" s="153"/>
      <c r="BU2195" s="153"/>
      <c r="BV2195" s="153"/>
      <c r="BW2195" s="153"/>
      <c r="BX2195" s="153"/>
      <c r="BY2195" s="153"/>
      <c r="BZ2195" s="153"/>
      <c r="CA2195" s="153"/>
      <c r="CB2195" s="153"/>
      <c r="CC2195" s="153"/>
      <c r="CD2195" s="155"/>
      <c r="CE2195" s="156"/>
      <c r="CF2195" s="155"/>
      <c r="CG2195" s="156"/>
      <c r="CH2195" s="155"/>
      <c r="CI2195" s="156"/>
      <c r="CJ2195" s="157">
        <f t="shared" si="273"/>
        <v>0</v>
      </c>
      <c r="CK2195" s="158"/>
      <c r="CL2195" s="159"/>
      <c r="CM2195" s="160"/>
      <c r="CN2195" s="161"/>
      <c r="CO2195" s="162"/>
      <c r="CP2195" s="161"/>
      <c r="CQ2195" s="158"/>
      <c r="CR2195" s="159"/>
      <c r="CS2195" s="68"/>
      <c r="CT2195" s="163"/>
      <c r="EC2195" s="366" t="str">
        <f t="shared" si="274"/>
        <v>CUNDINAMARCA_BELTRAN</v>
      </c>
      <c r="ED2195" s="367"/>
      <c r="EE2195" s="367"/>
      <c r="EF2195" s="368"/>
      <c r="EG2195" s="367"/>
      <c r="EH2195" s="367"/>
      <c r="EI2195" s="367"/>
    </row>
    <row r="2196" spans="1:139" s="164" customFormat="1" ht="38.25">
      <c r="A2196" s="228">
        <v>40527</v>
      </c>
      <c r="B2196" s="205" t="s">
        <v>1604</v>
      </c>
      <c r="C2196" s="205" t="s">
        <v>1748</v>
      </c>
      <c r="D2196" s="207" t="s">
        <v>1201</v>
      </c>
      <c r="E2196" s="323" t="s">
        <v>3688</v>
      </c>
      <c r="F2196" s="323"/>
      <c r="G2196" s="204"/>
      <c r="H2196" s="151"/>
      <c r="I2196" s="151"/>
      <c r="J2196" s="151">
        <v>8</v>
      </c>
      <c r="K2196" s="151">
        <v>1</v>
      </c>
      <c r="L2196" s="1"/>
      <c r="M2196" s="73">
        <f t="shared" si="271"/>
        <v>0</v>
      </c>
      <c r="N2196" s="73">
        <f t="shared" si="276"/>
        <v>0</v>
      </c>
      <c r="O2196" s="73">
        <f t="shared" si="270"/>
        <v>0</v>
      </c>
      <c r="P2196" s="73">
        <f t="shared" si="272"/>
        <v>0</v>
      </c>
      <c r="Q2196" s="73"/>
      <c r="R2196" s="73">
        <v>0</v>
      </c>
      <c r="S2196" s="75">
        <f t="shared" si="275"/>
        <v>0</v>
      </c>
      <c r="T2196" s="77">
        <v>0</v>
      </c>
      <c r="U2196" s="66">
        <v>40528</v>
      </c>
      <c r="V2196" s="79"/>
      <c r="W2196" s="66" t="s">
        <v>1585</v>
      </c>
      <c r="X2196" s="24" t="s">
        <v>1586</v>
      </c>
      <c r="Y2196" s="62"/>
      <c r="Z2196" s="169" t="s">
        <v>894</v>
      </c>
      <c r="AA2196" s="166" t="s">
        <v>1102</v>
      </c>
      <c r="AB2196" s="152"/>
      <c r="AC2196" s="153"/>
      <c r="AD2196" s="154"/>
      <c r="AE2196" s="153"/>
      <c r="AF2196" s="153"/>
      <c r="AG2196" s="153"/>
      <c r="AH2196" s="153"/>
      <c r="AI2196" s="153"/>
      <c r="AJ2196" s="153"/>
      <c r="AK2196" s="153"/>
      <c r="AL2196" s="153"/>
      <c r="AM2196" s="153"/>
      <c r="AN2196" s="153"/>
      <c r="AO2196" s="153"/>
      <c r="AP2196" s="153"/>
      <c r="AQ2196" s="153"/>
      <c r="AR2196" s="153"/>
      <c r="AS2196" s="153"/>
      <c r="AT2196" s="153"/>
      <c r="AU2196" s="153"/>
      <c r="AV2196" s="153"/>
      <c r="AW2196" s="153"/>
      <c r="AX2196" s="153"/>
      <c r="AY2196" s="153"/>
      <c r="AZ2196" s="153"/>
      <c r="BA2196" s="153"/>
      <c r="BB2196" s="153"/>
      <c r="BC2196" s="153"/>
      <c r="BD2196" s="153"/>
      <c r="BE2196" s="153"/>
      <c r="BF2196" s="153"/>
      <c r="BG2196" s="153"/>
      <c r="BH2196" s="153"/>
      <c r="BI2196" s="153"/>
      <c r="BJ2196" s="153"/>
      <c r="BK2196" s="153"/>
      <c r="BL2196" s="153"/>
      <c r="BM2196" s="153"/>
      <c r="BN2196" s="153"/>
      <c r="BO2196" s="153"/>
      <c r="BP2196" s="153"/>
      <c r="BQ2196" s="153"/>
      <c r="BR2196" s="153"/>
      <c r="BS2196" s="153"/>
      <c r="BT2196" s="153"/>
      <c r="BU2196" s="153"/>
      <c r="BV2196" s="153"/>
      <c r="BW2196" s="153"/>
      <c r="BX2196" s="153"/>
      <c r="BY2196" s="153"/>
      <c r="BZ2196" s="153"/>
      <c r="CA2196" s="153"/>
      <c r="CB2196" s="153"/>
      <c r="CC2196" s="153"/>
      <c r="CD2196" s="155"/>
      <c r="CE2196" s="156"/>
      <c r="CF2196" s="155"/>
      <c r="CG2196" s="156"/>
      <c r="CH2196" s="155"/>
      <c r="CI2196" s="156"/>
      <c r="CJ2196" s="157">
        <f t="shared" si="273"/>
        <v>0</v>
      </c>
      <c r="CK2196" s="158"/>
      <c r="CL2196" s="159"/>
      <c r="CM2196" s="160"/>
      <c r="CN2196" s="161"/>
      <c r="CO2196" s="162"/>
      <c r="CP2196" s="161"/>
      <c r="CQ2196" s="158"/>
      <c r="CR2196" s="159"/>
      <c r="CS2196" s="68"/>
      <c r="CT2196" s="163"/>
      <c r="EC2196" s="366" t="str">
        <f t="shared" si="274"/>
        <v>CUNDINAMARCA_CABRERA</v>
      </c>
      <c r="ED2196" s="367"/>
      <c r="EE2196" s="367"/>
      <c r="EF2196" s="368"/>
      <c r="EG2196" s="367"/>
      <c r="EH2196" s="367"/>
      <c r="EI2196" s="367"/>
    </row>
    <row r="2197" spans="1:139" s="164" customFormat="1" ht="38.25">
      <c r="A2197" s="228">
        <v>40527</v>
      </c>
      <c r="B2197" s="205" t="s">
        <v>1604</v>
      </c>
      <c r="C2197" s="205" t="s">
        <v>1444</v>
      </c>
      <c r="D2197" s="207" t="s">
        <v>1878</v>
      </c>
      <c r="E2197" s="323" t="s">
        <v>3702</v>
      </c>
      <c r="F2197" s="323"/>
      <c r="G2197" s="204"/>
      <c r="H2197" s="151"/>
      <c r="I2197" s="151"/>
      <c r="J2197" s="151"/>
      <c r="K2197" s="151"/>
      <c r="L2197" s="1"/>
      <c r="M2197" s="73">
        <f t="shared" si="271"/>
        <v>0</v>
      </c>
      <c r="N2197" s="73">
        <f t="shared" si="276"/>
        <v>0</v>
      </c>
      <c r="O2197" s="73">
        <f t="shared" si="270"/>
        <v>0</v>
      </c>
      <c r="P2197" s="73">
        <f t="shared" si="272"/>
        <v>0</v>
      </c>
      <c r="Q2197" s="73"/>
      <c r="R2197" s="73">
        <v>0</v>
      </c>
      <c r="S2197" s="75">
        <f t="shared" si="275"/>
        <v>0</v>
      </c>
      <c r="T2197" s="77">
        <v>0</v>
      </c>
      <c r="U2197" s="66">
        <v>40618</v>
      </c>
      <c r="V2197" s="79"/>
      <c r="W2197" s="66" t="s">
        <v>1585</v>
      </c>
      <c r="X2197" s="24" t="s">
        <v>1586</v>
      </c>
      <c r="Y2197" s="62"/>
      <c r="Z2197" s="169" t="s">
        <v>894</v>
      </c>
      <c r="AA2197" s="166" t="s">
        <v>4327</v>
      </c>
      <c r="AB2197" s="152"/>
      <c r="AC2197" s="153"/>
      <c r="AD2197" s="154"/>
      <c r="AE2197" s="153"/>
      <c r="AF2197" s="153"/>
      <c r="AG2197" s="153"/>
      <c r="AH2197" s="153"/>
      <c r="AI2197" s="153"/>
      <c r="AJ2197" s="153"/>
      <c r="AK2197" s="153"/>
      <c r="AL2197" s="153"/>
      <c r="AM2197" s="153"/>
      <c r="AN2197" s="153"/>
      <c r="AO2197" s="153"/>
      <c r="AP2197" s="153"/>
      <c r="AQ2197" s="153"/>
      <c r="AR2197" s="153"/>
      <c r="AS2197" s="153"/>
      <c r="AT2197" s="153"/>
      <c r="AU2197" s="153"/>
      <c r="AV2197" s="153"/>
      <c r="AW2197" s="153"/>
      <c r="AX2197" s="153"/>
      <c r="AY2197" s="153"/>
      <c r="AZ2197" s="153"/>
      <c r="BA2197" s="153"/>
      <c r="BB2197" s="153"/>
      <c r="BC2197" s="153"/>
      <c r="BD2197" s="153"/>
      <c r="BE2197" s="153"/>
      <c r="BF2197" s="153"/>
      <c r="BG2197" s="153"/>
      <c r="BH2197" s="153"/>
      <c r="BI2197" s="153"/>
      <c r="BJ2197" s="153"/>
      <c r="BK2197" s="153"/>
      <c r="BL2197" s="153"/>
      <c r="BM2197" s="153"/>
      <c r="BN2197" s="153"/>
      <c r="BO2197" s="153"/>
      <c r="BP2197" s="153"/>
      <c r="BQ2197" s="153"/>
      <c r="BR2197" s="153"/>
      <c r="BS2197" s="153"/>
      <c r="BT2197" s="153"/>
      <c r="BU2197" s="153"/>
      <c r="BV2197" s="153"/>
      <c r="BW2197" s="153"/>
      <c r="BX2197" s="153"/>
      <c r="BY2197" s="153"/>
      <c r="BZ2197" s="153"/>
      <c r="CA2197" s="153"/>
      <c r="CB2197" s="153"/>
      <c r="CC2197" s="153"/>
      <c r="CD2197" s="155"/>
      <c r="CE2197" s="156"/>
      <c r="CF2197" s="155"/>
      <c r="CG2197" s="156"/>
      <c r="CH2197" s="155"/>
      <c r="CI2197" s="156"/>
      <c r="CJ2197" s="157">
        <f t="shared" si="273"/>
        <v>0</v>
      </c>
      <c r="CK2197" s="158"/>
      <c r="CL2197" s="159"/>
      <c r="CM2197" s="160"/>
      <c r="CN2197" s="161"/>
      <c r="CO2197" s="162"/>
      <c r="CP2197" s="161"/>
      <c r="CQ2197" s="158"/>
      <c r="CR2197" s="159"/>
      <c r="CS2197" s="68"/>
      <c r="CT2197" s="163"/>
      <c r="EC2197" s="366" t="str">
        <f t="shared" si="274"/>
        <v>CUNDINAMARCA_EL PEÑON</v>
      </c>
      <c r="ED2197" s="367"/>
      <c r="EE2197" s="367"/>
      <c r="EF2197" s="368"/>
      <c r="EG2197" s="367"/>
      <c r="EH2197" s="367"/>
      <c r="EI2197" s="367"/>
    </row>
    <row r="2198" spans="1:139" s="164" customFormat="1" ht="38.25">
      <c r="A2198" s="228">
        <v>40527</v>
      </c>
      <c r="B2198" s="205" t="s">
        <v>1604</v>
      </c>
      <c r="C2198" s="205" t="s">
        <v>3141</v>
      </c>
      <c r="D2198" s="207" t="s">
        <v>1878</v>
      </c>
      <c r="E2198" s="323" t="s">
        <v>3705</v>
      </c>
      <c r="F2198" s="323"/>
      <c r="G2198" s="204"/>
      <c r="H2198" s="151"/>
      <c r="I2198" s="151"/>
      <c r="J2198" s="151"/>
      <c r="K2198" s="151"/>
      <c r="L2198" s="1"/>
      <c r="M2198" s="73">
        <f t="shared" si="271"/>
        <v>0</v>
      </c>
      <c r="N2198" s="73">
        <f t="shared" si="276"/>
        <v>0</v>
      </c>
      <c r="O2198" s="73">
        <f t="shared" si="270"/>
        <v>0</v>
      </c>
      <c r="P2198" s="73">
        <f t="shared" si="272"/>
        <v>0</v>
      </c>
      <c r="Q2198" s="73"/>
      <c r="R2198" s="73">
        <v>0</v>
      </c>
      <c r="S2198" s="75">
        <f t="shared" si="275"/>
        <v>0</v>
      </c>
      <c r="T2198" s="77">
        <v>0</v>
      </c>
      <c r="U2198" s="66">
        <v>40618</v>
      </c>
      <c r="V2198" s="79"/>
      <c r="W2198" s="66" t="s">
        <v>1585</v>
      </c>
      <c r="X2198" s="24" t="s">
        <v>1586</v>
      </c>
      <c r="Y2198" s="62"/>
      <c r="Z2198" s="169" t="s">
        <v>894</v>
      </c>
      <c r="AA2198" s="166" t="s">
        <v>4327</v>
      </c>
      <c r="AB2198" s="152"/>
      <c r="AC2198" s="153"/>
      <c r="AD2198" s="154"/>
      <c r="AE2198" s="153"/>
      <c r="AF2198" s="153"/>
      <c r="AG2198" s="153"/>
      <c r="AH2198" s="153"/>
      <c r="AI2198" s="153"/>
      <c r="AJ2198" s="153"/>
      <c r="AK2198" s="153"/>
      <c r="AL2198" s="153"/>
      <c r="AM2198" s="153"/>
      <c r="AN2198" s="153"/>
      <c r="AO2198" s="153"/>
      <c r="AP2198" s="153"/>
      <c r="AQ2198" s="153"/>
      <c r="AR2198" s="153"/>
      <c r="AS2198" s="153"/>
      <c r="AT2198" s="153"/>
      <c r="AU2198" s="153"/>
      <c r="AV2198" s="153"/>
      <c r="AW2198" s="153"/>
      <c r="AX2198" s="153"/>
      <c r="AY2198" s="153"/>
      <c r="AZ2198" s="153"/>
      <c r="BA2198" s="153"/>
      <c r="BB2198" s="153"/>
      <c r="BC2198" s="153"/>
      <c r="BD2198" s="153"/>
      <c r="BE2198" s="153"/>
      <c r="BF2198" s="153"/>
      <c r="BG2198" s="153"/>
      <c r="BH2198" s="153"/>
      <c r="BI2198" s="153"/>
      <c r="BJ2198" s="153"/>
      <c r="BK2198" s="153"/>
      <c r="BL2198" s="153"/>
      <c r="BM2198" s="153"/>
      <c r="BN2198" s="153"/>
      <c r="BO2198" s="153"/>
      <c r="BP2198" s="153"/>
      <c r="BQ2198" s="153"/>
      <c r="BR2198" s="153"/>
      <c r="BS2198" s="153"/>
      <c r="BT2198" s="153"/>
      <c r="BU2198" s="153"/>
      <c r="BV2198" s="153"/>
      <c r="BW2198" s="153"/>
      <c r="BX2198" s="153"/>
      <c r="BY2198" s="153"/>
      <c r="BZ2198" s="153"/>
      <c r="CA2198" s="153"/>
      <c r="CB2198" s="153"/>
      <c r="CC2198" s="153"/>
      <c r="CD2198" s="155"/>
      <c r="CE2198" s="156"/>
      <c r="CF2198" s="155"/>
      <c r="CG2198" s="156"/>
      <c r="CH2198" s="155"/>
      <c r="CI2198" s="156"/>
      <c r="CJ2198" s="157">
        <f t="shared" si="273"/>
        <v>0</v>
      </c>
      <c r="CK2198" s="158"/>
      <c r="CL2198" s="159"/>
      <c r="CM2198" s="160"/>
      <c r="CN2198" s="161"/>
      <c r="CO2198" s="162"/>
      <c r="CP2198" s="161"/>
      <c r="CQ2198" s="158"/>
      <c r="CR2198" s="159"/>
      <c r="CS2198" s="68"/>
      <c r="CT2198" s="163"/>
      <c r="EC2198" s="366" t="str">
        <f t="shared" si="274"/>
        <v>CUNDINAMARCA_FOMEQUE</v>
      </c>
      <c r="ED2198" s="367"/>
      <c r="EE2198" s="367"/>
      <c r="EF2198" s="368"/>
      <c r="EG2198" s="367"/>
      <c r="EH2198" s="367"/>
      <c r="EI2198" s="367"/>
    </row>
    <row r="2199" spans="1:139" s="164" customFormat="1" ht="38.25">
      <c r="A2199" s="228">
        <v>40527</v>
      </c>
      <c r="B2199" s="205" t="s">
        <v>1604</v>
      </c>
      <c r="C2199" s="205" t="s">
        <v>1952</v>
      </c>
      <c r="D2199" s="207" t="s">
        <v>1878</v>
      </c>
      <c r="E2199" s="323" t="s">
        <v>3714</v>
      </c>
      <c r="F2199" s="323"/>
      <c r="G2199" s="204"/>
      <c r="H2199" s="151"/>
      <c r="I2199" s="151"/>
      <c r="J2199" s="151">
        <v>280</v>
      </c>
      <c r="K2199" s="151">
        <v>77</v>
      </c>
      <c r="L2199" s="1"/>
      <c r="M2199" s="73">
        <f t="shared" si="271"/>
        <v>0</v>
      </c>
      <c r="N2199" s="73">
        <f t="shared" si="276"/>
        <v>0</v>
      </c>
      <c r="O2199" s="73">
        <f t="shared" si="270"/>
        <v>0</v>
      </c>
      <c r="P2199" s="73">
        <f t="shared" si="272"/>
        <v>0</v>
      </c>
      <c r="Q2199" s="73"/>
      <c r="R2199" s="73">
        <v>0</v>
      </c>
      <c r="S2199" s="75">
        <f t="shared" si="275"/>
        <v>0</v>
      </c>
      <c r="T2199" s="77">
        <v>0</v>
      </c>
      <c r="U2199" s="66">
        <v>40612</v>
      </c>
      <c r="V2199" s="79"/>
      <c r="W2199" s="66" t="s">
        <v>1585</v>
      </c>
      <c r="X2199" s="24" t="s">
        <v>1586</v>
      </c>
      <c r="Y2199" s="62"/>
      <c r="Z2199" s="169" t="s">
        <v>894</v>
      </c>
      <c r="AA2199" s="166" t="s">
        <v>155</v>
      </c>
      <c r="AB2199" s="152"/>
      <c r="AC2199" s="153"/>
      <c r="AD2199" s="154"/>
      <c r="AE2199" s="153"/>
      <c r="AF2199" s="153"/>
      <c r="AG2199" s="153"/>
      <c r="AH2199" s="153"/>
      <c r="AI2199" s="153"/>
      <c r="AJ2199" s="153"/>
      <c r="AK2199" s="153"/>
      <c r="AL2199" s="153"/>
      <c r="AM2199" s="153"/>
      <c r="AN2199" s="153"/>
      <c r="AO2199" s="153"/>
      <c r="AP2199" s="153"/>
      <c r="AQ2199" s="153"/>
      <c r="AR2199" s="153"/>
      <c r="AS2199" s="153"/>
      <c r="AT2199" s="153"/>
      <c r="AU2199" s="153"/>
      <c r="AV2199" s="153"/>
      <c r="AW2199" s="153"/>
      <c r="AX2199" s="153"/>
      <c r="AY2199" s="153"/>
      <c r="AZ2199" s="153"/>
      <c r="BA2199" s="153"/>
      <c r="BB2199" s="153"/>
      <c r="BC2199" s="153"/>
      <c r="BD2199" s="153"/>
      <c r="BE2199" s="153"/>
      <c r="BF2199" s="153"/>
      <c r="BG2199" s="153"/>
      <c r="BH2199" s="153"/>
      <c r="BI2199" s="153"/>
      <c r="BJ2199" s="153"/>
      <c r="BK2199" s="153"/>
      <c r="BL2199" s="153"/>
      <c r="BM2199" s="153"/>
      <c r="BN2199" s="153"/>
      <c r="BO2199" s="153"/>
      <c r="BP2199" s="153"/>
      <c r="BQ2199" s="153"/>
      <c r="BR2199" s="153"/>
      <c r="BS2199" s="153"/>
      <c r="BT2199" s="153"/>
      <c r="BU2199" s="153"/>
      <c r="BV2199" s="153"/>
      <c r="BW2199" s="153"/>
      <c r="BX2199" s="153"/>
      <c r="BY2199" s="153"/>
      <c r="BZ2199" s="153"/>
      <c r="CA2199" s="153"/>
      <c r="CB2199" s="153"/>
      <c r="CC2199" s="153"/>
      <c r="CD2199" s="155"/>
      <c r="CE2199" s="156"/>
      <c r="CF2199" s="155"/>
      <c r="CG2199" s="156"/>
      <c r="CH2199" s="155"/>
      <c r="CI2199" s="156"/>
      <c r="CJ2199" s="157">
        <f t="shared" si="273"/>
        <v>0</v>
      </c>
      <c r="CK2199" s="158"/>
      <c r="CL2199" s="159"/>
      <c r="CM2199" s="160"/>
      <c r="CN2199" s="161"/>
      <c r="CO2199" s="162"/>
      <c r="CP2199" s="161"/>
      <c r="CQ2199" s="158"/>
      <c r="CR2199" s="159"/>
      <c r="CS2199" s="68"/>
      <c r="CT2199" s="163"/>
      <c r="EC2199" s="366" t="str">
        <f t="shared" si="274"/>
        <v>CUNDINAMARCA_GRANADA</v>
      </c>
      <c r="ED2199" s="367"/>
      <c r="EE2199" s="367"/>
      <c r="EF2199" s="368"/>
      <c r="EG2199" s="367"/>
      <c r="EH2199" s="367"/>
      <c r="EI2199" s="367"/>
    </row>
    <row r="2200" spans="1:139" s="164" customFormat="1" ht="38.25">
      <c r="A2200" s="228">
        <v>40527</v>
      </c>
      <c r="B2200" s="205" t="s">
        <v>1604</v>
      </c>
      <c r="C2200" s="205" t="s">
        <v>1955</v>
      </c>
      <c r="D2200" s="207" t="s">
        <v>1878</v>
      </c>
      <c r="E2200" s="323" t="s">
        <v>3717</v>
      </c>
      <c r="F2200" s="323"/>
      <c r="G2200" s="204"/>
      <c r="H2200" s="151"/>
      <c r="I2200" s="151"/>
      <c r="J2200" s="151"/>
      <c r="K2200" s="151"/>
      <c r="L2200" s="1"/>
      <c r="M2200" s="73">
        <f t="shared" si="271"/>
        <v>0</v>
      </c>
      <c r="N2200" s="73">
        <f t="shared" si="276"/>
        <v>0</v>
      </c>
      <c r="O2200" s="73">
        <f t="shared" si="270"/>
        <v>0</v>
      </c>
      <c r="P2200" s="73">
        <f t="shared" si="272"/>
        <v>0</v>
      </c>
      <c r="Q2200" s="73"/>
      <c r="R2200" s="73">
        <v>0</v>
      </c>
      <c r="S2200" s="75">
        <f t="shared" si="275"/>
        <v>0</v>
      </c>
      <c r="T2200" s="77">
        <v>0</v>
      </c>
      <c r="U2200" s="66">
        <v>40618</v>
      </c>
      <c r="V2200" s="79"/>
      <c r="W2200" s="66" t="s">
        <v>1585</v>
      </c>
      <c r="X2200" s="24" t="s">
        <v>1586</v>
      </c>
      <c r="Y2200" s="62"/>
      <c r="Z2200" s="169" t="s">
        <v>894</v>
      </c>
      <c r="AA2200" s="166" t="s">
        <v>4327</v>
      </c>
      <c r="AB2200" s="152"/>
      <c r="AC2200" s="153"/>
      <c r="AD2200" s="154"/>
      <c r="AE2200" s="153"/>
      <c r="AF2200" s="153"/>
      <c r="AG2200" s="153"/>
      <c r="AH2200" s="153"/>
      <c r="AI2200" s="153"/>
      <c r="AJ2200" s="153"/>
      <c r="AK2200" s="153"/>
      <c r="AL2200" s="153"/>
      <c r="AM2200" s="153"/>
      <c r="AN2200" s="153"/>
      <c r="AO2200" s="153"/>
      <c r="AP2200" s="153"/>
      <c r="AQ2200" s="153"/>
      <c r="AR2200" s="153"/>
      <c r="AS2200" s="153"/>
      <c r="AT2200" s="153"/>
      <c r="AU2200" s="153"/>
      <c r="AV2200" s="153"/>
      <c r="AW2200" s="153"/>
      <c r="AX2200" s="153"/>
      <c r="AY2200" s="153"/>
      <c r="AZ2200" s="153"/>
      <c r="BA2200" s="153"/>
      <c r="BB2200" s="153"/>
      <c r="BC2200" s="153"/>
      <c r="BD2200" s="153"/>
      <c r="BE2200" s="153"/>
      <c r="BF2200" s="153"/>
      <c r="BG2200" s="153"/>
      <c r="BH2200" s="153"/>
      <c r="BI2200" s="153"/>
      <c r="BJ2200" s="153"/>
      <c r="BK2200" s="153"/>
      <c r="BL2200" s="153"/>
      <c r="BM2200" s="153"/>
      <c r="BN2200" s="153"/>
      <c r="BO2200" s="153"/>
      <c r="BP2200" s="153"/>
      <c r="BQ2200" s="153"/>
      <c r="BR2200" s="153"/>
      <c r="BS2200" s="153"/>
      <c r="BT2200" s="153"/>
      <c r="BU2200" s="153"/>
      <c r="BV2200" s="153"/>
      <c r="BW2200" s="153"/>
      <c r="BX2200" s="153"/>
      <c r="BY2200" s="153"/>
      <c r="BZ2200" s="153"/>
      <c r="CA2200" s="153"/>
      <c r="CB2200" s="153"/>
      <c r="CC2200" s="153"/>
      <c r="CD2200" s="155"/>
      <c r="CE2200" s="156"/>
      <c r="CF2200" s="155"/>
      <c r="CG2200" s="156"/>
      <c r="CH2200" s="155"/>
      <c r="CI2200" s="156"/>
      <c r="CJ2200" s="157">
        <f t="shared" si="273"/>
        <v>0</v>
      </c>
      <c r="CK2200" s="158"/>
      <c r="CL2200" s="159"/>
      <c r="CM2200" s="160"/>
      <c r="CN2200" s="161"/>
      <c r="CO2200" s="162"/>
      <c r="CP2200" s="161"/>
      <c r="CQ2200" s="158"/>
      <c r="CR2200" s="159"/>
      <c r="CS2200" s="68"/>
      <c r="CT2200" s="163"/>
      <c r="EC2200" s="366" t="str">
        <f t="shared" si="274"/>
        <v>CUNDINAMARCA_GUASCA</v>
      </c>
      <c r="ED2200" s="367"/>
      <c r="EE2200" s="367"/>
      <c r="EF2200" s="368"/>
      <c r="EG2200" s="367"/>
      <c r="EH2200" s="367"/>
      <c r="EI2200" s="367"/>
    </row>
    <row r="2201" spans="1:139" s="164" customFormat="1" ht="38.25">
      <c r="A2201" s="228">
        <v>40527</v>
      </c>
      <c r="B2201" s="205" t="s">
        <v>1604</v>
      </c>
      <c r="C2201" s="205" t="s">
        <v>1959</v>
      </c>
      <c r="D2201" s="207" t="s">
        <v>1201</v>
      </c>
      <c r="E2201" s="323" t="s">
        <v>3728</v>
      </c>
      <c r="F2201" s="323"/>
      <c r="G2201" s="204"/>
      <c r="H2201" s="151"/>
      <c r="I2201" s="151"/>
      <c r="J2201" s="151">
        <v>123</v>
      </c>
      <c r="K2201" s="151">
        <v>32</v>
      </c>
      <c r="L2201" s="1"/>
      <c r="M2201" s="73">
        <f t="shared" si="271"/>
        <v>0</v>
      </c>
      <c r="N2201" s="73">
        <f t="shared" si="276"/>
        <v>0</v>
      </c>
      <c r="O2201" s="73">
        <f t="shared" si="270"/>
        <v>0</v>
      </c>
      <c r="P2201" s="73">
        <f t="shared" si="272"/>
        <v>0</v>
      </c>
      <c r="Q2201" s="73"/>
      <c r="R2201" s="73">
        <v>0</v>
      </c>
      <c r="S2201" s="75">
        <f t="shared" si="275"/>
        <v>0</v>
      </c>
      <c r="T2201" s="77">
        <v>0</v>
      </c>
      <c r="U2201" s="66">
        <v>40612</v>
      </c>
      <c r="V2201" s="79"/>
      <c r="W2201" s="66" t="s">
        <v>1585</v>
      </c>
      <c r="X2201" s="24" t="s">
        <v>1586</v>
      </c>
      <c r="Y2201" s="62"/>
      <c r="Z2201" s="169" t="s">
        <v>894</v>
      </c>
      <c r="AA2201" s="166" t="s">
        <v>155</v>
      </c>
      <c r="AB2201" s="152"/>
      <c r="AC2201" s="153"/>
      <c r="AD2201" s="154"/>
      <c r="AE2201" s="153"/>
      <c r="AF2201" s="153"/>
      <c r="AG2201" s="153"/>
      <c r="AH2201" s="153"/>
      <c r="AI2201" s="153"/>
      <c r="AJ2201" s="153"/>
      <c r="AK2201" s="153"/>
      <c r="AL2201" s="153"/>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c r="BF2201" s="153"/>
      <c r="BG2201" s="153"/>
      <c r="BH2201" s="153"/>
      <c r="BI2201" s="153"/>
      <c r="BJ2201" s="153"/>
      <c r="BK2201" s="153"/>
      <c r="BL2201" s="153"/>
      <c r="BM2201" s="153"/>
      <c r="BN2201" s="153"/>
      <c r="BO2201" s="153"/>
      <c r="BP2201" s="153"/>
      <c r="BQ2201" s="153"/>
      <c r="BR2201" s="153"/>
      <c r="BS2201" s="153"/>
      <c r="BT2201" s="153"/>
      <c r="BU2201" s="153"/>
      <c r="BV2201" s="153"/>
      <c r="BW2201" s="153"/>
      <c r="BX2201" s="153"/>
      <c r="BY2201" s="153"/>
      <c r="BZ2201" s="153"/>
      <c r="CA2201" s="153"/>
      <c r="CB2201" s="153"/>
      <c r="CC2201" s="153"/>
      <c r="CD2201" s="155"/>
      <c r="CE2201" s="156"/>
      <c r="CF2201" s="155"/>
      <c r="CG2201" s="156"/>
      <c r="CH2201" s="155"/>
      <c r="CI2201" s="156"/>
      <c r="CJ2201" s="157">
        <f t="shared" si="273"/>
        <v>0</v>
      </c>
      <c r="CK2201" s="158"/>
      <c r="CL2201" s="159"/>
      <c r="CM2201" s="160"/>
      <c r="CN2201" s="161"/>
      <c r="CO2201" s="162"/>
      <c r="CP2201" s="161"/>
      <c r="CQ2201" s="158"/>
      <c r="CR2201" s="159"/>
      <c r="CS2201" s="68"/>
      <c r="CT2201" s="163"/>
      <c r="EC2201" s="366" t="str">
        <f t="shared" si="274"/>
        <v>CUNDINAMARCA_LA PEÑA</v>
      </c>
      <c r="ED2201" s="367"/>
      <c r="EE2201" s="367"/>
      <c r="EF2201" s="368"/>
      <c r="EG2201" s="367"/>
      <c r="EH2201" s="367"/>
      <c r="EI2201" s="367"/>
    </row>
    <row r="2202" spans="1:139" s="164" customFormat="1" ht="38.25">
      <c r="A2202" s="228">
        <v>40527</v>
      </c>
      <c r="B2202" s="205" t="s">
        <v>1604</v>
      </c>
      <c r="C2202" s="205" t="s">
        <v>3142</v>
      </c>
      <c r="D2202" s="207" t="s">
        <v>1878</v>
      </c>
      <c r="E2202" s="323" t="s">
        <v>3732</v>
      </c>
      <c r="F2202" s="323"/>
      <c r="G2202" s="204"/>
      <c r="H2202" s="151"/>
      <c r="I2202" s="151"/>
      <c r="J2202" s="151"/>
      <c r="K2202" s="151"/>
      <c r="L2202" s="1"/>
      <c r="M2202" s="73">
        <f t="shared" si="271"/>
        <v>0</v>
      </c>
      <c r="N2202" s="73">
        <f t="shared" si="276"/>
        <v>0</v>
      </c>
      <c r="O2202" s="73">
        <f t="shared" si="270"/>
        <v>0</v>
      </c>
      <c r="P2202" s="73">
        <f t="shared" si="272"/>
        <v>0</v>
      </c>
      <c r="Q2202" s="73"/>
      <c r="R2202" s="73">
        <v>0</v>
      </c>
      <c r="S2202" s="75">
        <f t="shared" si="275"/>
        <v>0</v>
      </c>
      <c r="T2202" s="77">
        <v>0</v>
      </c>
      <c r="U2202" s="66">
        <v>40618</v>
      </c>
      <c r="V2202" s="79"/>
      <c r="W2202" s="66" t="s">
        <v>1585</v>
      </c>
      <c r="X2202" s="24" t="s">
        <v>1586</v>
      </c>
      <c r="Y2202" s="62"/>
      <c r="Z2202" s="169" t="s">
        <v>894</v>
      </c>
      <c r="AA2202" s="166" t="s">
        <v>4327</v>
      </c>
      <c r="AB2202" s="152"/>
      <c r="AC2202" s="153"/>
      <c r="AD2202" s="154"/>
      <c r="AE2202" s="153"/>
      <c r="AF2202" s="153"/>
      <c r="AG2202" s="153"/>
      <c r="AH2202" s="153"/>
      <c r="AI2202" s="153"/>
      <c r="AJ2202" s="153"/>
      <c r="AK2202" s="153"/>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c r="BF2202" s="153"/>
      <c r="BG2202" s="153"/>
      <c r="BH2202" s="153"/>
      <c r="BI2202" s="153"/>
      <c r="BJ2202" s="153"/>
      <c r="BK2202" s="153"/>
      <c r="BL2202" s="153"/>
      <c r="BM2202" s="153"/>
      <c r="BN2202" s="153"/>
      <c r="BO2202" s="153"/>
      <c r="BP2202" s="153"/>
      <c r="BQ2202" s="153"/>
      <c r="BR2202" s="153"/>
      <c r="BS2202" s="153"/>
      <c r="BT2202" s="153"/>
      <c r="BU2202" s="153"/>
      <c r="BV2202" s="153"/>
      <c r="BW2202" s="153"/>
      <c r="BX2202" s="153"/>
      <c r="BY2202" s="153"/>
      <c r="BZ2202" s="153"/>
      <c r="CA2202" s="153"/>
      <c r="CB2202" s="153"/>
      <c r="CC2202" s="153"/>
      <c r="CD2202" s="155"/>
      <c r="CE2202" s="156"/>
      <c r="CF2202" s="155"/>
      <c r="CG2202" s="156"/>
      <c r="CH2202" s="155"/>
      <c r="CI2202" s="156"/>
      <c r="CJ2202" s="157">
        <f t="shared" si="273"/>
        <v>0</v>
      </c>
      <c r="CK2202" s="158"/>
      <c r="CL2202" s="159"/>
      <c r="CM2202" s="160"/>
      <c r="CN2202" s="161"/>
      <c r="CO2202" s="162"/>
      <c r="CP2202" s="161"/>
      <c r="CQ2202" s="158"/>
      <c r="CR2202" s="159"/>
      <c r="CS2202" s="68"/>
      <c r="CT2202" s="163"/>
      <c r="EC2202" s="366" t="str">
        <f t="shared" si="274"/>
        <v>CUNDINAMARCA_MADRID</v>
      </c>
      <c r="ED2202" s="367"/>
      <c r="EE2202" s="367"/>
      <c r="EF2202" s="368"/>
      <c r="EG2202" s="367"/>
      <c r="EH2202" s="367"/>
      <c r="EI2202" s="367"/>
    </row>
    <row r="2203" spans="1:139" s="164" customFormat="1" ht="38.25">
      <c r="A2203" s="228">
        <v>40527</v>
      </c>
      <c r="B2203" s="205" t="s">
        <v>1604</v>
      </c>
      <c r="C2203" s="205" t="s">
        <v>1824</v>
      </c>
      <c r="D2203" s="207" t="s">
        <v>1878</v>
      </c>
      <c r="E2203" s="323" t="s">
        <v>3736</v>
      </c>
      <c r="F2203" s="323"/>
      <c r="G2203" s="204"/>
      <c r="H2203" s="151"/>
      <c r="I2203" s="151"/>
      <c r="J2203" s="151"/>
      <c r="K2203" s="151"/>
      <c r="L2203" s="1"/>
      <c r="M2203" s="73">
        <f t="shared" si="271"/>
        <v>0</v>
      </c>
      <c r="N2203" s="73">
        <f t="shared" si="276"/>
        <v>0</v>
      </c>
      <c r="O2203" s="73">
        <f t="shared" si="270"/>
        <v>0</v>
      </c>
      <c r="P2203" s="73">
        <f t="shared" si="272"/>
        <v>0</v>
      </c>
      <c r="Q2203" s="73"/>
      <c r="R2203" s="73">
        <v>0</v>
      </c>
      <c r="S2203" s="75">
        <f t="shared" si="275"/>
        <v>0</v>
      </c>
      <c r="T2203" s="77">
        <v>0</v>
      </c>
      <c r="U2203" s="66">
        <v>40618</v>
      </c>
      <c r="V2203" s="79"/>
      <c r="W2203" s="66" t="s">
        <v>1585</v>
      </c>
      <c r="X2203" s="24" t="s">
        <v>1586</v>
      </c>
      <c r="Y2203" s="62"/>
      <c r="Z2203" s="169" t="s">
        <v>894</v>
      </c>
      <c r="AA2203" s="166" t="s">
        <v>4327</v>
      </c>
      <c r="AB2203" s="152"/>
      <c r="AC2203" s="153"/>
      <c r="AD2203" s="154"/>
      <c r="AE2203" s="153"/>
      <c r="AF2203" s="153"/>
      <c r="AG2203" s="153"/>
      <c r="AH2203" s="153"/>
      <c r="AI2203" s="153"/>
      <c r="AJ2203" s="153"/>
      <c r="AK2203" s="153"/>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c r="BF2203" s="153"/>
      <c r="BG2203" s="153"/>
      <c r="BH2203" s="153"/>
      <c r="BI2203" s="153"/>
      <c r="BJ2203" s="153"/>
      <c r="BK2203" s="153"/>
      <c r="BL2203" s="153"/>
      <c r="BM2203" s="153"/>
      <c r="BN2203" s="153"/>
      <c r="BO2203" s="153"/>
      <c r="BP2203" s="153"/>
      <c r="BQ2203" s="153"/>
      <c r="BR2203" s="153"/>
      <c r="BS2203" s="153"/>
      <c r="BT2203" s="153"/>
      <c r="BU2203" s="153"/>
      <c r="BV2203" s="153"/>
      <c r="BW2203" s="153"/>
      <c r="BX2203" s="153"/>
      <c r="BY2203" s="153"/>
      <c r="BZ2203" s="153"/>
      <c r="CA2203" s="153"/>
      <c r="CB2203" s="153"/>
      <c r="CC2203" s="153"/>
      <c r="CD2203" s="155"/>
      <c r="CE2203" s="156"/>
      <c r="CF2203" s="155"/>
      <c r="CG2203" s="156"/>
      <c r="CH2203" s="155"/>
      <c r="CI2203" s="156"/>
      <c r="CJ2203" s="157">
        <f t="shared" si="273"/>
        <v>0</v>
      </c>
      <c r="CK2203" s="158"/>
      <c r="CL2203" s="159"/>
      <c r="CM2203" s="160"/>
      <c r="CN2203" s="161"/>
      <c r="CO2203" s="162"/>
      <c r="CP2203" s="161"/>
      <c r="CQ2203" s="158"/>
      <c r="CR2203" s="159"/>
      <c r="CS2203" s="68"/>
      <c r="CT2203" s="163"/>
      <c r="EC2203" s="366" t="str">
        <f t="shared" si="274"/>
        <v>CUNDINAMARCA_NARIÑO</v>
      </c>
      <c r="ED2203" s="367"/>
      <c r="EE2203" s="367"/>
      <c r="EF2203" s="368"/>
      <c r="EG2203" s="367"/>
      <c r="EH2203" s="367"/>
      <c r="EI2203" s="367"/>
    </row>
    <row r="2204" spans="1:139" s="164" customFormat="1" ht="38.25">
      <c r="A2204" s="228">
        <v>40527</v>
      </c>
      <c r="B2204" s="205" t="s">
        <v>1604</v>
      </c>
      <c r="C2204" s="205" t="s">
        <v>3143</v>
      </c>
      <c r="D2204" s="207" t="s">
        <v>1878</v>
      </c>
      <c r="E2204" s="323" t="s">
        <v>3737</v>
      </c>
      <c r="F2204" s="323"/>
      <c r="G2204" s="204"/>
      <c r="H2204" s="151"/>
      <c r="I2204" s="151"/>
      <c r="J2204" s="151"/>
      <c r="K2204" s="151"/>
      <c r="L2204" s="1"/>
      <c r="M2204" s="73">
        <f t="shared" si="271"/>
        <v>0</v>
      </c>
      <c r="N2204" s="73">
        <f t="shared" si="276"/>
        <v>0</v>
      </c>
      <c r="O2204" s="73">
        <f t="shared" si="270"/>
        <v>0</v>
      </c>
      <c r="P2204" s="73">
        <f t="shared" si="272"/>
        <v>0</v>
      </c>
      <c r="Q2204" s="73"/>
      <c r="R2204" s="73">
        <v>0</v>
      </c>
      <c r="S2204" s="75">
        <f t="shared" si="275"/>
        <v>0</v>
      </c>
      <c r="T2204" s="77">
        <v>0</v>
      </c>
      <c r="U2204" s="66">
        <v>40618</v>
      </c>
      <c r="V2204" s="79"/>
      <c r="W2204" s="66" t="s">
        <v>1585</v>
      </c>
      <c r="X2204" s="24" t="s">
        <v>1586</v>
      </c>
      <c r="Y2204" s="62"/>
      <c r="Z2204" s="169" t="s">
        <v>894</v>
      </c>
      <c r="AA2204" s="166" t="s">
        <v>4327</v>
      </c>
      <c r="AB2204" s="152"/>
      <c r="AC2204" s="153"/>
      <c r="AD2204" s="154"/>
      <c r="AE2204" s="153"/>
      <c r="AF2204" s="153"/>
      <c r="AG2204" s="153"/>
      <c r="AH2204" s="153"/>
      <c r="AI2204" s="153"/>
      <c r="AJ2204" s="153"/>
      <c r="AK2204" s="153"/>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c r="BF2204" s="153"/>
      <c r="BG2204" s="153"/>
      <c r="BH2204" s="153"/>
      <c r="BI2204" s="153"/>
      <c r="BJ2204" s="153"/>
      <c r="BK2204" s="153"/>
      <c r="BL2204" s="153"/>
      <c r="BM2204" s="153"/>
      <c r="BN2204" s="153"/>
      <c r="BO2204" s="153"/>
      <c r="BP2204" s="153"/>
      <c r="BQ2204" s="153"/>
      <c r="BR2204" s="153"/>
      <c r="BS2204" s="153"/>
      <c r="BT2204" s="153"/>
      <c r="BU2204" s="153"/>
      <c r="BV2204" s="153"/>
      <c r="BW2204" s="153"/>
      <c r="BX2204" s="153"/>
      <c r="BY2204" s="153"/>
      <c r="BZ2204" s="153"/>
      <c r="CA2204" s="153"/>
      <c r="CB2204" s="153"/>
      <c r="CC2204" s="153"/>
      <c r="CD2204" s="155"/>
      <c r="CE2204" s="156"/>
      <c r="CF2204" s="155"/>
      <c r="CG2204" s="156"/>
      <c r="CH2204" s="155"/>
      <c r="CI2204" s="156"/>
      <c r="CJ2204" s="157">
        <f t="shared" si="273"/>
        <v>0</v>
      </c>
      <c r="CK2204" s="158"/>
      <c r="CL2204" s="159"/>
      <c r="CM2204" s="160"/>
      <c r="CN2204" s="161"/>
      <c r="CO2204" s="162"/>
      <c r="CP2204" s="161"/>
      <c r="CQ2204" s="158"/>
      <c r="CR2204" s="159"/>
      <c r="CS2204" s="68"/>
      <c r="CT2204" s="163"/>
      <c r="EC2204" s="366" t="str">
        <f t="shared" si="274"/>
        <v>CUNDINAMARCA_NEMOCON</v>
      </c>
      <c r="ED2204" s="367"/>
      <c r="EE2204" s="367"/>
      <c r="EF2204" s="368"/>
      <c r="EG2204" s="367"/>
      <c r="EH2204" s="367"/>
      <c r="EI2204" s="367"/>
    </row>
    <row r="2205" spans="1:139" s="164" customFormat="1" ht="25.5">
      <c r="A2205" s="228">
        <v>40527</v>
      </c>
      <c r="B2205" s="205" t="s">
        <v>1604</v>
      </c>
      <c r="C2205" s="205" t="s">
        <v>952</v>
      </c>
      <c r="D2205" s="207" t="s">
        <v>1878</v>
      </c>
      <c r="E2205" s="323" t="s">
        <v>3748</v>
      </c>
      <c r="F2205" s="323"/>
      <c r="G2205" s="204"/>
      <c r="H2205" s="151"/>
      <c r="I2205" s="151"/>
      <c r="J2205" s="151"/>
      <c r="K2205" s="151"/>
      <c r="L2205" s="1"/>
      <c r="M2205" s="73">
        <f t="shared" si="271"/>
        <v>0</v>
      </c>
      <c r="N2205" s="73">
        <f t="shared" si="276"/>
        <v>0</v>
      </c>
      <c r="O2205" s="73">
        <f t="shared" si="270"/>
        <v>0</v>
      </c>
      <c r="P2205" s="73">
        <f t="shared" si="272"/>
        <v>0</v>
      </c>
      <c r="Q2205" s="73"/>
      <c r="R2205" s="73">
        <v>0</v>
      </c>
      <c r="S2205" s="75">
        <f t="shared" si="275"/>
        <v>0</v>
      </c>
      <c r="T2205" s="77">
        <v>0</v>
      </c>
      <c r="U2205" s="66">
        <v>40618</v>
      </c>
      <c r="V2205" s="79"/>
      <c r="W2205" s="66" t="s">
        <v>1585</v>
      </c>
      <c r="X2205" s="24" t="s">
        <v>1586</v>
      </c>
      <c r="Y2205" s="62"/>
      <c r="Z2205" s="169" t="s">
        <v>894</v>
      </c>
      <c r="AA2205" s="166" t="s">
        <v>4327</v>
      </c>
      <c r="AB2205" s="152"/>
      <c r="AC2205" s="153"/>
      <c r="AD2205" s="154"/>
      <c r="AE2205" s="153"/>
      <c r="AF2205" s="153"/>
      <c r="AG2205" s="153"/>
      <c r="AH2205" s="153"/>
      <c r="AI2205" s="153"/>
      <c r="AJ2205" s="153"/>
      <c r="AK2205" s="153"/>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c r="BF2205" s="153"/>
      <c r="BG2205" s="153"/>
      <c r="BH2205" s="153"/>
      <c r="BI2205" s="153"/>
      <c r="BJ2205" s="153"/>
      <c r="BK2205" s="153"/>
      <c r="BL2205" s="153"/>
      <c r="BM2205" s="153"/>
      <c r="BN2205" s="153"/>
      <c r="BO2205" s="153"/>
      <c r="BP2205" s="153"/>
      <c r="BQ2205" s="153"/>
      <c r="BR2205" s="153"/>
      <c r="BS2205" s="153"/>
      <c r="BT2205" s="153"/>
      <c r="BU2205" s="153"/>
      <c r="BV2205" s="153"/>
      <c r="BW2205" s="153"/>
      <c r="BX2205" s="153"/>
      <c r="BY2205" s="153"/>
      <c r="BZ2205" s="153"/>
      <c r="CA2205" s="153"/>
      <c r="CB2205" s="153"/>
      <c r="CC2205" s="153"/>
      <c r="CD2205" s="155"/>
      <c r="CE2205" s="156"/>
      <c r="CF2205" s="155"/>
      <c r="CG2205" s="156"/>
      <c r="CH2205" s="155"/>
      <c r="CI2205" s="156"/>
      <c r="CJ2205" s="157">
        <f t="shared" si="273"/>
        <v>0</v>
      </c>
      <c r="CK2205" s="158"/>
      <c r="CL2205" s="159"/>
      <c r="CM2205" s="160"/>
      <c r="CN2205" s="161"/>
      <c r="CO2205" s="162"/>
      <c r="CP2205" s="161"/>
      <c r="CQ2205" s="158"/>
      <c r="CR2205" s="159"/>
      <c r="CS2205" s="68"/>
      <c r="CT2205" s="163"/>
      <c r="EC2205" s="366" t="str">
        <f t="shared" si="274"/>
        <v>CUNDINAMARCA_PULI</v>
      </c>
      <c r="ED2205" s="367"/>
      <c r="EE2205" s="367"/>
      <c r="EF2205" s="368"/>
      <c r="EG2205" s="367"/>
      <c r="EH2205" s="367"/>
      <c r="EI2205" s="367"/>
    </row>
    <row r="2206" spans="1:139" s="164" customFormat="1" ht="51">
      <c r="A2206" s="228">
        <v>40527</v>
      </c>
      <c r="B2206" s="205" t="s">
        <v>1604</v>
      </c>
      <c r="C2206" s="205" t="s">
        <v>3144</v>
      </c>
      <c r="D2206" s="207" t="s">
        <v>1878</v>
      </c>
      <c r="E2206" s="323"/>
      <c r="F2206" s="323"/>
      <c r="G2206" s="204"/>
      <c r="H2206" s="151"/>
      <c r="I2206" s="151"/>
      <c r="J2206" s="151">
        <v>47</v>
      </c>
      <c r="K2206" s="151">
        <v>13</v>
      </c>
      <c r="L2206" s="1"/>
      <c r="M2206" s="73">
        <f t="shared" si="271"/>
        <v>0</v>
      </c>
      <c r="N2206" s="73">
        <f t="shared" si="276"/>
        <v>0</v>
      </c>
      <c r="O2206" s="73">
        <f t="shared" si="270"/>
        <v>0</v>
      </c>
      <c r="P2206" s="73">
        <f t="shared" si="272"/>
        <v>0</v>
      </c>
      <c r="Q2206" s="73"/>
      <c r="R2206" s="73">
        <v>0</v>
      </c>
      <c r="S2206" s="75">
        <f t="shared" si="275"/>
        <v>0</v>
      </c>
      <c r="T2206" s="77">
        <v>0</v>
      </c>
      <c r="U2206" s="66">
        <v>40624</v>
      </c>
      <c r="V2206" s="79"/>
      <c r="W2206" s="66" t="s">
        <v>1585</v>
      </c>
      <c r="X2206" s="24" t="s">
        <v>1586</v>
      </c>
      <c r="Y2206" s="62"/>
      <c r="Z2206" s="169" t="s">
        <v>894</v>
      </c>
      <c r="AA2206" s="166" t="s">
        <v>155</v>
      </c>
      <c r="AB2206" s="152"/>
      <c r="AC2206" s="153"/>
      <c r="AD2206" s="154"/>
      <c r="AE2206" s="153"/>
      <c r="AF2206" s="153"/>
      <c r="AG2206" s="153"/>
      <c r="AH2206" s="153"/>
      <c r="AI2206" s="153"/>
      <c r="AJ2206" s="153"/>
      <c r="AK2206" s="153"/>
      <c r="AL2206" s="153"/>
      <c r="AM2206" s="153"/>
      <c r="AN2206" s="153"/>
      <c r="AO2206" s="153"/>
      <c r="AP2206" s="153"/>
      <c r="AQ2206" s="153"/>
      <c r="AR2206" s="153"/>
      <c r="AS2206" s="153"/>
      <c r="AT2206" s="153"/>
      <c r="AU2206" s="153"/>
      <c r="AV2206" s="153"/>
      <c r="AW2206" s="153"/>
      <c r="AX2206" s="153"/>
      <c r="AY2206" s="153"/>
      <c r="AZ2206" s="153"/>
      <c r="BA2206" s="153"/>
      <c r="BB2206" s="153"/>
      <c r="BC2206" s="153"/>
      <c r="BD2206" s="153"/>
      <c r="BE2206" s="153"/>
      <c r="BF2206" s="153"/>
      <c r="BG2206" s="153"/>
      <c r="BH2206" s="153"/>
      <c r="BI2206" s="153"/>
      <c r="BJ2206" s="153"/>
      <c r="BK2206" s="153"/>
      <c r="BL2206" s="153"/>
      <c r="BM2206" s="153"/>
      <c r="BN2206" s="153"/>
      <c r="BO2206" s="153"/>
      <c r="BP2206" s="153"/>
      <c r="BQ2206" s="153"/>
      <c r="BR2206" s="153"/>
      <c r="BS2206" s="153"/>
      <c r="BT2206" s="153"/>
      <c r="BU2206" s="153"/>
      <c r="BV2206" s="153"/>
      <c r="BW2206" s="153"/>
      <c r="BX2206" s="153"/>
      <c r="BY2206" s="153"/>
      <c r="BZ2206" s="153"/>
      <c r="CA2206" s="153"/>
      <c r="CB2206" s="153"/>
      <c r="CC2206" s="153"/>
      <c r="CD2206" s="155"/>
      <c r="CE2206" s="156"/>
      <c r="CF2206" s="155"/>
      <c r="CG2206" s="156"/>
      <c r="CH2206" s="155"/>
      <c r="CI2206" s="156"/>
      <c r="CJ2206" s="157">
        <f t="shared" si="273"/>
        <v>0</v>
      </c>
      <c r="CK2206" s="158"/>
      <c r="CL2206" s="159"/>
      <c r="CM2206" s="160"/>
      <c r="CN2206" s="161"/>
      <c r="CO2206" s="162"/>
      <c r="CP2206" s="161"/>
      <c r="CQ2206" s="158"/>
      <c r="CR2206" s="159"/>
      <c r="CS2206" s="68"/>
      <c r="CT2206" s="163"/>
      <c r="EC2206" s="366" t="str">
        <f t="shared" si="274"/>
        <v>CUNDINAMARCA_QUEBRADANEGRA</v>
      </c>
      <c r="ED2206" s="367"/>
      <c r="EE2206" s="367"/>
      <c r="EF2206" s="368"/>
      <c r="EG2206" s="367"/>
      <c r="EH2206" s="367"/>
      <c r="EI2206" s="367"/>
    </row>
    <row r="2207" spans="1:139" s="164" customFormat="1" ht="38.25">
      <c r="A2207" s="228">
        <v>40527</v>
      </c>
      <c r="B2207" s="205" t="s">
        <v>1604</v>
      </c>
      <c r="C2207" s="205" t="s">
        <v>3146</v>
      </c>
      <c r="D2207" s="207" t="s">
        <v>1878</v>
      </c>
      <c r="E2207" s="323" t="s">
        <v>3760</v>
      </c>
      <c r="F2207" s="323"/>
      <c r="G2207" s="204"/>
      <c r="H2207" s="151"/>
      <c r="I2207" s="151"/>
      <c r="J2207" s="151"/>
      <c r="K2207" s="151"/>
      <c r="L2207" s="1"/>
      <c r="M2207" s="73">
        <f t="shared" si="271"/>
        <v>0</v>
      </c>
      <c r="N2207" s="73">
        <f t="shared" si="276"/>
        <v>0</v>
      </c>
      <c r="O2207" s="73">
        <f t="shared" si="270"/>
        <v>0</v>
      </c>
      <c r="P2207" s="73">
        <f t="shared" si="272"/>
        <v>0</v>
      </c>
      <c r="Q2207" s="73"/>
      <c r="R2207" s="73">
        <v>0</v>
      </c>
      <c r="S2207" s="75">
        <f t="shared" si="275"/>
        <v>0</v>
      </c>
      <c r="T2207" s="77">
        <v>0</v>
      </c>
      <c r="U2207" s="66">
        <v>40618</v>
      </c>
      <c r="V2207" s="79"/>
      <c r="W2207" s="66" t="s">
        <v>1585</v>
      </c>
      <c r="X2207" s="24" t="s">
        <v>1586</v>
      </c>
      <c r="Y2207" s="62"/>
      <c r="Z2207" s="169" t="s">
        <v>894</v>
      </c>
      <c r="AA2207" s="166" t="s">
        <v>4327</v>
      </c>
      <c r="AB2207" s="152"/>
      <c r="AC2207" s="153"/>
      <c r="AD2207" s="154"/>
      <c r="AE2207" s="153"/>
      <c r="AF2207" s="153"/>
      <c r="AG2207" s="153"/>
      <c r="AH2207" s="153"/>
      <c r="AI2207" s="153"/>
      <c r="AJ2207" s="153"/>
      <c r="AK2207" s="153"/>
      <c r="AL2207" s="153"/>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c r="BF2207" s="153"/>
      <c r="BG2207" s="153"/>
      <c r="BH2207" s="153"/>
      <c r="BI2207" s="153"/>
      <c r="BJ2207" s="153"/>
      <c r="BK2207" s="153"/>
      <c r="BL2207" s="153"/>
      <c r="BM2207" s="153"/>
      <c r="BN2207" s="153"/>
      <c r="BO2207" s="153"/>
      <c r="BP2207" s="153"/>
      <c r="BQ2207" s="153"/>
      <c r="BR2207" s="153"/>
      <c r="BS2207" s="153"/>
      <c r="BT2207" s="153"/>
      <c r="BU2207" s="153"/>
      <c r="BV2207" s="153"/>
      <c r="BW2207" s="153"/>
      <c r="BX2207" s="153"/>
      <c r="BY2207" s="153"/>
      <c r="BZ2207" s="153"/>
      <c r="CA2207" s="153"/>
      <c r="CB2207" s="153"/>
      <c r="CC2207" s="153"/>
      <c r="CD2207" s="155"/>
      <c r="CE2207" s="156"/>
      <c r="CF2207" s="155"/>
      <c r="CG2207" s="156"/>
      <c r="CH2207" s="155"/>
      <c r="CI2207" s="156"/>
      <c r="CJ2207" s="157">
        <f t="shared" si="273"/>
        <v>0</v>
      </c>
      <c r="CK2207" s="158"/>
      <c r="CL2207" s="159"/>
      <c r="CM2207" s="160"/>
      <c r="CN2207" s="161"/>
      <c r="CO2207" s="162"/>
      <c r="CP2207" s="161"/>
      <c r="CQ2207" s="158"/>
      <c r="CR2207" s="159"/>
      <c r="CS2207" s="68"/>
      <c r="CT2207" s="163"/>
      <c r="EC2207" s="366" t="str">
        <f t="shared" si="274"/>
        <v>CUNDINAMARCA_SESQUILE</v>
      </c>
      <c r="ED2207" s="367"/>
      <c r="EE2207" s="367"/>
      <c r="EF2207" s="368"/>
      <c r="EG2207" s="367"/>
      <c r="EH2207" s="367"/>
      <c r="EI2207" s="367"/>
    </row>
    <row r="2208" spans="1:139" s="164" customFormat="1" ht="38.25">
      <c r="A2208" s="228">
        <v>40527</v>
      </c>
      <c r="B2208" s="205" t="s">
        <v>1604</v>
      </c>
      <c r="C2208" s="205" t="s">
        <v>3147</v>
      </c>
      <c r="D2208" s="207" t="s">
        <v>1878</v>
      </c>
      <c r="E2208" s="323" t="s">
        <v>3767</v>
      </c>
      <c r="F2208" s="323"/>
      <c r="G2208" s="204"/>
      <c r="H2208" s="151"/>
      <c r="I2208" s="151"/>
      <c r="J2208" s="151"/>
      <c r="K2208" s="151"/>
      <c r="L2208" s="1"/>
      <c r="M2208" s="73">
        <f t="shared" si="271"/>
        <v>0</v>
      </c>
      <c r="N2208" s="73">
        <f t="shared" si="276"/>
        <v>0</v>
      </c>
      <c r="O2208" s="73">
        <f t="shared" si="270"/>
        <v>0</v>
      </c>
      <c r="P2208" s="73">
        <f t="shared" si="272"/>
        <v>0</v>
      </c>
      <c r="Q2208" s="73"/>
      <c r="R2208" s="73">
        <v>0</v>
      </c>
      <c r="S2208" s="75">
        <f t="shared" si="275"/>
        <v>0</v>
      </c>
      <c r="T2208" s="77">
        <v>0</v>
      </c>
      <c r="U2208" s="66">
        <v>40618</v>
      </c>
      <c r="V2208" s="79"/>
      <c r="W2208" s="66" t="s">
        <v>1585</v>
      </c>
      <c r="X2208" s="24" t="s">
        <v>1586</v>
      </c>
      <c r="Y2208" s="62"/>
      <c r="Z2208" s="169" t="s">
        <v>894</v>
      </c>
      <c r="AA2208" s="166" t="s">
        <v>4327</v>
      </c>
      <c r="AB2208" s="152"/>
      <c r="AC2208" s="153"/>
      <c r="AD2208" s="154"/>
      <c r="AE2208" s="153"/>
      <c r="AF2208" s="153"/>
      <c r="AG2208" s="153"/>
      <c r="AH2208" s="153"/>
      <c r="AI2208" s="153"/>
      <c r="AJ2208" s="153"/>
      <c r="AK2208" s="153"/>
      <c r="AL2208" s="153"/>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c r="BF2208" s="153"/>
      <c r="BG2208" s="153"/>
      <c r="BH2208" s="153"/>
      <c r="BI2208" s="153"/>
      <c r="BJ2208" s="153"/>
      <c r="BK2208" s="153"/>
      <c r="BL2208" s="153"/>
      <c r="BM2208" s="153"/>
      <c r="BN2208" s="153"/>
      <c r="BO2208" s="153"/>
      <c r="BP2208" s="153"/>
      <c r="BQ2208" s="153"/>
      <c r="BR2208" s="153"/>
      <c r="BS2208" s="153"/>
      <c r="BT2208" s="153"/>
      <c r="BU2208" s="153"/>
      <c r="BV2208" s="153"/>
      <c r="BW2208" s="153"/>
      <c r="BX2208" s="153"/>
      <c r="BY2208" s="153"/>
      <c r="BZ2208" s="153"/>
      <c r="CA2208" s="153"/>
      <c r="CB2208" s="153"/>
      <c r="CC2208" s="153"/>
      <c r="CD2208" s="155"/>
      <c r="CE2208" s="156"/>
      <c r="CF2208" s="155"/>
      <c r="CG2208" s="156"/>
      <c r="CH2208" s="155"/>
      <c r="CI2208" s="156"/>
      <c r="CJ2208" s="157">
        <f t="shared" si="273"/>
        <v>0</v>
      </c>
      <c r="CK2208" s="158"/>
      <c r="CL2208" s="159"/>
      <c r="CM2208" s="160"/>
      <c r="CN2208" s="161"/>
      <c r="CO2208" s="162"/>
      <c r="CP2208" s="161"/>
      <c r="CQ2208" s="158"/>
      <c r="CR2208" s="159"/>
      <c r="CS2208" s="68"/>
      <c r="CT2208" s="163"/>
      <c r="EC2208" s="366" t="str">
        <f t="shared" si="274"/>
        <v>CUNDINAMARCA_SUESCA</v>
      </c>
      <c r="ED2208" s="367"/>
      <c r="EE2208" s="367"/>
      <c r="EF2208" s="368"/>
      <c r="EG2208" s="367"/>
      <c r="EH2208" s="367"/>
      <c r="EI2208" s="367"/>
    </row>
    <row r="2209" spans="1:139" s="164" customFormat="1" ht="38.25">
      <c r="A2209" s="228">
        <v>40527</v>
      </c>
      <c r="B2209" s="205" t="s">
        <v>1604</v>
      </c>
      <c r="C2209" s="205" t="s">
        <v>3148</v>
      </c>
      <c r="D2209" s="207" t="s">
        <v>1878</v>
      </c>
      <c r="E2209" s="323" t="s">
        <v>3780</v>
      </c>
      <c r="F2209" s="323"/>
      <c r="G2209" s="204"/>
      <c r="H2209" s="151"/>
      <c r="I2209" s="151"/>
      <c r="J2209" s="151"/>
      <c r="K2209" s="151"/>
      <c r="L2209" s="1"/>
      <c r="M2209" s="73">
        <f t="shared" si="271"/>
        <v>0</v>
      </c>
      <c r="N2209" s="73">
        <f t="shared" si="276"/>
        <v>0</v>
      </c>
      <c r="O2209" s="73">
        <f t="shared" si="270"/>
        <v>0</v>
      </c>
      <c r="P2209" s="73">
        <f t="shared" si="272"/>
        <v>0</v>
      </c>
      <c r="Q2209" s="73"/>
      <c r="R2209" s="73">
        <v>0</v>
      </c>
      <c r="S2209" s="75">
        <f t="shared" si="275"/>
        <v>0</v>
      </c>
      <c r="T2209" s="77">
        <v>0</v>
      </c>
      <c r="U2209" s="66">
        <v>40618</v>
      </c>
      <c r="V2209" s="79"/>
      <c r="W2209" s="66" t="s">
        <v>1585</v>
      </c>
      <c r="X2209" s="24" t="s">
        <v>1586</v>
      </c>
      <c r="Y2209" s="62"/>
      <c r="Z2209" s="169" t="s">
        <v>894</v>
      </c>
      <c r="AA2209" s="166" t="s">
        <v>4327</v>
      </c>
      <c r="AB2209" s="152"/>
      <c r="AC2209" s="153"/>
      <c r="AD2209" s="154"/>
      <c r="AE2209" s="153"/>
      <c r="AF2209" s="153"/>
      <c r="AG2209" s="153"/>
      <c r="AH2209" s="153"/>
      <c r="AI2209" s="153"/>
      <c r="AJ2209" s="153"/>
      <c r="AK2209" s="153"/>
      <c r="AL2209" s="153"/>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c r="BF2209" s="153"/>
      <c r="BG2209" s="153"/>
      <c r="BH2209" s="153"/>
      <c r="BI2209" s="153"/>
      <c r="BJ2209" s="153"/>
      <c r="BK2209" s="153"/>
      <c r="BL2209" s="153"/>
      <c r="BM2209" s="153"/>
      <c r="BN2209" s="153"/>
      <c r="BO2209" s="153"/>
      <c r="BP2209" s="153"/>
      <c r="BQ2209" s="153"/>
      <c r="BR2209" s="153"/>
      <c r="BS2209" s="153"/>
      <c r="BT2209" s="153"/>
      <c r="BU2209" s="153"/>
      <c r="BV2209" s="153"/>
      <c r="BW2209" s="153"/>
      <c r="BX2209" s="153"/>
      <c r="BY2209" s="153"/>
      <c r="BZ2209" s="153"/>
      <c r="CA2209" s="153"/>
      <c r="CB2209" s="153"/>
      <c r="CC2209" s="153"/>
      <c r="CD2209" s="155"/>
      <c r="CE2209" s="156"/>
      <c r="CF2209" s="155"/>
      <c r="CG2209" s="156"/>
      <c r="CH2209" s="155"/>
      <c r="CI2209" s="156"/>
      <c r="CJ2209" s="157">
        <f t="shared" si="273"/>
        <v>0</v>
      </c>
      <c r="CK2209" s="158"/>
      <c r="CL2209" s="159"/>
      <c r="CM2209" s="160"/>
      <c r="CN2209" s="161"/>
      <c r="CO2209" s="162"/>
      <c r="CP2209" s="161"/>
      <c r="CQ2209" s="158"/>
      <c r="CR2209" s="159"/>
      <c r="CS2209" s="68"/>
      <c r="CT2209" s="163"/>
      <c r="EC2209" s="366" t="str">
        <f t="shared" si="274"/>
        <v>CUNDINAMARCA_UBALA</v>
      </c>
      <c r="ED2209" s="367"/>
      <c r="EE2209" s="367"/>
      <c r="EF2209" s="368"/>
      <c r="EG2209" s="367"/>
      <c r="EH2209" s="367"/>
      <c r="EI2209" s="367"/>
    </row>
    <row r="2210" spans="1:139" s="164" customFormat="1" ht="38.25">
      <c r="A2210" s="228">
        <v>40527</v>
      </c>
      <c r="B2210" s="205" t="s">
        <v>1604</v>
      </c>
      <c r="C2210" s="205" t="s">
        <v>186</v>
      </c>
      <c r="D2210" s="207" t="s">
        <v>1201</v>
      </c>
      <c r="E2210" s="323" t="s">
        <v>3785</v>
      </c>
      <c r="F2210" s="323"/>
      <c r="G2210" s="204"/>
      <c r="H2210" s="151"/>
      <c r="I2210" s="151"/>
      <c r="J2210" s="151">
        <f>47*4</f>
        <v>188</v>
      </c>
      <c r="K2210" s="151">
        <v>47</v>
      </c>
      <c r="L2210" s="1"/>
      <c r="M2210" s="73">
        <f t="shared" si="271"/>
        <v>0</v>
      </c>
      <c r="N2210" s="73">
        <f t="shared" si="276"/>
        <v>0</v>
      </c>
      <c r="O2210" s="73">
        <f t="shared" si="270"/>
        <v>0</v>
      </c>
      <c r="P2210" s="73">
        <f t="shared" si="272"/>
        <v>0</v>
      </c>
      <c r="Q2210" s="73"/>
      <c r="R2210" s="73">
        <v>0</v>
      </c>
      <c r="S2210" s="75">
        <f t="shared" si="275"/>
        <v>0</v>
      </c>
      <c r="T2210" s="77">
        <v>0</v>
      </c>
      <c r="U2210" s="66">
        <v>40612</v>
      </c>
      <c r="V2210" s="79"/>
      <c r="W2210" s="66" t="s">
        <v>1585</v>
      </c>
      <c r="X2210" s="24" t="s">
        <v>1586</v>
      </c>
      <c r="Y2210" s="62"/>
      <c r="Z2210" s="169" t="s">
        <v>894</v>
      </c>
      <c r="AA2210" s="166" t="s">
        <v>155</v>
      </c>
      <c r="AB2210" s="152"/>
      <c r="AC2210" s="153"/>
      <c r="AD2210" s="154"/>
      <c r="AE2210" s="153"/>
      <c r="AF2210" s="153"/>
      <c r="AG2210" s="153"/>
      <c r="AH2210" s="153"/>
      <c r="AI2210" s="153"/>
      <c r="AJ2210" s="153"/>
      <c r="AK2210" s="153"/>
      <c r="AL2210" s="153"/>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c r="BF2210" s="153"/>
      <c r="BG2210" s="153"/>
      <c r="BH2210" s="153"/>
      <c r="BI2210" s="153"/>
      <c r="BJ2210" s="153"/>
      <c r="BK2210" s="153"/>
      <c r="BL2210" s="153"/>
      <c r="BM2210" s="153"/>
      <c r="BN2210" s="153"/>
      <c r="BO2210" s="153"/>
      <c r="BP2210" s="153"/>
      <c r="BQ2210" s="153"/>
      <c r="BR2210" s="153"/>
      <c r="BS2210" s="153"/>
      <c r="BT2210" s="153"/>
      <c r="BU2210" s="153"/>
      <c r="BV2210" s="153"/>
      <c r="BW2210" s="153"/>
      <c r="BX2210" s="153"/>
      <c r="BY2210" s="153"/>
      <c r="BZ2210" s="153"/>
      <c r="CA2210" s="153"/>
      <c r="CB2210" s="153"/>
      <c r="CC2210" s="153"/>
      <c r="CD2210" s="155"/>
      <c r="CE2210" s="156"/>
      <c r="CF2210" s="155"/>
      <c r="CG2210" s="156"/>
      <c r="CH2210" s="155"/>
      <c r="CI2210" s="156"/>
      <c r="CJ2210" s="157">
        <f t="shared" si="273"/>
        <v>0</v>
      </c>
      <c r="CK2210" s="158"/>
      <c r="CL2210" s="159"/>
      <c r="CM2210" s="160"/>
      <c r="CN2210" s="161"/>
      <c r="CO2210" s="162"/>
      <c r="CP2210" s="161"/>
      <c r="CQ2210" s="158"/>
      <c r="CR2210" s="159"/>
      <c r="CS2210" s="68"/>
      <c r="CT2210" s="163"/>
      <c r="EC2210" s="366" t="str">
        <f t="shared" si="274"/>
        <v>CUNDINAMARCA_VIANI</v>
      </c>
      <c r="ED2210" s="367"/>
      <c r="EE2210" s="367"/>
      <c r="EF2210" s="368"/>
      <c r="EG2210" s="367"/>
      <c r="EH2210" s="367"/>
      <c r="EI2210" s="367"/>
    </row>
    <row r="2211" spans="1:139" s="164" customFormat="1" ht="38.25">
      <c r="A2211" s="228">
        <v>40527</v>
      </c>
      <c r="B2211" s="205" t="s">
        <v>1604</v>
      </c>
      <c r="C2211" s="205" t="s">
        <v>3149</v>
      </c>
      <c r="D2211" s="207" t="s">
        <v>1878</v>
      </c>
      <c r="E2211" s="323" t="s">
        <v>3786</v>
      </c>
      <c r="F2211" s="323"/>
      <c r="G2211" s="204"/>
      <c r="H2211" s="151"/>
      <c r="I2211" s="151"/>
      <c r="J2211" s="151"/>
      <c r="K2211" s="151"/>
      <c r="L2211" s="1"/>
      <c r="M2211" s="73">
        <f t="shared" si="271"/>
        <v>0</v>
      </c>
      <c r="N2211" s="73">
        <f t="shared" si="276"/>
        <v>0</v>
      </c>
      <c r="O2211" s="73">
        <f t="shared" si="270"/>
        <v>0</v>
      </c>
      <c r="P2211" s="73">
        <f t="shared" si="272"/>
        <v>0</v>
      </c>
      <c r="Q2211" s="73"/>
      <c r="R2211" s="73">
        <v>0</v>
      </c>
      <c r="S2211" s="75">
        <f t="shared" si="275"/>
        <v>0</v>
      </c>
      <c r="T2211" s="77">
        <v>0</v>
      </c>
      <c r="U2211" s="66">
        <v>40618</v>
      </c>
      <c r="V2211" s="79"/>
      <c r="W2211" s="66" t="s">
        <v>1585</v>
      </c>
      <c r="X2211" s="24" t="s">
        <v>1586</v>
      </c>
      <c r="Y2211" s="62"/>
      <c r="Z2211" s="169" t="s">
        <v>894</v>
      </c>
      <c r="AA2211" s="166" t="s">
        <v>4327</v>
      </c>
      <c r="AB2211" s="152"/>
      <c r="AC2211" s="153"/>
      <c r="AD2211" s="154"/>
      <c r="AE2211" s="153"/>
      <c r="AF2211" s="153"/>
      <c r="AG2211" s="153"/>
      <c r="AH2211" s="153"/>
      <c r="AI2211" s="153"/>
      <c r="AJ2211" s="153"/>
      <c r="AK2211" s="153"/>
      <c r="AL2211" s="153"/>
      <c r="AM2211" s="153"/>
      <c r="AN2211" s="153"/>
      <c r="AO2211" s="153"/>
      <c r="AP2211" s="153"/>
      <c r="AQ2211" s="153"/>
      <c r="AR2211" s="153"/>
      <c r="AS2211" s="153"/>
      <c r="AT2211" s="153"/>
      <c r="AU2211" s="153"/>
      <c r="AV2211" s="153"/>
      <c r="AW2211" s="153"/>
      <c r="AX2211" s="153"/>
      <c r="AY2211" s="153"/>
      <c r="AZ2211" s="153"/>
      <c r="BA2211" s="153"/>
      <c r="BB2211" s="153"/>
      <c r="BC2211" s="153"/>
      <c r="BD2211" s="153"/>
      <c r="BE2211" s="153"/>
      <c r="BF2211" s="153"/>
      <c r="BG2211" s="153"/>
      <c r="BH2211" s="153"/>
      <c r="BI2211" s="153"/>
      <c r="BJ2211" s="153"/>
      <c r="BK2211" s="153"/>
      <c r="BL2211" s="153"/>
      <c r="BM2211" s="153"/>
      <c r="BN2211" s="153"/>
      <c r="BO2211" s="153"/>
      <c r="BP2211" s="153"/>
      <c r="BQ2211" s="153"/>
      <c r="BR2211" s="153"/>
      <c r="BS2211" s="153"/>
      <c r="BT2211" s="153"/>
      <c r="BU2211" s="153"/>
      <c r="BV2211" s="153"/>
      <c r="BW2211" s="153"/>
      <c r="BX2211" s="153"/>
      <c r="BY2211" s="153"/>
      <c r="BZ2211" s="153"/>
      <c r="CA2211" s="153"/>
      <c r="CB2211" s="153"/>
      <c r="CC2211" s="153"/>
      <c r="CD2211" s="155"/>
      <c r="CE2211" s="156"/>
      <c r="CF2211" s="155"/>
      <c r="CG2211" s="156"/>
      <c r="CH2211" s="155"/>
      <c r="CI2211" s="156"/>
      <c r="CJ2211" s="157">
        <f t="shared" si="273"/>
        <v>0</v>
      </c>
      <c r="CK2211" s="158"/>
      <c r="CL2211" s="159"/>
      <c r="CM2211" s="160"/>
      <c r="CN2211" s="161"/>
      <c r="CO2211" s="162"/>
      <c r="CP2211" s="161"/>
      <c r="CQ2211" s="158"/>
      <c r="CR2211" s="159"/>
      <c r="CS2211" s="68"/>
      <c r="CT2211" s="163"/>
      <c r="EC2211" s="366" t="str">
        <f t="shared" si="274"/>
        <v>CUNDINAMARCA_VILLAGOMEZ</v>
      </c>
      <c r="ED2211" s="367"/>
      <c r="EE2211" s="367"/>
      <c r="EF2211" s="368"/>
      <c r="EG2211" s="367"/>
      <c r="EH2211" s="367"/>
      <c r="EI2211" s="367"/>
    </row>
    <row r="2212" spans="1:139" s="164" customFormat="1" ht="38.25">
      <c r="A2212" s="228">
        <v>40527</v>
      </c>
      <c r="B2212" s="205" t="s">
        <v>1604</v>
      </c>
      <c r="C2212" s="205" t="s">
        <v>959</v>
      </c>
      <c r="D2212" s="207" t="s">
        <v>1201</v>
      </c>
      <c r="E2212" s="323" t="s">
        <v>3791</v>
      </c>
      <c r="F2212" s="323"/>
      <c r="G2212" s="204"/>
      <c r="H2212" s="151"/>
      <c r="I2212" s="151"/>
      <c r="J2212" s="151"/>
      <c r="K2212" s="151"/>
      <c r="L2212" s="1"/>
      <c r="M2212" s="73">
        <f t="shared" si="271"/>
        <v>0</v>
      </c>
      <c r="N2212" s="73">
        <f t="shared" si="276"/>
        <v>0</v>
      </c>
      <c r="O2212" s="73">
        <f t="shared" si="270"/>
        <v>0</v>
      </c>
      <c r="P2212" s="73">
        <f t="shared" si="272"/>
        <v>0</v>
      </c>
      <c r="Q2212" s="73"/>
      <c r="R2212" s="73">
        <v>0</v>
      </c>
      <c r="S2212" s="75">
        <f t="shared" si="275"/>
        <v>0</v>
      </c>
      <c r="T2212" s="77">
        <v>0</v>
      </c>
      <c r="U2212" s="66">
        <v>40612</v>
      </c>
      <c r="V2212" s="79"/>
      <c r="W2212" s="66" t="s">
        <v>1585</v>
      </c>
      <c r="X2212" s="24" t="s">
        <v>1586</v>
      </c>
      <c r="Y2212" s="62"/>
      <c r="Z2212" s="169" t="s">
        <v>894</v>
      </c>
      <c r="AA2212" s="166" t="s">
        <v>155</v>
      </c>
      <c r="AB2212" s="152"/>
      <c r="AC2212" s="153"/>
      <c r="AD2212" s="154"/>
      <c r="AE2212" s="153"/>
      <c r="AF2212" s="153"/>
      <c r="AG2212" s="153"/>
      <c r="AH2212" s="153"/>
      <c r="AI2212" s="153"/>
      <c r="AJ2212" s="153"/>
      <c r="AK2212" s="153"/>
      <c r="AL2212" s="153"/>
      <c r="AM2212" s="153"/>
      <c r="AN2212" s="153"/>
      <c r="AO2212" s="153"/>
      <c r="AP2212" s="153"/>
      <c r="AQ2212" s="153"/>
      <c r="AR2212" s="153"/>
      <c r="AS2212" s="153"/>
      <c r="AT2212" s="153"/>
      <c r="AU2212" s="153"/>
      <c r="AV2212" s="153"/>
      <c r="AW2212" s="153"/>
      <c r="AX2212" s="153"/>
      <c r="AY2212" s="153"/>
      <c r="AZ2212" s="153"/>
      <c r="BA2212" s="153"/>
      <c r="BB2212" s="153"/>
      <c r="BC2212" s="153"/>
      <c r="BD2212" s="153"/>
      <c r="BE2212" s="153"/>
      <c r="BF2212" s="153"/>
      <c r="BG2212" s="153"/>
      <c r="BH2212" s="153"/>
      <c r="BI2212" s="153"/>
      <c r="BJ2212" s="153"/>
      <c r="BK2212" s="153"/>
      <c r="BL2212" s="153"/>
      <c r="BM2212" s="153"/>
      <c r="BN2212" s="153"/>
      <c r="BO2212" s="153"/>
      <c r="BP2212" s="153"/>
      <c r="BQ2212" s="153"/>
      <c r="BR2212" s="153"/>
      <c r="BS2212" s="153"/>
      <c r="BT2212" s="153"/>
      <c r="BU2212" s="153"/>
      <c r="BV2212" s="153"/>
      <c r="BW2212" s="153"/>
      <c r="BX2212" s="153"/>
      <c r="BY2212" s="153"/>
      <c r="BZ2212" s="153"/>
      <c r="CA2212" s="153"/>
      <c r="CB2212" s="153"/>
      <c r="CC2212" s="153"/>
      <c r="CD2212" s="155"/>
      <c r="CE2212" s="156"/>
      <c r="CF2212" s="155"/>
      <c r="CG2212" s="156"/>
      <c r="CH2212" s="155"/>
      <c r="CI2212" s="156"/>
      <c r="CJ2212" s="157">
        <f t="shared" si="273"/>
        <v>0</v>
      </c>
      <c r="CK2212" s="158"/>
      <c r="CL2212" s="159"/>
      <c r="CM2212" s="160"/>
      <c r="CN2212" s="161"/>
      <c r="CO2212" s="162"/>
      <c r="CP2212" s="161"/>
      <c r="CQ2212" s="158"/>
      <c r="CR2212" s="159"/>
      <c r="CS2212" s="68"/>
      <c r="CT2212" s="163"/>
      <c r="EC2212" s="366" t="str">
        <f t="shared" si="274"/>
        <v>CUNDINAMARCA_ZIPACON</v>
      </c>
      <c r="ED2212" s="367"/>
      <c r="EE2212" s="367"/>
      <c r="EF2212" s="368"/>
      <c r="EG2212" s="367"/>
      <c r="EH2212" s="367"/>
      <c r="EI2212" s="367"/>
    </row>
    <row r="2213" spans="1:139" s="164" customFormat="1" ht="25.5">
      <c r="A2213" s="228">
        <v>40527</v>
      </c>
      <c r="B2213" s="205" t="s">
        <v>962</v>
      </c>
      <c r="C2213" s="205" t="s">
        <v>2430</v>
      </c>
      <c r="D2213" s="207" t="s">
        <v>1201</v>
      </c>
      <c r="E2213" s="323" t="s">
        <v>3835</v>
      </c>
      <c r="F2213" s="323"/>
      <c r="G2213" s="204"/>
      <c r="H2213" s="151"/>
      <c r="I2213" s="151"/>
      <c r="J2213" s="151">
        <v>8730</v>
      </c>
      <c r="K2213" s="151">
        <v>1772</v>
      </c>
      <c r="L2213" s="1"/>
      <c r="M2213" s="73">
        <f t="shared" si="271"/>
        <v>0</v>
      </c>
      <c r="N2213" s="73">
        <f t="shared" si="276"/>
        <v>0</v>
      </c>
      <c r="O2213" s="73">
        <f t="shared" si="270"/>
        <v>0</v>
      </c>
      <c r="P2213" s="73">
        <f t="shared" si="272"/>
        <v>0</v>
      </c>
      <c r="Q2213" s="73"/>
      <c r="R2213" s="73">
        <v>0</v>
      </c>
      <c r="S2213" s="75">
        <f t="shared" si="275"/>
        <v>0</v>
      </c>
      <c r="T2213" s="77">
        <v>0</v>
      </c>
      <c r="U2213" s="66">
        <v>40618</v>
      </c>
      <c r="V2213" s="79"/>
      <c r="W2213" s="66" t="s">
        <v>1585</v>
      </c>
      <c r="X2213" s="24" t="s">
        <v>1586</v>
      </c>
      <c r="Y2213" s="62"/>
      <c r="Z2213" s="169" t="s">
        <v>894</v>
      </c>
      <c r="AA2213" s="166" t="s">
        <v>4328</v>
      </c>
      <c r="AB2213" s="152"/>
      <c r="AC2213" s="153"/>
      <c r="AD2213" s="154"/>
      <c r="AE2213" s="153"/>
      <c r="AF2213" s="153"/>
      <c r="AG2213" s="153"/>
      <c r="AH2213" s="153"/>
      <c r="AI2213" s="153"/>
      <c r="AJ2213" s="153"/>
      <c r="AK2213" s="153"/>
      <c r="AL2213" s="153"/>
      <c r="AM2213" s="153"/>
      <c r="AN2213" s="153"/>
      <c r="AO2213" s="153"/>
      <c r="AP2213" s="153"/>
      <c r="AQ2213" s="153"/>
      <c r="AR2213" s="153"/>
      <c r="AS2213" s="153"/>
      <c r="AT2213" s="153"/>
      <c r="AU2213" s="153"/>
      <c r="AV2213" s="153"/>
      <c r="AW2213" s="153"/>
      <c r="AX2213" s="153"/>
      <c r="AY2213" s="153"/>
      <c r="AZ2213" s="153"/>
      <c r="BA2213" s="153"/>
      <c r="BB2213" s="153"/>
      <c r="BC2213" s="153"/>
      <c r="BD2213" s="153"/>
      <c r="BE2213" s="153"/>
      <c r="BF2213" s="153"/>
      <c r="BG2213" s="153"/>
      <c r="BH2213" s="153"/>
      <c r="BI2213" s="153"/>
      <c r="BJ2213" s="153"/>
      <c r="BK2213" s="153"/>
      <c r="BL2213" s="153"/>
      <c r="BM2213" s="153"/>
      <c r="BN2213" s="153"/>
      <c r="BO2213" s="153"/>
      <c r="BP2213" s="153"/>
      <c r="BQ2213" s="153"/>
      <c r="BR2213" s="153"/>
      <c r="BS2213" s="153"/>
      <c r="BT2213" s="153"/>
      <c r="BU2213" s="153"/>
      <c r="BV2213" s="153"/>
      <c r="BW2213" s="153"/>
      <c r="BX2213" s="153"/>
      <c r="BY2213" s="153"/>
      <c r="BZ2213" s="153"/>
      <c r="CA2213" s="153"/>
      <c r="CB2213" s="153"/>
      <c r="CC2213" s="153"/>
      <c r="CD2213" s="155"/>
      <c r="CE2213" s="156"/>
      <c r="CF2213" s="155"/>
      <c r="CG2213" s="156"/>
      <c r="CH2213" s="155"/>
      <c r="CI2213" s="156"/>
      <c r="CJ2213" s="157">
        <f t="shared" si="273"/>
        <v>0</v>
      </c>
      <c r="CK2213" s="158"/>
      <c r="CL2213" s="159"/>
      <c r="CM2213" s="160"/>
      <c r="CN2213" s="161"/>
      <c r="CO2213" s="162"/>
      <c r="CP2213" s="161"/>
      <c r="CQ2213" s="158"/>
      <c r="CR2213" s="159"/>
      <c r="CS2213" s="68"/>
      <c r="CT2213" s="163"/>
      <c r="EC2213" s="366" t="str">
        <f t="shared" si="274"/>
        <v>HUILA_GUADALUPE</v>
      </c>
      <c r="ED2213" s="367"/>
      <c r="EE2213" s="367"/>
      <c r="EF2213" s="368"/>
      <c r="EG2213" s="367"/>
      <c r="EH2213" s="367"/>
      <c r="EI2213" s="367"/>
    </row>
    <row r="2214" spans="1:139" s="164" customFormat="1" ht="36">
      <c r="A2214" s="228">
        <v>40527</v>
      </c>
      <c r="B2214" s="205" t="s">
        <v>962</v>
      </c>
      <c r="C2214" s="205" t="s">
        <v>156</v>
      </c>
      <c r="D2214" s="207" t="s">
        <v>1878</v>
      </c>
      <c r="E2214" s="323" t="s">
        <v>3856</v>
      </c>
      <c r="F2214" s="323"/>
      <c r="G2214" s="204"/>
      <c r="H2214" s="151"/>
      <c r="I2214" s="151"/>
      <c r="J2214" s="151"/>
      <c r="K2214" s="151"/>
      <c r="L2214" s="1"/>
      <c r="M2214" s="73">
        <f t="shared" si="271"/>
        <v>0</v>
      </c>
      <c r="N2214" s="73">
        <f t="shared" si="276"/>
        <v>0</v>
      </c>
      <c r="O2214" s="73">
        <f t="shared" si="270"/>
        <v>0</v>
      </c>
      <c r="P2214" s="73">
        <f t="shared" si="272"/>
        <v>0</v>
      </c>
      <c r="Q2214" s="73"/>
      <c r="R2214" s="73">
        <v>0</v>
      </c>
      <c r="S2214" s="75">
        <f t="shared" si="275"/>
        <v>0</v>
      </c>
      <c r="T2214" s="77">
        <v>0</v>
      </c>
      <c r="U2214" s="66">
        <v>40606</v>
      </c>
      <c r="V2214" s="79"/>
      <c r="W2214" s="66" t="s">
        <v>1585</v>
      </c>
      <c r="X2214" s="24" t="s">
        <v>1586</v>
      </c>
      <c r="Y2214" s="62"/>
      <c r="Z2214" s="169" t="s">
        <v>894</v>
      </c>
      <c r="AA2214" s="166" t="s">
        <v>157</v>
      </c>
      <c r="AB2214" s="152"/>
      <c r="AC2214" s="153"/>
      <c r="AD2214" s="154"/>
      <c r="AE2214" s="153"/>
      <c r="AF2214" s="153"/>
      <c r="AG2214" s="153"/>
      <c r="AH2214" s="153"/>
      <c r="AI2214" s="153"/>
      <c r="AJ2214" s="153"/>
      <c r="AK2214" s="153"/>
      <c r="AL2214" s="153"/>
      <c r="AM2214" s="153"/>
      <c r="AN2214" s="153"/>
      <c r="AO2214" s="153"/>
      <c r="AP2214" s="153"/>
      <c r="AQ2214" s="153"/>
      <c r="AR2214" s="153"/>
      <c r="AS2214" s="153"/>
      <c r="AT2214" s="153"/>
      <c r="AU2214" s="153"/>
      <c r="AV2214" s="153"/>
      <c r="AW2214" s="153"/>
      <c r="AX2214" s="153"/>
      <c r="AY2214" s="153"/>
      <c r="AZ2214" s="153"/>
      <c r="BA2214" s="153"/>
      <c r="BB2214" s="153"/>
      <c r="BC2214" s="153"/>
      <c r="BD2214" s="153"/>
      <c r="BE2214" s="153"/>
      <c r="BF2214" s="153"/>
      <c r="BG2214" s="153"/>
      <c r="BH2214" s="153"/>
      <c r="BI2214" s="153"/>
      <c r="BJ2214" s="153"/>
      <c r="BK2214" s="153"/>
      <c r="BL2214" s="153"/>
      <c r="BM2214" s="153"/>
      <c r="BN2214" s="153"/>
      <c r="BO2214" s="153"/>
      <c r="BP2214" s="153"/>
      <c r="BQ2214" s="153"/>
      <c r="BR2214" s="153"/>
      <c r="BS2214" s="153"/>
      <c r="BT2214" s="153"/>
      <c r="BU2214" s="153"/>
      <c r="BV2214" s="153"/>
      <c r="BW2214" s="153"/>
      <c r="BX2214" s="153"/>
      <c r="BY2214" s="153"/>
      <c r="BZ2214" s="153"/>
      <c r="CA2214" s="153"/>
      <c r="CB2214" s="153"/>
      <c r="CC2214" s="153"/>
      <c r="CD2214" s="155"/>
      <c r="CE2214" s="156"/>
      <c r="CF2214" s="155"/>
      <c r="CG2214" s="156"/>
      <c r="CH2214" s="155"/>
      <c r="CI2214" s="156"/>
      <c r="CJ2214" s="157">
        <f t="shared" si="273"/>
        <v>0</v>
      </c>
      <c r="CK2214" s="158"/>
      <c r="CL2214" s="159"/>
      <c r="CM2214" s="160"/>
      <c r="CN2214" s="161"/>
      <c r="CO2214" s="162"/>
      <c r="CP2214" s="161"/>
      <c r="CQ2214" s="158"/>
      <c r="CR2214" s="159"/>
      <c r="CS2214" s="68"/>
      <c r="CT2214" s="163"/>
      <c r="EC2214" s="366" t="str">
        <f t="shared" si="274"/>
        <v>HUILA_TERUEL</v>
      </c>
      <c r="ED2214" s="367"/>
      <c r="EE2214" s="367"/>
      <c r="EF2214" s="368"/>
      <c r="EG2214" s="367"/>
      <c r="EH2214" s="367"/>
      <c r="EI2214" s="367"/>
    </row>
    <row r="2215" spans="1:139" s="164" customFormat="1" ht="38.25">
      <c r="A2215" s="228">
        <v>40527</v>
      </c>
      <c r="B2215" s="205" t="s">
        <v>4321</v>
      </c>
      <c r="C2215" s="205" t="s">
        <v>3161</v>
      </c>
      <c r="D2215" s="207" t="s">
        <v>1201</v>
      </c>
      <c r="E2215" s="323"/>
      <c r="F2215" s="323"/>
      <c r="G2215" s="204"/>
      <c r="H2215" s="151"/>
      <c r="I2215" s="151"/>
      <c r="J2215" s="151">
        <f>39*5</f>
        <v>195</v>
      </c>
      <c r="K2215" s="151">
        <v>39</v>
      </c>
      <c r="L2215" s="1"/>
      <c r="M2215" s="73">
        <f t="shared" si="271"/>
        <v>0</v>
      </c>
      <c r="N2215" s="73">
        <f t="shared" si="276"/>
        <v>0</v>
      </c>
      <c r="O2215" s="73">
        <f t="shared" si="270"/>
        <v>0</v>
      </c>
      <c r="P2215" s="73">
        <f t="shared" si="272"/>
        <v>0</v>
      </c>
      <c r="Q2215" s="73"/>
      <c r="R2215" s="73">
        <v>0</v>
      </c>
      <c r="S2215" s="75">
        <f t="shared" si="275"/>
        <v>0</v>
      </c>
      <c r="T2215" s="77">
        <v>0</v>
      </c>
      <c r="U2215" s="66"/>
      <c r="V2215" s="79"/>
      <c r="W2215" s="66" t="s">
        <v>1585</v>
      </c>
      <c r="X2215" s="24" t="s">
        <v>1586</v>
      </c>
      <c r="Y2215" s="62"/>
      <c r="Z2215" s="169" t="s">
        <v>894</v>
      </c>
      <c r="AA2215" s="166" t="s">
        <v>155</v>
      </c>
      <c r="AB2215" s="152"/>
      <c r="AC2215" s="153"/>
      <c r="AD2215" s="154"/>
      <c r="AE2215" s="153"/>
      <c r="AF2215" s="153"/>
      <c r="AG2215" s="153"/>
      <c r="AH2215" s="153"/>
      <c r="AI2215" s="153"/>
      <c r="AJ2215" s="153"/>
      <c r="AK2215" s="153"/>
      <c r="AL2215" s="153"/>
      <c r="AM2215" s="153"/>
      <c r="AN2215" s="153"/>
      <c r="AO2215" s="153"/>
      <c r="AP2215" s="153"/>
      <c r="AQ2215" s="153"/>
      <c r="AR2215" s="153"/>
      <c r="AS2215" s="153"/>
      <c r="AT2215" s="153"/>
      <c r="AU2215" s="153"/>
      <c r="AV2215" s="153"/>
      <c r="AW2215" s="153"/>
      <c r="AX2215" s="153"/>
      <c r="AY2215" s="153"/>
      <c r="AZ2215" s="153"/>
      <c r="BA2215" s="153"/>
      <c r="BB2215" s="153"/>
      <c r="BC2215" s="153"/>
      <c r="BD2215" s="153"/>
      <c r="BE2215" s="153"/>
      <c r="BF2215" s="153"/>
      <c r="BG2215" s="153"/>
      <c r="BH2215" s="153"/>
      <c r="BI2215" s="153"/>
      <c r="BJ2215" s="153"/>
      <c r="BK2215" s="153"/>
      <c r="BL2215" s="153"/>
      <c r="BM2215" s="153"/>
      <c r="BN2215" s="153"/>
      <c r="BO2215" s="153"/>
      <c r="BP2215" s="153"/>
      <c r="BQ2215" s="153"/>
      <c r="BR2215" s="153"/>
      <c r="BS2215" s="153"/>
      <c r="BT2215" s="153"/>
      <c r="BU2215" s="153"/>
      <c r="BV2215" s="153"/>
      <c r="BW2215" s="153"/>
      <c r="BX2215" s="153"/>
      <c r="BY2215" s="153"/>
      <c r="BZ2215" s="153"/>
      <c r="CA2215" s="153"/>
      <c r="CB2215" s="153"/>
      <c r="CC2215" s="153"/>
      <c r="CD2215" s="155"/>
      <c r="CE2215" s="156"/>
      <c r="CF2215" s="155"/>
      <c r="CG2215" s="156"/>
      <c r="CH2215" s="155"/>
      <c r="CI2215" s="156"/>
      <c r="CJ2215" s="157">
        <f t="shared" si="273"/>
        <v>0</v>
      </c>
      <c r="CK2215" s="158"/>
      <c r="CL2215" s="159"/>
      <c r="CM2215" s="160"/>
      <c r="CN2215" s="161"/>
      <c r="CO2215" s="162"/>
      <c r="CP2215" s="161"/>
      <c r="CQ2215" s="158"/>
      <c r="CR2215" s="159"/>
      <c r="CS2215" s="68"/>
      <c r="CT2215" s="163"/>
      <c r="EC2215" s="366" t="str">
        <f t="shared" si="274"/>
        <v>LA GUAJIRA_BARRANCAS</v>
      </c>
      <c r="ED2215" s="367"/>
      <c r="EE2215" s="367"/>
      <c r="EF2215" s="368"/>
      <c r="EG2215" s="367"/>
      <c r="EH2215" s="367"/>
      <c r="EI2215" s="367"/>
    </row>
    <row r="2216" spans="1:139" s="164" customFormat="1" ht="38.25">
      <c r="A2216" s="228">
        <v>40527</v>
      </c>
      <c r="B2216" s="205" t="s">
        <v>1440</v>
      </c>
      <c r="C2216" s="205" t="s">
        <v>215</v>
      </c>
      <c r="D2216" s="207" t="s">
        <v>1201</v>
      </c>
      <c r="E2216" s="323" t="s">
        <v>3888</v>
      </c>
      <c r="F2216" s="323"/>
      <c r="G2216" s="204"/>
      <c r="H2216" s="151"/>
      <c r="I2216" s="151"/>
      <c r="J2216" s="151">
        <v>695</v>
      </c>
      <c r="K2216" s="151">
        <v>139</v>
      </c>
      <c r="L2216" s="1"/>
      <c r="M2216" s="73">
        <f t="shared" si="271"/>
        <v>0</v>
      </c>
      <c r="N2216" s="73">
        <f t="shared" si="276"/>
        <v>0</v>
      </c>
      <c r="O2216" s="73">
        <f t="shared" si="270"/>
        <v>0</v>
      </c>
      <c r="P2216" s="73">
        <f t="shared" si="272"/>
        <v>0</v>
      </c>
      <c r="Q2216" s="73"/>
      <c r="R2216" s="73">
        <v>0</v>
      </c>
      <c r="S2216" s="75">
        <f t="shared" si="275"/>
        <v>0</v>
      </c>
      <c r="T2216" s="77">
        <v>0</v>
      </c>
      <c r="U2216" s="66">
        <v>40527</v>
      </c>
      <c r="V2216" s="79"/>
      <c r="W2216" s="66" t="s">
        <v>1585</v>
      </c>
      <c r="X2216" s="24" t="s">
        <v>1586</v>
      </c>
      <c r="Y2216" s="62"/>
      <c r="Z2216" s="169" t="s">
        <v>894</v>
      </c>
      <c r="AA2216" s="166" t="s">
        <v>216</v>
      </c>
      <c r="AB2216" s="152"/>
      <c r="AC2216" s="153"/>
      <c r="AD2216" s="154"/>
      <c r="AE2216" s="153"/>
      <c r="AF2216" s="153"/>
      <c r="AG2216" s="153"/>
      <c r="AH2216" s="153"/>
      <c r="AI2216" s="153"/>
      <c r="AJ2216" s="153"/>
      <c r="AK2216" s="153"/>
      <c r="AL2216" s="153"/>
      <c r="AM2216" s="153"/>
      <c r="AN2216" s="153"/>
      <c r="AO2216" s="153"/>
      <c r="AP2216" s="153"/>
      <c r="AQ2216" s="153"/>
      <c r="AR2216" s="153"/>
      <c r="AS2216" s="153"/>
      <c r="AT2216" s="153"/>
      <c r="AU2216" s="153"/>
      <c r="AV2216" s="153"/>
      <c r="AW2216" s="153"/>
      <c r="AX2216" s="153"/>
      <c r="AY2216" s="153"/>
      <c r="AZ2216" s="153"/>
      <c r="BA2216" s="153"/>
      <c r="BB2216" s="153"/>
      <c r="BC2216" s="153"/>
      <c r="BD2216" s="153"/>
      <c r="BE2216" s="153"/>
      <c r="BF2216" s="153"/>
      <c r="BG2216" s="153"/>
      <c r="BH2216" s="153"/>
      <c r="BI2216" s="153"/>
      <c r="BJ2216" s="153"/>
      <c r="BK2216" s="153"/>
      <c r="BL2216" s="153"/>
      <c r="BM2216" s="153"/>
      <c r="BN2216" s="153"/>
      <c r="BO2216" s="153"/>
      <c r="BP2216" s="153"/>
      <c r="BQ2216" s="153"/>
      <c r="BR2216" s="153"/>
      <c r="BS2216" s="153"/>
      <c r="BT2216" s="153"/>
      <c r="BU2216" s="153"/>
      <c r="BV2216" s="153"/>
      <c r="BW2216" s="153"/>
      <c r="BX2216" s="153"/>
      <c r="BY2216" s="153"/>
      <c r="BZ2216" s="153"/>
      <c r="CA2216" s="153"/>
      <c r="CB2216" s="153"/>
      <c r="CC2216" s="153"/>
      <c r="CD2216" s="155"/>
      <c r="CE2216" s="156"/>
      <c r="CF2216" s="155"/>
      <c r="CG2216" s="156"/>
      <c r="CH2216" s="155"/>
      <c r="CI2216" s="156"/>
      <c r="CJ2216" s="157">
        <f t="shared" si="273"/>
        <v>0</v>
      </c>
      <c r="CK2216" s="158"/>
      <c r="CL2216" s="159"/>
      <c r="CM2216" s="160"/>
      <c r="CN2216" s="161"/>
      <c r="CO2216" s="162"/>
      <c r="CP2216" s="161"/>
      <c r="CQ2216" s="158"/>
      <c r="CR2216" s="159"/>
      <c r="CS2216" s="68"/>
      <c r="CT2216" s="163"/>
      <c r="EC2216" s="366" t="str">
        <f t="shared" si="274"/>
        <v>MAGDALENA_NUEVA GRANADA</v>
      </c>
      <c r="ED2216" s="367"/>
      <c r="EE2216" s="367"/>
      <c r="EF2216" s="368"/>
      <c r="EG2216" s="367"/>
      <c r="EH2216" s="367"/>
      <c r="EI2216" s="367"/>
    </row>
    <row r="2217" spans="1:139" s="164" customFormat="1" ht="38.25">
      <c r="A2217" s="228">
        <v>40527</v>
      </c>
      <c r="B2217" s="205" t="s">
        <v>1440</v>
      </c>
      <c r="C2217" s="205" t="s">
        <v>3165</v>
      </c>
      <c r="D2217" s="207" t="s">
        <v>1201</v>
      </c>
      <c r="E2217" s="323" t="s">
        <v>3893</v>
      </c>
      <c r="F2217" s="323"/>
      <c r="G2217" s="204"/>
      <c r="H2217" s="151"/>
      <c r="I2217" s="151"/>
      <c r="J2217" s="151">
        <f>22935-6000</f>
        <v>16935</v>
      </c>
      <c r="K2217" s="151">
        <f>4587-1200</f>
        <v>3387</v>
      </c>
      <c r="L2217" s="1"/>
      <c r="M2217" s="73">
        <f t="shared" si="271"/>
        <v>0</v>
      </c>
      <c r="N2217" s="73">
        <f t="shared" si="276"/>
        <v>0</v>
      </c>
      <c r="O2217" s="73">
        <f t="shared" si="270"/>
        <v>0</v>
      </c>
      <c r="P2217" s="73">
        <f t="shared" si="272"/>
        <v>0</v>
      </c>
      <c r="Q2217" s="73"/>
      <c r="R2217" s="73">
        <v>0</v>
      </c>
      <c r="S2217" s="75">
        <f t="shared" si="275"/>
        <v>0</v>
      </c>
      <c r="T2217" s="77">
        <v>0</v>
      </c>
      <c r="U2217" s="66">
        <v>40527</v>
      </c>
      <c r="V2217" s="79"/>
      <c r="W2217" s="66" t="s">
        <v>1585</v>
      </c>
      <c r="X2217" s="24" t="s">
        <v>1586</v>
      </c>
      <c r="Y2217" s="62"/>
      <c r="Z2217" s="169" t="s">
        <v>894</v>
      </c>
      <c r="AA2217" s="166" t="s">
        <v>222</v>
      </c>
      <c r="AB2217" s="152"/>
      <c r="AC2217" s="153"/>
      <c r="AD2217" s="154"/>
      <c r="AE2217" s="153"/>
      <c r="AF2217" s="153"/>
      <c r="AG2217" s="153"/>
      <c r="AH2217" s="153"/>
      <c r="AI2217" s="153"/>
      <c r="AJ2217" s="153"/>
      <c r="AK2217" s="153"/>
      <c r="AL2217" s="153"/>
      <c r="AM2217" s="153"/>
      <c r="AN2217" s="153"/>
      <c r="AO2217" s="153"/>
      <c r="AP2217" s="153"/>
      <c r="AQ2217" s="153"/>
      <c r="AR2217" s="153"/>
      <c r="AS2217" s="153"/>
      <c r="AT2217" s="153"/>
      <c r="AU2217" s="153"/>
      <c r="AV2217" s="153"/>
      <c r="AW2217" s="153"/>
      <c r="AX2217" s="153"/>
      <c r="AY2217" s="153"/>
      <c r="AZ2217" s="153"/>
      <c r="BA2217" s="153"/>
      <c r="BB2217" s="153"/>
      <c r="BC2217" s="153"/>
      <c r="BD2217" s="153"/>
      <c r="BE2217" s="153"/>
      <c r="BF2217" s="153"/>
      <c r="BG2217" s="153"/>
      <c r="BH2217" s="153"/>
      <c r="BI2217" s="153"/>
      <c r="BJ2217" s="153"/>
      <c r="BK2217" s="153"/>
      <c r="BL2217" s="153"/>
      <c r="BM2217" s="153"/>
      <c r="BN2217" s="153"/>
      <c r="BO2217" s="153"/>
      <c r="BP2217" s="153"/>
      <c r="BQ2217" s="153"/>
      <c r="BR2217" s="153"/>
      <c r="BS2217" s="153"/>
      <c r="BT2217" s="153"/>
      <c r="BU2217" s="153"/>
      <c r="BV2217" s="153"/>
      <c r="BW2217" s="153"/>
      <c r="BX2217" s="153"/>
      <c r="BY2217" s="153"/>
      <c r="BZ2217" s="153"/>
      <c r="CA2217" s="153"/>
      <c r="CB2217" s="153"/>
      <c r="CC2217" s="153"/>
      <c r="CD2217" s="155"/>
      <c r="CE2217" s="156"/>
      <c r="CF2217" s="155"/>
      <c r="CG2217" s="156"/>
      <c r="CH2217" s="155"/>
      <c r="CI2217" s="156"/>
      <c r="CJ2217" s="157">
        <f t="shared" si="273"/>
        <v>0</v>
      </c>
      <c r="CK2217" s="158"/>
      <c r="CL2217" s="159"/>
      <c r="CM2217" s="160"/>
      <c r="CN2217" s="161"/>
      <c r="CO2217" s="162"/>
      <c r="CP2217" s="161"/>
      <c r="CQ2217" s="158"/>
      <c r="CR2217" s="159"/>
      <c r="CS2217" s="68"/>
      <c r="CT2217" s="163"/>
      <c r="EC2217" s="366" t="str">
        <f t="shared" si="274"/>
        <v>MAGDALENA_PUEBLOVIEJO</v>
      </c>
      <c r="ED2217" s="367"/>
      <c r="EE2217" s="367"/>
      <c r="EF2217" s="368"/>
      <c r="EG2217" s="367"/>
      <c r="EH2217" s="367"/>
      <c r="EI2217" s="367"/>
    </row>
    <row r="2218" spans="1:139" s="164" customFormat="1" ht="38.25">
      <c r="A2218" s="228">
        <v>40527</v>
      </c>
      <c r="B2218" s="205" t="s">
        <v>396</v>
      </c>
      <c r="C2218" s="205" t="s">
        <v>976</v>
      </c>
      <c r="D2218" s="207" t="s">
        <v>1201</v>
      </c>
      <c r="E2218" s="323"/>
      <c r="F2218" s="323"/>
      <c r="G2218" s="204">
        <v>1</v>
      </c>
      <c r="H2218" s="151"/>
      <c r="I2218" s="151"/>
      <c r="J2218" s="151">
        <v>46</v>
      </c>
      <c r="K2218" s="151">
        <v>10</v>
      </c>
      <c r="L2218" s="1"/>
      <c r="M2218" s="73">
        <f t="shared" si="271"/>
        <v>0</v>
      </c>
      <c r="N2218" s="73">
        <f t="shared" si="276"/>
        <v>0</v>
      </c>
      <c r="O2218" s="73">
        <f t="shared" si="270"/>
        <v>0</v>
      </c>
      <c r="P2218" s="73">
        <f t="shared" si="272"/>
        <v>0</v>
      </c>
      <c r="Q2218" s="73"/>
      <c r="R2218" s="73">
        <v>0</v>
      </c>
      <c r="S2218" s="75">
        <f t="shared" si="275"/>
        <v>0</v>
      </c>
      <c r="T2218" s="77">
        <v>0</v>
      </c>
      <c r="U2218" s="66">
        <v>40624</v>
      </c>
      <c r="V2218" s="79"/>
      <c r="W2218" s="66" t="s">
        <v>1585</v>
      </c>
      <c r="X2218" s="24" t="s">
        <v>1586</v>
      </c>
      <c r="Y2218" s="62"/>
      <c r="Z2218" s="169" t="s">
        <v>894</v>
      </c>
      <c r="AA2218" s="166" t="s">
        <v>155</v>
      </c>
      <c r="AB2218" s="152"/>
      <c r="AC2218" s="153"/>
      <c r="AD2218" s="154"/>
      <c r="AE2218" s="153"/>
      <c r="AF2218" s="153"/>
      <c r="AG2218" s="153"/>
      <c r="AH2218" s="153"/>
      <c r="AI2218" s="153"/>
      <c r="AJ2218" s="153"/>
      <c r="AK2218" s="153"/>
      <c r="AL2218" s="153"/>
      <c r="AM2218" s="153"/>
      <c r="AN2218" s="153"/>
      <c r="AO2218" s="153"/>
      <c r="AP2218" s="153"/>
      <c r="AQ2218" s="153"/>
      <c r="AR2218" s="153"/>
      <c r="AS2218" s="153"/>
      <c r="AT2218" s="153"/>
      <c r="AU2218" s="153"/>
      <c r="AV2218" s="153"/>
      <c r="AW2218" s="153"/>
      <c r="AX2218" s="153"/>
      <c r="AY2218" s="153"/>
      <c r="AZ2218" s="153"/>
      <c r="BA2218" s="153"/>
      <c r="BB2218" s="153"/>
      <c r="BC2218" s="153"/>
      <c r="BD2218" s="153"/>
      <c r="BE2218" s="153"/>
      <c r="BF2218" s="153"/>
      <c r="BG2218" s="153"/>
      <c r="BH2218" s="153"/>
      <c r="BI2218" s="153"/>
      <c r="BJ2218" s="153"/>
      <c r="BK2218" s="153"/>
      <c r="BL2218" s="153"/>
      <c r="BM2218" s="153"/>
      <c r="BN2218" s="153"/>
      <c r="BO2218" s="153"/>
      <c r="BP2218" s="153"/>
      <c r="BQ2218" s="153"/>
      <c r="BR2218" s="153"/>
      <c r="BS2218" s="153"/>
      <c r="BT2218" s="153"/>
      <c r="BU2218" s="153"/>
      <c r="BV2218" s="153"/>
      <c r="BW2218" s="153"/>
      <c r="BX2218" s="153"/>
      <c r="BY2218" s="153"/>
      <c r="BZ2218" s="153"/>
      <c r="CA2218" s="153"/>
      <c r="CB2218" s="153"/>
      <c r="CC2218" s="153"/>
      <c r="CD2218" s="155"/>
      <c r="CE2218" s="156"/>
      <c r="CF2218" s="155"/>
      <c r="CG2218" s="156"/>
      <c r="CH2218" s="155"/>
      <c r="CI2218" s="156"/>
      <c r="CJ2218" s="157">
        <f t="shared" si="273"/>
        <v>0</v>
      </c>
      <c r="CK2218" s="158"/>
      <c r="CL2218" s="159"/>
      <c r="CM2218" s="160"/>
      <c r="CN2218" s="161"/>
      <c r="CO2218" s="162"/>
      <c r="CP2218" s="161"/>
      <c r="CQ2218" s="158"/>
      <c r="CR2218" s="159"/>
      <c r="CS2218" s="68"/>
      <c r="CT2218" s="163"/>
      <c r="EC2218" s="366" t="str">
        <f t="shared" si="274"/>
        <v>META_CASTILLA LA NUEVA</v>
      </c>
      <c r="ED2218" s="367"/>
      <c r="EE2218" s="367"/>
      <c r="EF2218" s="368"/>
      <c r="EG2218" s="367"/>
      <c r="EH2218" s="367"/>
      <c r="EI2218" s="367"/>
    </row>
    <row r="2219" spans="1:139" s="164" customFormat="1" ht="36">
      <c r="A2219" s="228">
        <v>40527</v>
      </c>
      <c r="B2219" s="205" t="s">
        <v>396</v>
      </c>
      <c r="C2219" s="205" t="s">
        <v>141</v>
      </c>
      <c r="D2219" s="207" t="s">
        <v>1878</v>
      </c>
      <c r="E2219" s="323" t="s">
        <v>3914</v>
      </c>
      <c r="F2219" s="323"/>
      <c r="G2219" s="204"/>
      <c r="H2219" s="151"/>
      <c r="I2219" s="151"/>
      <c r="J2219" s="151"/>
      <c r="K2219" s="151"/>
      <c r="L2219" s="1"/>
      <c r="M2219" s="73">
        <f t="shared" si="271"/>
        <v>0</v>
      </c>
      <c r="N2219" s="73">
        <f t="shared" si="276"/>
        <v>0</v>
      </c>
      <c r="O2219" s="73">
        <f t="shared" si="270"/>
        <v>0</v>
      </c>
      <c r="P2219" s="73">
        <f t="shared" si="272"/>
        <v>0</v>
      </c>
      <c r="Q2219" s="73"/>
      <c r="R2219" s="73">
        <v>0</v>
      </c>
      <c r="S2219" s="75">
        <f t="shared" si="275"/>
        <v>0</v>
      </c>
      <c r="T2219" s="77">
        <v>0</v>
      </c>
      <c r="U2219" s="66">
        <v>40597</v>
      </c>
      <c r="V2219" s="79"/>
      <c r="W2219" s="66" t="s">
        <v>1585</v>
      </c>
      <c r="X2219" s="24" t="s">
        <v>1586</v>
      </c>
      <c r="Y2219" s="62"/>
      <c r="Z2219" s="169" t="s">
        <v>894</v>
      </c>
      <c r="AA2219" s="166" t="s">
        <v>143</v>
      </c>
      <c r="AB2219" s="152"/>
      <c r="AC2219" s="153"/>
      <c r="AD2219" s="154"/>
      <c r="AE2219" s="153"/>
      <c r="AF2219" s="153"/>
      <c r="AG2219" s="153"/>
      <c r="AH2219" s="153"/>
      <c r="AI2219" s="153"/>
      <c r="AJ2219" s="153"/>
      <c r="AK2219" s="153"/>
      <c r="AL2219" s="153"/>
      <c r="AM2219" s="153"/>
      <c r="AN2219" s="153"/>
      <c r="AO2219" s="153"/>
      <c r="AP2219" s="153"/>
      <c r="AQ2219" s="153"/>
      <c r="AR2219" s="153"/>
      <c r="AS2219" s="153"/>
      <c r="AT2219" s="153"/>
      <c r="AU2219" s="153"/>
      <c r="AV2219" s="153"/>
      <c r="AW2219" s="153"/>
      <c r="AX2219" s="153"/>
      <c r="AY2219" s="153"/>
      <c r="AZ2219" s="153"/>
      <c r="BA2219" s="153"/>
      <c r="BB2219" s="153"/>
      <c r="BC2219" s="153"/>
      <c r="BD2219" s="153"/>
      <c r="BE2219" s="153"/>
      <c r="BF2219" s="153"/>
      <c r="BG2219" s="153"/>
      <c r="BH2219" s="153"/>
      <c r="BI2219" s="153"/>
      <c r="BJ2219" s="153"/>
      <c r="BK2219" s="153"/>
      <c r="BL2219" s="153"/>
      <c r="BM2219" s="153"/>
      <c r="BN2219" s="153"/>
      <c r="BO2219" s="153"/>
      <c r="BP2219" s="153"/>
      <c r="BQ2219" s="153"/>
      <c r="BR2219" s="153"/>
      <c r="BS2219" s="153"/>
      <c r="BT2219" s="153"/>
      <c r="BU2219" s="153"/>
      <c r="BV2219" s="153"/>
      <c r="BW2219" s="153"/>
      <c r="BX2219" s="153"/>
      <c r="BY2219" s="153"/>
      <c r="BZ2219" s="153"/>
      <c r="CA2219" s="153"/>
      <c r="CB2219" s="153"/>
      <c r="CC2219" s="153"/>
      <c r="CD2219" s="155"/>
      <c r="CE2219" s="156"/>
      <c r="CF2219" s="155"/>
      <c r="CG2219" s="156"/>
      <c r="CH2219" s="155"/>
      <c r="CI2219" s="156"/>
      <c r="CJ2219" s="157">
        <f t="shared" si="273"/>
        <v>0</v>
      </c>
      <c r="CK2219" s="158"/>
      <c r="CL2219" s="159"/>
      <c r="CM2219" s="160"/>
      <c r="CN2219" s="161"/>
      <c r="CO2219" s="162"/>
      <c r="CP2219" s="161"/>
      <c r="CQ2219" s="158"/>
      <c r="CR2219" s="159"/>
      <c r="CS2219" s="68"/>
      <c r="CT2219" s="163"/>
      <c r="EC2219" s="366" t="str">
        <f t="shared" si="274"/>
        <v>META_EL DORADO</v>
      </c>
      <c r="ED2219" s="367"/>
      <c r="EE2219" s="367"/>
      <c r="EF2219" s="368"/>
      <c r="EG2219" s="367"/>
      <c r="EH2219" s="367"/>
      <c r="EI2219" s="367"/>
    </row>
    <row r="2220" spans="1:139" s="164" customFormat="1" ht="48">
      <c r="A2220" s="228">
        <v>40527</v>
      </c>
      <c r="B2220" s="205" t="s">
        <v>396</v>
      </c>
      <c r="C2220" s="205" t="s">
        <v>3169</v>
      </c>
      <c r="D2220" s="207" t="s">
        <v>1201</v>
      </c>
      <c r="E2220" s="323" t="s">
        <v>3915</v>
      </c>
      <c r="F2220" s="323"/>
      <c r="G2220" s="204"/>
      <c r="H2220" s="151"/>
      <c r="I2220" s="151"/>
      <c r="J2220" s="151">
        <v>265</v>
      </c>
      <c r="K2220" s="151">
        <v>53</v>
      </c>
      <c r="L2220" s="1"/>
      <c r="M2220" s="73">
        <f t="shared" si="271"/>
        <v>0</v>
      </c>
      <c r="N2220" s="73">
        <f t="shared" si="276"/>
        <v>0</v>
      </c>
      <c r="O2220" s="73">
        <f t="shared" si="270"/>
        <v>0</v>
      </c>
      <c r="P2220" s="73">
        <f t="shared" si="272"/>
        <v>0</v>
      </c>
      <c r="Q2220" s="73"/>
      <c r="R2220" s="73">
        <v>0</v>
      </c>
      <c r="S2220" s="75">
        <f t="shared" si="275"/>
        <v>0</v>
      </c>
      <c r="T2220" s="77">
        <v>0</v>
      </c>
      <c r="U2220" s="66">
        <v>40597</v>
      </c>
      <c r="V2220" s="79"/>
      <c r="W2220" s="66" t="s">
        <v>1585</v>
      </c>
      <c r="X2220" s="24" t="s">
        <v>1586</v>
      </c>
      <c r="Y2220" s="62"/>
      <c r="Z2220" s="169" t="s">
        <v>894</v>
      </c>
      <c r="AA2220" s="166" t="s">
        <v>149</v>
      </c>
      <c r="AB2220" s="152"/>
      <c r="AC2220" s="153"/>
      <c r="AD2220" s="154"/>
      <c r="AE2220" s="153"/>
      <c r="AF2220" s="153"/>
      <c r="AG2220" s="153"/>
      <c r="AH2220" s="153"/>
      <c r="AI2220" s="153"/>
      <c r="AJ2220" s="153"/>
      <c r="AK2220" s="153"/>
      <c r="AL2220" s="153"/>
      <c r="AM2220" s="153"/>
      <c r="AN2220" s="153"/>
      <c r="AO2220" s="153"/>
      <c r="AP2220" s="153"/>
      <c r="AQ2220" s="153"/>
      <c r="AR2220" s="153"/>
      <c r="AS2220" s="153"/>
      <c r="AT2220" s="153"/>
      <c r="AU2220" s="153"/>
      <c r="AV2220" s="153"/>
      <c r="AW2220" s="153"/>
      <c r="AX2220" s="153"/>
      <c r="AY2220" s="153"/>
      <c r="AZ2220" s="153"/>
      <c r="BA2220" s="153"/>
      <c r="BB2220" s="153"/>
      <c r="BC2220" s="153"/>
      <c r="BD2220" s="153"/>
      <c r="BE2220" s="153"/>
      <c r="BF2220" s="153"/>
      <c r="BG2220" s="153"/>
      <c r="BH2220" s="153"/>
      <c r="BI2220" s="153"/>
      <c r="BJ2220" s="153"/>
      <c r="BK2220" s="153"/>
      <c r="BL2220" s="153"/>
      <c r="BM2220" s="153"/>
      <c r="BN2220" s="153"/>
      <c r="BO2220" s="153"/>
      <c r="BP2220" s="153"/>
      <c r="BQ2220" s="153"/>
      <c r="BR2220" s="153"/>
      <c r="BS2220" s="153"/>
      <c r="BT2220" s="153"/>
      <c r="BU2220" s="153"/>
      <c r="BV2220" s="153"/>
      <c r="BW2220" s="153"/>
      <c r="BX2220" s="153"/>
      <c r="BY2220" s="153"/>
      <c r="BZ2220" s="153"/>
      <c r="CA2220" s="153"/>
      <c r="CB2220" s="153"/>
      <c r="CC2220" s="153"/>
      <c r="CD2220" s="155"/>
      <c r="CE2220" s="156"/>
      <c r="CF2220" s="155"/>
      <c r="CG2220" s="156"/>
      <c r="CH2220" s="155"/>
      <c r="CI2220" s="156"/>
      <c r="CJ2220" s="157">
        <f t="shared" si="273"/>
        <v>0</v>
      </c>
      <c r="CK2220" s="158"/>
      <c r="CL2220" s="159"/>
      <c r="CM2220" s="160"/>
      <c r="CN2220" s="161"/>
      <c r="CO2220" s="162"/>
      <c r="CP2220" s="161"/>
      <c r="CQ2220" s="158"/>
      <c r="CR2220" s="159"/>
      <c r="CS2220" s="68"/>
      <c r="CT2220" s="163"/>
      <c r="EC2220" s="366" t="str">
        <f t="shared" si="274"/>
        <v>META_FUENTE DE ORO</v>
      </c>
      <c r="ED2220" s="367"/>
      <c r="EE2220" s="367"/>
      <c r="EF2220" s="368"/>
      <c r="EG2220" s="367"/>
      <c r="EH2220" s="367"/>
      <c r="EI2220" s="367"/>
    </row>
    <row r="2221" spans="1:139" s="164" customFormat="1" ht="25.5">
      <c r="A2221" s="228">
        <v>40527</v>
      </c>
      <c r="B2221" s="205" t="s">
        <v>396</v>
      </c>
      <c r="C2221" s="205" t="s">
        <v>1483</v>
      </c>
      <c r="D2221" s="207" t="s">
        <v>1201</v>
      </c>
      <c r="E2221" s="323" t="s">
        <v>3917</v>
      </c>
      <c r="F2221" s="323"/>
      <c r="G2221" s="204">
        <v>1</v>
      </c>
      <c r="H2221" s="151"/>
      <c r="I2221" s="151"/>
      <c r="J2221" s="151">
        <v>5</v>
      </c>
      <c r="K2221" s="151">
        <v>1</v>
      </c>
      <c r="L2221" s="1"/>
      <c r="M2221" s="73">
        <f t="shared" si="271"/>
        <v>0</v>
      </c>
      <c r="N2221" s="73">
        <f t="shared" si="276"/>
        <v>0</v>
      </c>
      <c r="O2221" s="73">
        <f t="shared" si="270"/>
        <v>0</v>
      </c>
      <c r="P2221" s="73">
        <f t="shared" si="272"/>
        <v>0</v>
      </c>
      <c r="Q2221" s="73"/>
      <c r="R2221" s="73">
        <v>0</v>
      </c>
      <c r="S2221" s="75">
        <f t="shared" si="275"/>
        <v>0</v>
      </c>
      <c r="T2221" s="77">
        <v>0</v>
      </c>
      <c r="U2221" s="66">
        <v>40618</v>
      </c>
      <c r="V2221" s="79"/>
      <c r="W2221" s="66" t="s">
        <v>1585</v>
      </c>
      <c r="X2221" s="24" t="s">
        <v>1586</v>
      </c>
      <c r="Y2221" s="62"/>
      <c r="Z2221" s="169" t="s">
        <v>894</v>
      </c>
      <c r="AA2221" s="166" t="s">
        <v>4328</v>
      </c>
      <c r="AB2221" s="152"/>
      <c r="AC2221" s="153"/>
      <c r="AD2221" s="154"/>
      <c r="AE2221" s="153"/>
      <c r="AF2221" s="153"/>
      <c r="AG2221" s="153"/>
      <c r="AH2221" s="153"/>
      <c r="AI2221" s="153"/>
      <c r="AJ2221" s="153"/>
      <c r="AK2221" s="153"/>
      <c r="AL2221" s="153"/>
      <c r="AM2221" s="153"/>
      <c r="AN2221" s="153"/>
      <c r="AO2221" s="153"/>
      <c r="AP2221" s="153"/>
      <c r="AQ2221" s="153"/>
      <c r="AR2221" s="153"/>
      <c r="AS2221" s="153"/>
      <c r="AT2221" s="153"/>
      <c r="AU2221" s="153"/>
      <c r="AV2221" s="153"/>
      <c r="AW2221" s="153"/>
      <c r="AX2221" s="153"/>
      <c r="AY2221" s="153"/>
      <c r="AZ2221" s="153"/>
      <c r="BA2221" s="153"/>
      <c r="BB2221" s="153"/>
      <c r="BC2221" s="153"/>
      <c r="BD2221" s="153"/>
      <c r="BE2221" s="153"/>
      <c r="BF2221" s="153"/>
      <c r="BG2221" s="153"/>
      <c r="BH2221" s="153"/>
      <c r="BI2221" s="153"/>
      <c r="BJ2221" s="153"/>
      <c r="BK2221" s="153"/>
      <c r="BL2221" s="153"/>
      <c r="BM2221" s="153"/>
      <c r="BN2221" s="153"/>
      <c r="BO2221" s="153"/>
      <c r="BP2221" s="153"/>
      <c r="BQ2221" s="153"/>
      <c r="BR2221" s="153"/>
      <c r="BS2221" s="153"/>
      <c r="BT2221" s="153"/>
      <c r="BU2221" s="153"/>
      <c r="BV2221" s="153"/>
      <c r="BW2221" s="153"/>
      <c r="BX2221" s="153"/>
      <c r="BY2221" s="153"/>
      <c r="BZ2221" s="153"/>
      <c r="CA2221" s="153"/>
      <c r="CB2221" s="153"/>
      <c r="CC2221" s="153"/>
      <c r="CD2221" s="155"/>
      <c r="CE2221" s="156"/>
      <c r="CF2221" s="155"/>
      <c r="CG2221" s="156"/>
      <c r="CH2221" s="155"/>
      <c r="CI2221" s="156"/>
      <c r="CJ2221" s="157">
        <f t="shared" si="273"/>
        <v>0</v>
      </c>
      <c r="CK2221" s="158"/>
      <c r="CL2221" s="159"/>
      <c r="CM2221" s="160"/>
      <c r="CN2221" s="161"/>
      <c r="CO2221" s="162"/>
      <c r="CP2221" s="161"/>
      <c r="CQ2221" s="158"/>
      <c r="CR2221" s="159"/>
      <c r="CS2221" s="68"/>
      <c r="CT2221" s="163"/>
      <c r="EC2221" s="366" t="str">
        <f t="shared" si="274"/>
        <v>META_GUAMAL</v>
      </c>
      <c r="ED2221" s="367"/>
      <c r="EE2221" s="367"/>
      <c r="EF2221" s="368"/>
      <c r="EG2221" s="367"/>
      <c r="EH2221" s="367"/>
      <c r="EI2221" s="367"/>
    </row>
    <row r="2222" spans="1:139" s="164" customFormat="1" ht="38.25">
      <c r="A2222" s="228">
        <v>40527</v>
      </c>
      <c r="B2222" s="205" t="s">
        <v>396</v>
      </c>
      <c r="C2222" s="205" t="s">
        <v>3170</v>
      </c>
      <c r="D2222" s="207" t="s">
        <v>1878</v>
      </c>
      <c r="E2222" s="323" t="s">
        <v>3920</v>
      </c>
      <c r="F2222" s="323"/>
      <c r="G2222" s="204"/>
      <c r="H2222" s="151"/>
      <c r="I2222" s="151"/>
      <c r="J2222" s="151"/>
      <c r="K2222" s="151"/>
      <c r="L2222" s="1"/>
      <c r="M2222" s="73">
        <f t="shared" si="271"/>
        <v>0</v>
      </c>
      <c r="N2222" s="73">
        <f t="shared" si="276"/>
        <v>0</v>
      </c>
      <c r="O2222" s="73">
        <f t="shared" si="270"/>
        <v>0</v>
      </c>
      <c r="P2222" s="73">
        <f t="shared" si="272"/>
        <v>0</v>
      </c>
      <c r="Q2222" s="73"/>
      <c r="R2222" s="73">
        <v>0</v>
      </c>
      <c r="S2222" s="75">
        <f t="shared" si="275"/>
        <v>0</v>
      </c>
      <c r="T2222" s="77">
        <v>0</v>
      </c>
      <c r="U2222" s="66">
        <v>40597</v>
      </c>
      <c r="V2222" s="79"/>
      <c r="W2222" s="66" t="s">
        <v>1585</v>
      </c>
      <c r="X2222" s="24" t="s">
        <v>1586</v>
      </c>
      <c r="Y2222" s="62"/>
      <c r="Z2222" s="169" t="s">
        <v>894</v>
      </c>
      <c r="AA2222" s="166" t="s">
        <v>146</v>
      </c>
      <c r="AB2222" s="152"/>
      <c r="AC2222" s="153"/>
      <c r="AD2222" s="154"/>
      <c r="AE2222" s="153"/>
      <c r="AF2222" s="153"/>
      <c r="AG2222" s="153"/>
      <c r="AH2222" s="153"/>
      <c r="AI2222" s="153"/>
      <c r="AJ2222" s="153"/>
      <c r="AK2222" s="153"/>
      <c r="AL2222" s="153"/>
      <c r="AM2222" s="153"/>
      <c r="AN2222" s="153"/>
      <c r="AO2222" s="153"/>
      <c r="AP2222" s="153"/>
      <c r="AQ2222" s="153"/>
      <c r="AR2222" s="153"/>
      <c r="AS2222" s="153"/>
      <c r="AT2222" s="153"/>
      <c r="AU2222" s="153"/>
      <c r="AV2222" s="153"/>
      <c r="AW2222" s="153"/>
      <c r="AX2222" s="153"/>
      <c r="AY2222" s="153"/>
      <c r="AZ2222" s="153"/>
      <c r="BA2222" s="153"/>
      <c r="BB2222" s="153"/>
      <c r="BC2222" s="153"/>
      <c r="BD2222" s="153"/>
      <c r="BE2222" s="153"/>
      <c r="BF2222" s="153"/>
      <c r="BG2222" s="153"/>
      <c r="BH2222" s="153"/>
      <c r="BI2222" s="153"/>
      <c r="BJ2222" s="153"/>
      <c r="BK2222" s="153"/>
      <c r="BL2222" s="153"/>
      <c r="BM2222" s="153"/>
      <c r="BN2222" s="153"/>
      <c r="BO2222" s="153"/>
      <c r="BP2222" s="153"/>
      <c r="BQ2222" s="153"/>
      <c r="BR2222" s="153"/>
      <c r="BS2222" s="153"/>
      <c r="BT2222" s="153"/>
      <c r="BU2222" s="153"/>
      <c r="BV2222" s="153"/>
      <c r="BW2222" s="153"/>
      <c r="BX2222" s="153"/>
      <c r="BY2222" s="153"/>
      <c r="BZ2222" s="153"/>
      <c r="CA2222" s="153"/>
      <c r="CB2222" s="153"/>
      <c r="CC2222" s="153"/>
      <c r="CD2222" s="155"/>
      <c r="CE2222" s="156"/>
      <c r="CF2222" s="155"/>
      <c r="CG2222" s="156"/>
      <c r="CH2222" s="155"/>
      <c r="CI2222" s="156"/>
      <c r="CJ2222" s="157">
        <f t="shared" si="273"/>
        <v>0</v>
      </c>
      <c r="CK2222" s="158"/>
      <c r="CL2222" s="159"/>
      <c r="CM2222" s="160"/>
      <c r="CN2222" s="161"/>
      <c r="CO2222" s="162"/>
      <c r="CP2222" s="161"/>
      <c r="CQ2222" s="158"/>
      <c r="CR2222" s="159"/>
      <c r="CS2222" s="68"/>
      <c r="CT2222" s="163"/>
      <c r="EC2222" s="366" t="str">
        <f t="shared" si="274"/>
        <v>META_LA MACARENA</v>
      </c>
      <c r="ED2222" s="367"/>
      <c r="EE2222" s="367"/>
      <c r="EF2222" s="368"/>
      <c r="EG2222" s="367"/>
      <c r="EH2222" s="367"/>
      <c r="EI2222" s="367"/>
    </row>
    <row r="2223" spans="1:139" s="164" customFormat="1" ht="51">
      <c r="A2223" s="228">
        <v>40527</v>
      </c>
      <c r="B2223" s="205" t="s">
        <v>396</v>
      </c>
      <c r="C2223" s="205" t="s">
        <v>140</v>
      </c>
      <c r="D2223" s="207" t="s">
        <v>1201</v>
      </c>
      <c r="E2223" s="323" t="s">
        <v>3923</v>
      </c>
      <c r="F2223" s="323"/>
      <c r="G2223" s="204"/>
      <c r="H2223" s="151"/>
      <c r="I2223" s="151"/>
      <c r="J2223" s="151">
        <f>178*5</f>
        <v>890</v>
      </c>
      <c r="K2223" s="151">
        <v>178</v>
      </c>
      <c r="L2223" s="1"/>
      <c r="M2223" s="73">
        <f t="shared" si="271"/>
        <v>0</v>
      </c>
      <c r="N2223" s="73">
        <f t="shared" si="276"/>
        <v>0</v>
      </c>
      <c r="O2223" s="73">
        <f t="shared" si="270"/>
        <v>0</v>
      </c>
      <c r="P2223" s="73">
        <f t="shared" si="272"/>
        <v>0</v>
      </c>
      <c r="Q2223" s="73"/>
      <c r="R2223" s="73">
        <v>0</v>
      </c>
      <c r="S2223" s="75">
        <f t="shared" si="275"/>
        <v>0</v>
      </c>
      <c r="T2223" s="77">
        <v>0</v>
      </c>
      <c r="U2223" s="66">
        <v>40597</v>
      </c>
      <c r="V2223" s="79"/>
      <c r="W2223" s="66" t="s">
        <v>1585</v>
      </c>
      <c r="X2223" s="24" t="s">
        <v>1586</v>
      </c>
      <c r="Y2223" s="62"/>
      <c r="Z2223" s="169" t="s">
        <v>894</v>
      </c>
      <c r="AA2223" s="166" t="s">
        <v>142</v>
      </c>
      <c r="AB2223" s="152"/>
      <c r="AC2223" s="153"/>
      <c r="AD2223" s="154"/>
      <c r="AE2223" s="153"/>
      <c r="AF2223" s="153"/>
      <c r="AG2223" s="153"/>
      <c r="AH2223" s="153"/>
      <c r="AI2223" s="153"/>
      <c r="AJ2223" s="153"/>
      <c r="AK2223" s="153"/>
      <c r="AL2223" s="153"/>
      <c r="AM2223" s="153"/>
      <c r="AN2223" s="153"/>
      <c r="AO2223" s="153"/>
      <c r="AP2223" s="153"/>
      <c r="AQ2223" s="153"/>
      <c r="AR2223" s="153"/>
      <c r="AS2223" s="153"/>
      <c r="AT2223" s="153"/>
      <c r="AU2223" s="153"/>
      <c r="AV2223" s="153"/>
      <c r="AW2223" s="153"/>
      <c r="AX2223" s="153"/>
      <c r="AY2223" s="153"/>
      <c r="AZ2223" s="153"/>
      <c r="BA2223" s="153"/>
      <c r="BB2223" s="153"/>
      <c r="BC2223" s="153"/>
      <c r="BD2223" s="153"/>
      <c r="BE2223" s="153"/>
      <c r="BF2223" s="153"/>
      <c r="BG2223" s="153"/>
      <c r="BH2223" s="153"/>
      <c r="BI2223" s="153"/>
      <c r="BJ2223" s="153"/>
      <c r="BK2223" s="153"/>
      <c r="BL2223" s="153"/>
      <c r="BM2223" s="153"/>
      <c r="BN2223" s="153"/>
      <c r="BO2223" s="153"/>
      <c r="BP2223" s="153"/>
      <c r="BQ2223" s="153"/>
      <c r="BR2223" s="153"/>
      <c r="BS2223" s="153"/>
      <c r="BT2223" s="153"/>
      <c r="BU2223" s="153"/>
      <c r="BV2223" s="153"/>
      <c r="BW2223" s="153"/>
      <c r="BX2223" s="153"/>
      <c r="BY2223" s="153"/>
      <c r="BZ2223" s="153"/>
      <c r="CA2223" s="153"/>
      <c r="CB2223" s="153"/>
      <c r="CC2223" s="153"/>
      <c r="CD2223" s="155"/>
      <c r="CE2223" s="156"/>
      <c r="CF2223" s="155"/>
      <c r="CG2223" s="156"/>
      <c r="CH2223" s="155"/>
      <c r="CI2223" s="156"/>
      <c r="CJ2223" s="157">
        <f t="shared" si="273"/>
        <v>0</v>
      </c>
      <c r="CK2223" s="158"/>
      <c r="CL2223" s="159"/>
      <c r="CM2223" s="160"/>
      <c r="CN2223" s="161"/>
      <c r="CO2223" s="162"/>
      <c r="CP2223" s="161"/>
      <c r="CQ2223" s="158"/>
      <c r="CR2223" s="159"/>
      <c r="CS2223" s="68"/>
      <c r="CT2223" s="163"/>
      <c r="EC2223" s="366" t="str">
        <f t="shared" si="274"/>
        <v>META_PUERTO CONCORDIA</v>
      </c>
      <c r="ED2223" s="367"/>
      <c r="EE2223" s="367"/>
      <c r="EF2223" s="368"/>
      <c r="EG2223" s="367"/>
      <c r="EH2223" s="367"/>
      <c r="EI2223" s="367"/>
    </row>
    <row r="2224" spans="1:139" s="164" customFormat="1" ht="25.5">
      <c r="A2224" s="288">
        <v>40527</v>
      </c>
      <c r="B2224" s="289" t="s">
        <v>1824</v>
      </c>
      <c r="C2224" s="289" t="s">
        <v>257</v>
      </c>
      <c r="D2224" s="290" t="s">
        <v>1201</v>
      </c>
      <c r="E2224" s="329" t="s">
        <v>3935</v>
      </c>
      <c r="F2224" s="329"/>
      <c r="G2224" s="316"/>
      <c r="H2224" s="291"/>
      <c r="I2224" s="291"/>
      <c r="J2224" s="291">
        <v>3222</v>
      </c>
      <c r="K2224" s="291">
        <v>3222</v>
      </c>
      <c r="L2224" s="292"/>
      <c r="M2224" s="293">
        <f t="shared" si="271"/>
        <v>0</v>
      </c>
      <c r="N2224" s="293">
        <f t="shared" si="276"/>
        <v>0</v>
      </c>
      <c r="O2224" s="293">
        <f t="shared" si="270"/>
        <v>0</v>
      </c>
      <c r="P2224" s="293">
        <f t="shared" si="272"/>
        <v>0</v>
      </c>
      <c r="Q2224" s="293"/>
      <c r="R2224" s="293">
        <v>0</v>
      </c>
      <c r="S2224" s="294">
        <f t="shared" si="275"/>
        <v>0</v>
      </c>
      <c r="T2224" s="295">
        <v>0</v>
      </c>
      <c r="U2224" s="296">
        <v>40617</v>
      </c>
      <c r="V2224" s="297"/>
      <c r="W2224" s="296" t="s">
        <v>1585</v>
      </c>
      <c r="X2224" s="298" t="s">
        <v>1586</v>
      </c>
      <c r="Y2224" s="299"/>
      <c r="Z2224" s="300" t="s">
        <v>894</v>
      </c>
      <c r="AA2224" s="301" t="s">
        <v>3101</v>
      </c>
      <c r="AB2224" s="302"/>
      <c r="AC2224" s="303"/>
      <c r="AD2224" s="304"/>
      <c r="AE2224" s="303"/>
      <c r="AF2224" s="303"/>
      <c r="AG2224" s="303"/>
      <c r="AH2224" s="303"/>
      <c r="AI2224" s="303"/>
      <c r="AJ2224" s="303"/>
      <c r="AK2224" s="303"/>
      <c r="AL2224" s="303"/>
      <c r="AM2224" s="303"/>
      <c r="AN2224" s="303"/>
      <c r="AO2224" s="303"/>
      <c r="AP2224" s="303"/>
      <c r="AQ2224" s="303"/>
      <c r="AR2224" s="303"/>
      <c r="AS2224" s="303"/>
      <c r="AT2224" s="303"/>
      <c r="AU2224" s="303"/>
      <c r="AV2224" s="303"/>
      <c r="AW2224" s="303"/>
      <c r="AX2224" s="303"/>
      <c r="AY2224" s="303"/>
      <c r="AZ2224" s="303"/>
      <c r="BA2224" s="303"/>
      <c r="BB2224" s="303"/>
      <c r="BC2224" s="303"/>
      <c r="BD2224" s="303"/>
      <c r="BE2224" s="303"/>
      <c r="BF2224" s="303"/>
      <c r="BG2224" s="303"/>
      <c r="BH2224" s="303"/>
      <c r="BI2224" s="303"/>
      <c r="BJ2224" s="303"/>
      <c r="BK2224" s="303"/>
      <c r="BL2224" s="303"/>
      <c r="BM2224" s="303"/>
      <c r="BN2224" s="303"/>
      <c r="BO2224" s="303"/>
      <c r="BP2224" s="303"/>
      <c r="BQ2224" s="303"/>
      <c r="BR2224" s="303"/>
      <c r="BS2224" s="303"/>
      <c r="BT2224" s="303"/>
      <c r="BU2224" s="303"/>
      <c r="BV2224" s="303"/>
      <c r="BW2224" s="303"/>
      <c r="BX2224" s="303"/>
      <c r="BY2224" s="303"/>
      <c r="BZ2224" s="303"/>
      <c r="CA2224" s="303"/>
      <c r="CB2224" s="303"/>
      <c r="CC2224" s="303"/>
      <c r="CD2224" s="305"/>
      <c r="CE2224" s="306"/>
      <c r="CF2224" s="305"/>
      <c r="CG2224" s="306"/>
      <c r="CH2224" s="305"/>
      <c r="CI2224" s="306"/>
      <c r="CJ2224" s="307">
        <f t="shared" si="273"/>
        <v>0</v>
      </c>
      <c r="CK2224" s="308"/>
      <c r="CL2224" s="309"/>
      <c r="CM2224" s="310"/>
      <c r="CN2224" s="311"/>
      <c r="CO2224" s="312"/>
      <c r="CP2224" s="311"/>
      <c r="CQ2224" s="308"/>
      <c r="CR2224" s="309"/>
      <c r="CS2224" s="313"/>
      <c r="CT2224" s="314"/>
      <c r="EC2224" s="366" t="str">
        <f t="shared" si="274"/>
        <v>NARIÑO_ALBAN</v>
      </c>
      <c r="ED2224" s="367"/>
      <c r="EE2224" s="367"/>
      <c r="EF2224" s="368"/>
      <c r="EG2224" s="367"/>
      <c r="EH2224" s="367"/>
      <c r="EI2224" s="367"/>
    </row>
    <row r="2225" spans="1:139" s="164" customFormat="1" ht="25.5">
      <c r="A2225" s="228">
        <v>40527</v>
      </c>
      <c r="B2225" s="205" t="s">
        <v>1824</v>
      </c>
      <c r="C2225" s="205" t="s">
        <v>2818</v>
      </c>
      <c r="D2225" s="207" t="s">
        <v>1201</v>
      </c>
      <c r="E2225" s="323" t="s">
        <v>3937</v>
      </c>
      <c r="F2225" s="323"/>
      <c r="G2225" s="204"/>
      <c r="H2225" s="151"/>
      <c r="I2225" s="151"/>
      <c r="J2225" s="151">
        <v>335</v>
      </c>
      <c r="K2225" s="151">
        <v>335</v>
      </c>
      <c r="L2225" s="1"/>
      <c r="M2225" s="73">
        <f t="shared" si="271"/>
        <v>0</v>
      </c>
      <c r="N2225" s="73">
        <f t="shared" si="276"/>
        <v>0</v>
      </c>
      <c r="O2225" s="73">
        <f t="shared" si="270"/>
        <v>0</v>
      </c>
      <c r="P2225" s="73">
        <f t="shared" si="272"/>
        <v>0</v>
      </c>
      <c r="Q2225" s="73"/>
      <c r="R2225" s="73">
        <v>0</v>
      </c>
      <c r="S2225" s="75">
        <f t="shared" si="275"/>
        <v>0</v>
      </c>
      <c r="T2225" s="77">
        <v>0</v>
      </c>
      <c r="U2225" s="284">
        <v>40617</v>
      </c>
      <c r="V2225" s="285"/>
      <c r="W2225" s="284" t="s">
        <v>1585</v>
      </c>
      <c r="X2225" s="286" t="s">
        <v>1586</v>
      </c>
      <c r="Y2225" s="287"/>
      <c r="Z2225" s="300" t="s">
        <v>894</v>
      </c>
      <c r="AA2225" s="301" t="s">
        <v>3101</v>
      </c>
      <c r="AB2225" s="152"/>
      <c r="AC2225" s="153"/>
      <c r="AD2225" s="154"/>
      <c r="AE2225" s="153"/>
      <c r="AF2225" s="153"/>
      <c r="AG2225" s="153"/>
      <c r="AH2225" s="153"/>
      <c r="AI2225" s="153"/>
      <c r="AJ2225" s="153"/>
      <c r="AK2225" s="153"/>
      <c r="AL2225" s="153"/>
      <c r="AM2225" s="153"/>
      <c r="AN2225" s="153"/>
      <c r="AO2225" s="153"/>
      <c r="AP2225" s="153"/>
      <c r="AQ2225" s="153"/>
      <c r="AR2225" s="153"/>
      <c r="AS2225" s="153"/>
      <c r="AT2225" s="153"/>
      <c r="AU2225" s="153"/>
      <c r="AV2225" s="153"/>
      <c r="AW2225" s="153"/>
      <c r="AX2225" s="153"/>
      <c r="AY2225" s="153"/>
      <c r="AZ2225" s="153"/>
      <c r="BA2225" s="153"/>
      <c r="BB2225" s="153"/>
      <c r="BC2225" s="153"/>
      <c r="BD2225" s="153"/>
      <c r="BE2225" s="153"/>
      <c r="BF2225" s="153"/>
      <c r="BG2225" s="153"/>
      <c r="BH2225" s="153"/>
      <c r="BI2225" s="153"/>
      <c r="BJ2225" s="153"/>
      <c r="BK2225" s="153"/>
      <c r="BL2225" s="153"/>
      <c r="BM2225" s="153"/>
      <c r="BN2225" s="153"/>
      <c r="BO2225" s="153"/>
      <c r="BP2225" s="153"/>
      <c r="BQ2225" s="153"/>
      <c r="BR2225" s="153"/>
      <c r="BS2225" s="153"/>
      <c r="BT2225" s="153"/>
      <c r="BU2225" s="153"/>
      <c r="BV2225" s="153"/>
      <c r="BW2225" s="153"/>
      <c r="BX2225" s="153"/>
      <c r="BY2225" s="153"/>
      <c r="BZ2225" s="153"/>
      <c r="CA2225" s="153"/>
      <c r="CB2225" s="153"/>
      <c r="CC2225" s="153"/>
      <c r="CD2225" s="155"/>
      <c r="CE2225" s="156"/>
      <c r="CF2225" s="155"/>
      <c r="CG2225" s="156"/>
      <c r="CH2225" s="155"/>
      <c r="CI2225" s="156"/>
      <c r="CJ2225" s="157">
        <f t="shared" si="273"/>
        <v>0</v>
      </c>
      <c r="CK2225" s="158"/>
      <c r="CL2225" s="159"/>
      <c r="CM2225" s="160"/>
      <c r="CN2225" s="161"/>
      <c r="CO2225" s="162"/>
      <c r="CP2225" s="161"/>
      <c r="CQ2225" s="158"/>
      <c r="CR2225" s="159"/>
      <c r="CS2225" s="68"/>
      <c r="CT2225" s="163"/>
      <c r="EC2225" s="366" t="str">
        <f t="shared" si="274"/>
        <v>NARIÑO_ANCUYA</v>
      </c>
      <c r="ED2225" s="367"/>
      <c r="EE2225" s="367"/>
      <c r="EF2225" s="368"/>
      <c r="EG2225" s="367"/>
      <c r="EH2225" s="367"/>
      <c r="EI2225" s="367"/>
    </row>
    <row r="2226" spans="1:139" s="164" customFormat="1" ht="25.5">
      <c r="A2226" s="228">
        <v>40527</v>
      </c>
      <c r="B2226" s="205" t="s">
        <v>1824</v>
      </c>
      <c r="C2226" s="205" t="s">
        <v>2507</v>
      </c>
      <c r="D2226" s="207" t="s">
        <v>1201</v>
      </c>
      <c r="E2226" s="323" t="s">
        <v>3938</v>
      </c>
      <c r="F2226" s="323"/>
      <c r="G2226" s="204"/>
      <c r="H2226" s="151"/>
      <c r="I2226" s="151"/>
      <c r="J2226" s="151">
        <v>1102</v>
      </c>
      <c r="K2226" s="151">
        <v>1102</v>
      </c>
      <c r="L2226" s="1"/>
      <c r="M2226" s="73">
        <f t="shared" si="271"/>
        <v>0</v>
      </c>
      <c r="N2226" s="73">
        <f t="shared" si="276"/>
        <v>0</v>
      </c>
      <c r="O2226" s="73">
        <f t="shared" si="270"/>
        <v>0</v>
      </c>
      <c r="P2226" s="73">
        <f t="shared" si="272"/>
        <v>0</v>
      </c>
      <c r="Q2226" s="73"/>
      <c r="R2226" s="73">
        <v>0</v>
      </c>
      <c r="S2226" s="75">
        <f t="shared" si="275"/>
        <v>0</v>
      </c>
      <c r="T2226" s="77">
        <v>0</v>
      </c>
      <c r="U2226" s="284">
        <v>40617</v>
      </c>
      <c r="V2226" s="285"/>
      <c r="W2226" s="284" t="s">
        <v>1585</v>
      </c>
      <c r="X2226" s="286" t="s">
        <v>1586</v>
      </c>
      <c r="Y2226" s="287"/>
      <c r="Z2226" s="300" t="s">
        <v>894</v>
      </c>
      <c r="AA2226" s="301" t="s">
        <v>3101</v>
      </c>
      <c r="AB2226" s="152"/>
      <c r="AC2226" s="153"/>
      <c r="AD2226" s="154"/>
      <c r="AE2226" s="153"/>
      <c r="AF2226" s="153"/>
      <c r="AG2226" s="153"/>
      <c r="AH2226" s="153"/>
      <c r="AI2226" s="153"/>
      <c r="AJ2226" s="153"/>
      <c r="AK2226" s="153"/>
      <c r="AL2226" s="153"/>
      <c r="AM2226" s="153"/>
      <c r="AN2226" s="153"/>
      <c r="AO2226" s="153"/>
      <c r="AP2226" s="153"/>
      <c r="AQ2226" s="153"/>
      <c r="AR2226" s="153"/>
      <c r="AS2226" s="153"/>
      <c r="AT2226" s="153"/>
      <c r="AU2226" s="153"/>
      <c r="AV2226" s="153"/>
      <c r="AW2226" s="153"/>
      <c r="AX2226" s="153"/>
      <c r="AY2226" s="153"/>
      <c r="AZ2226" s="153"/>
      <c r="BA2226" s="153"/>
      <c r="BB2226" s="153"/>
      <c r="BC2226" s="153"/>
      <c r="BD2226" s="153"/>
      <c r="BE2226" s="153"/>
      <c r="BF2226" s="153"/>
      <c r="BG2226" s="153"/>
      <c r="BH2226" s="153"/>
      <c r="BI2226" s="153"/>
      <c r="BJ2226" s="153"/>
      <c r="BK2226" s="153"/>
      <c r="BL2226" s="153"/>
      <c r="BM2226" s="153"/>
      <c r="BN2226" s="153"/>
      <c r="BO2226" s="153"/>
      <c r="BP2226" s="153"/>
      <c r="BQ2226" s="153"/>
      <c r="BR2226" s="153"/>
      <c r="BS2226" s="153"/>
      <c r="BT2226" s="153"/>
      <c r="BU2226" s="153"/>
      <c r="BV2226" s="153"/>
      <c r="BW2226" s="153"/>
      <c r="BX2226" s="153"/>
      <c r="BY2226" s="153"/>
      <c r="BZ2226" s="153"/>
      <c r="CA2226" s="153"/>
      <c r="CB2226" s="153"/>
      <c r="CC2226" s="153"/>
      <c r="CD2226" s="155"/>
      <c r="CE2226" s="156"/>
      <c r="CF2226" s="155"/>
      <c r="CG2226" s="156"/>
      <c r="CH2226" s="155"/>
      <c r="CI2226" s="156"/>
      <c r="CJ2226" s="157">
        <f t="shared" si="273"/>
        <v>0</v>
      </c>
      <c r="CK2226" s="158"/>
      <c r="CL2226" s="159"/>
      <c r="CM2226" s="160"/>
      <c r="CN2226" s="161"/>
      <c r="CO2226" s="162"/>
      <c r="CP2226" s="161"/>
      <c r="CQ2226" s="158"/>
      <c r="CR2226" s="159"/>
      <c r="CS2226" s="68"/>
      <c r="CT2226" s="163"/>
      <c r="EC2226" s="366" t="str">
        <f t="shared" si="274"/>
        <v>NARIÑO_ARBOLEDA</v>
      </c>
      <c r="ED2226" s="367"/>
      <c r="EE2226" s="367"/>
      <c r="EF2226" s="368"/>
      <c r="EG2226" s="367"/>
      <c r="EH2226" s="367"/>
      <c r="EI2226" s="367"/>
    </row>
    <row r="2227" spans="1:139" s="164" customFormat="1" ht="25.5">
      <c r="A2227" s="228">
        <v>40527</v>
      </c>
      <c r="B2227" s="205" t="s">
        <v>1824</v>
      </c>
      <c r="C2227" s="205" t="s">
        <v>1255</v>
      </c>
      <c r="D2227" s="207" t="s">
        <v>1201</v>
      </c>
      <c r="E2227" s="323" t="s">
        <v>3939</v>
      </c>
      <c r="F2227" s="323"/>
      <c r="G2227" s="204"/>
      <c r="H2227" s="151"/>
      <c r="I2227" s="151"/>
      <c r="J2227" s="151">
        <v>388</v>
      </c>
      <c r="K2227" s="151">
        <v>388</v>
      </c>
      <c r="L2227" s="1"/>
      <c r="M2227" s="73">
        <f t="shared" si="271"/>
        <v>0</v>
      </c>
      <c r="N2227" s="73">
        <f t="shared" si="276"/>
        <v>0</v>
      </c>
      <c r="O2227" s="73">
        <f t="shared" si="270"/>
        <v>0</v>
      </c>
      <c r="P2227" s="73">
        <f t="shared" si="272"/>
        <v>0</v>
      </c>
      <c r="Q2227" s="73"/>
      <c r="R2227" s="73">
        <v>0</v>
      </c>
      <c r="S2227" s="75">
        <f t="shared" si="275"/>
        <v>0</v>
      </c>
      <c r="T2227" s="77">
        <v>0</v>
      </c>
      <c r="U2227" s="284">
        <v>40617</v>
      </c>
      <c r="V2227" s="285"/>
      <c r="W2227" s="284" t="s">
        <v>1585</v>
      </c>
      <c r="X2227" s="286" t="s">
        <v>1586</v>
      </c>
      <c r="Y2227" s="287"/>
      <c r="Z2227" s="300" t="s">
        <v>894</v>
      </c>
      <c r="AA2227" s="301" t="s">
        <v>3101</v>
      </c>
      <c r="AB2227" s="152"/>
      <c r="AC2227" s="153"/>
      <c r="AD2227" s="154"/>
      <c r="AE2227" s="153"/>
      <c r="AF2227" s="153"/>
      <c r="AG2227" s="153"/>
      <c r="AH2227" s="153"/>
      <c r="AI2227" s="153"/>
      <c r="AJ2227" s="153"/>
      <c r="AK2227" s="153"/>
      <c r="AL2227" s="153"/>
      <c r="AM2227" s="153"/>
      <c r="AN2227" s="153"/>
      <c r="AO2227" s="153"/>
      <c r="AP2227" s="153"/>
      <c r="AQ2227" s="153"/>
      <c r="AR2227" s="153"/>
      <c r="AS2227" s="153"/>
      <c r="AT2227" s="153"/>
      <c r="AU2227" s="153"/>
      <c r="AV2227" s="153"/>
      <c r="AW2227" s="153"/>
      <c r="AX2227" s="153"/>
      <c r="AY2227" s="153"/>
      <c r="AZ2227" s="153"/>
      <c r="BA2227" s="153"/>
      <c r="BB2227" s="153"/>
      <c r="BC2227" s="153"/>
      <c r="BD2227" s="153"/>
      <c r="BE2227" s="153"/>
      <c r="BF2227" s="153"/>
      <c r="BG2227" s="153"/>
      <c r="BH2227" s="153"/>
      <c r="BI2227" s="153"/>
      <c r="BJ2227" s="153"/>
      <c r="BK2227" s="153"/>
      <c r="BL2227" s="153"/>
      <c r="BM2227" s="153"/>
      <c r="BN2227" s="153"/>
      <c r="BO2227" s="153"/>
      <c r="BP2227" s="153"/>
      <c r="BQ2227" s="153"/>
      <c r="BR2227" s="153"/>
      <c r="BS2227" s="153"/>
      <c r="BT2227" s="153"/>
      <c r="BU2227" s="153"/>
      <c r="BV2227" s="153"/>
      <c r="BW2227" s="153"/>
      <c r="BX2227" s="153"/>
      <c r="BY2227" s="153"/>
      <c r="BZ2227" s="153"/>
      <c r="CA2227" s="153"/>
      <c r="CB2227" s="153"/>
      <c r="CC2227" s="153"/>
      <c r="CD2227" s="155"/>
      <c r="CE2227" s="156"/>
      <c r="CF2227" s="155"/>
      <c r="CG2227" s="156"/>
      <c r="CH2227" s="155"/>
      <c r="CI2227" s="156"/>
      <c r="CJ2227" s="157">
        <f t="shared" si="273"/>
        <v>0</v>
      </c>
      <c r="CK2227" s="158"/>
      <c r="CL2227" s="159"/>
      <c r="CM2227" s="160"/>
      <c r="CN2227" s="161"/>
      <c r="CO2227" s="162"/>
      <c r="CP2227" s="161"/>
      <c r="CQ2227" s="158"/>
      <c r="CR2227" s="159"/>
      <c r="CS2227" s="68"/>
      <c r="CT2227" s="163"/>
      <c r="EC2227" s="366" t="str">
        <f t="shared" si="274"/>
        <v>NARIÑO_BARBACOAS</v>
      </c>
      <c r="ED2227" s="367"/>
      <c r="EE2227" s="367"/>
      <c r="EF2227" s="368"/>
      <c r="EG2227" s="367"/>
      <c r="EH2227" s="367"/>
      <c r="EI2227" s="367"/>
    </row>
    <row r="2228" spans="1:139" s="164" customFormat="1" ht="25.5">
      <c r="A2228" s="228">
        <v>40527</v>
      </c>
      <c r="B2228" s="205" t="s">
        <v>1824</v>
      </c>
      <c r="C2228" s="205" t="s">
        <v>2140</v>
      </c>
      <c r="D2228" s="207" t="s">
        <v>1201</v>
      </c>
      <c r="E2228" s="323" t="s">
        <v>3940</v>
      </c>
      <c r="F2228" s="323"/>
      <c r="G2228" s="204"/>
      <c r="H2228" s="151"/>
      <c r="I2228" s="151"/>
      <c r="J2228" s="151">
        <v>765</v>
      </c>
      <c r="K2228" s="151">
        <v>765</v>
      </c>
      <c r="L2228" s="1"/>
      <c r="M2228" s="73">
        <f t="shared" si="271"/>
        <v>0</v>
      </c>
      <c r="N2228" s="73">
        <f t="shared" si="276"/>
        <v>0</v>
      </c>
      <c r="O2228" s="73">
        <f t="shared" ref="O2228:O2291" si="277">CP2228+CR2228</f>
        <v>0</v>
      </c>
      <c r="P2228" s="73">
        <f t="shared" si="272"/>
        <v>0</v>
      </c>
      <c r="Q2228" s="73"/>
      <c r="R2228" s="73">
        <v>0</v>
      </c>
      <c r="S2228" s="75">
        <f t="shared" si="275"/>
        <v>0</v>
      </c>
      <c r="T2228" s="77">
        <v>0</v>
      </c>
      <c r="U2228" s="284">
        <v>40617</v>
      </c>
      <c r="V2228" s="285"/>
      <c r="W2228" s="284" t="s">
        <v>1585</v>
      </c>
      <c r="X2228" s="286" t="s">
        <v>1586</v>
      </c>
      <c r="Y2228" s="287"/>
      <c r="Z2228" s="300" t="s">
        <v>894</v>
      </c>
      <c r="AA2228" s="301" t="s">
        <v>3101</v>
      </c>
      <c r="AB2228" s="152"/>
      <c r="AC2228" s="153"/>
      <c r="AD2228" s="154"/>
      <c r="AE2228" s="153"/>
      <c r="AF2228" s="153"/>
      <c r="AG2228" s="153"/>
      <c r="AH2228" s="153"/>
      <c r="AI2228" s="153"/>
      <c r="AJ2228" s="153"/>
      <c r="AK2228" s="153"/>
      <c r="AL2228" s="153"/>
      <c r="AM2228" s="153"/>
      <c r="AN2228" s="153"/>
      <c r="AO2228" s="153"/>
      <c r="AP2228" s="153"/>
      <c r="AQ2228" s="153"/>
      <c r="AR2228" s="153"/>
      <c r="AS2228" s="153"/>
      <c r="AT2228" s="153"/>
      <c r="AU2228" s="153"/>
      <c r="AV2228" s="153"/>
      <c r="AW2228" s="153"/>
      <c r="AX2228" s="153"/>
      <c r="AY2228" s="153"/>
      <c r="AZ2228" s="153"/>
      <c r="BA2228" s="153"/>
      <c r="BB2228" s="153"/>
      <c r="BC2228" s="153"/>
      <c r="BD2228" s="153"/>
      <c r="BE2228" s="153"/>
      <c r="BF2228" s="153"/>
      <c r="BG2228" s="153"/>
      <c r="BH2228" s="153"/>
      <c r="BI2228" s="153"/>
      <c r="BJ2228" s="153"/>
      <c r="BK2228" s="153"/>
      <c r="BL2228" s="153"/>
      <c r="BM2228" s="153"/>
      <c r="BN2228" s="153"/>
      <c r="BO2228" s="153"/>
      <c r="BP2228" s="153"/>
      <c r="BQ2228" s="153"/>
      <c r="BR2228" s="153"/>
      <c r="BS2228" s="153"/>
      <c r="BT2228" s="153"/>
      <c r="BU2228" s="153"/>
      <c r="BV2228" s="153"/>
      <c r="BW2228" s="153"/>
      <c r="BX2228" s="153"/>
      <c r="BY2228" s="153"/>
      <c r="BZ2228" s="153"/>
      <c r="CA2228" s="153"/>
      <c r="CB2228" s="153"/>
      <c r="CC2228" s="153"/>
      <c r="CD2228" s="155"/>
      <c r="CE2228" s="156"/>
      <c r="CF2228" s="155"/>
      <c r="CG2228" s="156"/>
      <c r="CH2228" s="155"/>
      <c r="CI2228" s="156"/>
      <c r="CJ2228" s="157">
        <f t="shared" si="273"/>
        <v>0</v>
      </c>
      <c r="CK2228" s="158"/>
      <c r="CL2228" s="159"/>
      <c r="CM2228" s="160"/>
      <c r="CN2228" s="161"/>
      <c r="CO2228" s="162"/>
      <c r="CP2228" s="161"/>
      <c r="CQ2228" s="158"/>
      <c r="CR2228" s="159"/>
      <c r="CS2228" s="68"/>
      <c r="CT2228" s="163"/>
      <c r="EC2228" s="366" t="str">
        <f t="shared" si="274"/>
        <v>NARIÑO_BELEN</v>
      </c>
      <c r="ED2228" s="367"/>
      <c r="EE2228" s="367"/>
      <c r="EF2228" s="368"/>
      <c r="EG2228" s="367"/>
      <c r="EH2228" s="367"/>
      <c r="EI2228" s="367"/>
    </row>
    <row r="2229" spans="1:139" s="164" customFormat="1" ht="25.5">
      <c r="A2229" s="228">
        <v>40527</v>
      </c>
      <c r="B2229" s="205" t="s">
        <v>1824</v>
      </c>
      <c r="C2229" s="205" t="s">
        <v>252</v>
      </c>
      <c r="D2229" s="207" t="s">
        <v>1201</v>
      </c>
      <c r="E2229" s="323" t="s">
        <v>3941</v>
      </c>
      <c r="F2229" s="323"/>
      <c r="G2229" s="204"/>
      <c r="H2229" s="151"/>
      <c r="I2229" s="151"/>
      <c r="J2229" s="151">
        <v>419</v>
      </c>
      <c r="K2229" s="151">
        <v>419</v>
      </c>
      <c r="L2229" s="1"/>
      <c r="M2229" s="73">
        <f t="shared" si="271"/>
        <v>0</v>
      </c>
      <c r="N2229" s="73">
        <f t="shared" si="276"/>
        <v>0</v>
      </c>
      <c r="O2229" s="73">
        <f t="shared" si="277"/>
        <v>0</v>
      </c>
      <c r="P2229" s="73">
        <f t="shared" si="272"/>
        <v>0</v>
      </c>
      <c r="Q2229" s="73"/>
      <c r="R2229" s="73">
        <v>0</v>
      </c>
      <c r="S2229" s="75">
        <f t="shared" si="275"/>
        <v>0</v>
      </c>
      <c r="T2229" s="77">
        <v>0</v>
      </c>
      <c r="U2229" s="284">
        <v>40617</v>
      </c>
      <c r="V2229" s="285"/>
      <c r="W2229" s="284" t="s">
        <v>1585</v>
      </c>
      <c r="X2229" s="286" t="s">
        <v>1586</v>
      </c>
      <c r="Y2229" s="287"/>
      <c r="Z2229" s="300" t="s">
        <v>894</v>
      </c>
      <c r="AA2229" s="301" t="s">
        <v>3101</v>
      </c>
      <c r="AB2229" s="152"/>
      <c r="AC2229" s="153"/>
      <c r="AD2229" s="154"/>
      <c r="AE2229" s="153"/>
      <c r="AF2229" s="153"/>
      <c r="AG2229" s="153"/>
      <c r="AH2229" s="153"/>
      <c r="AI2229" s="153"/>
      <c r="AJ2229" s="153"/>
      <c r="AK2229" s="153"/>
      <c r="AL2229" s="153"/>
      <c r="AM2229" s="153"/>
      <c r="AN2229" s="153"/>
      <c r="AO2229" s="153"/>
      <c r="AP2229" s="153"/>
      <c r="AQ2229" s="153"/>
      <c r="AR2229" s="153"/>
      <c r="AS2229" s="153"/>
      <c r="AT2229" s="153"/>
      <c r="AU2229" s="153"/>
      <c r="AV2229" s="153"/>
      <c r="AW2229" s="153"/>
      <c r="AX2229" s="153"/>
      <c r="AY2229" s="153"/>
      <c r="AZ2229" s="153"/>
      <c r="BA2229" s="153"/>
      <c r="BB2229" s="153"/>
      <c r="BC2229" s="153"/>
      <c r="BD2229" s="153"/>
      <c r="BE2229" s="153"/>
      <c r="BF2229" s="153"/>
      <c r="BG2229" s="153"/>
      <c r="BH2229" s="153"/>
      <c r="BI2229" s="153"/>
      <c r="BJ2229" s="153"/>
      <c r="BK2229" s="153"/>
      <c r="BL2229" s="153"/>
      <c r="BM2229" s="153"/>
      <c r="BN2229" s="153"/>
      <c r="BO2229" s="153"/>
      <c r="BP2229" s="153"/>
      <c r="BQ2229" s="153"/>
      <c r="BR2229" s="153"/>
      <c r="BS2229" s="153"/>
      <c r="BT2229" s="153"/>
      <c r="BU2229" s="153"/>
      <c r="BV2229" s="153"/>
      <c r="BW2229" s="153"/>
      <c r="BX2229" s="153"/>
      <c r="BY2229" s="153"/>
      <c r="BZ2229" s="153"/>
      <c r="CA2229" s="153"/>
      <c r="CB2229" s="153"/>
      <c r="CC2229" s="153"/>
      <c r="CD2229" s="155"/>
      <c r="CE2229" s="156"/>
      <c r="CF2229" s="155"/>
      <c r="CG2229" s="156"/>
      <c r="CH2229" s="155"/>
      <c r="CI2229" s="156"/>
      <c r="CJ2229" s="157">
        <f t="shared" si="273"/>
        <v>0</v>
      </c>
      <c r="CK2229" s="158"/>
      <c r="CL2229" s="159"/>
      <c r="CM2229" s="160"/>
      <c r="CN2229" s="161"/>
      <c r="CO2229" s="162"/>
      <c r="CP2229" s="161"/>
      <c r="CQ2229" s="158"/>
      <c r="CR2229" s="159"/>
      <c r="CS2229" s="68"/>
      <c r="CT2229" s="163"/>
      <c r="EC2229" s="366" t="str">
        <f t="shared" si="274"/>
        <v>NARIÑO_BUESACO</v>
      </c>
      <c r="ED2229" s="367"/>
      <c r="EE2229" s="367"/>
      <c r="EF2229" s="368"/>
      <c r="EG2229" s="367"/>
      <c r="EH2229" s="367"/>
      <c r="EI2229" s="367"/>
    </row>
    <row r="2230" spans="1:139" s="164" customFormat="1" ht="25.5">
      <c r="A2230" s="228">
        <v>40527</v>
      </c>
      <c r="B2230" s="205" t="s">
        <v>1824</v>
      </c>
      <c r="C2230" s="205" t="s">
        <v>260</v>
      </c>
      <c r="D2230" s="207" t="s">
        <v>1201</v>
      </c>
      <c r="E2230" s="323" t="s">
        <v>3949</v>
      </c>
      <c r="F2230" s="323"/>
      <c r="G2230" s="204"/>
      <c r="H2230" s="151"/>
      <c r="I2230" s="151"/>
      <c r="J2230" s="151">
        <v>99</v>
      </c>
      <c r="K2230" s="151">
        <v>99</v>
      </c>
      <c r="L2230" s="1"/>
      <c r="M2230" s="73">
        <f t="shared" si="271"/>
        <v>0</v>
      </c>
      <c r="N2230" s="73">
        <f t="shared" si="276"/>
        <v>0</v>
      </c>
      <c r="O2230" s="73">
        <f t="shared" si="277"/>
        <v>0</v>
      </c>
      <c r="P2230" s="73">
        <f t="shared" si="272"/>
        <v>0</v>
      </c>
      <c r="Q2230" s="73"/>
      <c r="R2230" s="73">
        <v>0</v>
      </c>
      <c r="S2230" s="75">
        <f t="shared" si="275"/>
        <v>0</v>
      </c>
      <c r="T2230" s="77">
        <v>0</v>
      </c>
      <c r="U2230" s="284">
        <v>40617</v>
      </c>
      <c r="V2230" s="285"/>
      <c r="W2230" s="284" t="s">
        <v>1585</v>
      </c>
      <c r="X2230" s="286" t="s">
        <v>1586</v>
      </c>
      <c r="Y2230" s="287"/>
      <c r="Z2230" s="300" t="s">
        <v>894</v>
      </c>
      <c r="AA2230" s="301" t="s">
        <v>3101</v>
      </c>
      <c r="AB2230" s="152"/>
      <c r="AC2230" s="153"/>
      <c r="AD2230" s="154"/>
      <c r="AE2230" s="153"/>
      <c r="AF2230" s="153"/>
      <c r="AG2230" s="153"/>
      <c r="AH2230" s="153"/>
      <c r="AI2230" s="153"/>
      <c r="AJ2230" s="153"/>
      <c r="AK2230" s="153"/>
      <c r="AL2230" s="153"/>
      <c r="AM2230" s="153"/>
      <c r="AN2230" s="153"/>
      <c r="AO2230" s="153"/>
      <c r="AP2230" s="153"/>
      <c r="AQ2230" s="153"/>
      <c r="AR2230" s="153"/>
      <c r="AS2230" s="153"/>
      <c r="AT2230" s="153"/>
      <c r="AU2230" s="153"/>
      <c r="AV2230" s="153"/>
      <c r="AW2230" s="153"/>
      <c r="AX2230" s="153"/>
      <c r="AY2230" s="153"/>
      <c r="AZ2230" s="153"/>
      <c r="BA2230" s="153"/>
      <c r="BB2230" s="153"/>
      <c r="BC2230" s="153"/>
      <c r="BD2230" s="153"/>
      <c r="BE2230" s="153"/>
      <c r="BF2230" s="153"/>
      <c r="BG2230" s="153"/>
      <c r="BH2230" s="153"/>
      <c r="BI2230" s="153"/>
      <c r="BJ2230" s="153"/>
      <c r="BK2230" s="153"/>
      <c r="BL2230" s="153"/>
      <c r="BM2230" s="153"/>
      <c r="BN2230" s="153"/>
      <c r="BO2230" s="153"/>
      <c r="BP2230" s="153"/>
      <c r="BQ2230" s="153"/>
      <c r="BR2230" s="153"/>
      <c r="BS2230" s="153"/>
      <c r="BT2230" s="153"/>
      <c r="BU2230" s="153"/>
      <c r="BV2230" s="153"/>
      <c r="BW2230" s="153"/>
      <c r="BX2230" s="153"/>
      <c r="BY2230" s="153"/>
      <c r="BZ2230" s="153"/>
      <c r="CA2230" s="153"/>
      <c r="CB2230" s="153"/>
      <c r="CC2230" s="153"/>
      <c r="CD2230" s="155"/>
      <c r="CE2230" s="156"/>
      <c r="CF2230" s="155"/>
      <c r="CG2230" s="156"/>
      <c r="CH2230" s="155"/>
      <c r="CI2230" s="156"/>
      <c r="CJ2230" s="157">
        <f t="shared" si="273"/>
        <v>0</v>
      </c>
      <c r="CK2230" s="158"/>
      <c r="CL2230" s="159"/>
      <c r="CM2230" s="160"/>
      <c r="CN2230" s="161"/>
      <c r="CO2230" s="162"/>
      <c r="CP2230" s="161"/>
      <c r="CQ2230" s="158"/>
      <c r="CR2230" s="159"/>
      <c r="CS2230" s="68"/>
      <c r="CT2230" s="163"/>
      <c r="EC2230" s="366" t="str">
        <f t="shared" si="274"/>
        <v>NARIÑO_CHACHAGUI</v>
      </c>
      <c r="ED2230" s="367"/>
      <c r="EE2230" s="367"/>
      <c r="EF2230" s="368"/>
      <c r="EG2230" s="367"/>
      <c r="EH2230" s="367"/>
      <c r="EI2230" s="367"/>
    </row>
    <row r="2231" spans="1:139" s="164" customFormat="1" ht="25.5">
      <c r="A2231" s="228">
        <v>40527</v>
      </c>
      <c r="B2231" s="205" t="s">
        <v>1824</v>
      </c>
      <c r="C2231" s="205" t="s">
        <v>92</v>
      </c>
      <c r="D2231" s="207" t="s">
        <v>1201</v>
      </c>
      <c r="E2231" s="323" t="s">
        <v>3942</v>
      </c>
      <c r="F2231" s="323"/>
      <c r="G2231" s="204"/>
      <c r="H2231" s="151"/>
      <c r="I2231" s="151"/>
      <c r="J2231" s="151">
        <v>5550</v>
      </c>
      <c r="K2231" s="151">
        <v>5550</v>
      </c>
      <c r="L2231" s="1"/>
      <c r="M2231" s="73">
        <f t="shared" si="271"/>
        <v>0</v>
      </c>
      <c r="N2231" s="73">
        <f t="shared" si="276"/>
        <v>0</v>
      </c>
      <c r="O2231" s="73">
        <f t="shared" si="277"/>
        <v>0</v>
      </c>
      <c r="P2231" s="73">
        <f t="shared" si="272"/>
        <v>0</v>
      </c>
      <c r="Q2231" s="73"/>
      <c r="R2231" s="73">
        <v>0</v>
      </c>
      <c r="S2231" s="75">
        <f t="shared" si="275"/>
        <v>0</v>
      </c>
      <c r="T2231" s="77">
        <v>0</v>
      </c>
      <c r="U2231" s="284">
        <v>40617</v>
      </c>
      <c r="V2231" s="285"/>
      <c r="W2231" s="284" t="s">
        <v>1585</v>
      </c>
      <c r="X2231" s="286" t="s">
        <v>1586</v>
      </c>
      <c r="Y2231" s="287"/>
      <c r="Z2231" s="300" t="s">
        <v>894</v>
      </c>
      <c r="AA2231" s="301" t="s">
        <v>3101</v>
      </c>
      <c r="AB2231" s="152"/>
      <c r="AC2231" s="153"/>
      <c r="AD2231" s="154"/>
      <c r="AE2231" s="153"/>
      <c r="AF2231" s="153"/>
      <c r="AG2231" s="153"/>
      <c r="AH2231" s="153"/>
      <c r="AI2231" s="153"/>
      <c r="AJ2231" s="153"/>
      <c r="AK2231" s="153"/>
      <c r="AL2231" s="153"/>
      <c r="AM2231" s="153"/>
      <c r="AN2231" s="153"/>
      <c r="AO2231" s="153"/>
      <c r="AP2231" s="153"/>
      <c r="AQ2231" s="153"/>
      <c r="AR2231" s="153"/>
      <c r="AS2231" s="153"/>
      <c r="AT2231" s="153"/>
      <c r="AU2231" s="153"/>
      <c r="AV2231" s="153"/>
      <c r="AW2231" s="153"/>
      <c r="AX2231" s="153"/>
      <c r="AY2231" s="153"/>
      <c r="AZ2231" s="153"/>
      <c r="BA2231" s="153"/>
      <c r="BB2231" s="153"/>
      <c r="BC2231" s="153"/>
      <c r="BD2231" s="153"/>
      <c r="BE2231" s="153"/>
      <c r="BF2231" s="153"/>
      <c r="BG2231" s="153"/>
      <c r="BH2231" s="153"/>
      <c r="BI2231" s="153"/>
      <c r="BJ2231" s="153"/>
      <c r="BK2231" s="153"/>
      <c r="BL2231" s="153"/>
      <c r="BM2231" s="153"/>
      <c r="BN2231" s="153"/>
      <c r="BO2231" s="153"/>
      <c r="BP2231" s="153"/>
      <c r="BQ2231" s="153"/>
      <c r="BR2231" s="153"/>
      <c r="BS2231" s="153"/>
      <c r="BT2231" s="153"/>
      <c r="BU2231" s="153"/>
      <c r="BV2231" s="153"/>
      <c r="BW2231" s="153"/>
      <c r="BX2231" s="153"/>
      <c r="BY2231" s="153"/>
      <c r="BZ2231" s="153"/>
      <c r="CA2231" s="153"/>
      <c r="CB2231" s="153"/>
      <c r="CC2231" s="153"/>
      <c r="CD2231" s="155"/>
      <c r="CE2231" s="156"/>
      <c r="CF2231" s="155"/>
      <c r="CG2231" s="156"/>
      <c r="CH2231" s="155"/>
      <c r="CI2231" s="156"/>
      <c r="CJ2231" s="157">
        <f t="shared" si="273"/>
        <v>0</v>
      </c>
      <c r="CK2231" s="158"/>
      <c r="CL2231" s="159"/>
      <c r="CM2231" s="160"/>
      <c r="CN2231" s="161"/>
      <c r="CO2231" s="162"/>
      <c r="CP2231" s="161"/>
      <c r="CQ2231" s="158"/>
      <c r="CR2231" s="159"/>
      <c r="CS2231" s="68"/>
      <c r="CT2231" s="163"/>
      <c r="EC2231" s="366" t="str">
        <f t="shared" si="274"/>
        <v>NARIÑO_COLON</v>
      </c>
      <c r="ED2231" s="367"/>
      <c r="EE2231" s="367"/>
      <c r="EF2231" s="368"/>
      <c r="EG2231" s="367"/>
      <c r="EH2231" s="367"/>
      <c r="EI2231" s="367"/>
    </row>
    <row r="2232" spans="1:139" s="164" customFormat="1" ht="25.5">
      <c r="A2232" s="228">
        <v>40527</v>
      </c>
      <c r="B2232" s="205" t="s">
        <v>1824</v>
      </c>
      <c r="C2232" s="205" t="s">
        <v>93</v>
      </c>
      <c r="D2232" s="207" t="s">
        <v>1201</v>
      </c>
      <c r="E2232" s="323" t="s">
        <v>3943</v>
      </c>
      <c r="F2232" s="323"/>
      <c r="G2232" s="204"/>
      <c r="H2232" s="151"/>
      <c r="I2232" s="151"/>
      <c r="J2232" s="151">
        <v>2458</v>
      </c>
      <c r="K2232" s="151">
        <v>2458</v>
      </c>
      <c r="L2232" s="1"/>
      <c r="M2232" s="73">
        <f t="shared" si="271"/>
        <v>0</v>
      </c>
      <c r="N2232" s="73">
        <f t="shared" si="276"/>
        <v>0</v>
      </c>
      <c r="O2232" s="73">
        <f t="shared" si="277"/>
        <v>0</v>
      </c>
      <c r="P2232" s="73">
        <f t="shared" si="272"/>
        <v>0</v>
      </c>
      <c r="Q2232" s="73"/>
      <c r="R2232" s="73">
        <v>0</v>
      </c>
      <c r="S2232" s="75">
        <f t="shared" si="275"/>
        <v>0</v>
      </c>
      <c r="T2232" s="77">
        <v>0</v>
      </c>
      <c r="U2232" s="284">
        <v>40617</v>
      </c>
      <c r="V2232" s="285"/>
      <c r="W2232" s="284" t="s">
        <v>1585</v>
      </c>
      <c r="X2232" s="286" t="s">
        <v>1586</v>
      </c>
      <c r="Y2232" s="287"/>
      <c r="Z2232" s="300" t="s">
        <v>894</v>
      </c>
      <c r="AA2232" s="301" t="s">
        <v>3101</v>
      </c>
      <c r="AB2232" s="152"/>
      <c r="AC2232" s="153"/>
      <c r="AD2232" s="154"/>
      <c r="AE2232" s="153"/>
      <c r="AF2232" s="153"/>
      <c r="AG2232" s="153"/>
      <c r="AH2232" s="153"/>
      <c r="AI2232" s="153"/>
      <c r="AJ2232" s="153"/>
      <c r="AK2232" s="153"/>
      <c r="AL2232" s="153"/>
      <c r="AM2232" s="153"/>
      <c r="AN2232" s="153"/>
      <c r="AO2232" s="153"/>
      <c r="AP2232" s="153"/>
      <c r="AQ2232" s="153"/>
      <c r="AR2232" s="153"/>
      <c r="AS2232" s="153"/>
      <c r="AT2232" s="153"/>
      <c r="AU2232" s="153"/>
      <c r="AV2232" s="153"/>
      <c r="AW2232" s="153"/>
      <c r="AX2232" s="153"/>
      <c r="AY2232" s="153"/>
      <c r="AZ2232" s="153"/>
      <c r="BA2232" s="153"/>
      <c r="BB2232" s="153"/>
      <c r="BC2232" s="153"/>
      <c r="BD2232" s="153"/>
      <c r="BE2232" s="153"/>
      <c r="BF2232" s="153"/>
      <c r="BG2232" s="153"/>
      <c r="BH2232" s="153"/>
      <c r="BI2232" s="153"/>
      <c r="BJ2232" s="153"/>
      <c r="BK2232" s="153"/>
      <c r="BL2232" s="153"/>
      <c r="BM2232" s="153"/>
      <c r="BN2232" s="153"/>
      <c r="BO2232" s="153"/>
      <c r="BP2232" s="153"/>
      <c r="BQ2232" s="153"/>
      <c r="BR2232" s="153"/>
      <c r="BS2232" s="153"/>
      <c r="BT2232" s="153"/>
      <c r="BU2232" s="153"/>
      <c r="BV2232" s="153"/>
      <c r="BW2232" s="153"/>
      <c r="BX2232" s="153"/>
      <c r="BY2232" s="153"/>
      <c r="BZ2232" s="153"/>
      <c r="CA2232" s="153"/>
      <c r="CB2232" s="153"/>
      <c r="CC2232" s="153"/>
      <c r="CD2232" s="155"/>
      <c r="CE2232" s="156"/>
      <c r="CF2232" s="155"/>
      <c r="CG2232" s="156"/>
      <c r="CH2232" s="155"/>
      <c r="CI2232" s="156"/>
      <c r="CJ2232" s="157">
        <f t="shared" si="273"/>
        <v>0</v>
      </c>
      <c r="CK2232" s="158"/>
      <c r="CL2232" s="159"/>
      <c r="CM2232" s="160"/>
      <c r="CN2232" s="161"/>
      <c r="CO2232" s="162"/>
      <c r="CP2232" s="161"/>
      <c r="CQ2232" s="158"/>
      <c r="CR2232" s="159"/>
      <c r="CS2232" s="68"/>
      <c r="CT2232" s="163"/>
      <c r="EC2232" s="366" t="str">
        <f t="shared" si="274"/>
        <v>NARIÑO_CONSACA</v>
      </c>
      <c r="ED2232" s="367"/>
      <c r="EE2232" s="367"/>
      <c r="EF2232" s="368"/>
      <c r="EG2232" s="367"/>
      <c r="EH2232" s="367"/>
      <c r="EI2232" s="367"/>
    </row>
    <row r="2233" spans="1:139" s="164" customFormat="1" ht="25.5">
      <c r="A2233" s="228">
        <v>40527</v>
      </c>
      <c r="B2233" s="205" t="s">
        <v>1824</v>
      </c>
      <c r="C2233" s="205" t="s">
        <v>3173</v>
      </c>
      <c r="D2233" s="207" t="s">
        <v>1201</v>
      </c>
      <c r="E2233" s="323" t="s">
        <v>3944</v>
      </c>
      <c r="F2233" s="323"/>
      <c r="G2233" s="204"/>
      <c r="H2233" s="151"/>
      <c r="I2233" s="151"/>
      <c r="J2233" s="151">
        <v>8</v>
      </c>
      <c r="K2233" s="151">
        <v>8</v>
      </c>
      <c r="L2233" s="1"/>
      <c r="M2233" s="73">
        <f t="shared" si="271"/>
        <v>0</v>
      </c>
      <c r="N2233" s="73">
        <f t="shared" si="276"/>
        <v>0</v>
      </c>
      <c r="O2233" s="73">
        <f t="shared" si="277"/>
        <v>0</v>
      </c>
      <c r="P2233" s="73">
        <f t="shared" si="272"/>
        <v>0</v>
      </c>
      <c r="Q2233" s="73"/>
      <c r="R2233" s="73">
        <v>0</v>
      </c>
      <c r="S2233" s="75">
        <f t="shared" si="275"/>
        <v>0</v>
      </c>
      <c r="T2233" s="77">
        <v>0</v>
      </c>
      <c r="U2233" s="284">
        <v>40617</v>
      </c>
      <c r="V2233" s="285"/>
      <c r="W2233" s="284" t="s">
        <v>1585</v>
      </c>
      <c r="X2233" s="286" t="s">
        <v>1586</v>
      </c>
      <c r="Y2233" s="287"/>
      <c r="Z2233" s="300" t="s">
        <v>894</v>
      </c>
      <c r="AA2233" s="301" t="s">
        <v>3101</v>
      </c>
      <c r="AB2233" s="152"/>
      <c r="AC2233" s="153"/>
      <c r="AD2233" s="154"/>
      <c r="AE2233" s="153"/>
      <c r="AF2233" s="153"/>
      <c r="AG2233" s="153"/>
      <c r="AH2233" s="153"/>
      <c r="AI2233" s="153"/>
      <c r="AJ2233" s="153"/>
      <c r="AK2233" s="153"/>
      <c r="AL2233" s="153"/>
      <c r="AM2233" s="153"/>
      <c r="AN2233" s="153"/>
      <c r="AO2233" s="153"/>
      <c r="AP2233" s="153"/>
      <c r="AQ2233" s="153"/>
      <c r="AR2233" s="153"/>
      <c r="AS2233" s="153"/>
      <c r="AT2233" s="153"/>
      <c r="AU2233" s="153"/>
      <c r="AV2233" s="153"/>
      <c r="AW2233" s="153"/>
      <c r="AX2233" s="153"/>
      <c r="AY2233" s="153"/>
      <c r="AZ2233" s="153"/>
      <c r="BA2233" s="153"/>
      <c r="BB2233" s="153"/>
      <c r="BC2233" s="153"/>
      <c r="BD2233" s="153"/>
      <c r="BE2233" s="153"/>
      <c r="BF2233" s="153"/>
      <c r="BG2233" s="153"/>
      <c r="BH2233" s="153"/>
      <c r="BI2233" s="153"/>
      <c r="BJ2233" s="153"/>
      <c r="BK2233" s="153"/>
      <c r="BL2233" s="153"/>
      <c r="BM2233" s="153"/>
      <c r="BN2233" s="153"/>
      <c r="BO2233" s="153"/>
      <c r="BP2233" s="153"/>
      <c r="BQ2233" s="153"/>
      <c r="BR2233" s="153"/>
      <c r="BS2233" s="153"/>
      <c r="BT2233" s="153"/>
      <c r="BU2233" s="153"/>
      <c r="BV2233" s="153"/>
      <c r="BW2233" s="153"/>
      <c r="BX2233" s="153"/>
      <c r="BY2233" s="153"/>
      <c r="BZ2233" s="153"/>
      <c r="CA2233" s="153"/>
      <c r="CB2233" s="153"/>
      <c r="CC2233" s="153"/>
      <c r="CD2233" s="155"/>
      <c r="CE2233" s="156"/>
      <c r="CF2233" s="155"/>
      <c r="CG2233" s="156"/>
      <c r="CH2233" s="155"/>
      <c r="CI2233" s="156"/>
      <c r="CJ2233" s="157">
        <f t="shared" si="273"/>
        <v>0</v>
      </c>
      <c r="CK2233" s="158"/>
      <c r="CL2233" s="159"/>
      <c r="CM2233" s="160"/>
      <c r="CN2233" s="161"/>
      <c r="CO2233" s="162"/>
      <c r="CP2233" s="161"/>
      <c r="CQ2233" s="158"/>
      <c r="CR2233" s="159"/>
      <c r="CS2233" s="68"/>
      <c r="CT2233" s="163"/>
      <c r="EC2233" s="366" t="str">
        <f t="shared" si="274"/>
        <v>NARIÑO_CONTADERO</v>
      </c>
      <c r="ED2233" s="367"/>
      <c r="EE2233" s="367"/>
      <c r="EF2233" s="368"/>
      <c r="EG2233" s="367"/>
      <c r="EH2233" s="367"/>
      <c r="EI2233" s="367"/>
    </row>
    <row r="2234" spans="1:139" s="164" customFormat="1" ht="25.5">
      <c r="A2234" s="228">
        <v>40527</v>
      </c>
      <c r="B2234" s="205" t="s">
        <v>1824</v>
      </c>
      <c r="C2234" s="205" t="s">
        <v>1295</v>
      </c>
      <c r="D2234" s="207" t="s">
        <v>1201</v>
      </c>
      <c r="E2234" s="323" t="s">
        <v>3945</v>
      </c>
      <c r="F2234" s="323"/>
      <c r="G2234" s="204"/>
      <c r="H2234" s="151"/>
      <c r="I2234" s="151"/>
      <c r="J2234" s="151">
        <v>443</v>
      </c>
      <c r="K2234" s="151">
        <v>443</v>
      </c>
      <c r="L2234" s="1"/>
      <c r="M2234" s="73">
        <f t="shared" si="271"/>
        <v>0</v>
      </c>
      <c r="N2234" s="73">
        <f t="shared" si="276"/>
        <v>0</v>
      </c>
      <c r="O2234" s="73">
        <f t="shared" si="277"/>
        <v>0</v>
      </c>
      <c r="P2234" s="73">
        <f t="shared" si="272"/>
        <v>0</v>
      </c>
      <c r="Q2234" s="73"/>
      <c r="R2234" s="73">
        <v>0</v>
      </c>
      <c r="S2234" s="75">
        <f t="shared" si="275"/>
        <v>0</v>
      </c>
      <c r="T2234" s="77">
        <v>0</v>
      </c>
      <c r="U2234" s="284">
        <v>40617</v>
      </c>
      <c r="V2234" s="285"/>
      <c r="W2234" s="284" t="s">
        <v>1585</v>
      </c>
      <c r="X2234" s="286" t="s">
        <v>1586</v>
      </c>
      <c r="Y2234" s="287"/>
      <c r="Z2234" s="300" t="s">
        <v>894</v>
      </c>
      <c r="AA2234" s="301" t="s">
        <v>3101</v>
      </c>
      <c r="AB2234" s="152"/>
      <c r="AC2234" s="153"/>
      <c r="AD2234" s="154"/>
      <c r="AE2234" s="153"/>
      <c r="AF2234" s="153"/>
      <c r="AG2234" s="153"/>
      <c r="AH2234" s="153"/>
      <c r="AI2234" s="153"/>
      <c r="AJ2234" s="153"/>
      <c r="AK2234" s="153"/>
      <c r="AL2234" s="153"/>
      <c r="AM2234" s="153"/>
      <c r="AN2234" s="153"/>
      <c r="AO2234" s="153"/>
      <c r="AP2234" s="153"/>
      <c r="AQ2234" s="153"/>
      <c r="AR2234" s="153"/>
      <c r="AS2234" s="153"/>
      <c r="AT2234" s="153"/>
      <c r="AU2234" s="153"/>
      <c r="AV2234" s="153"/>
      <c r="AW2234" s="153"/>
      <c r="AX2234" s="153"/>
      <c r="AY2234" s="153"/>
      <c r="AZ2234" s="153"/>
      <c r="BA2234" s="153"/>
      <c r="BB2234" s="153"/>
      <c r="BC2234" s="153"/>
      <c r="BD2234" s="153"/>
      <c r="BE2234" s="153"/>
      <c r="BF2234" s="153"/>
      <c r="BG2234" s="153"/>
      <c r="BH2234" s="153"/>
      <c r="BI2234" s="153"/>
      <c r="BJ2234" s="153"/>
      <c r="BK2234" s="153"/>
      <c r="BL2234" s="153"/>
      <c r="BM2234" s="153"/>
      <c r="BN2234" s="153"/>
      <c r="BO2234" s="153"/>
      <c r="BP2234" s="153"/>
      <c r="BQ2234" s="153"/>
      <c r="BR2234" s="153"/>
      <c r="BS2234" s="153"/>
      <c r="BT2234" s="153"/>
      <c r="BU2234" s="153"/>
      <c r="BV2234" s="153"/>
      <c r="BW2234" s="153"/>
      <c r="BX2234" s="153"/>
      <c r="BY2234" s="153"/>
      <c r="BZ2234" s="153"/>
      <c r="CA2234" s="153"/>
      <c r="CB2234" s="153"/>
      <c r="CC2234" s="153"/>
      <c r="CD2234" s="155"/>
      <c r="CE2234" s="156"/>
      <c r="CF2234" s="155"/>
      <c r="CG2234" s="156"/>
      <c r="CH2234" s="155"/>
      <c r="CI2234" s="156"/>
      <c r="CJ2234" s="157">
        <f t="shared" si="273"/>
        <v>0</v>
      </c>
      <c r="CK2234" s="158"/>
      <c r="CL2234" s="159"/>
      <c r="CM2234" s="160"/>
      <c r="CN2234" s="161"/>
      <c r="CO2234" s="162"/>
      <c r="CP2234" s="161"/>
      <c r="CQ2234" s="158"/>
      <c r="CR2234" s="159"/>
      <c r="CS2234" s="68"/>
      <c r="CT2234" s="163"/>
      <c r="EC2234" s="366" t="str">
        <f t="shared" si="274"/>
        <v>NARIÑO_CORDOBA</v>
      </c>
      <c r="ED2234" s="367"/>
      <c r="EE2234" s="367"/>
      <c r="EF2234" s="368"/>
      <c r="EG2234" s="367"/>
      <c r="EH2234" s="367"/>
      <c r="EI2234" s="367"/>
    </row>
    <row r="2235" spans="1:139" s="164" customFormat="1" ht="25.5">
      <c r="A2235" s="228">
        <v>40527</v>
      </c>
      <c r="B2235" s="205" t="s">
        <v>1824</v>
      </c>
      <c r="C2235" s="205" t="s">
        <v>2832</v>
      </c>
      <c r="D2235" s="207" t="s">
        <v>1201</v>
      </c>
      <c r="E2235" s="323" t="s">
        <v>3947</v>
      </c>
      <c r="F2235" s="323"/>
      <c r="G2235" s="204"/>
      <c r="H2235" s="151"/>
      <c r="I2235" s="151"/>
      <c r="J2235" s="151">
        <v>2454</v>
      </c>
      <c r="K2235" s="151">
        <v>2454</v>
      </c>
      <c r="L2235" s="1"/>
      <c r="M2235" s="73">
        <f t="shared" si="271"/>
        <v>0</v>
      </c>
      <c r="N2235" s="73">
        <f t="shared" si="276"/>
        <v>0</v>
      </c>
      <c r="O2235" s="73">
        <f t="shared" si="277"/>
        <v>0</v>
      </c>
      <c r="P2235" s="73">
        <f t="shared" si="272"/>
        <v>0</v>
      </c>
      <c r="Q2235" s="73"/>
      <c r="R2235" s="73">
        <v>0</v>
      </c>
      <c r="S2235" s="75">
        <f t="shared" si="275"/>
        <v>0</v>
      </c>
      <c r="T2235" s="77">
        <v>0</v>
      </c>
      <c r="U2235" s="284">
        <v>40617</v>
      </c>
      <c r="V2235" s="285"/>
      <c r="W2235" s="284" t="s">
        <v>1585</v>
      </c>
      <c r="X2235" s="286" t="s">
        <v>1586</v>
      </c>
      <c r="Y2235" s="287"/>
      <c r="Z2235" s="300" t="s">
        <v>894</v>
      </c>
      <c r="AA2235" s="301" t="s">
        <v>3101</v>
      </c>
      <c r="AB2235" s="152"/>
      <c r="AC2235" s="153"/>
      <c r="AD2235" s="154"/>
      <c r="AE2235" s="153"/>
      <c r="AF2235" s="153"/>
      <c r="AG2235" s="153"/>
      <c r="AH2235" s="153"/>
      <c r="AI2235" s="153"/>
      <c r="AJ2235" s="153"/>
      <c r="AK2235" s="153"/>
      <c r="AL2235" s="153"/>
      <c r="AM2235" s="153"/>
      <c r="AN2235" s="153"/>
      <c r="AO2235" s="153"/>
      <c r="AP2235" s="153"/>
      <c r="AQ2235" s="153"/>
      <c r="AR2235" s="153"/>
      <c r="AS2235" s="153"/>
      <c r="AT2235" s="153"/>
      <c r="AU2235" s="153"/>
      <c r="AV2235" s="153"/>
      <c r="AW2235" s="153"/>
      <c r="AX2235" s="153"/>
      <c r="AY2235" s="153"/>
      <c r="AZ2235" s="153"/>
      <c r="BA2235" s="153"/>
      <c r="BB2235" s="153"/>
      <c r="BC2235" s="153"/>
      <c r="BD2235" s="153"/>
      <c r="BE2235" s="153"/>
      <c r="BF2235" s="153"/>
      <c r="BG2235" s="153"/>
      <c r="BH2235" s="153"/>
      <c r="BI2235" s="153"/>
      <c r="BJ2235" s="153"/>
      <c r="BK2235" s="153"/>
      <c r="BL2235" s="153"/>
      <c r="BM2235" s="153"/>
      <c r="BN2235" s="153"/>
      <c r="BO2235" s="153"/>
      <c r="BP2235" s="153"/>
      <c r="BQ2235" s="153"/>
      <c r="BR2235" s="153"/>
      <c r="BS2235" s="153"/>
      <c r="BT2235" s="153"/>
      <c r="BU2235" s="153"/>
      <c r="BV2235" s="153"/>
      <c r="BW2235" s="153"/>
      <c r="BX2235" s="153"/>
      <c r="BY2235" s="153"/>
      <c r="BZ2235" s="153"/>
      <c r="CA2235" s="153"/>
      <c r="CB2235" s="153"/>
      <c r="CC2235" s="153"/>
      <c r="CD2235" s="155"/>
      <c r="CE2235" s="156"/>
      <c r="CF2235" s="155"/>
      <c r="CG2235" s="156"/>
      <c r="CH2235" s="155"/>
      <c r="CI2235" s="156"/>
      <c r="CJ2235" s="157">
        <f t="shared" si="273"/>
        <v>0</v>
      </c>
      <c r="CK2235" s="158"/>
      <c r="CL2235" s="159"/>
      <c r="CM2235" s="160"/>
      <c r="CN2235" s="161"/>
      <c r="CO2235" s="162"/>
      <c r="CP2235" s="161"/>
      <c r="CQ2235" s="158"/>
      <c r="CR2235" s="159"/>
      <c r="CS2235" s="68"/>
      <c r="CT2235" s="163"/>
      <c r="EC2235" s="366" t="str">
        <f t="shared" si="274"/>
        <v>NARIÑO_CUMBAL</v>
      </c>
      <c r="ED2235" s="367"/>
      <c r="EE2235" s="367"/>
      <c r="EF2235" s="368"/>
      <c r="EG2235" s="367"/>
      <c r="EH2235" s="367"/>
      <c r="EI2235" s="367"/>
    </row>
    <row r="2236" spans="1:139" s="164" customFormat="1" ht="25.5">
      <c r="A2236" s="228">
        <v>40527</v>
      </c>
      <c r="B2236" s="205" t="s">
        <v>1824</v>
      </c>
      <c r="C2236" s="205" t="s">
        <v>275</v>
      </c>
      <c r="D2236" s="207" t="s">
        <v>1201</v>
      </c>
      <c r="E2236" s="323" t="s">
        <v>3948</v>
      </c>
      <c r="F2236" s="323"/>
      <c r="G2236" s="204"/>
      <c r="H2236" s="151"/>
      <c r="I2236" s="151"/>
      <c r="J2236" s="151">
        <v>183</v>
      </c>
      <c r="K2236" s="151">
        <v>183</v>
      </c>
      <c r="L2236" s="1"/>
      <c r="M2236" s="73">
        <f t="shared" si="271"/>
        <v>0</v>
      </c>
      <c r="N2236" s="73">
        <f t="shared" si="276"/>
        <v>0</v>
      </c>
      <c r="O2236" s="73">
        <f t="shared" si="277"/>
        <v>0</v>
      </c>
      <c r="P2236" s="73">
        <f t="shared" si="272"/>
        <v>0</v>
      </c>
      <c r="Q2236" s="73"/>
      <c r="R2236" s="73">
        <v>0</v>
      </c>
      <c r="S2236" s="75">
        <f t="shared" si="275"/>
        <v>0</v>
      </c>
      <c r="T2236" s="77">
        <v>0</v>
      </c>
      <c r="U2236" s="284">
        <v>40617</v>
      </c>
      <c r="V2236" s="285"/>
      <c r="W2236" s="284" t="s">
        <v>1585</v>
      </c>
      <c r="X2236" s="286" t="s">
        <v>1586</v>
      </c>
      <c r="Y2236" s="287"/>
      <c r="Z2236" s="300" t="s">
        <v>894</v>
      </c>
      <c r="AA2236" s="301" t="s">
        <v>3101</v>
      </c>
      <c r="AB2236" s="152"/>
      <c r="AC2236" s="153"/>
      <c r="AD2236" s="154"/>
      <c r="AE2236" s="153"/>
      <c r="AF2236" s="153"/>
      <c r="AG2236" s="153"/>
      <c r="AH2236" s="153"/>
      <c r="AI2236" s="153"/>
      <c r="AJ2236" s="153"/>
      <c r="AK2236" s="153"/>
      <c r="AL2236" s="153"/>
      <c r="AM2236" s="153"/>
      <c r="AN2236" s="153"/>
      <c r="AO2236" s="153"/>
      <c r="AP2236" s="153"/>
      <c r="AQ2236" s="153"/>
      <c r="AR2236" s="153"/>
      <c r="AS2236" s="153"/>
      <c r="AT2236" s="153"/>
      <c r="AU2236" s="153"/>
      <c r="AV2236" s="153"/>
      <c r="AW2236" s="153"/>
      <c r="AX2236" s="153"/>
      <c r="AY2236" s="153"/>
      <c r="AZ2236" s="153"/>
      <c r="BA2236" s="153"/>
      <c r="BB2236" s="153"/>
      <c r="BC2236" s="153"/>
      <c r="BD2236" s="153"/>
      <c r="BE2236" s="153"/>
      <c r="BF2236" s="153"/>
      <c r="BG2236" s="153"/>
      <c r="BH2236" s="153"/>
      <c r="BI2236" s="153"/>
      <c r="BJ2236" s="153"/>
      <c r="BK2236" s="153"/>
      <c r="BL2236" s="153"/>
      <c r="BM2236" s="153"/>
      <c r="BN2236" s="153"/>
      <c r="BO2236" s="153"/>
      <c r="BP2236" s="153"/>
      <c r="BQ2236" s="153"/>
      <c r="BR2236" s="153"/>
      <c r="BS2236" s="153"/>
      <c r="BT2236" s="153"/>
      <c r="BU2236" s="153"/>
      <c r="BV2236" s="153"/>
      <c r="BW2236" s="153"/>
      <c r="BX2236" s="153"/>
      <c r="BY2236" s="153"/>
      <c r="BZ2236" s="153"/>
      <c r="CA2236" s="153"/>
      <c r="CB2236" s="153"/>
      <c r="CC2236" s="153"/>
      <c r="CD2236" s="155"/>
      <c r="CE2236" s="156"/>
      <c r="CF2236" s="155"/>
      <c r="CG2236" s="156"/>
      <c r="CH2236" s="155"/>
      <c r="CI2236" s="156"/>
      <c r="CJ2236" s="157">
        <f t="shared" si="273"/>
        <v>0</v>
      </c>
      <c r="CK2236" s="158"/>
      <c r="CL2236" s="159"/>
      <c r="CM2236" s="160"/>
      <c r="CN2236" s="161"/>
      <c r="CO2236" s="162"/>
      <c r="CP2236" s="161"/>
      <c r="CQ2236" s="158"/>
      <c r="CR2236" s="159"/>
      <c r="CS2236" s="68"/>
      <c r="CT2236" s="163"/>
      <c r="EC2236" s="366" t="str">
        <f t="shared" si="274"/>
        <v>NARIÑO_CUMBITARA</v>
      </c>
      <c r="ED2236" s="367"/>
      <c r="EE2236" s="367"/>
      <c r="EF2236" s="368"/>
      <c r="EG2236" s="367"/>
      <c r="EH2236" s="367"/>
      <c r="EI2236" s="367"/>
    </row>
    <row r="2237" spans="1:139" s="164" customFormat="1" ht="25.5">
      <c r="A2237" s="228">
        <v>40527</v>
      </c>
      <c r="B2237" s="205" t="s">
        <v>1824</v>
      </c>
      <c r="C2237" s="205" t="s">
        <v>79</v>
      </c>
      <c r="D2237" s="207" t="s">
        <v>1878</v>
      </c>
      <c r="E2237" s="323" t="s">
        <v>3951</v>
      </c>
      <c r="F2237" s="323"/>
      <c r="G2237" s="204"/>
      <c r="H2237" s="151"/>
      <c r="I2237" s="151"/>
      <c r="J2237" s="151">
        <v>922</v>
      </c>
      <c r="K2237" s="151">
        <v>254</v>
      </c>
      <c r="L2237" s="1"/>
      <c r="M2237" s="73">
        <f t="shared" si="271"/>
        <v>0</v>
      </c>
      <c r="N2237" s="73">
        <f t="shared" si="276"/>
        <v>0</v>
      </c>
      <c r="O2237" s="73">
        <f t="shared" si="277"/>
        <v>0</v>
      </c>
      <c r="P2237" s="73">
        <f t="shared" si="272"/>
        <v>0</v>
      </c>
      <c r="Q2237" s="73"/>
      <c r="R2237" s="73">
        <v>0</v>
      </c>
      <c r="S2237" s="75">
        <f t="shared" si="275"/>
        <v>0</v>
      </c>
      <c r="T2237" s="77">
        <v>0</v>
      </c>
      <c r="U2237" s="66">
        <v>40581</v>
      </c>
      <c r="V2237" s="79"/>
      <c r="W2237" s="66" t="s">
        <v>1585</v>
      </c>
      <c r="X2237" s="24" t="s">
        <v>1586</v>
      </c>
      <c r="Y2237" s="62"/>
      <c r="Z2237" s="169" t="s">
        <v>894</v>
      </c>
      <c r="AA2237" s="166" t="s">
        <v>54</v>
      </c>
      <c r="AB2237" s="152"/>
      <c r="AC2237" s="153"/>
      <c r="AD2237" s="154"/>
      <c r="AE2237" s="153"/>
      <c r="AF2237" s="153"/>
      <c r="AG2237" s="153"/>
      <c r="AH2237" s="153"/>
      <c r="AI2237" s="153"/>
      <c r="AJ2237" s="153"/>
      <c r="AK2237" s="153"/>
      <c r="AL2237" s="153"/>
      <c r="AM2237" s="153"/>
      <c r="AN2237" s="153"/>
      <c r="AO2237" s="153"/>
      <c r="AP2237" s="153"/>
      <c r="AQ2237" s="153"/>
      <c r="AR2237" s="153"/>
      <c r="AS2237" s="153"/>
      <c r="AT2237" s="153"/>
      <c r="AU2237" s="153"/>
      <c r="AV2237" s="153"/>
      <c r="AW2237" s="153"/>
      <c r="AX2237" s="153"/>
      <c r="AY2237" s="153"/>
      <c r="AZ2237" s="153"/>
      <c r="BA2237" s="153"/>
      <c r="BB2237" s="153"/>
      <c r="BC2237" s="153"/>
      <c r="BD2237" s="153"/>
      <c r="BE2237" s="153"/>
      <c r="BF2237" s="153"/>
      <c r="BG2237" s="153"/>
      <c r="BH2237" s="153"/>
      <c r="BI2237" s="153"/>
      <c r="BJ2237" s="153"/>
      <c r="BK2237" s="153"/>
      <c r="BL2237" s="153"/>
      <c r="BM2237" s="153"/>
      <c r="BN2237" s="153"/>
      <c r="BO2237" s="153"/>
      <c r="BP2237" s="153"/>
      <c r="BQ2237" s="153"/>
      <c r="BR2237" s="153"/>
      <c r="BS2237" s="153"/>
      <c r="BT2237" s="153"/>
      <c r="BU2237" s="153"/>
      <c r="BV2237" s="153"/>
      <c r="BW2237" s="153"/>
      <c r="BX2237" s="153"/>
      <c r="BY2237" s="153"/>
      <c r="BZ2237" s="153"/>
      <c r="CA2237" s="153"/>
      <c r="CB2237" s="153"/>
      <c r="CC2237" s="153"/>
      <c r="CD2237" s="155"/>
      <c r="CE2237" s="156"/>
      <c r="CF2237" s="155"/>
      <c r="CG2237" s="156"/>
      <c r="CH2237" s="155"/>
      <c r="CI2237" s="156"/>
      <c r="CJ2237" s="157">
        <f t="shared" si="273"/>
        <v>0</v>
      </c>
      <c r="CK2237" s="158"/>
      <c r="CL2237" s="159"/>
      <c r="CM2237" s="160"/>
      <c r="CN2237" s="161"/>
      <c r="CO2237" s="162"/>
      <c r="CP2237" s="161"/>
      <c r="CQ2237" s="158"/>
      <c r="CR2237" s="159"/>
      <c r="CS2237" s="68"/>
      <c r="CT2237" s="163"/>
      <c r="EC2237" s="366" t="str">
        <f t="shared" si="274"/>
        <v>NARIÑO_EL PEÑOL</v>
      </c>
      <c r="ED2237" s="367"/>
      <c r="EE2237" s="367"/>
      <c r="EF2237" s="368"/>
      <c r="EG2237" s="367"/>
      <c r="EH2237" s="367"/>
      <c r="EI2237" s="367"/>
    </row>
    <row r="2238" spans="1:139" s="164" customFormat="1" ht="25.5">
      <c r="A2238" s="228">
        <v>40527</v>
      </c>
      <c r="B2238" s="205" t="s">
        <v>1824</v>
      </c>
      <c r="C2238" s="205" t="s">
        <v>79</v>
      </c>
      <c r="D2238" s="207" t="s">
        <v>1201</v>
      </c>
      <c r="E2238" s="323" t="s">
        <v>3951</v>
      </c>
      <c r="F2238" s="323"/>
      <c r="G2238" s="204"/>
      <c r="H2238" s="151"/>
      <c r="I2238" s="151"/>
      <c r="J2238" s="151">
        <v>618</v>
      </c>
      <c r="K2238" s="151">
        <v>618</v>
      </c>
      <c r="L2238" s="1"/>
      <c r="M2238" s="73">
        <f t="shared" si="271"/>
        <v>0</v>
      </c>
      <c r="N2238" s="73">
        <f t="shared" si="276"/>
        <v>0</v>
      </c>
      <c r="O2238" s="73">
        <f t="shared" si="277"/>
        <v>0</v>
      </c>
      <c r="P2238" s="73">
        <f t="shared" si="272"/>
        <v>0</v>
      </c>
      <c r="Q2238" s="73"/>
      <c r="R2238" s="73">
        <v>0</v>
      </c>
      <c r="S2238" s="75">
        <f t="shared" si="275"/>
        <v>0</v>
      </c>
      <c r="T2238" s="77">
        <v>0</v>
      </c>
      <c r="U2238" s="284">
        <v>40617</v>
      </c>
      <c r="V2238" s="285"/>
      <c r="W2238" s="284" t="s">
        <v>1585</v>
      </c>
      <c r="X2238" s="286" t="s">
        <v>1586</v>
      </c>
      <c r="Y2238" s="287"/>
      <c r="Z2238" s="300" t="s">
        <v>894</v>
      </c>
      <c r="AA2238" s="301" t="s">
        <v>3101</v>
      </c>
      <c r="AB2238" s="152"/>
      <c r="AC2238" s="153"/>
      <c r="AD2238" s="154"/>
      <c r="AE2238" s="153"/>
      <c r="AF2238" s="153"/>
      <c r="AG2238" s="153"/>
      <c r="AH2238" s="153"/>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c r="BF2238" s="153"/>
      <c r="BG2238" s="153"/>
      <c r="BH2238" s="153"/>
      <c r="BI2238" s="153"/>
      <c r="BJ2238" s="153"/>
      <c r="BK2238" s="153"/>
      <c r="BL2238" s="153"/>
      <c r="BM2238" s="153"/>
      <c r="BN2238" s="153"/>
      <c r="BO2238" s="153"/>
      <c r="BP2238" s="153"/>
      <c r="BQ2238" s="153"/>
      <c r="BR2238" s="153"/>
      <c r="BS2238" s="153"/>
      <c r="BT2238" s="153"/>
      <c r="BU2238" s="153"/>
      <c r="BV2238" s="153"/>
      <c r="BW2238" s="153"/>
      <c r="BX2238" s="153"/>
      <c r="BY2238" s="153"/>
      <c r="BZ2238" s="153"/>
      <c r="CA2238" s="153"/>
      <c r="CB2238" s="153"/>
      <c r="CC2238" s="153"/>
      <c r="CD2238" s="155"/>
      <c r="CE2238" s="156"/>
      <c r="CF2238" s="155"/>
      <c r="CG2238" s="156"/>
      <c r="CH2238" s="155"/>
      <c r="CI2238" s="156"/>
      <c r="CJ2238" s="157">
        <f t="shared" si="273"/>
        <v>0</v>
      </c>
      <c r="CK2238" s="158"/>
      <c r="CL2238" s="159"/>
      <c r="CM2238" s="160"/>
      <c r="CN2238" s="161"/>
      <c r="CO2238" s="162"/>
      <c r="CP2238" s="161"/>
      <c r="CQ2238" s="158"/>
      <c r="CR2238" s="159"/>
      <c r="CS2238" s="68"/>
      <c r="CT2238" s="163"/>
      <c r="EC2238" s="366" t="str">
        <f t="shared" si="274"/>
        <v>NARIÑO_EL PEÑOL</v>
      </c>
      <c r="ED2238" s="367"/>
      <c r="EE2238" s="367"/>
      <c r="EF2238" s="368"/>
      <c r="EG2238" s="367"/>
      <c r="EH2238" s="367"/>
      <c r="EI2238" s="367"/>
    </row>
    <row r="2239" spans="1:139" s="164" customFormat="1" ht="25.5">
      <c r="A2239" s="228">
        <v>40527</v>
      </c>
      <c r="B2239" s="205" t="s">
        <v>1824</v>
      </c>
      <c r="C2239" s="205" t="s">
        <v>158</v>
      </c>
      <c r="D2239" s="207" t="s">
        <v>1201</v>
      </c>
      <c r="E2239" s="323" t="s">
        <v>3952</v>
      </c>
      <c r="F2239" s="323"/>
      <c r="G2239" s="204"/>
      <c r="H2239" s="151"/>
      <c r="I2239" s="151"/>
      <c r="J2239" s="151">
        <v>215</v>
      </c>
      <c r="K2239" s="151">
        <v>215</v>
      </c>
      <c r="L2239" s="1"/>
      <c r="M2239" s="73">
        <f t="shared" si="271"/>
        <v>0</v>
      </c>
      <c r="N2239" s="73">
        <f t="shared" si="276"/>
        <v>0</v>
      </c>
      <c r="O2239" s="73">
        <f t="shared" si="277"/>
        <v>0</v>
      </c>
      <c r="P2239" s="73">
        <f t="shared" si="272"/>
        <v>0</v>
      </c>
      <c r="Q2239" s="73"/>
      <c r="R2239" s="73">
        <v>0</v>
      </c>
      <c r="S2239" s="75">
        <f t="shared" si="275"/>
        <v>0</v>
      </c>
      <c r="T2239" s="77">
        <v>0</v>
      </c>
      <c r="U2239" s="284">
        <v>40617</v>
      </c>
      <c r="V2239" s="285"/>
      <c r="W2239" s="284" t="s">
        <v>1585</v>
      </c>
      <c r="X2239" s="286" t="s">
        <v>1586</v>
      </c>
      <c r="Y2239" s="287"/>
      <c r="Z2239" s="300" t="s">
        <v>894</v>
      </c>
      <c r="AA2239" s="301" t="s">
        <v>3101</v>
      </c>
      <c r="AB2239" s="152"/>
      <c r="AC2239" s="153"/>
      <c r="AD2239" s="154"/>
      <c r="AE2239" s="153"/>
      <c r="AF2239" s="153"/>
      <c r="AG2239" s="153"/>
      <c r="AH2239" s="153"/>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c r="BF2239" s="153"/>
      <c r="BG2239" s="153"/>
      <c r="BH2239" s="153"/>
      <c r="BI2239" s="153"/>
      <c r="BJ2239" s="153"/>
      <c r="BK2239" s="153"/>
      <c r="BL2239" s="153"/>
      <c r="BM2239" s="153"/>
      <c r="BN2239" s="153"/>
      <c r="BO2239" s="153"/>
      <c r="BP2239" s="153"/>
      <c r="BQ2239" s="153"/>
      <c r="BR2239" s="153"/>
      <c r="BS2239" s="153"/>
      <c r="BT2239" s="153"/>
      <c r="BU2239" s="153"/>
      <c r="BV2239" s="153"/>
      <c r="BW2239" s="153"/>
      <c r="BX2239" s="153"/>
      <c r="BY2239" s="153"/>
      <c r="BZ2239" s="153"/>
      <c r="CA2239" s="153"/>
      <c r="CB2239" s="153"/>
      <c r="CC2239" s="153"/>
      <c r="CD2239" s="155"/>
      <c r="CE2239" s="156"/>
      <c r="CF2239" s="155"/>
      <c r="CG2239" s="156"/>
      <c r="CH2239" s="155"/>
      <c r="CI2239" s="156"/>
      <c r="CJ2239" s="157">
        <f t="shared" si="273"/>
        <v>0</v>
      </c>
      <c r="CK2239" s="158"/>
      <c r="CL2239" s="159"/>
      <c r="CM2239" s="160"/>
      <c r="CN2239" s="161"/>
      <c r="CO2239" s="162"/>
      <c r="CP2239" s="161"/>
      <c r="CQ2239" s="158"/>
      <c r="CR2239" s="159"/>
      <c r="CS2239" s="68"/>
      <c r="CT2239" s="163"/>
      <c r="EC2239" s="366" t="str">
        <f t="shared" si="274"/>
        <v>NARIÑO_EL ROSARIO</v>
      </c>
      <c r="ED2239" s="367"/>
      <c r="EE2239" s="367"/>
      <c r="EF2239" s="368"/>
      <c r="EG2239" s="367"/>
      <c r="EH2239" s="367"/>
      <c r="EI2239" s="367"/>
    </row>
    <row r="2240" spans="1:139" s="164" customFormat="1" ht="38.25">
      <c r="A2240" s="228">
        <v>40527</v>
      </c>
      <c r="B2240" s="205" t="s">
        <v>1824</v>
      </c>
      <c r="C2240" s="205" t="s">
        <v>3174</v>
      </c>
      <c r="D2240" s="207" t="s">
        <v>1201</v>
      </c>
      <c r="E2240" s="323" t="s">
        <v>3953</v>
      </c>
      <c r="F2240" s="323"/>
      <c r="G2240" s="204"/>
      <c r="H2240" s="151"/>
      <c r="I2240" s="151"/>
      <c r="J2240" s="151">
        <v>98</v>
      </c>
      <c r="K2240" s="151">
        <v>98</v>
      </c>
      <c r="L2240" s="1"/>
      <c r="M2240" s="73">
        <f t="shared" si="271"/>
        <v>0</v>
      </c>
      <c r="N2240" s="73">
        <f t="shared" si="276"/>
        <v>0</v>
      </c>
      <c r="O2240" s="73">
        <f t="shared" si="277"/>
        <v>0</v>
      </c>
      <c r="P2240" s="73">
        <f t="shared" si="272"/>
        <v>0</v>
      </c>
      <c r="Q2240" s="73"/>
      <c r="R2240" s="73">
        <v>0</v>
      </c>
      <c r="S2240" s="75">
        <f t="shared" si="275"/>
        <v>0</v>
      </c>
      <c r="T2240" s="77">
        <v>0</v>
      </c>
      <c r="U2240" s="284">
        <v>40617</v>
      </c>
      <c r="V2240" s="285"/>
      <c r="W2240" s="284" t="s">
        <v>1585</v>
      </c>
      <c r="X2240" s="286" t="s">
        <v>1586</v>
      </c>
      <c r="Y2240" s="287"/>
      <c r="Z2240" s="300" t="s">
        <v>894</v>
      </c>
      <c r="AA2240" s="301" t="s">
        <v>3101</v>
      </c>
      <c r="AB2240" s="152"/>
      <c r="AC2240" s="153"/>
      <c r="AD2240" s="154"/>
      <c r="AE2240" s="153"/>
      <c r="AF2240" s="153"/>
      <c r="AG2240" s="153"/>
      <c r="AH2240" s="153"/>
      <c r="AI2240" s="153"/>
      <c r="AJ2240" s="153"/>
      <c r="AK2240" s="153"/>
      <c r="AL2240" s="153"/>
      <c r="AM2240" s="153"/>
      <c r="AN2240" s="153"/>
      <c r="AO2240" s="153"/>
      <c r="AP2240" s="153"/>
      <c r="AQ2240" s="153"/>
      <c r="AR2240" s="153"/>
      <c r="AS2240" s="153"/>
      <c r="AT2240" s="153"/>
      <c r="AU2240" s="153"/>
      <c r="AV2240" s="153"/>
      <c r="AW2240" s="153"/>
      <c r="AX2240" s="153"/>
      <c r="AY2240" s="153"/>
      <c r="AZ2240" s="153"/>
      <c r="BA2240" s="153"/>
      <c r="BB2240" s="153"/>
      <c r="BC2240" s="153"/>
      <c r="BD2240" s="153"/>
      <c r="BE2240" s="153"/>
      <c r="BF2240" s="153"/>
      <c r="BG2240" s="153"/>
      <c r="BH2240" s="153"/>
      <c r="BI2240" s="153"/>
      <c r="BJ2240" s="153"/>
      <c r="BK2240" s="153"/>
      <c r="BL2240" s="153"/>
      <c r="BM2240" s="153"/>
      <c r="BN2240" s="153"/>
      <c r="BO2240" s="153"/>
      <c r="BP2240" s="153"/>
      <c r="BQ2240" s="153"/>
      <c r="BR2240" s="153"/>
      <c r="BS2240" s="153"/>
      <c r="BT2240" s="153"/>
      <c r="BU2240" s="153"/>
      <c r="BV2240" s="153"/>
      <c r="BW2240" s="153"/>
      <c r="BX2240" s="153"/>
      <c r="BY2240" s="153"/>
      <c r="BZ2240" s="153"/>
      <c r="CA2240" s="153"/>
      <c r="CB2240" s="153"/>
      <c r="CC2240" s="153"/>
      <c r="CD2240" s="155"/>
      <c r="CE2240" s="156"/>
      <c r="CF2240" s="155"/>
      <c r="CG2240" s="156"/>
      <c r="CH2240" s="155"/>
      <c r="CI2240" s="156"/>
      <c r="CJ2240" s="157">
        <f t="shared" si="273"/>
        <v>0</v>
      </c>
      <c r="CK2240" s="158"/>
      <c r="CL2240" s="159"/>
      <c r="CM2240" s="160"/>
      <c r="CN2240" s="161"/>
      <c r="CO2240" s="162"/>
      <c r="CP2240" s="161"/>
      <c r="CQ2240" s="158"/>
      <c r="CR2240" s="159"/>
      <c r="CS2240" s="68"/>
      <c r="CT2240" s="163"/>
      <c r="EC2240" s="366" t="str">
        <f t="shared" si="274"/>
        <v>NARIÑO_EL TABLON DE GOMEZ</v>
      </c>
      <c r="ED2240" s="367"/>
      <c r="EE2240" s="367"/>
      <c r="EF2240" s="368"/>
      <c r="EG2240" s="367"/>
      <c r="EH2240" s="367"/>
      <c r="EI2240" s="367"/>
    </row>
    <row r="2241" spans="1:139" s="164" customFormat="1" ht="25.5">
      <c r="A2241" s="228">
        <v>40527</v>
      </c>
      <c r="B2241" s="205" t="s">
        <v>1824</v>
      </c>
      <c r="C2241" s="205" t="s">
        <v>331</v>
      </c>
      <c r="D2241" s="207" t="s">
        <v>1201</v>
      </c>
      <c r="E2241" s="323" t="s">
        <v>3954</v>
      </c>
      <c r="F2241" s="323"/>
      <c r="G2241" s="204"/>
      <c r="H2241" s="151"/>
      <c r="I2241" s="151"/>
      <c r="J2241" s="151">
        <v>279</v>
      </c>
      <c r="K2241" s="151">
        <v>279</v>
      </c>
      <c r="L2241" s="1"/>
      <c r="M2241" s="73">
        <f t="shared" si="271"/>
        <v>0</v>
      </c>
      <c r="N2241" s="73">
        <f t="shared" si="276"/>
        <v>0</v>
      </c>
      <c r="O2241" s="73">
        <f t="shared" si="277"/>
        <v>0</v>
      </c>
      <c r="P2241" s="73">
        <f t="shared" si="272"/>
        <v>0</v>
      </c>
      <c r="Q2241" s="73"/>
      <c r="R2241" s="73">
        <v>0</v>
      </c>
      <c r="S2241" s="75">
        <f t="shared" si="275"/>
        <v>0</v>
      </c>
      <c r="T2241" s="77">
        <v>0</v>
      </c>
      <c r="U2241" s="284">
        <v>40617</v>
      </c>
      <c r="V2241" s="285"/>
      <c r="W2241" s="284" t="s">
        <v>1585</v>
      </c>
      <c r="X2241" s="286" t="s">
        <v>1586</v>
      </c>
      <c r="Y2241" s="287"/>
      <c r="Z2241" s="300" t="s">
        <v>894</v>
      </c>
      <c r="AA2241" s="301" t="s">
        <v>3101</v>
      </c>
      <c r="AB2241" s="152"/>
      <c r="AC2241" s="153"/>
      <c r="AD2241" s="154"/>
      <c r="AE2241" s="153"/>
      <c r="AF2241" s="153"/>
      <c r="AG2241" s="153"/>
      <c r="AH2241" s="153"/>
      <c r="AI2241" s="153"/>
      <c r="AJ2241" s="153"/>
      <c r="AK2241" s="153"/>
      <c r="AL2241" s="153"/>
      <c r="AM2241" s="153"/>
      <c r="AN2241" s="153"/>
      <c r="AO2241" s="153"/>
      <c r="AP2241" s="153"/>
      <c r="AQ2241" s="153"/>
      <c r="AR2241" s="153"/>
      <c r="AS2241" s="153"/>
      <c r="AT2241" s="153"/>
      <c r="AU2241" s="153"/>
      <c r="AV2241" s="153"/>
      <c r="AW2241" s="153"/>
      <c r="AX2241" s="153"/>
      <c r="AY2241" s="153"/>
      <c r="AZ2241" s="153"/>
      <c r="BA2241" s="153"/>
      <c r="BB2241" s="153"/>
      <c r="BC2241" s="153"/>
      <c r="BD2241" s="153"/>
      <c r="BE2241" s="153"/>
      <c r="BF2241" s="153"/>
      <c r="BG2241" s="153"/>
      <c r="BH2241" s="153"/>
      <c r="BI2241" s="153"/>
      <c r="BJ2241" s="153"/>
      <c r="BK2241" s="153"/>
      <c r="BL2241" s="153"/>
      <c r="BM2241" s="153"/>
      <c r="BN2241" s="153"/>
      <c r="BO2241" s="153"/>
      <c r="BP2241" s="153"/>
      <c r="BQ2241" s="153"/>
      <c r="BR2241" s="153"/>
      <c r="BS2241" s="153"/>
      <c r="BT2241" s="153"/>
      <c r="BU2241" s="153"/>
      <c r="BV2241" s="153"/>
      <c r="BW2241" s="153"/>
      <c r="BX2241" s="153"/>
      <c r="BY2241" s="153"/>
      <c r="BZ2241" s="153"/>
      <c r="CA2241" s="153"/>
      <c r="CB2241" s="153"/>
      <c r="CC2241" s="153"/>
      <c r="CD2241" s="155"/>
      <c r="CE2241" s="156"/>
      <c r="CF2241" s="155"/>
      <c r="CG2241" s="156"/>
      <c r="CH2241" s="155"/>
      <c r="CI2241" s="156"/>
      <c r="CJ2241" s="157">
        <f t="shared" si="273"/>
        <v>0</v>
      </c>
      <c r="CK2241" s="158"/>
      <c r="CL2241" s="159"/>
      <c r="CM2241" s="160"/>
      <c r="CN2241" s="161"/>
      <c r="CO2241" s="162"/>
      <c r="CP2241" s="161"/>
      <c r="CQ2241" s="158"/>
      <c r="CR2241" s="159"/>
      <c r="CS2241" s="68"/>
      <c r="CT2241" s="163"/>
      <c r="EC2241" s="366" t="str">
        <f t="shared" si="274"/>
        <v>NARIÑO_EL TAMBO</v>
      </c>
      <c r="ED2241" s="367"/>
      <c r="EE2241" s="367"/>
      <c r="EF2241" s="368"/>
      <c r="EG2241" s="367"/>
      <c r="EH2241" s="367"/>
      <c r="EI2241" s="367"/>
    </row>
    <row r="2242" spans="1:139" s="164" customFormat="1" ht="38.25">
      <c r="A2242" s="228">
        <v>40527</v>
      </c>
      <c r="B2242" s="205" t="s">
        <v>1824</v>
      </c>
      <c r="C2242" s="205" t="s">
        <v>41</v>
      </c>
      <c r="D2242" s="207" t="s">
        <v>1201</v>
      </c>
      <c r="E2242" s="323" t="s">
        <v>3976</v>
      </c>
      <c r="F2242" s="323"/>
      <c r="G2242" s="204"/>
      <c r="H2242" s="151"/>
      <c r="I2242" s="151"/>
      <c r="J2242" s="151">
        <v>686</v>
      </c>
      <c r="K2242" s="151">
        <v>686</v>
      </c>
      <c r="L2242" s="1"/>
      <c r="M2242" s="73">
        <f t="shared" si="271"/>
        <v>0</v>
      </c>
      <c r="N2242" s="73">
        <f t="shared" si="276"/>
        <v>0</v>
      </c>
      <c r="O2242" s="73">
        <f t="shared" si="277"/>
        <v>0</v>
      </c>
      <c r="P2242" s="73">
        <f t="shared" si="272"/>
        <v>0</v>
      </c>
      <c r="Q2242" s="73"/>
      <c r="R2242" s="73">
        <v>0</v>
      </c>
      <c r="S2242" s="75">
        <f t="shared" si="275"/>
        <v>0</v>
      </c>
      <c r="T2242" s="77">
        <v>0</v>
      </c>
      <c r="U2242" s="284">
        <v>40617</v>
      </c>
      <c r="V2242" s="285"/>
      <c r="W2242" s="284" t="s">
        <v>1585</v>
      </c>
      <c r="X2242" s="286" t="s">
        <v>1586</v>
      </c>
      <c r="Y2242" s="287"/>
      <c r="Z2242" s="296" t="s">
        <v>894</v>
      </c>
      <c r="AA2242" s="301" t="s">
        <v>3101</v>
      </c>
      <c r="AB2242" s="152"/>
      <c r="AC2242" s="153"/>
      <c r="AD2242" s="154"/>
      <c r="AE2242" s="153"/>
      <c r="AF2242" s="153"/>
      <c r="AG2242" s="153"/>
      <c r="AH2242" s="153"/>
      <c r="AI2242" s="153"/>
      <c r="AJ2242" s="153"/>
      <c r="AK2242" s="153"/>
      <c r="AL2242" s="153"/>
      <c r="AM2242" s="153"/>
      <c r="AN2242" s="153"/>
      <c r="AO2242" s="153"/>
      <c r="AP2242" s="153"/>
      <c r="AQ2242" s="153"/>
      <c r="AR2242" s="153"/>
      <c r="AS2242" s="153"/>
      <c r="AT2242" s="153"/>
      <c r="AU2242" s="153"/>
      <c r="AV2242" s="153"/>
      <c r="AW2242" s="153"/>
      <c r="AX2242" s="153"/>
      <c r="AY2242" s="153"/>
      <c r="AZ2242" s="153"/>
      <c r="BA2242" s="153"/>
      <c r="BB2242" s="153"/>
      <c r="BC2242" s="153"/>
      <c r="BD2242" s="153"/>
      <c r="BE2242" s="153"/>
      <c r="BF2242" s="153"/>
      <c r="BG2242" s="153"/>
      <c r="BH2242" s="153"/>
      <c r="BI2242" s="153"/>
      <c r="BJ2242" s="153"/>
      <c r="BK2242" s="153"/>
      <c r="BL2242" s="153"/>
      <c r="BM2242" s="153"/>
      <c r="BN2242" s="153"/>
      <c r="BO2242" s="153"/>
      <c r="BP2242" s="153"/>
      <c r="BQ2242" s="153"/>
      <c r="BR2242" s="153"/>
      <c r="BS2242" s="153"/>
      <c r="BT2242" s="153"/>
      <c r="BU2242" s="153"/>
      <c r="BV2242" s="153"/>
      <c r="BW2242" s="153"/>
      <c r="BX2242" s="153"/>
      <c r="BY2242" s="153"/>
      <c r="BZ2242" s="153"/>
      <c r="CA2242" s="153"/>
      <c r="CB2242" s="153"/>
      <c r="CC2242" s="153"/>
      <c r="CD2242" s="155"/>
      <c r="CE2242" s="156"/>
      <c r="CF2242" s="155"/>
      <c r="CG2242" s="156"/>
      <c r="CH2242" s="155"/>
      <c r="CI2242" s="156"/>
      <c r="CJ2242" s="157">
        <f t="shared" si="273"/>
        <v>0</v>
      </c>
      <c r="CK2242" s="158"/>
      <c r="CL2242" s="159"/>
      <c r="CM2242" s="160"/>
      <c r="CN2242" s="161"/>
      <c r="CO2242" s="162"/>
      <c r="CP2242" s="161"/>
      <c r="CQ2242" s="158"/>
      <c r="CR2242" s="159"/>
      <c r="CS2242" s="68"/>
      <c r="CT2242" s="163"/>
      <c r="EC2242" s="366" t="str">
        <f t="shared" si="274"/>
        <v>NARIÑO_FRANCISCO PIZARRO</v>
      </c>
      <c r="ED2242" s="367"/>
      <c r="EE2242" s="367"/>
      <c r="EF2242" s="368"/>
      <c r="EG2242" s="367"/>
      <c r="EH2242" s="367"/>
      <c r="EI2242" s="367"/>
    </row>
    <row r="2243" spans="1:139" s="277" customFormat="1" ht="108">
      <c r="A2243" s="228">
        <v>40527</v>
      </c>
      <c r="B2243" s="205" t="s">
        <v>1824</v>
      </c>
      <c r="C2243" s="205" t="s">
        <v>2984</v>
      </c>
      <c r="D2243" s="207" t="s">
        <v>1878</v>
      </c>
      <c r="E2243" s="323" t="s">
        <v>3955</v>
      </c>
      <c r="F2243" s="323"/>
      <c r="G2243" s="204"/>
      <c r="H2243" s="151"/>
      <c r="I2243" s="151"/>
      <c r="J2243" s="151">
        <v>389</v>
      </c>
      <c r="K2243" s="151">
        <v>103</v>
      </c>
      <c r="L2243" s="1"/>
      <c r="M2243" s="73">
        <f t="shared" ref="M2243:M2306" si="278">CJ2243</f>
        <v>0</v>
      </c>
      <c r="N2243" s="73">
        <f t="shared" si="276"/>
        <v>0</v>
      </c>
      <c r="O2243" s="73">
        <f t="shared" si="277"/>
        <v>0</v>
      </c>
      <c r="P2243" s="73">
        <f t="shared" ref="P2243:P2306" si="279">CL2243</f>
        <v>0</v>
      </c>
      <c r="Q2243" s="73"/>
      <c r="R2243" s="73">
        <v>0</v>
      </c>
      <c r="S2243" s="75">
        <f t="shared" si="275"/>
        <v>0</v>
      </c>
      <c r="T2243" s="77">
        <v>0</v>
      </c>
      <c r="U2243" s="66">
        <v>40527</v>
      </c>
      <c r="V2243" s="79"/>
      <c r="W2243" s="66" t="s">
        <v>1585</v>
      </c>
      <c r="X2243" s="24" t="s">
        <v>1586</v>
      </c>
      <c r="Y2243" s="62"/>
      <c r="Z2243" s="169" t="s">
        <v>894</v>
      </c>
      <c r="AA2243" s="166" t="s">
        <v>3099</v>
      </c>
      <c r="AB2243" s="152"/>
      <c r="AC2243" s="153"/>
      <c r="AD2243" s="154"/>
      <c r="AE2243" s="153"/>
      <c r="AF2243" s="153"/>
      <c r="AG2243" s="153"/>
      <c r="AH2243" s="153"/>
      <c r="AI2243" s="153"/>
      <c r="AJ2243" s="153"/>
      <c r="AK2243" s="153"/>
      <c r="AL2243" s="153"/>
      <c r="AM2243" s="153"/>
      <c r="AN2243" s="153"/>
      <c r="AO2243" s="153"/>
      <c r="AP2243" s="153"/>
      <c r="AQ2243" s="153"/>
      <c r="AR2243" s="153"/>
      <c r="AS2243" s="153"/>
      <c r="AT2243" s="153"/>
      <c r="AU2243" s="153"/>
      <c r="AV2243" s="153"/>
      <c r="AW2243" s="153"/>
      <c r="AX2243" s="153"/>
      <c r="AY2243" s="153"/>
      <c r="AZ2243" s="153"/>
      <c r="BA2243" s="153"/>
      <c r="BB2243" s="153"/>
      <c r="BC2243" s="153"/>
      <c r="BD2243" s="153"/>
      <c r="BE2243" s="153"/>
      <c r="BF2243" s="153"/>
      <c r="BG2243" s="153"/>
      <c r="BH2243" s="153"/>
      <c r="BI2243" s="153"/>
      <c r="BJ2243" s="153"/>
      <c r="BK2243" s="153"/>
      <c r="BL2243" s="153"/>
      <c r="BM2243" s="153"/>
      <c r="BN2243" s="153"/>
      <c r="BO2243" s="153"/>
      <c r="BP2243" s="153"/>
      <c r="BQ2243" s="153"/>
      <c r="BR2243" s="153"/>
      <c r="BS2243" s="153"/>
      <c r="BT2243" s="153"/>
      <c r="BU2243" s="153"/>
      <c r="BV2243" s="153"/>
      <c r="BW2243" s="153"/>
      <c r="BX2243" s="153"/>
      <c r="BY2243" s="153"/>
      <c r="BZ2243" s="153"/>
      <c r="CA2243" s="153"/>
      <c r="CB2243" s="153"/>
      <c r="CC2243" s="153"/>
      <c r="CD2243" s="155"/>
      <c r="CE2243" s="156"/>
      <c r="CF2243" s="155"/>
      <c r="CG2243" s="156"/>
      <c r="CH2243" s="155"/>
      <c r="CI2243" s="156"/>
      <c r="CJ2243" s="157">
        <f t="shared" ref="CJ2243:CJ2306" si="280">AC2243+AE2243+AG2243+AI2243+AK2243+AM2243+AO2243+AQ2243+AS2243+AU2243+AW2243+AY2243+BA2243+BC2243+BE2243+BG2243+BI2243+BK2243+BM2243+BO2243+BQ2243+BS2243+BU2243+BW2243+BY2243+CA2243+CC2243+CE2243+CG2243+CI2243</f>
        <v>0</v>
      </c>
      <c r="CK2243" s="158"/>
      <c r="CL2243" s="159"/>
      <c r="CM2243" s="160"/>
      <c r="CN2243" s="161"/>
      <c r="CO2243" s="162"/>
      <c r="CP2243" s="161"/>
      <c r="CQ2243" s="158"/>
      <c r="CR2243" s="159"/>
      <c r="CS2243" s="68"/>
      <c r="CT2243" s="163"/>
      <c r="EC2243" s="366" t="str">
        <f t="shared" ref="EC2243:EC2306" si="281">B2243&amp;"_"&amp;C2243</f>
        <v>NARIÑO_FUNES</v>
      </c>
      <c r="ED2243" s="367"/>
      <c r="EE2243" s="367"/>
      <c r="EF2243" s="368"/>
      <c r="EG2243" s="367"/>
      <c r="EH2243" s="367"/>
      <c r="EI2243" s="367"/>
    </row>
    <row r="2244" spans="1:139" s="277" customFormat="1" ht="25.5">
      <c r="A2244" s="228">
        <v>40527</v>
      </c>
      <c r="B2244" s="205" t="s">
        <v>1824</v>
      </c>
      <c r="C2244" s="205" t="s">
        <v>2984</v>
      </c>
      <c r="D2244" s="207" t="s">
        <v>1201</v>
      </c>
      <c r="E2244" s="323" t="s">
        <v>3955</v>
      </c>
      <c r="F2244" s="323"/>
      <c r="G2244" s="204"/>
      <c r="H2244" s="151"/>
      <c r="I2244" s="151"/>
      <c r="J2244" s="151">
        <v>666</v>
      </c>
      <c r="K2244" s="151">
        <v>666</v>
      </c>
      <c r="L2244" s="1"/>
      <c r="M2244" s="73">
        <f t="shared" si="278"/>
        <v>0</v>
      </c>
      <c r="N2244" s="73">
        <f t="shared" si="276"/>
        <v>0</v>
      </c>
      <c r="O2244" s="73">
        <f t="shared" si="277"/>
        <v>0</v>
      </c>
      <c r="P2244" s="73">
        <f t="shared" si="279"/>
        <v>0</v>
      </c>
      <c r="Q2244" s="73"/>
      <c r="R2244" s="73">
        <v>0</v>
      </c>
      <c r="S2244" s="75">
        <f t="shared" si="275"/>
        <v>0</v>
      </c>
      <c r="T2244" s="77">
        <v>0</v>
      </c>
      <c r="U2244" s="284">
        <v>40617</v>
      </c>
      <c r="V2244" s="285"/>
      <c r="W2244" s="284" t="s">
        <v>1585</v>
      </c>
      <c r="X2244" s="286" t="s">
        <v>1586</v>
      </c>
      <c r="Y2244" s="287"/>
      <c r="Z2244" s="300" t="s">
        <v>894</v>
      </c>
      <c r="AA2244" s="301" t="s">
        <v>3101</v>
      </c>
      <c r="AB2244" s="152"/>
      <c r="AC2244" s="153"/>
      <c r="AD2244" s="154"/>
      <c r="AE2244" s="153"/>
      <c r="AF2244" s="153"/>
      <c r="AG2244" s="153"/>
      <c r="AH2244" s="153"/>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c r="BF2244" s="153"/>
      <c r="BG2244" s="153"/>
      <c r="BH2244" s="153"/>
      <c r="BI2244" s="153"/>
      <c r="BJ2244" s="153"/>
      <c r="BK2244" s="153"/>
      <c r="BL2244" s="153"/>
      <c r="BM2244" s="153"/>
      <c r="BN2244" s="153"/>
      <c r="BO2244" s="153"/>
      <c r="BP2244" s="153"/>
      <c r="BQ2244" s="153"/>
      <c r="BR2244" s="153"/>
      <c r="BS2244" s="153"/>
      <c r="BT2244" s="153"/>
      <c r="BU2244" s="153"/>
      <c r="BV2244" s="153"/>
      <c r="BW2244" s="153"/>
      <c r="BX2244" s="153"/>
      <c r="BY2244" s="153"/>
      <c r="BZ2244" s="153"/>
      <c r="CA2244" s="153"/>
      <c r="CB2244" s="153"/>
      <c r="CC2244" s="153"/>
      <c r="CD2244" s="155"/>
      <c r="CE2244" s="156"/>
      <c r="CF2244" s="155"/>
      <c r="CG2244" s="156"/>
      <c r="CH2244" s="155"/>
      <c r="CI2244" s="156"/>
      <c r="CJ2244" s="157">
        <f t="shared" si="280"/>
        <v>0</v>
      </c>
      <c r="CK2244" s="158"/>
      <c r="CL2244" s="159"/>
      <c r="CM2244" s="160"/>
      <c r="CN2244" s="161"/>
      <c r="CO2244" s="162"/>
      <c r="CP2244" s="161"/>
      <c r="CQ2244" s="158"/>
      <c r="CR2244" s="159"/>
      <c r="CS2244" s="68"/>
      <c r="CT2244" s="163"/>
      <c r="EC2244" s="366" t="str">
        <f t="shared" si="281"/>
        <v>NARIÑO_FUNES</v>
      </c>
      <c r="ED2244" s="367"/>
      <c r="EE2244" s="367"/>
      <c r="EF2244" s="368"/>
      <c r="EG2244" s="367"/>
      <c r="EH2244" s="367"/>
      <c r="EI2244" s="367"/>
    </row>
    <row r="2245" spans="1:139" s="164" customFormat="1" ht="25.5">
      <c r="A2245" s="228">
        <v>40527</v>
      </c>
      <c r="B2245" s="205" t="s">
        <v>1824</v>
      </c>
      <c r="C2245" s="205" t="s">
        <v>3041</v>
      </c>
      <c r="D2245" s="207" t="s">
        <v>1201</v>
      </c>
      <c r="E2245" s="323" t="s">
        <v>3956</v>
      </c>
      <c r="F2245" s="323"/>
      <c r="G2245" s="204"/>
      <c r="H2245" s="151"/>
      <c r="I2245" s="151"/>
      <c r="J2245" s="151">
        <v>800</v>
      </c>
      <c r="K2245" s="151">
        <v>800</v>
      </c>
      <c r="L2245" s="1"/>
      <c r="M2245" s="73">
        <f t="shared" si="278"/>
        <v>0</v>
      </c>
      <c r="N2245" s="73">
        <f t="shared" si="276"/>
        <v>0</v>
      </c>
      <c r="O2245" s="73">
        <f t="shared" si="277"/>
        <v>0</v>
      </c>
      <c r="P2245" s="73">
        <f t="shared" si="279"/>
        <v>0</v>
      </c>
      <c r="Q2245" s="73"/>
      <c r="R2245" s="73">
        <v>0</v>
      </c>
      <c r="S2245" s="75">
        <f t="shared" si="275"/>
        <v>0</v>
      </c>
      <c r="T2245" s="77">
        <v>0</v>
      </c>
      <c r="U2245" s="284">
        <v>40617</v>
      </c>
      <c r="V2245" s="285"/>
      <c r="W2245" s="284" t="s">
        <v>1585</v>
      </c>
      <c r="X2245" s="286" t="s">
        <v>1586</v>
      </c>
      <c r="Y2245" s="287"/>
      <c r="Z2245" s="300" t="s">
        <v>894</v>
      </c>
      <c r="AA2245" s="301" t="s">
        <v>3101</v>
      </c>
      <c r="AB2245" s="152"/>
      <c r="AC2245" s="153"/>
      <c r="AD2245" s="154"/>
      <c r="AE2245" s="153"/>
      <c r="AF2245" s="153"/>
      <c r="AG2245" s="153"/>
      <c r="AH2245" s="153"/>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c r="BF2245" s="153"/>
      <c r="BG2245" s="153"/>
      <c r="BH2245" s="153"/>
      <c r="BI2245" s="153"/>
      <c r="BJ2245" s="153"/>
      <c r="BK2245" s="153"/>
      <c r="BL2245" s="153"/>
      <c r="BM2245" s="153"/>
      <c r="BN2245" s="153"/>
      <c r="BO2245" s="153"/>
      <c r="BP2245" s="153"/>
      <c r="BQ2245" s="153"/>
      <c r="BR2245" s="153"/>
      <c r="BS2245" s="153"/>
      <c r="BT2245" s="153"/>
      <c r="BU2245" s="153"/>
      <c r="BV2245" s="153"/>
      <c r="BW2245" s="153"/>
      <c r="BX2245" s="153"/>
      <c r="BY2245" s="153"/>
      <c r="BZ2245" s="153"/>
      <c r="CA2245" s="153"/>
      <c r="CB2245" s="153"/>
      <c r="CC2245" s="153"/>
      <c r="CD2245" s="155"/>
      <c r="CE2245" s="156"/>
      <c r="CF2245" s="155"/>
      <c r="CG2245" s="156"/>
      <c r="CH2245" s="155"/>
      <c r="CI2245" s="156"/>
      <c r="CJ2245" s="157">
        <f t="shared" si="280"/>
        <v>0</v>
      </c>
      <c r="CK2245" s="158"/>
      <c r="CL2245" s="159"/>
      <c r="CM2245" s="160"/>
      <c r="CN2245" s="161"/>
      <c r="CO2245" s="162"/>
      <c r="CP2245" s="161"/>
      <c r="CQ2245" s="158"/>
      <c r="CR2245" s="159"/>
      <c r="CS2245" s="68"/>
      <c r="CT2245" s="163"/>
      <c r="EC2245" s="366" t="str">
        <f t="shared" si="281"/>
        <v>NARIÑO_GUACHUCAL</v>
      </c>
      <c r="ED2245" s="367"/>
      <c r="EE2245" s="367"/>
      <c r="EF2245" s="368"/>
      <c r="EG2245" s="367"/>
      <c r="EH2245" s="367"/>
      <c r="EI2245" s="367"/>
    </row>
    <row r="2246" spans="1:139" s="164" customFormat="1" ht="25.5">
      <c r="A2246" s="228">
        <v>40527</v>
      </c>
      <c r="B2246" s="205" t="s">
        <v>1824</v>
      </c>
      <c r="C2246" s="205" t="s">
        <v>2828</v>
      </c>
      <c r="D2246" s="207" t="s">
        <v>1201</v>
      </c>
      <c r="E2246" s="323" t="s">
        <v>3957</v>
      </c>
      <c r="F2246" s="323"/>
      <c r="G2246" s="204"/>
      <c r="H2246" s="151"/>
      <c r="I2246" s="151"/>
      <c r="J2246" s="151">
        <v>13</v>
      </c>
      <c r="K2246" s="151">
        <v>13</v>
      </c>
      <c r="L2246" s="1"/>
      <c r="M2246" s="73">
        <f t="shared" si="278"/>
        <v>0</v>
      </c>
      <c r="N2246" s="73">
        <f t="shared" si="276"/>
        <v>0</v>
      </c>
      <c r="O2246" s="73">
        <f t="shared" si="277"/>
        <v>0</v>
      </c>
      <c r="P2246" s="73">
        <f t="shared" si="279"/>
        <v>0</v>
      </c>
      <c r="Q2246" s="73"/>
      <c r="R2246" s="73">
        <v>0</v>
      </c>
      <c r="S2246" s="75">
        <f t="shared" si="275"/>
        <v>0</v>
      </c>
      <c r="T2246" s="77">
        <v>0</v>
      </c>
      <c r="U2246" s="284">
        <v>40617</v>
      </c>
      <c r="V2246" s="285"/>
      <c r="W2246" s="284" t="s">
        <v>1585</v>
      </c>
      <c r="X2246" s="286" t="s">
        <v>1586</v>
      </c>
      <c r="Y2246" s="287"/>
      <c r="Z2246" s="300" t="s">
        <v>894</v>
      </c>
      <c r="AA2246" s="301" t="s">
        <v>3101</v>
      </c>
      <c r="AB2246" s="152"/>
      <c r="AC2246" s="153"/>
      <c r="AD2246" s="154"/>
      <c r="AE2246" s="153"/>
      <c r="AF2246" s="153"/>
      <c r="AG2246" s="153"/>
      <c r="AH2246" s="153"/>
      <c r="AI2246" s="153"/>
      <c r="AJ2246" s="153"/>
      <c r="AK2246" s="153"/>
      <c r="AL2246" s="153"/>
      <c r="AM2246" s="153"/>
      <c r="AN2246" s="153"/>
      <c r="AO2246" s="153"/>
      <c r="AP2246" s="153"/>
      <c r="AQ2246" s="153"/>
      <c r="AR2246" s="153"/>
      <c r="AS2246" s="153"/>
      <c r="AT2246" s="153"/>
      <c r="AU2246" s="153"/>
      <c r="AV2246" s="153"/>
      <c r="AW2246" s="153"/>
      <c r="AX2246" s="153"/>
      <c r="AY2246" s="153"/>
      <c r="AZ2246" s="153"/>
      <c r="BA2246" s="153"/>
      <c r="BB2246" s="153"/>
      <c r="BC2246" s="153"/>
      <c r="BD2246" s="153"/>
      <c r="BE2246" s="153"/>
      <c r="BF2246" s="153"/>
      <c r="BG2246" s="153"/>
      <c r="BH2246" s="153"/>
      <c r="BI2246" s="153"/>
      <c r="BJ2246" s="153"/>
      <c r="BK2246" s="153"/>
      <c r="BL2246" s="153"/>
      <c r="BM2246" s="153"/>
      <c r="BN2246" s="153"/>
      <c r="BO2246" s="153"/>
      <c r="BP2246" s="153"/>
      <c r="BQ2246" s="153"/>
      <c r="BR2246" s="153"/>
      <c r="BS2246" s="153"/>
      <c r="BT2246" s="153"/>
      <c r="BU2246" s="153"/>
      <c r="BV2246" s="153"/>
      <c r="BW2246" s="153"/>
      <c r="BX2246" s="153"/>
      <c r="BY2246" s="153"/>
      <c r="BZ2246" s="153"/>
      <c r="CA2246" s="153"/>
      <c r="CB2246" s="153"/>
      <c r="CC2246" s="153"/>
      <c r="CD2246" s="155"/>
      <c r="CE2246" s="156"/>
      <c r="CF2246" s="155"/>
      <c r="CG2246" s="156"/>
      <c r="CH2246" s="155"/>
      <c r="CI2246" s="156"/>
      <c r="CJ2246" s="157">
        <f t="shared" si="280"/>
        <v>0</v>
      </c>
      <c r="CK2246" s="158"/>
      <c r="CL2246" s="159"/>
      <c r="CM2246" s="160"/>
      <c r="CN2246" s="161"/>
      <c r="CO2246" s="162"/>
      <c r="CP2246" s="161"/>
      <c r="CQ2246" s="158"/>
      <c r="CR2246" s="159"/>
      <c r="CS2246" s="68"/>
      <c r="CT2246" s="163"/>
      <c r="EC2246" s="366" t="str">
        <f t="shared" si="281"/>
        <v>NARIÑO_GUAITARILLA</v>
      </c>
      <c r="ED2246" s="367"/>
      <c r="EE2246" s="367"/>
      <c r="EF2246" s="368"/>
      <c r="EG2246" s="367"/>
      <c r="EH2246" s="367"/>
      <c r="EI2246" s="367"/>
    </row>
    <row r="2247" spans="1:139" s="164" customFormat="1" ht="25.5">
      <c r="A2247" s="228">
        <v>40527</v>
      </c>
      <c r="B2247" s="205" t="s">
        <v>1824</v>
      </c>
      <c r="C2247" s="205" t="s">
        <v>80</v>
      </c>
      <c r="D2247" s="207" t="s">
        <v>1201</v>
      </c>
      <c r="E2247" s="323" t="s">
        <v>3960</v>
      </c>
      <c r="F2247" s="323"/>
      <c r="G2247" s="204"/>
      <c r="H2247" s="151"/>
      <c r="I2247" s="151"/>
      <c r="J2247" s="151">
        <v>1716</v>
      </c>
      <c r="K2247" s="151">
        <v>1716</v>
      </c>
      <c r="L2247" s="1"/>
      <c r="M2247" s="73">
        <f t="shared" si="278"/>
        <v>0</v>
      </c>
      <c r="N2247" s="73">
        <f t="shared" si="276"/>
        <v>0</v>
      </c>
      <c r="O2247" s="73">
        <f t="shared" si="277"/>
        <v>0</v>
      </c>
      <c r="P2247" s="73">
        <f t="shared" si="279"/>
        <v>0</v>
      </c>
      <c r="Q2247" s="73"/>
      <c r="R2247" s="73">
        <v>0</v>
      </c>
      <c r="S2247" s="75">
        <f t="shared" si="275"/>
        <v>0</v>
      </c>
      <c r="T2247" s="77">
        <v>0</v>
      </c>
      <c r="U2247" s="284">
        <v>40617</v>
      </c>
      <c r="V2247" s="285"/>
      <c r="W2247" s="284" t="s">
        <v>1585</v>
      </c>
      <c r="X2247" s="286" t="s">
        <v>1586</v>
      </c>
      <c r="Y2247" s="287"/>
      <c r="Z2247" s="300" t="s">
        <v>894</v>
      </c>
      <c r="AA2247" s="301" t="s">
        <v>3101</v>
      </c>
      <c r="AB2247" s="152"/>
      <c r="AC2247" s="153"/>
      <c r="AD2247" s="154"/>
      <c r="AE2247" s="153"/>
      <c r="AF2247" s="153"/>
      <c r="AG2247" s="153"/>
      <c r="AH2247" s="153"/>
      <c r="AI2247" s="153"/>
      <c r="AJ2247" s="153"/>
      <c r="AK2247" s="153"/>
      <c r="AL2247" s="153"/>
      <c r="AM2247" s="153"/>
      <c r="AN2247" s="153"/>
      <c r="AO2247" s="153"/>
      <c r="AP2247" s="153"/>
      <c r="AQ2247" s="153"/>
      <c r="AR2247" s="153"/>
      <c r="AS2247" s="153"/>
      <c r="AT2247" s="153"/>
      <c r="AU2247" s="153"/>
      <c r="AV2247" s="153"/>
      <c r="AW2247" s="153"/>
      <c r="AX2247" s="153"/>
      <c r="AY2247" s="153"/>
      <c r="AZ2247" s="153"/>
      <c r="BA2247" s="153"/>
      <c r="BB2247" s="153"/>
      <c r="BC2247" s="153"/>
      <c r="BD2247" s="153"/>
      <c r="BE2247" s="153"/>
      <c r="BF2247" s="153"/>
      <c r="BG2247" s="153"/>
      <c r="BH2247" s="153"/>
      <c r="BI2247" s="153"/>
      <c r="BJ2247" s="153"/>
      <c r="BK2247" s="153"/>
      <c r="BL2247" s="153"/>
      <c r="BM2247" s="153"/>
      <c r="BN2247" s="153"/>
      <c r="BO2247" s="153"/>
      <c r="BP2247" s="153"/>
      <c r="BQ2247" s="153"/>
      <c r="BR2247" s="153"/>
      <c r="BS2247" s="153"/>
      <c r="BT2247" s="153"/>
      <c r="BU2247" s="153"/>
      <c r="BV2247" s="153"/>
      <c r="BW2247" s="153"/>
      <c r="BX2247" s="153"/>
      <c r="BY2247" s="153"/>
      <c r="BZ2247" s="153"/>
      <c r="CA2247" s="153"/>
      <c r="CB2247" s="153"/>
      <c r="CC2247" s="153"/>
      <c r="CD2247" s="155"/>
      <c r="CE2247" s="156"/>
      <c r="CF2247" s="155"/>
      <c r="CG2247" s="156"/>
      <c r="CH2247" s="155"/>
      <c r="CI2247" s="156"/>
      <c r="CJ2247" s="157">
        <f t="shared" si="280"/>
        <v>0</v>
      </c>
      <c r="CK2247" s="158"/>
      <c r="CL2247" s="159"/>
      <c r="CM2247" s="160"/>
      <c r="CN2247" s="161"/>
      <c r="CO2247" s="162"/>
      <c r="CP2247" s="161"/>
      <c r="CQ2247" s="158"/>
      <c r="CR2247" s="159"/>
      <c r="CS2247" s="68"/>
      <c r="CT2247" s="163"/>
      <c r="EC2247" s="366" t="str">
        <f t="shared" si="281"/>
        <v>NARIÑO_IMUES</v>
      </c>
      <c r="ED2247" s="367"/>
      <c r="EE2247" s="367"/>
      <c r="EF2247" s="368"/>
      <c r="EG2247" s="367"/>
      <c r="EH2247" s="367"/>
      <c r="EI2247" s="367"/>
    </row>
    <row r="2248" spans="1:139" s="164" customFormat="1" ht="25.5">
      <c r="A2248" s="228">
        <v>40527</v>
      </c>
      <c r="B2248" s="205" t="s">
        <v>1824</v>
      </c>
      <c r="C2248" s="205" t="s">
        <v>255</v>
      </c>
      <c r="D2248" s="207" t="s">
        <v>1201</v>
      </c>
      <c r="E2248" s="323" t="s">
        <v>3962</v>
      </c>
      <c r="F2248" s="323"/>
      <c r="G2248" s="204"/>
      <c r="H2248" s="151"/>
      <c r="I2248" s="151"/>
      <c r="J2248" s="151">
        <v>1341</v>
      </c>
      <c r="K2248" s="151">
        <v>1341</v>
      </c>
      <c r="L2248" s="1"/>
      <c r="M2248" s="73">
        <f t="shared" si="278"/>
        <v>0</v>
      </c>
      <c r="N2248" s="73">
        <f t="shared" si="276"/>
        <v>0</v>
      </c>
      <c r="O2248" s="73">
        <f t="shared" si="277"/>
        <v>0</v>
      </c>
      <c r="P2248" s="73">
        <f t="shared" si="279"/>
        <v>0</v>
      </c>
      <c r="Q2248" s="73"/>
      <c r="R2248" s="73">
        <v>0</v>
      </c>
      <c r="S2248" s="75">
        <f t="shared" si="275"/>
        <v>0</v>
      </c>
      <c r="T2248" s="77">
        <v>0</v>
      </c>
      <c r="U2248" s="284">
        <v>40617</v>
      </c>
      <c r="V2248" s="285"/>
      <c r="W2248" s="284" t="s">
        <v>1585</v>
      </c>
      <c r="X2248" s="286" t="s">
        <v>1586</v>
      </c>
      <c r="Y2248" s="287"/>
      <c r="Z2248" s="300" t="s">
        <v>894</v>
      </c>
      <c r="AA2248" s="301" t="s">
        <v>3101</v>
      </c>
      <c r="AB2248" s="152"/>
      <c r="AC2248" s="153"/>
      <c r="AD2248" s="154"/>
      <c r="AE2248" s="153"/>
      <c r="AF2248" s="153"/>
      <c r="AG2248" s="153"/>
      <c r="AH2248" s="153"/>
      <c r="AI2248" s="153"/>
      <c r="AJ2248" s="153"/>
      <c r="AK2248" s="153"/>
      <c r="AL2248" s="153"/>
      <c r="AM2248" s="153"/>
      <c r="AN2248" s="153"/>
      <c r="AO2248" s="153"/>
      <c r="AP2248" s="153"/>
      <c r="AQ2248" s="153"/>
      <c r="AR2248" s="153"/>
      <c r="AS2248" s="153"/>
      <c r="AT2248" s="153"/>
      <c r="AU2248" s="153"/>
      <c r="AV2248" s="153"/>
      <c r="AW2248" s="153"/>
      <c r="AX2248" s="153"/>
      <c r="AY2248" s="153"/>
      <c r="AZ2248" s="153"/>
      <c r="BA2248" s="153"/>
      <c r="BB2248" s="153"/>
      <c r="BC2248" s="153"/>
      <c r="BD2248" s="153"/>
      <c r="BE2248" s="153"/>
      <c r="BF2248" s="153"/>
      <c r="BG2248" s="153"/>
      <c r="BH2248" s="153"/>
      <c r="BI2248" s="153"/>
      <c r="BJ2248" s="153"/>
      <c r="BK2248" s="153"/>
      <c r="BL2248" s="153"/>
      <c r="BM2248" s="153"/>
      <c r="BN2248" s="153"/>
      <c r="BO2248" s="153"/>
      <c r="BP2248" s="153"/>
      <c r="BQ2248" s="153"/>
      <c r="BR2248" s="153"/>
      <c r="BS2248" s="153"/>
      <c r="BT2248" s="153"/>
      <c r="BU2248" s="153"/>
      <c r="BV2248" s="153"/>
      <c r="BW2248" s="153"/>
      <c r="BX2248" s="153"/>
      <c r="BY2248" s="153"/>
      <c r="BZ2248" s="153"/>
      <c r="CA2248" s="153"/>
      <c r="CB2248" s="153"/>
      <c r="CC2248" s="153"/>
      <c r="CD2248" s="155"/>
      <c r="CE2248" s="156"/>
      <c r="CF2248" s="155"/>
      <c r="CG2248" s="156"/>
      <c r="CH2248" s="155"/>
      <c r="CI2248" s="156"/>
      <c r="CJ2248" s="157">
        <f t="shared" si="280"/>
        <v>0</v>
      </c>
      <c r="CK2248" s="158"/>
      <c r="CL2248" s="159"/>
      <c r="CM2248" s="160"/>
      <c r="CN2248" s="161"/>
      <c r="CO2248" s="162"/>
      <c r="CP2248" s="161"/>
      <c r="CQ2248" s="158"/>
      <c r="CR2248" s="159"/>
      <c r="CS2248" s="68"/>
      <c r="CT2248" s="163"/>
      <c r="EC2248" s="366" t="str">
        <f t="shared" si="281"/>
        <v>NARIÑO_LA CRUZ</v>
      </c>
      <c r="ED2248" s="367"/>
      <c r="EE2248" s="367"/>
      <c r="EF2248" s="368"/>
      <c r="EG2248" s="367"/>
      <c r="EH2248" s="367"/>
      <c r="EI2248" s="367"/>
    </row>
    <row r="2249" spans="1:139" s="277" customFormat="1" ht="25.5">
      <c r="A2249" s="228">
        <v>40527</v>
      </c>
      <c r="B2249" s="205" t="s">
        <v>1824</v>
      </c>
      <c r="C2249" s="205" t="s">
        <v>159</v>
      </c>
      <c r="D2249" s="207" t="s">
        <v>1201</v>
      </c>
      <c r="E2249" s="323" t="s">
        <v>3963</v>
      </c>
      <c r="F2249" s="323"/>
      <c r="G2249" s="204"/>
      <c r="H2249" s="151"/>
      <c r="I2249" s="151"/>
      <c r="J2249" s="151">
        <v>30</v>
      </c>
      <c r="K2249" s="151">
        <v>30</v>
      </c>
      <c r="L2249" s="1"/>
      <c r="M2249" s="73">
        <f t="shared" si="278"/>
        <v>0</v>
      </c>
      <c r="N2249" s="73">
        <f t="shared" si="276"/>
        <v>0</v>
      </c>
      <c r="O2249" s="73">
        <f t="shared" si="277"/>
        <v>0</v>
      </c>
      <c r="P2249" s="73">
        <f t="shared" si="279"/>
        <v>0</v>
      </c>
      <c r="Q2249" s="73"/>
      <c r="R2249" s="73">
        <v>0</v>
      </c>
      <c r="S2249" s="75">
        <f t="shared" ref="S2249:S2312" si="282">M2249+N2249+O2249+P2249+Q2249+R2249</f>
        <v>0</v>
      </c>
      <c r="T2249" s="77">
        <v>0</v>
      </c>
      <c r="U2249" s="284">
        <v>40617</v>
      </c>
      <c r="V2249" s="285"/>
      <c r="W2249" s="284" t="s">
        <v>1585</v>
      </c>
      <c r="X2249" s="286" t="s">
        <v>1586</v>
      </c>
      <c r="Y2249" s="287"/>
      <c r="Z2249" s="300" t="s">
        <v>894</v>
      </c>
      <c r="AA2249" s="301" t="s">
        <v>3101</v>
      </c>
      <c r="AB2249" s="152"/>
      <c r="AC2249" s="153"/>
      <c r="AD2249" s="154"/>
      <c r="AE2249" s="153"/>
      <c r="AF2249" s="153"/>
      <c r="AG2249" s="153"/>
      <c r="AH2249" s="153"/>
      <c r="AI2249" s="153"/>
      <c r="AJ2249" s="153"/>
      <c r="AK2249" s="153"/>
      <c r="AL2249" s="153"/>
      <c r="AM2249" s="153"/>
      <c r="AN2249" s="153"/>
      <c r="AO2249" s="153"/>
      <c r="AP2249" s="153"/>
      <c r="AQ2249" s="153"/>
      <c r="AR2249" s="153"/>
      <c r="AS2249" s="153"/>
      <c r="AT2249" s="153"/>
      <c r="AU2249" s="153"/>
      <c r="AV2249" s="153"/>
      <c r="AW2249" s="153"/>
      <c r="AX2249" s="153"/>
      <c r="AY2249" s="153"/>
      <c r="AZ2249" s="153"/>
      <c r="BA2249" s="153"/>
      <c r="BB2249" s="153"/>
      <c r="BC2249" s="153"/>
      <c r="BD2249" s="153"/>
      <c r="BE2249" s="153"/>
      <c r="BF2249" s="153"/>
      <c r="BG2249" s="153"/>
      <c r="BH2249" s="153"/>
      <c r="BI2249" s="153"/>
      <c r="BJ2249" s="153"/>
      <c r="BK2249" s="153"/>
      <c r="BL2249" s="153"/>
      <c r="BM2249" s="153"/>
      <c r="BN2249" s="153"/>
      <c r="BO2249" s="153"/>
      <c r="BP2249" s="153"/>
      <c r="BQ2249" s="153"/>
      <c r="BR2249" s="153"/>
      <c r="BS2249" s="153"/>
      <c r="BT2249" s="153"/>
      <c r="BU2249" s="153"/>
      <c r="BV2249" s="153"/>
      <c r="BW2249" s="153"/>
      <c r="BX2249" s="153"/>
      <c r="BY2249" s="153"/>
      <c r="BZ2249" s="153"/>
      <c r="CA2249" s="153"/>
      <c r="CB2249" s="153"/>
      <c r="CC2249" s="153"/>
      <c r="CD2249" s="155"/>
      <c r="CE2249" s="156"/>
      <c r="CF2249" s="155"/>
      <c r="CG2249" s="156"/>
      <c r="CH2249" s="155"/>
      <c r="CI2249" s="156"/>
      <c r="CJ2249" s="157">
        <f t="shared" si="280"/>
        <v>0</v>
      </c>
      <c r="CK2249" s="158"/>
      <c r="CL2249" s="159"/>
      <c r="CM2249" s="160"/>
      <c r="CN2249" s="161"/>
      <c r="CO2249" s="162"/>
      <c r="CP2249" s="161"/>
      <c r="CQ2249" s="158"/>
      <c r="CR2249" s="159"/>
      <c r="CS2249" s="68"/>
      <c r="CT2249" s="163"/>
      <c r="EC2249" s="366" t="str">
        <f t="shared" si="281"/>
        <v>NARIÑO_LA FLORIDA</v>
      </c>
      <c r="ED2249" s="367"/>
      <c r="EE2249" s="367"/>
      <c r="EF2249" s="368"/>
      <c r="EG2249" s="367"/>
      <c r="EH2249" s="367"/>
      <c r="EI2249" s="367"/>
    </row>
    <row r="2250" spans="1:139" s="277" customFormat="1" ht="25.5">
      <c r="A2250" s="228">
        <v>40527</v>
      </c>
      <c r="B2250" s="205" t="s">
        <v>1824</v>
      </c>
      <c r="C2250" s="205" t="s">
        <v>511</v>
      </c>
      <c r="D2250" s="207" t="s">
        <v>1201</v>
      </c>
      <c r="E2250" s="323" t="s">
        <v>3964</v>
      </c>
      <c r="F2250" s="323"/>
      <c r="G2250" s="204"/>
      <c r="H2250" s="151"/>
      <c r="I2250" s="151"/>
      <c r="J2250" s="151">
        <v>159</v>
      </c>
      <c r="K2250" s="151">
        <v>159</v>
      </c>
      <c r="L2250" s="1"/>
      <c r="M2250" s="73">
        <f t="shared" si="278"/>
        <v>0</v>
      </c>
      <c r="N2250" s="73">
        <f t="shared" si="276"/>
        <v>0</v>
      </c>
      <c r="O2250" s="73">
        <f t="shared" si="277"/>
        <v>0</v>
      </c>
      <c r="P2250" s="73">
        <f t="shared" si="279"/>
        <v>0</v>
      </c>
      <c r="Q2250" s="73"/>
      <c r="R2250" s="73">
        <v>0</v>
      </c>
      <c r="S2250" s="75">
        <f t="shared" si="282"/>
        <v>0</v>
      </c>
      <c r="T2250" s="77">
        <v>0</v>
      </c>
      <c r="U2250" s="284">
        <v>40617</v>
      </c>
      <c r="V2250" s="285"/>
      <c r="W2250" s="284" t="s">
        <v>1585</v>
      </c>
      <c r="X2250" s="286" t="s">
        <v>1586</v>
      </c>
      <c r="Y2250" s="287"/>
      <c r="Z2250" s="300" t="s">
        <v>894</v>
      </c>
      <c r="AA2250" s="301" t="s">
        <v>3101</v>
      </c>
      <c r="AB2250" s="152"/>
      <c r="AC2250" s="153"/>
      <c r="AD2250" s="154"/>
      <c r="AE2250" s="153"/>
      <c r="AF2250" s="153"/>
      <c r="AG2250" s="153"/>
      <c r="AH2250" s="153"/>
      <c r="AI2250" s="153"/>
      <c r="AJ2250" s="153"/>
      <c r="AK2250" s="153"/>
      <c r="AL2250" s="153"/>
      <c r="AM2250" s="153"/>
      <c r="AN2250" s="153"/>
      <c r="AO2250" s="153"/>
      <c r="AP2250" s="153"/>
      <c r="AQ2250" s="153"/>
      <c r="AR2250" s="153"/>
      <c r="AS2250" s="153"/>
      <c r="AT2250" s="153"/>
      <c r="AU2250" s="153"/>
      <c r="AV2250" s="153"/>
      <c r="AW2250" s="153"/>
      <c r="AX2250" s="153"/>
      <c r="AY2250" s="153"/>
      <c r="AZ2250" s="153"/>
      <c r="BA2250" s="153"/>
      <c r="BB2250" s="153"/>
      <c r="BC2250" s="153"/>
      <c r="BD2250" s="153"/>
      <c r="BE2250" s="153"/>
      <c r="BF2250" s="153"/>
      <c r="BG2250" s="153"/>
      <c r="BH2250" s="153"/>
      <c r="BI2250" s="153"/>
      <c r="BJ2250" s="153"/>
      <c r="BK2250" s="153"/>
      <c r="BL2250" s="153"/>
      <c r="BM2250" s="153"/>
      <c r="BN2250" s="153"/>
      <c r="BO2250" s="153"/>
      <c r="BP2250" s="153"/>
      <c r="BQ2250" s="153"/>
      <c r="BR2250" s="153"/>
      <c r="BS2250" s="153"/>
      <c r="BT2250" s="153"/>
      <c r="BU2250" s="153"/>
      <c r="BV2250" s="153"/>
      <c r="BW2250" s="153"/>
      <c r="BX2250" s="153"/>
      <c r="BY2250" s="153"/>
      <c r="BZ2250" s="153"/>
      <c r="CA2250" s="153"/>
      <c r="CB2250" s="153"/>
      <c r="CC2250" s="153"/>
      <c r="CD2250" s="155"/>
      <c r="CE2250" s="156"/>
      <c r="CF2250" s="155"/>
      <c r="CG2250" s="156"/>
      <c r="CH2250" s="155"/>
      <c r="CI2250" s="156"/>
      <c r="CJ2250" s="157">
        <f t="shared" si="280"/>
        <v>0</v>
      </c>
      <c r="CK2250" s="158"/>
      <c r="CL2250" s="159"/>
      <c r="CM2250" s="160"/>
      <c r="CN2250" s="161"/>
      <c r="CO2250" s="162"/>
      <c r="CP2250" s="161"/>
      <c r="CQ2250" s="158"/>
      <c r="CR2250" s="159"/>
      <c r="CS2250" s="68"/>
      <c r="CT2250" s="163"/>
      <c r="EC2250" s="366" t="str">
        <f t="shared" si="281"/>
        <v>NARIÑO_LA LLANADA</v>
      </c>
      <c r="ED2250" s="367"/>
      <c r="EE2250" s="367"/>
      <c r="EF2250" s="368"/>
      <c r="EG2250" s="367"/>
      <c r="EH2250" s="367"/>
      <c r="EI2250" s="367"/>
    </row>
    <row r="2251" spans="1:139" s="164" customFormat="1" ht="25.5">
      <c r="A2251" s="228">
        <v>40527</v>
      </c>
      <c r="B2251" s="205" t="s">
        <v>1824</v>
      </c>
      <c r="C2251" s="205" t="s">
        <v>514</v>
      </c>
      <c r="D2251" s="207" t="s">
        <v>1201</v>
      </c>
      <c r="E2251" s="323" t="s">
        <v>3966</v>
      </c>
      <c r="F2251" s="323"/>
      <c r="G2251" s="204"/>
      <c r="H2251" s="151"/>
      <c r="I2251" s="151"/>
      <c r="J2251" s="151">
        <v>3065</v>
      </c>
      <c r="K2251" s="151">
        <v>3065</v>
      </c>
      <c r="L2251" s="1"/>
      <c r="M2251" s="73">
        <f t="shared" si="278"/>
        <v>0</v>
      </c>
      <c r="N2251" s="73">
        <f t="shared" si="276"/>
        <v>0</v>
      </c>
      <c r="O2251" s="73">
        <f t="shared" si="277"/>
        <v>0</v>
      </c>
      <c r="P2251" s="73">
        <f t="shared" si="279"/>
        <v>0</v>
      </c>
      <c r="Q2251" s="73"/>
      <c r="R2251" s="73">
        <v>0</v>
      </c>
      <c r="S2251" s="75">
        <f t="shared" si="282"/>
        <v>0</v>
      </c>
      <c r="T2251" s="77">
        <v>0</v>
      </c>
      <c r="U2251" s="284">
        <v>40617</v>
      </c>
      <c r="V2251" s="285"/>
      <c r="W2251" s="284" t="s">
        <v>1585</v>
      </c>
      <c r="X2251" s="286" t="s">
        <v>1586</v>
      </c>
      <c r="Y2251" s="287"/>
      <c r="Z2251" s="300" t="s">
        <v>894</v>
      </c>
      <c r="AA2251" s="301" t="s">
        <v>3101</v>
      </c>
      <c r="AB2251" s="152"/>
      <c r="AC2251" s="153"/>
      <c r="AD2251" s="154"/>
      <c r="AE2251" s="153"/>
      <c r="AF2251" s="153"/>
      <c r="AG2251" s="153"/>
      <c r="AH2251" s="153"/>
      <c r="AI2251" s="153"/>
      <c r="AJ2251" s="153"/>
      <c r="AK2251" s="153"/>
      <c r="AL2251" s="153"/>
      <c r="AM2251" s="153"/>
      <c r="AN2251" s="153"/>
      <c r="AO2251" s="153"/>
      <c r="AP2251" s="153"/>
      <c r="AQ2251" s="153"/>
      <c r="AR2251" s="153"/>
      <c r="AS2251" s="153"/>
      <c r="AT2251" s="153"/>
      <c r="AU2251" s="153"/>
      <c r="AV2251" s="153"/>
      <c r="AW2251" s="153"/>
      <c r="AX2251" s="153"/>
      <c r="AY2251" s="153"/>
      <c r="AZ2251" s="153"/>
      <c r="BA2251" s="153"/>
      <c r="BB2251" s="153"/>
      <c r="BC2251" s="153"/>
      <c r="BD2251" s="153"/>
      <c r="BE2251" s="153"/>
      <c r="BF2251" s="153"/>
      <c r="BG2251" s="153"/>
      <c r="BH2251" s="153"/>
      <c r="BI2251" s="153"/>
      <c r="BJ2251" s="153"/>
      <c r="BK2251" s="153"/>
      <c r="BL2251" s="153"/>
      <c r="BM2251" s="153"/>
      <c r="BN2251" s="153"/>
      <c r="BO2251" s="153"/>
      <c r="BP2251" s="153"/>
      <c r="BQ2251" s="153"/>
      <c r="BR2251" s="153"/>
      <c r="BS2251" s="153"/>
      <c r="BT2251" s="153"/>
      <c r="BU2251" s="153"/>
      <c r="BV2251" s="153"/>
      <c r="BW2251" s="153"/>
      <c r="BX2251" s="153"/>
      <c r="BY2251" s="153"/>
      <c r="BZ2251" s="153"/>
      <c r="CA2251" s="153"/>
      <c r="CB2251" s="153"/>
      <c r="CC2251" s="153"/>
      <c r="CD2251" s="155"/>
      <c r="CE2251" s="156"/>
      <c r="CF2251" s="155"/>
      <c r="CG2251" s="156"/>
      <c r="CH2251" s="155"/>
      <c r="CI2251" s="156"/>
      <c r="CJ2251" s="157">
        <f t="shared" si="280"/>
        <v>0</v>
      </c>
      <c r="CK2251" s="158"/>
      <c r="CL2251" s="159"/>
      <c r="CM2251" s="160"/>
      <c r="CN2251" s="161"/>
      <c r="CO2251" s="162"/>
      <c r="CP2251" s="161"/>
      <c r="CQ2251" s="158"/>
      <c r="CR2251" s="159"/>
      <c r="CS2251" s="68"/>
      <c r="CT2251" s="163"/>
      <c r="EC2251" s="366" t="str">
        <f t="shared" si="281"/>
        <v>NARIÑO_LA UNION</v>
      </c>
      <c r="ED2251" s="367"/>
      <c r="EE2251" s="367"/>
      <c r="EF2251" s="368"/>
      <c r="EG2251" s="367"/>
      <c r="EH2251" s="367"/>
      <c r="EI2251" s="367"/>
    </row>
    <row r="2252" spans="1:139" s="164" customFormat="1" ht="25.5">
      <c r="A2252" s="228">
        <v>40527</v>
      </c>
      <c r="B2252" s="205" t="s">
        <v>1824</v>
      </c>
      <c r="C2252" s="205" t="s">
        <v>2482</v>
      </c>
      <c r="D2252" s="207" t="s">
        <v>1201</v>
      </c>
      <c r="E2252" s="323" t="s">
        <v>3967</v>
      </c>
      <c r="F2252" s="323"/>
      <c r="G2252" s="204"/>
      <c r="H2252" s="151"/>
      <c r="I2252" s="151"/>
      <c r="J2252" s="151">
        <v>1322</v>
      </c>
      <c r="K2252" s="151">
        <v>1322</v>
      </c>
      <c r="L2252" s="1"/>
      <c r="M2252" s="73">
        <f t="shared" si="278"/>
        <v>0</v>
      </c>
      <c r="N2252" s="73">
        <f t="shared" si="276"/>
        <v>0</v>
      </c>
      <c r="O2252" s="73">
        <f t="shared" si="277"/>
        <v>0</v>
      </c>
      <c r="P2252" s="73">
        <f t="shared" si="279"/>
        <v>0</v>
      </c>
      <c r="Q2252" s="73"/>
      <c r="R2252" s="73">
        <v>0</v>
      </c>
      <c r="S2252" s="75">
        <f t="shared" si="282"/>
        <v>0</v>
      </c>
      <c r="T2252" s="77">
        <v>0</v>
      </c>
      <c r="U2252" s="284">
        <v>40617</v>
      </c>
      <c r="V2252" s="285"/>
      <c r="W2252" s="284" t="s">
        <v>1585</v>
      </c>
      <c r="X2252" s="286" t="s">
        <v>1586</v>
      </c>
      <c r="Y2252" s="287"/>
      <c r="Z2252" s="300" t="s">
        <v>894</v>
      </c>
      <c r="AA2252" s="301" t="s">
        <v>3101</v>
      </c>
      <c r="AB2252" s="152"/>
      <c r="AC2252" s="153"/>
      <c r="AD2252" s="154"/>
      <c r="AE2252" s="153"/>
      <c r="AF2252" s="153"/>
      <c r="AG2252" s="153"/>
      <c r="AH2252" s="153"/>
      <c r="AI2252" s="153"/>
      <c r="AJ2252" s="153"/>
      <c r="AK2252" s="153"/>
      <c r="AL2252" s="153"/>
      <c r="AM2252" s="153"/>
      <c r="AN2252" s="153"/>
      <c r="AO2252" s="153"/>
      <c r="AP2252" s="153"/>
      <c r="AQ2252" s="153"/>
      <c r="AR2252" s="153"/>
      <c r="AS2252" s="153"/>
      <c r="AT2252" s="153"/>
      <c r="AU2252" s="153"/>
      <c r="AV2252" s="153"/>
      <c r="AW2252" s="153"/>
      <c r="AX2252" s="153"/>
      <c r="AY2252" s="153"/>
      <c r="AZ2252" s="153"/>
      <c r="BA2252" s="153"/>
      <c r="BB2252" s="153"/>
      <c r="BC2252" s="153"/>
      <c r="BD2252" s="153"/>
      <c r="BE2252" s="153"/>
      <c r="BF2252" s="153"/>
      <c r="BG2252" s="153"/>
      <c r="BH2252" s="153"/>
      <c r="BI2252" s="153"/>
      <c r="BJ2252" s="153"/>
      <c r="BK2252" s="153"/>
      <c r="BL2252" s="153"/>
      <c r="BM2252" s="153"/>
      <c r="BN2252" s="153"/>
      <c r="BO2252" s="153"/>
      <c r="BP2252" s="153"/>
      <c r="BQ2252" s="153"/>
      <c r="BR2252" s="153"/>
      <c r="BS2252" s="153"/>
      <c r="BT2252" s="153"/>
      <c r="BU2252" s="153"/>
      <c r="BV2252" s="153"/>
      <c r="BW2252" s="153"/>
      <c r="BX2252" s="153"/>
      <c r="BY2252" s="153"/>
      <c r="BZ2252" s="153"/>
      <c r="CA2252" s="153"/>
      <c r="CB2252" s="153"/>
      <c r="CC2252" s="153"/>
      <c r="CD2252" s="155"/>
      <c r="CE2252" s="156"/>
      <c r="CF2252" s="155"/>
      <c r="CG2252" s="156"/>
      <c r="CH2252" s="155"/>
      <c r="CI2252" s="156"/>
      <c r="CJ2252" s="157">
        <f t="shared" si="280"/>
        <v>0</v>
      </c>
      <c r="CK2252" s="158"/>
      <c r="CL2252" s="159"/>
      <c r="CM2252" s="160"/>
      <c r="CN2252" s="161"/>
      <c r="CO2252" s="162"/>
      <c r="CP2252" s="161"/>
      <c r="CQ2252" s="158"/>
      <c r="CR2252" s="159"/>
      <c r="CS2252" s="68"/>
      <c r="CT2252" s="163"/>
      <c r="EC2252" s="366" t="str">
        <f t="shared" si="281"/>
        <v>NARIÑO_LEIVA</v>
      </c>
      <c r="ED2252" s="367"/>
      <c r="EE2252" s="367"/>
      <c r="EF2252" s="368"/>
      <c r="EG2252" s="367"/>
      <c r="EH2252" s="367"/>
      <c r="EI2252" s="367"/>
    </row>
    <row r="2253" spans="1:139" s="277" customFormat="1" ht="25.5">
      <c r="A2253" s="228">
        <v>40527</v>
      </c>
      <c r="B2253" s="205" t="s">
        <v>1824</v>
      </c>
      <c r="C2253" s="205" t="s">
        <v>3038</v>
      </c>
      <c r="D2253" s="207" t="s">
        <v>1201</v>
      </c>
      <c r="E2253" s="323" t="s">
        <v>3968</v>
      </c>
      <c r="F2253" s="323"/>
      <c r="G2253" s="204"/>
      <c r="H2253" s="151"/>
      <c r="I2253" s="151"/>
      <c r="J2253" s="151">
        <v>1162</v>
      </c>
      <c r="K2253" s="151">
        <v>1162</v>
      </c>
      <c r="L2253" s="1"/>
      <c r="M2253" s="73">
        <f t="shared" si="278"/>
        <v>0</v>
      </c>
      <c r="N2253" s="73">
        <f t="shared" si="276"/>
        <v>0</v>
      </c>
      <c r="O2253" s="73">
        <f t="shared" si="277"/>
        <v>0</v>
      </c>
      <c r="P2253" s="73">
        <f t="shared" si="279"/>
        <v>0</v>
      </c>
      <c r="Q2253" s="73"/>
      <c r="R2253" s="73">
        <v>0</v>
      </c>
      <c r="S2253" s="75">
        <f t="shared" si="282"/>
        <v>0</v>
      </c>
      <c r="T2253" s="77">
        <v>0</v>
      </c>
      <c r="U2253" s="284">
        <v>40617</v>
      </c>
      <c r="V2253" s="285"/>
      <c r="W2253" s="284" t="s">
        <v>1585</v>
      </c>
      <c r="X2253" s="286" t="s">
        <v>1586</v>
      </c>
      <c r="Y2253" s="287"/>
      <c r="Z2253" s="300" t="s">
        <v>894</v>
      </c>
      <c r="AA2253" s="301" t="s">
        <v>3101</v>
      </c>
      <c r="AB2253" s="152"/>
      <c r="AC2253" s="153"/>
      <c r="AD2253" s="154"/>
      <c r="AE2253" s="153"/>
      <c r="AF2253" s="153"/>
      <c r="AG2253" s="153"/>
      <c r="AH2253" s="153"/>
      <c r="AI2253" s="153"/>
      <c r="AJ2253" s="153"/>
      <c r="AK2253" s="153"/>
      <c r="AL2253" s="153"/>
      <c r="AM2253" s="153"/>
      <c r="AN2253" s="153"/>
      <c r="AO2253" s="153"/>
      <c r="AP2253" s="153"/>
      <c r="AQ2253" s="153"/>
      <c r="AR2253" s="153"/>
      <c r="AS2253" s="153"/>
      <c r="AT2253" s="153"/>
      <c r="AU2253" s="153"/>
      <c r="AV2253" s="153"/>
      <c r="AW2253" s="153"/>
      <c r="AX2253" s="153"/>
      <c r="AY2253" s="153"/>
      <c r="AZ2253" s="153"/>
      <c r="BA2253" s="153"/>
      <c r="BB2253" s="153"/>
      <c r="BC2253" s="153"/>
      <c r="BD2253" s="153"/>
      <c r="BE2253" s="153"/>
      <c r="BF2253" s="153"/>
      <c r="BG2253" s="153"/>
      <c r="BH2253" s="153"/>
      <c r="BI2253" s="153"/>
      <c r="BJ2253" s="153"/>
      <c r="BK2253" s="153"/>
      <c r="BL2253" s="153"/>
      <c r="BM2253" s="153"/>
      <c r="BN2253" s="153"/>
      <c r="BO2253" s="153"/>
      <c r="BP2253" s="153"/>
      <c r="BQ2253" s="153"/>
      <c r="BR2253" s="153"/>
      <c r="BS2253" s="153"/>
      <c r="BT2253" s="153"/>
      <c r="BU2253" s="153"/>
      <c r="BV2253" s="153"/>
      <c r="BW2253" s="153"/>
      <c r="BX2253" s="153"/>
      <c r="BY2253" s="153"/>
      <c r="BZ2253" s="153"/>
      <c r="CA2253" s="153"/>
      <c r="CB2253" s="153"/>
      <c r="CC2253" s="153"/>
      <c r="CD2253" s="155"/>
      <c r="CE2253" s="156"/>
      <c r="CF2253" s="155"/>
      <c r="CG2253" s="156"/>
      <c r="CH2253" s="155"/>
      <c r="CI2253" s="156"/>
      <c r="CJ2253" s="157">
        <f t="shared" si="280"/>
        <v>0</v>
      </c>
      <c r="CK2253" s="158"/>
      <c r="CL2253" s="159"/>
      <c r="CM2253" s="160"/>
      <c r="CN2253" s="161"/>
      <c r="CO2253" s="162"/>
      <c r="CP2253" s="161"/>
      <c r="CQ2253" s="158"/>
      <c r="CR2253" s="159"/>
      <c r="CS2253" s="68"/>
      <c r="CT2253" s="163"/>
      <c r="EC2253" s="366" t="str">
        <f t="shared" si="281"/>
        <v>NARIÑO_LINARES</v>
      </c>
      <c r="ED2253" s="367"/>
      <c r="EE2253" s="367"/>
      <c r="EF2253" s="368"/>
      <c r="EG2253" s="367"/>
      <c r="EH2253" s="367"/>
      <c r="EI2253" s="367"/>
    </row>
    <row r="2254" spans="1:139" s="277" customFormat="1" ht="25.5">
      <c r="A2254" s="228">
        <v>40527</v>
      </c>
      <c r="B2254" s="205" t="s">
        <v>1824</v>
      </c>
      <c r="C2254" s="205" t="s">
        <v>40</v>
      </c>
      <c r="D2254" s="207" t="s">
        <v>1201</v>
      </c>
      <c r="E2254" s="323" t="s">
        <v>3969</v>
      </c>
      <c r="F2254" s="323"/>
      <c r="G2254" s="204"/>
      <c r="H2254" s="151"/>
      <c r="I2254" s="151"/>
      <c r="J2254" s="151">
        <v>541</v>
      </c>
      <c r="K2254" s="151">
        <v>541</v>
      </c>
      <c r="L2254" s="1"/>
      <c r="M2254" s="73">
        <f t="shared" si="278"/>
        <v>0</v>
      </c>
      <c r="N2254" s="73">
        <f t="shared" ref="N2254:N2317" si="283">CN2254</f>
        <v>0</v>
      </c>
      <c r="O2254" s="73">
        <f t="shared" si="277"/>
        <v>0</v>
      </c>
      <c r="P2254" s="73">
        <f t="shared" si="279"/>
        <v>0</v>
      </c>
      <c r="Q2254" s="73"/>
      <c r="R2254" s="73">
        <v>0</v>
      </c>
      <c r="S2254" s="75">
        <f t="shared" si="282"/>
        <v>0</v>
      </c>
      <c r="T2254" s="77">
        <v>0</v>
      </c>
      <c r="U2254" s="284">
        <v>40617</v>
      </c>
      <c r="V2254" s="285"/>
      <c r="W2254" s="284" t="s">
        <v>1585</v>
      </c>
      <c r="X2254" s="286" t="s">
        <v>1586</v>
      </c>
      <c r="Y2254" s="287"/>
      <c r="Z2254" s="300" t="s">
        <v>894</v>
      </c>
      <c r="AA2254" s="301" t="s">
        <v>3101</v>
      </c>
      <c r="AB2254" s="152"/>
      <c r="AC2254" s="153"/>
      <c r="AD2254" s="154"/>
      <c r="AE2254" s="153"/>
      <c r="AF2254" s="153"/>
      <c r="AG2254" s="153"/>
      <c r="AH2254" s="153"/>
      <c r="AI2254" s="153"/>
      <c r="AJ2254" s="153"/>
      <c r="AK2254" s="153"/>
      <c r="AL2254" s="153"/>
      <c r="AM2254" s="153"/>
      <c r="AN2254" s="153"/>
      <c r="AO2254" s="153"/>
      <c r="AP2254" s="153"/>
      <c r="AQ2254" s="153"/>
      <c r="AR2254" s="153"/>
      <c r="AS2254" s="153"/>
      <c r="AT2254" s="153"/>
      <c r="AU2254" s="153"/>
      <c r="AV2254" s="153"/>
      <c r="AW2254" s="153"/>
      <c r="AX2254" s="153"/>
      <c r="AY2254" s="153"/>
      <c r="AZ2254" s="153"/>
      <c r="BA2254" s="153"/>
      <c r="BB2254" s="153"/>
      <c r="BC2254" s="153"/>
      <c r="BD2254" s="153"/>
      <c r="BE2254" s="153"/>
      <c r="BF2254" s="153"/>
      <c r="BG2254" s="153"/>
      <c r="BH2254" s="153"/>
      <c r="BI2254" s="153"/>
      <c r="BJ2254" s="153"/>
      <c r="BK2254" s="153"/>
      <c r="BL2254" s="153"/>
      <c r="BM2254" s="153"/>
      <c r="BN2254" s="153"/>
      <c r="BO2254" s="153"/>
      <c r="BP2254" s="153"/>
      <c r="BQ2254" s="153"/>
      <c r="BR2254" s="153"/>
      <c r="BS2254" s="153"/>
      <c r="BT2254" s="153"/>
      <c r="BU2254" s="153"/>
      <c r="BV2254" s="153"/>
      <c r="BW2254" s="153"/>
      <c r="BX2254" s="153"/>
      <c r="BY2254" s="153"/>
      <c r="BZ2254" s="153"/>
      <c r="CA2254" s="153"/>
      <c r="CB2254" s="153"/>
      <c r="CC2254" s="153"/>
      <c r="CD2254" s="155"/>
      <c r="CE2254" s="156"/>
      <c r="CF2254" s="155"/>
      <c r="CG2254" s="156"/>
      <c r="CH2254" s="155"/>
      <c r="CI2254" s="156"/>
      <c r="CJ2254" s="157">
        <f t="shared" si="280"/>
        <v>0</v>
      </c>
      <c r="CK2254" s="158"/>
      <c r="CL2254" s="159"/>
      <c r="CM2254" s="160"/>
      <c r="CN2254" s="161"/>
      <c r="CO2254" s="162"/>
      <c r="CP2254" s="161"/>
      <c r="CQ2254" s="158"/>
      <c r="CR2254" s="159"/>
      <c r="CS2254" s="68"/>
      <c r="CT2254" s="163"/>
      <c r="EC2254" s="366" t="str">
        <f t="shared" si="281"/>
        <v>NARIÑO_LOS ANDES</v>
      </c>
      <c r="ED2254" s="367"/>
      <c r="EE2254" s="367"/>
      <c r="EF2254" s="368"/>
      <c r="EG2254" s="367"/>
      <c r="EH2254" s="367"/>
      <c r="EI2254" s="367"/>
    </row>
    <row r="2255" spans="1:139" s="277" customFormat="1" ht="25.5">
      <c r="A2255" s="228">
        <v>40527</v>
      </c>
      <c r="B2255" s="205" t="s">
        <v>1824</v>
      </c>
      <c r="C2255" s="205" t="s">
        <v>4323</v>
      </c>
      <c r="D2255" s="207" t="s">
        <v>1201</v>
      </c>
      <c r="E2255" s="323" t="s">
        <v>3970</v>
      </c>
      <c r="F2255" s="323"/>
      <c r="G2255" s="204"/>
      <c r="H2255" s="151"/>
      <c r="I2255" s="151"/>
      <c r="J2255" s="151">
        <v>2607</v>
      </c>
      <c r="K2255" s="151">
        <v>2607</v>
      </c>
      <c r="L2255" s="1"/>
      <c r="M2255" s="73">
        <f t="shared" si="278"/>
        <v>0</v>
      </c>
      <c r="N2255" s="73">
        <f t="shared" si="283"/>
        <v>0</v>
      </c>
      <c r="O2255" s="73">
        <f t="shared" si="277"/>
        <v>0</v>
      </c>
      <c r="P2255" s="73">
        <f t="shared" si="279"/>
        <v>0</v>
      </c>
      <c r="Q2255" s="73"/>
      <c r="R2255" s="73">
        <v>0</v>
      </c>
      <c r="S2255" s="75">
        <f t="shared" si="282"/>
        <v>0</v>
      </c>
      <c r="T2255" s="77">
        <v>0</v>
      </c>
      <c r="U2255" s="284">
        <v>40617</v>
      </c>
      <c r="V2255" s="285"/>
      <c r="W2255" s="284" t="s">
        <v>1585</v>
      </c>
      <c r="X2255" s="286" t="s">
        <v>1586</v>
      </c>
      <c r="Y2255" s="287"/>
      <c r="Z2255" s="300" t="s">
        <v>894</v>
      </c>
      <c r="AA2255" s="301" t="s">
        <v>3101</v>
      </c>
      <c r="AB2255" s="152"/>
      <c r="AC2255" s="153"/>
      <c r="AD2255" s="154"/>
      <c r="AE2255" s="153"/>
      <c r="AF2255" s="153"/>
      <c r="AG2255" s="153"/>
      <c r="AH2255" s="153"/>
      <c r="AI2255" s="153"/>
      <c r="AJ2255" s="153"/>
      <c r="AK2255" s="153"/>
      <c r="AL2255" s="153"/>
      <c r="AM2255" s="153"/>
      <c r="AN2255" s="153"/>
      <c r="AO2255" s="153"/>
      <c r="AP2255" s="153"/>
      <c r="AQ2255" s="153"/>
      <c r="AR2255" s="153"/>
      <c r="AS2255" s="153"/>
      <c r="AT2255" s="153"/>
      <c r="AU2255" s="153"/>
      <c r="AV2255" s="153"/>
      <c r="AW2255" s="153"/>
      <c r="AX2255" s="153"/>
      <c r="AY2255" s="153"/>
      <c r="AZ2255" s="153"/>
      <c r="BA2255" s="153"/>
      <c r="BB2255" s="153"/>
      <c r="BC2255" s="153"/>
      <c r="BD2255" s="153"/>
      <c r="BE2255" s="153"/>
      <c r="BF2255" s="153"/>
      <c r="BG2255" s="153"/>
      <c r="BH2255" s="153"/>
      <c r="BI2255" s="153"/>
      <c r="BJ2255" s="153"/>
      <c r="BK2255" s="153"/>
      <c r="BL2255" s="153"/>
      <c r="BM2255" s="153"/>
      <c r="BN2255" s="153"/>
      <c r="BO2255" s="153"/>
      <c r="BP2255" s="153"/>
      <c r="BQ2255" s="153"/>
      <c r="BR2255" s="153"/>
      <c r="BS2255" s="153"/>
      <c r="BT2255" s="153"/>
      <c r="BU2255" s="153"/>
      <c r="BV2255" s="153"/>
      <c r="BW2255" s="153"/>
      <c r="BX2255" s="153"/>
      <c r="BY2255" s="153"/>
      <c r="BZ2255" s="153"/>
      <c r="CA2255" s="153"/>
      <c r="CB2255" s="153"/>
      <c r="CC2255" s="153"/>
      <c r="CD2255" s="155"/>
      <c r="CE2255" s="156"/>
      <c r="CF2255" s="155"/>
      <c r="CG2255" s="156"/>
      <c r="CH2255" s="155"/>
      <c r="CI2255" s="156"/>
      <c r="CJ2255" s="157">
        <f t="shared" si="280"/>
        <v>0</v>
      </c>
      <c r="CK2255" s="158"/>
      <c r="CL2255" s="159"/>
      <c r="CM2255" s="160"/>
      <c r="CN2255" s="161"/>
      <c r="CO2255" s="162"/>
      <c r="CP2255" s="161"/>
      <c r="CQ2255" s="158"/>
      <c r="CR2255" s="159"/>
      <c r="CS2255" s="68"/>
      <c r="CT2255" s="163"/>
      <c r="EC2255" s="366" t="str">
        <f t="shared" si="281"/>
        <v>NARIÑO_MAGUI</v>
      </c>
      <c r="ED2255" s="367"/>
      <c r="EE2255" s="367"/>
      <c r="EF2255" s="368"/>
      <c r="EG2255" s="367"/>
      <c r="EH2255" s="367"/>
      <c r="EI2255" s="367"/>
    </row>
    <row r="2256" spans="1:139" s="277" customFormat="1" ht="25.5">
      <c r="A2256" s="228">
        <v>40527</v>
      </c>
      <c r="B2256" s="205" t="s">
        <v>1824</v>
      </c>
      <c r="C2256" s="205" t="s">
        <v>3052</v>
      </c>
      <c r="D2256" s="207" t="s">
        <v>1201</v>
      </c>
      <c r="E2256" s="323" t="s">
        <v>3971</v>
      </c>
      <c r="F2256" s="323"/>
      <c r="G2256" s="204"/>
      <c r="H2256" s="151"/>
      <c r="I2256" s="151"/>
      <c r="J2256" s="151">
        <v>781</v>
      </c>
      <c r="K2256" s="151">
        <v>781</v>
      </c>
      <c r="L2256" s="1"/>
      <c r="M2256" s="73">
        <f t="shared" si="278"/>
        <v>0</v>
      </c>
      <c r="N2256" s="73">
        <f t="shared" si="283"/>
        <v>0</v>
      </c>
      <c r="O2256" s="73">
        <f t="shared" si="277"/>
        <v>0</v>
      </c>
      <c r="P2256" s="73">
        <f t="shared" si="279"/>
        <v>0</v>
      </c>
      <c r="Q2256" s="73"/>
      <c r="R2256" s="73">
        <v>0</v>
      </c>
      <c r="S2256" s="75">
        <f t="shared" si="282"/>
        <v>0</v>
      </c>
      <c r="T2256" s="77">
        <v>0</v>
      </c>
      <c r="U2256" s="284">
        <v>40617</v>
      </c>
      <c r="V2256" s="285"/>
      <c r="W2256" s="284" t="s">
        <v>1585</v>
      </c>
      <c r="X2256" s="286" t="s">
        <v>1586</v>
      </c>
      <c r="Y2256" s="287"/>
      <c r="Z2256" s="300" t="s">
        <v>894</v>
      </c>
      <c r="AA2256" s="301" t="s">
        <v>3101</v>
      </c>
      <c r="AB2256" s="152"/>
      <c r="AC2256" s="153"/>
      <c r="AD2256" s="154"/>
      <c r="AE2256" s="153"/>
      <c r="AF2256" s="153"/>
      <c r="AG2256" s="153"/>
      <c r="AH2256" s="153"/>
      <c r="AI2256" s="153"/>
      <c r="AJ2256" s="153"/>
      <c r="AK2256" s="153"/>
      <c r="AL2256" s="153"/>
      <c r="AM2256" s="153"/>
      <c r="AN2256" s="153"/>
      <c r="AO2256" s="153"/>
      <c r="AP2256" s="153"/>
      <c r="AQ2256" s="153"/>
      <c r="AR2256" s="153"/>
      <c r="AS2256" s="153"/>
      <c r="AT2256" s="153"/>
      <c r="AU2256" s="153"/>
      <c r="AV2256" s="153"/>
      <c r="AW2256" s="153"/>
      <c r="AX2256" s="153"/>
      <c r="AY2256" s="153"/>
      <c r="AZ2256" s="153"/>
      <c r="BA2256" s="153"/>
      <c r="BB2256" s="153"/>
      <c r="BC2256" s="153"/>
      <c r="BD2256" s="153"/>
      <c r="BE2256" s="153"/>
      <c r="BF2256" s="153"/>
      <c r="BG2256" s="153"/>
      <c r="BH2256" s="153"/>
      <c r="BI2256" s="153"/>
      <c r="BJ2256" s="153"/>
      <c r="BK2256" s="153"/>
      <c r="BL2256" s="153"/>
      <c r="BM2256" s="153"/>
      <c r="BN2256" s="153"/>
      <c r="BO2256" s="153"/>
      <c r="BP2256" s="153"/>
      <c r="BQ2256" s="153"/>
      <c r="BR2256" s="153"/>
      <c r="BS2256" s="153"/>
      <c r="BT2256" s="153"/>
      <c r="BU2256" s="153"/>
      <c r="BV2256" s="153"/>
      <c r="BW2256" s="153"/>
      <c r="BX2256" s="153"/>
      <c r="BY2256" s="153"/>
      <c r="BZ2256" s="153"/>
      <c r="CA2256" s="153"/>
      <c r="CB2256" s="153"/>
      <c r="CC2256" s="153"/>
      <c r="CD2256" s="155"/>
      <c r="CE2256" s="156"/>
      <c r="CF2256" s="155"/>
      <c r="CG2256" s="156"/>
      <c r="CH2256" s="155"/>
      <c r="CI2256" s="156"/>
      <c r="CJ2256" s="157">
        <f t="shared" si="280"/>
        <v>0</v>
      </c>
      <c r="CK2256" s="158"/>
      <c r="CL2256" s="159"/>
      <c r="CM2256" s="160"/>
      <c r="CN2256" s="161"/>
      <c r="CO2256" s="162"/>
      <c r="CP2256" s="161"/>
      <c r="CQ2256" s="158"/>
      <c r="CR2256" s="159"/>
      <c r="CS2256" s="68"/>
      <c r="CT2256" s="163"/>
      <c r="EC2256" s="366" t="str">
        <f t="shared" si="281"/>
        <v>NARIÑO_MALLAMA</v>
      </c>
      <c r="ED2256" s="367"/>
      <c r="EE2256" s="367"/>
      <c r="EF2256" s="368"/>
      <c r="EG2256" s="367"/>
      <c r="EH2256" s="367"/>
      <c r="EI2256" s="367"/>
    </row>
    <row r="2257" spans="1:139" s="164" customFormat="1" ht="25.5">
      <c r="A2257" s="228">
        <v>40527</v>
      </c>
      <c r="B2257" s="102" t="s">
        <v>1824</v>
      </c>
      <c r="C2257" s="102" t="s">
        <v>2045</v>
      </c>
      <c r="D2257" s="206" t="s">
        <v>1201</v>
      </c>
      <c r="E2257" s="320" t="s">
        <v>3972</v>
      </c>
      <c r="F2257" s="320"/>
      <c r="G2257" s="210"/>
      <c r="H2257" s="71"/>
      <c r="I2257" s="71"/>
      <c r="J2257" s="71">
        <v>270</v>
      </c>
      <c r="K2257" s="71">
        <v>45</v>
      </c>
      <c r="L2257" s="1"/>
      <c r="M2257" s="73">
        <f t="shared" si="278"/>
        <v>0</v>
      </c>
      <c r="N2257" s="73">
        <f t="shared" si="283"/>
        <v>0</v>
      </c>
      <c r="O2257" s="73">
        <f t="shared" si="277"/>
        <v>0</v>
      </c>
      <c r="P2257" s="73">
        <f t="shared" si="279"/>
        <v>0</v>
      </c>
      <c r="Q2257" s="73"/>
      <c r="R2257" s="73">
        <v>0</v>
      </c>
      <c r="S2257" s="75">
        <f t="shared" si="282"/>
        <v>0</v>
      </c>
      <c r="T2257" s="77">
        <v>0</v>
      </c>
      <c r="U2257" s="66">
        <v>40377</v>
      </c>
      <c r="V2257" s="79"/>
      <c r="W2257" s="66" t="s">
        <v>1585</v>
      </c>
      <c r="X2257" s="24" t="s">
        <v>1586</v>
      </c>
      <c r="Y2257" s="62"/>
      <c r="Z2257" s="177" t="s">
        <v>894</v>
      </c>
      <c r="AA2257" s="80" t="s">
        <v>2046</v>
      </c>
      <c r="AB2257" s="3"/>
      <c r="AC2257" s="4"/>
      <c r="AD2257" s="5"/>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6"/>
      <c r="CE2257" s="7"/>
      <c r="CF2257" s="6"/>
      <c r="CG2257" s="7"/>
      <c r="CH2257" s="6"/>
      <c r="CI2257" s="7"/>
      <c r="CJ2257" s="8">
        <f t="shared" si="280"/>
        <v>0</v>
      </c>
      <c r="CK2257" s="9"/>
      <c r="CL2257" s="10"/>
      <c r="CM2257" s="11"/>
      <c r="CN2257" s="12"/>
      <c r="CO2257" s="28"/>
      <c r="CP2257" s="12"/>
      <c r="CQ2257" s="9"/>
      <c r="CR2257" s="10"/>
      <c r="CS2257" s="68"/>
      <c r="CT2257" s="22"/>
      <c r="EC2257" s="366" t="str">
        <f t="shared" si="281"/>
        <v>NARIÑO_MOSQUERA</v>
      </c>
      <c r="ED2257" s="367"/>
      <c r="EE2257" s="367"/>
      <c r="EF2257" s="368"/>
      <c r="EG2257" s="367"/>
      <c r="EH2257" s="367"/>
      <c r="EI2257" s="367"/>
    </row>
    <row r="2258" spans="1:139" s="277" customFormat="1" ht="25.5">
      <c r="A2258" s="228">
        <v>40527</v>
      </c>
      <c r="B2258" s="205" t="s">
        <v>1824</v>
      </c>
      <c r="C2258" s="205" t="s">
        <v>2045</v>
      </c>
      <c r="D2258" s="207" t="s">
        <v>1201</v>
      </c>
      <c r="E2258" s="323" t="s">
        <v>3972</v>
      </c>
      <c r="F2258" s="323"/>
      <c r="G2258" s="204"/>
      <c r="H2258" s="151"/>
      <c r="I2258" s="151"/>
      <c r="J2258" s="151">
        <v>119</v>
      </c>
      <c r="K2258" s="151">
        <v>119</v>
      </c>
      <c r="L2258" s="1"/>
      <c r="M2258" s="73">
        <f t="shared" si="278"/>
        <v>0</v>
      </c>
      <c r="N2258" s="73">
        <f t="shared" si="283"/>
        <v>0</v>
      </c>
      <c r="O2258" s="73">
        <f t="shared" si="277"/>
        <v>0</v>
      </c>
      <c r="P2258" s="73">
        <f t="shared" si="279"/>
        <v>0</v>
      </c>
      <c r="Q2258" s="73"/>
      <c r="R2258" s="73">
        <v>0</v>
      </c>
      <c r="S2258" s="75">
        <f t="shared" si="282"/>
        <v>0</v>
      </c>
      <c r="T2258" s="77">
        <v>0</v>
      </c>
      <c r="U2258" s="284">
        <v>40617</v>
      </c>
      <c r="V2258" s="285"/>
      <c r="W2258" s="284" t="s">
        <v>1585</v>
      </c>
      <c r="X2258" s="286" t="s">
        <v>1586</v>
      </c>
      <c r="Y2258" s="287"/>
      <c r="Z2258" s="300" t="s">
        <v>894</v>
      </c>
      <c r="AA2258" s="301" t="s">
        <v>3101</v>
      </c>
      <c r="AB2258" s="152"/>
      <c r="AC2258" s="153"/>
      <c r="AD2258" s="154"/>
      <c r="AE2258" s="153"/>
      <c r="AF2258" s="153"/>
      <c r="AG2258" s="153"/>
      <c r="AH2258" s="153"/>
      <c r="AI2258" s="153"/>
      <c r="AJ2258" s="153"/>
      <c r="AK2258" s="153"/>
      <c r="AL2258" s="153"/>
      <c r="AM2258" s="153"/>
      <c r="AN2258" s="153"/>
      <c r="AO2258" s="153"/>
      <c r="AP2258" s="153"/>
      <c r="AQ2258" s="153"/>
      <c r="AR2258" s="153"/>
      <c r="AS2258" s="153"/>
      <c r="AT2258" s="153"/>
      <c r="AU2258" s="153"/>
      <c r="AV2258" s="153"/>
      <c r="AW2258" s="153"/>
      <c r="AX2258" s="153"/>
      <c r="AY2258" s="153"/>
      <c r="AZ2258" s="153"/>
      <c r="BA2258" s="153"/>
      <c r="BB2258" s="153"/>
      <c r="BC2258" s="153"/>
      <c r="BD2258" s="153"/>
      <c r="BE2258" s="153"/>
      <c r="BF2258" s="153"/>
      <c r="BG2258" s="153"/>
      <c r="BH2258" s="153"/>
      <c r="BI2258" s="153"/>
      <c r="BJ2258" s="153"/>
      <c r="BK2258" s="153"/>
      <c r="BL2258" s="153"/>
      <c r="BM2258" s="153"/>
      <c r="BN2258" s="153"/>
      <c r="BO2258" s="153"/>
      <c r="BP2258" s="153"/>
      <c r="BQ2258" s="153"/>
      <c r="BR2258" s="153"/>
      <c r="BS2258" s="153"/>
      <c r="BT2258" s="153"/>
      <c r="BU2258" s="153"/>
      <c r="BV2258" s="153"/>
      <c r="BW2258" s="153"/>
      <c r="BX2258" s="153"/>
      <c r="BY2258" s="153"/>
      <c r="BZ2258" s="153"/>
      <c r="CA2258" s="153"/>
      <c r="CB2258" s="153"/>
      <c r="CC2258" s="153"/>
      <c r="CD2258" s="155"/>
      <c r="CE2258" s="156"/>
      <c r="CF2258" s="155"/>
      <c r="CG2258" s="156"/>
      <c r="CH2258" s="155"/>
      <c r="CI2258" s="156"/>
      <c r="CJ2258" s="157">
        <f t="shared" si="280"/>
        <v>0</v>
      </c>
      <c r="CK2258" s="158"/>
      <c r="CL2258" s="159"/>
      <c r="CM2258" s="160"/>
      <c r="CN2258" s="161"/>
      <c r="CO2258" s="162"/>
      <c r="CP2258" s="161"/>
      <c r="CQ2258" s="158"/>
      <c r="CR2258" s="159"/>
      <c r="CS2258" s="68"/>
      <c r="CT2258" s="163"/>
      <c r="EC2258" s="366" t="str">
        <f t="shared" si="281"/>
        <v>NARIÑO_MOSQUERA</v>
      </c>
      <c r="ED2258" s="367"/>
      <c r="EE2258" s="367"/>
      <c r="EF2258" s="368"/>
      <c r="EG2258" s="367"/>
      <c r="EH2258" s="367"/>
      <c r="EI2258" s="367"/>
    </row>
    <row r="2259" spans="1:139" s="277" customFormat="1" ht="38.25">
      <c r="A2259" s="228">
        <v>40527</v>
      </c>
      <c r="B2259" s="205" t="s">
        <v>1824</v>
      </c>
      <c r="C2259" s="205" t="s">
        <v>2801</v>
      </c>
      <c r="D2259" s="207" t="s">
        <v>1201</v>
      </c>
      <c r="E2259" s="323" t="s">
        <v>3974</v>
      </c>
      <c r="F2259" s="323"/>
      <c r="G2259" s="204"/>
      <c r="H2259" s="151"/>
      <c r="I2259" s="151"/>
      <c r="J2259" s="151">
        <v>2800</v>
      </c>
      <c r="K2259" s="151">
        <v>2800</v>
      </c>
      <c r="L2259" s="1"/>
      <c r="M2259" s="73">
        <f t="shared" si="278"/>
        <v>0</v>
      </c>
      <c r="N2259" s="73">
        <f t="shared" si="283"/>
        <v>0</v>
      </c>
      <c r="O2259" s="73">
        <f t="shared" si="277"/>
        <v>0</v>
      </c>
      <c r="P2259" s="73">
        <f t="shared" si="279"/>
        <v>0</v>
      </c>
      <c r="Q2259" s="73"/>
      <c r="R2259" s="73">
        <v>0</v>
      </c>
      <c r="S2259" s="75">
        <f t="shared" si="282"/>
        <v>0</v>
      </c>
      <c r="T2259" s="77">
        <v>0</v>
      </c>
      <c r="U2259" s="284">
        <v>40617</v>
      </c>
      <c r="V2259" s="285"/>
      <c r="W2259" s="284" t="s">
        <v>1585</v>
      </c>
      <c r="X2259" s="286" t="s">
        <v>1586</v>
      </c>
      <c r="Y2259" s="287"/>
      <c r="Z2259" s="300" t="s">
        <v>894</v>
      </c>
      <c r="AA2259" s="301" t="s">
        <v>3101</v>
      </c>
      <c r="AB2259" s="152"/>
      <c r="AC2259" s="153"/>
      <c r="AD2259" s="154"/>
      <c r="AE2259" s="153"/>
      <c r="AF2259" s="153"/>
      <c r="AG2259" s="153"/>
      <c r="AH2259" s="153"/>
      <c r="AI2259" s="153"/>
      <c r="AJ2259" s="153"/>
      <c r="AK2259" s="153"/>
      <c r="AL2259" s="153"/>
      <c r="AM2259" s="153"/>
      <c r="AN2259" s="153"/>
      <c r="AO2259" s="153"/>
      <c r="AP2259" s="153"/>
      <c r="AQ2259" s="153"/>
      <c r="AR2259" s="153"/>
      <c r="AS2259" s="153"/>
      <c r="AT2259" s="153"/>
      <c r="AU2259" s="153"/>
      <c r="AV2259" s="153"/>
      <c r="AW2259" s="153"/>
      <c r="AX2259" s="153"/>
      <c r="AY2259" s="153"/>
      <c r="AZ2259" s="153"/>
      <c r="BA2259" s="153"/>
      <c r="BB2259" s="153"/>
      <c r="BC2259" s="153"/>
      <c r="BD2259" s="153"/>
      <c r="BE2259" s="153"/>
      <c r="BF2259" s="153"/>
      <c r="BG2259" s="153"/>
      <c r="BH2259" s="153"/>
      <c r="BI2259" s="153"/>
      <c r="BJ2259" s="153"/>
      <c r="BK2259" s="153"/>
      <c r="BL2259" s="153"/>
      <c r="BM2259" s="153"/>
      <c r="BN2259" s="153"/>
      <c r="BO2259" s="153"/>
      <c r="BP2259" s="153"/>
      <c r="BQ2259" s="153"/>
      <c r="BR2259" s="153"/>
      <c r="BS2259" s="153"/>
      <c r="BT2259" s="153"/>
      <c r="BU2259" s="153"/>
      <c r="BV2259" s="153"/>
      <c r="BW2259" s="153"/>
      <c r="BX2259" s="153"/>
      <c r="BY2259" s="153"/>
      <c r="BZ2259" s="153"/>
      <c r="CA2259" s="153"/>
      <c r="CB2259" s="153"/>
      <c r="CC2259" s="153"/>
      <c r="CD2259" s="155"/>
      <c r="CE2259" s="156"/>
      <c r="CF2259" s="155"/>
      <c r="CG2259" s="156"/>
      <c r="CH2259" s="155"/>
      <c r="CI2259" s="156"/>
      <c r="CJ2259" s="157">
        <f t="shared" si="280"/>
        <v>0</v>
      </c>
      <c r="CK2259" s="158"/>
      <c r="CL2259" s="159"/>
      <c r="CM2259" s="160"/>
      <c r="CN2259" s="161"/>
      <c r="CO2259" s="162"/>
      <c r="CP2259" s="161"/>
      <c r="CQ2259" s="158"/>
      <c r="CR2259" s="159"/>
      <c r="CS2259" s="68"/>
      <c r="CT2259" s="163"/>
      <c r="EC2259" s="366" t="str">
        <f t="shared" si="281"/>
        <v>NARIÑO_OLAYA HERRERA</v>
      </c>
      <c r="ED2259" s="367"/>
      <c r="EE2259" s="367"/>
      <c r="EF2259" s="368"/>
      <c r="EG2259" s="367"/>
      <c r="EH2259" s="367"/>
      <c r="EI2259" s="367"/>
    </row>
    <row r="2260" spans="1:139" s="277" customFormat="1" ht="25.5">
      <c r="A2260" s="228">
        <v>40527</v>
      </c>
      <c r="B2260" s="205" t="s">
        <v>1824</v>
      </c>
      <c r="C2260" s="205" t="s">
        <v>2987</v>
      </c>
      <c r="D2260" s="207" t="s">
        <v>1201</v>
      </c>
      <c r="E2260" s="323" t="s">
        <v>3978</v>
      </c>
      <c r="F2260" s="323"/>
      <c r="G2260" s="204"/>
      <c r="H2260" s="151"/>
      <c r="I2260" s="151"/>
      <c r="J2260" s="151">
        <v>14</v>
      </c>
      <c r="K2260" s="151">
        <v>14</v>
      </c>
      <c r="L2260" s="1"/>
      <c r="M2260" s="73">
        <f t="shared" si="278"/>
        <v>0</v>
      </c>
      <c r="N2260" s="73">
        <f t="shared" si="283"/>
        <v>0</v>
      </c>
      <c r="O2260" s="73">
        <f t="shared" si="277"/>
        <v>0</v>
      </c>
      <c r="P2260" s="73">
        <f t="shared" si="279"/>
        <v>0</v>
      </c>
      <c r="Q2260" s="73"/>
      <c r="R2260" s="73">
        <v>0</v>
      </c>
      <c r="S2260" s="75">
        <f t="shared" si="282"/>
        <v>0</v>
      </c>
      <c r="T2260" s="77">
        <v>0</v>
      </c>
      <c r="U2260" s="284">
        <v>40617</v>
      </c>
      <c r="V2260" s="285"/>
      <c r="W2260" s="284" t="s">
        <v>1585</v>
      </c>
      <c r="X2260" s="286" t="s">
        <v>1586</v>
      </c>
      <c r="Y2260" s="287"/>
      <c r="Z2260" s="300" t="s">
        <v>894</v>
      </c>
      <c r="AA2260" s="301" t="s">
        <v>3101</v>
      </c>
      <c r="AB2260" s="152"/>
      <c r="AC2260" s="153"/>
      <c r="AD2260" s="154"/>
      <c r="AE2260" s="153"/>
      <c r="AF2260" s="153"/>
      <c r="AG2260" s="153"/>
      <c r="AH2260" s="153"/>
      <c r="AI2260" s="153"/>
      <c r="AJ2260" s="153"/>
      <c r="AK2260" s="153"/>
      <c r="AL2260" s="153"/>
      <c r="AM2260" s="153"/>
      <c r="AN2260" s="153"/>
      <c r="AO2260" s="153"/>
      <c r="AP2260" s="153"/>
      <c r="AQ2260" s="153"/>
      <c r="AR2260" s="153"/>
      <c r="AS2260" s="153"/>
      <c r="AT2260" s="153"/>
      <c r="AU2260" s="153"/>
      <c r="AV2260" s="153"/>
      <c r="AW2260" s="153"/>
      <c r="AX2260" s="153"/>
      <c r="AY2260" s="153"/>
      <c r="AZ2260" s="153"/>
      <c r="BA2260" s="153"/>
      <c r="BB2260" s="153"/>
      <c r="BC2260" s="153"/>
      <c r="BD2260" s="153"/>
      <c r="BE2260" s="153"/>
      <c r="BF2260" s="153"/>
      <c r="BG2260" s="153"/>
      <c r="BH2260" s="153"/>
      <c r="BI2260" s="153"/>
      <c r="BJ2260" s="153"/>
      <c r="BK2260" s="153"/>
      <c r="BL2260" s="153"/>
      <c r="BM2260" s="153"/>
      <c r="BN2260" s="153"/>
      <c r="BO2260" s="153"/>
      <c r="BP2260" s="153"/>
      <c r="BQ2260" s="153"/>
      <c r="BR2260" s="153"/>
      <c r="BS2260" s="153"/>
      <c r="BT2260" s="153"/>
      <c r="BU2260" s="153"/>
      <c r="BV2260" s="153"/>
      <c r="BW2260" s="153"/>
      <c r="BX2260" s="153"/>
      <c r="BY2260" s="153"/>
      <c r="BZ2260" s="153"/>
      <c r="CA2260" s="153"/>
      <c r="CB2260" s="153"/>
      <c r="CC2260" s="153"/>
      <c r="CD2260" s="155"/>
      <c r="CE2260" s="156"/>
      <c r="CF2260" s="155"/>
      <c r="CG2260" s="156"/>
      <c r="CH2260" s="155"/>
      <c r="CI2260" s="156"/>
      <c r="CJ2260" s="157">
        <f t="shared" si="280"/>
        <v>0</v>
      </c>
      <c r="CK2260" s="158"/>
      <c r="CL2260" s="159"/>
      <c r="CM2260" s="160"/>
      <c r="CN2260" s="161"/>
      <c r="CO2260" s="162"/>
      <c r="CP2260" s="161"/>
      <c r="CQ2260" s="158"/>
      <c r="CR2260" s="159"/>
      <c r="CS2260" s="68"/>
      <c r="CT2260" s="163"/>
      <c r="EC2260" s="366" t="str">
        <f t="shared" si="281"/>
        <v>NARIÑO_POTOSI</v>
      </c>
      <c r="ED2260" s="367"/>
      <c r="EE2260" s="367"/>
      <c r="EF2260" s="368"/>
      <c r="EG2260" s="367"/>
      <c r="EH2260" s="367"/>
      <c r="EI2260" s="367"/>
    </row>
    <row r="2261" spans="1:139" s="164" customFormat="1" ht="38.25">
      <c r="A2261" s="228">
        <v>40527</v>
      </c>
      <c r="B2261" s="205" t="s">
        <v>1824</v>
      </c>
      <c r="C2261" s="205" t="s">
        <v>1990</v>
      </c>
      <c r="D2261" s="207" t="s">
        <v>1201</v>
      </c>
      <c r="E2261" s="323" t="s">
        <v>3979</v>
      </c>
      <c r="F2261" s="323"/>
      <c r="G2261" s="204"/>
      <c r="H2261" s="151"/>
      <c r="I2261" s="151"/>
      <c r="J2261" s="151">
        <v>1986</v>
      </c>
      <c r="K2261" s="151">
        <v>1986</v>
      </c>
      <c r="L2261" s="1"/>
      <c r="M2261" s="73">
        <f t="shared" si="278"/>
        <v>0</v>
      </c>
      <c r="N2261" s="73">
        <f t="shared" si="283"/>
        <v>0</v>
      </c>
      <c r="O2261" s="73">
        <f t="shared" si="277"/>
        <v>0</v>
      </c>
      <c r="P2261" s="73">
        <f t="shared" si="279"/>
        <v>0</v>
      </c>
      <c r="Q2261" s="73"/>
      <c r="R2261" s="73">
        <v>0</v>
      </c>
      <c r="S2261" s="75">
        <f t="shared" si="282"/>
        <v>0</v>
      </c>
      <c r="T2261" s="77">
        <v>0</v>
      </c>
      <c r="U2261" s="284">
        <v>40617</v>
      </c>
      <c r="V2261" s="285"/>
      <c r="W2261" s="284" t="s">
        <v>1585</v>
      </c>
      <c r="X2261" s="286" t="s">
        <v>1586</v>
      </c>
      <c r="Y2261" s="287"/>
      <c r="Z2261" s="300" t="s">
        <v>894</v>
      </c>
      <c r="AA2261" s="301" t="s">
        <v>3101</v>
      </c>
      <c r="AB2261" s="152"/>
      <c r="AC2261" s="153"/>
      <c r="AD2261" s="154"/>
      <c r="AE2261" s="153"/>
      <c r="AF2261" s="153"/>
      <c r="AG2261" s="153"/>
      <c r="AH2261" s="153"/>
      <c r="AI2261" s="153"/>
      <c r="AJ2261" s="153"/>
      <c r="AK2261" s="153"/>
      <c r="AL2261" s="153"/>
      <c r="AM2261" s="153"/>
      <c r="AN2261" s="153"/>
      <c r="AO2261" s="153"/>
      <c r="AP2261" s="153"/>
      <c r="AQ2261" s="153"/>
      <c r="AR2261" s="153"/>
      <c r="AS2261" s="153"/>
      <c r="AT2261" s="153"/>
      <c r="AU2261" s="153"/>
      <c r="AV2261" s="153"/>
      <c r="AW2261" s="153"/>
      <c r="AX2261" s="153"/>
      <c r="AY2261" s="153"/>
      <c r="AZ2261" s="153"/>
      <c r="BA2261" s="153"/>
      <c r="BB2261" s="153"/>
      <c r="BC2261" s="153"/>
      <c r="BD2261" s="153"/>
      <c r="BE2261" s="153"/>
      <c r="BF2261" s="153"/>
      <c r="BG2261" s="153"/>
      <c r="BH2261" s="153"/>
      <c r="BI2261" s="153"/>
      <c r="BJ2261" s="153"/>
      <c r="BK2261" s="153"/>
      <c r="BL2261" s="153"/>
      <c r="BM2261" s="153"/>
      <c r="BN2261" s="153"/>
      <c r="BO2261" s="153"/>
      <c r="BP2261" s="153"/>
      <c r="BQ2261" s="153"/>
      <c r="BR2261" s="153"/>
      <c r="BS2261" s="153"/>
      <c r="BT2261" s="153"/>
      <c r="BU2261" s="153"/>
      <c r="BV2261" s="153"/>
      <c r="BW2261" s="153"/>
      <c r="BX2261" s="153"/>
      <c r="BY2261" s="153"/>
      <c r="BZ2261" s="153"/>
      <c r="CA2261" s="153"/>
      <c r="CB2261" s="153"/>
      <c r="CC2261" s="153"/>
      <c r="CD2261" s="155"/>
      <c r="CE2261" s="156"/>
      <c r="CF2261" s="155"/>
      <c r="CG2261" s="156"/>
      <c r="CH2261" s="155"/>
      <c r="CI2261" s="156"/>
      <c r="CJ2261" s="157">
        <f t="shared" si="280"/>
        <v>0</v>
      </c>
      <c r="CK2261" s="158"/>
      <c r="CL2261" s="159"/>
      <c r="CM2261" s="160"/>
      <c r="CN2261" s="161"/>
      <c r="CO2261" s="162"/>
      <c r="CP2261" s="161"/>
      <c r="CQ2261" s="158"/>
      <c r="CR2261" s="159"/>
      <c r="CS2261" s="68"/>
      <c r="CT2261" s="163"/>
      <c r="EC2261" s="366" t="str">
        <f t="shared" si="281"/>
        <v>NARIÑO_PROVIDENCIA</v>
      </c>
      <c r="ED2261" s="367"/>
      <c r="EE2261" s="367"/>
      <c r="EF2261" s="368"/>
      <c r="EG2261" s="367"/>
      <c r="EH2261" s="367"/>
      <c r="EI2261" s="367"/>
    </row>
    <row r="2262" spans="1:139" s="164" customFormat="1" ht="25.5">
      <c r="A2262" s="228">
        <v>40527</v>
      </c>
      <c r="B2262" s="205" t="s">
        <v>1824</v>
      </c>
      <c r="C2262" s="205" t="s">
        <v>81</v>
      </c>
      <c r="D2262" s="207" t="s">
        <v>1201</v>
      </c>
      <c r="E2262" s="323" t="s">
        <v>3981</v>
      </c>
      <c r="F2262" s="323"/>
      <c r="G2262" s="204"/>
      <c r="H2262" s="151"/>
      <c r="I2262" s="151"/>
      <c r="J2262" s="151">
        <v>100</v>
      </c>
      <c r="K2262" s="151">
        <v>100</v>
      </c>
      <c r="L2262" s="1"/>
      <c r="M2262" s="73">
        <f t="shared" si="278"/>
        <v>0</v>
      </c>
      <c r="N2262" s="73">
        <f t="shared" si="283"/>
        <v>0</v>
      </c>
      <c r="O2262" s="73">
        <f t="shared" si="277"/>
        <v>0</v>
      </c>
      <c r="P2262" s="73">
        <f t="shared" si="279"/>
        <v>0</v>
      </c>
      <c r="Q2262" s="73"/>
      <c r="R2262" s="73">
        <v>0</v>
      </c>
      <c r="S2262" s="75">
        <f t="shared" si="282"/>
        <v>0</v>
      </c>
      <c r="T2262" s="77">
        <v>0</v>
      </c>
      <c r="U2262" s="284">
        <v>40617</v>
      </c>
      <c r="V2262" s="285"/>
      <c r="W2262" s="284" t="s">
        <v>1585</v>
      </c>
      <c r="X2262" s="286" t="s">
        <v>1586</v>
      </c>
      <c r="Y2262" s="287"/>
      <c r="Z2262" s="300" t="s">
        <v>894</v>
      </c>
      <c r="AA2262" s="301" t="s">
        <v>3101</v>
      </c>
      <c r="AB2262" s="152"/>
      <c r="AC2262" s="153"/>
      <c r="AD2262" s="154"/>
      <c r="AE2262" s="153"/>
      <c r="AF2262" s="153"/>
      <c r="AG2262" s="153"/>
      <c r="AH2262" s="153"/>
      <c r="AI2262" s="153"/>
      <c r="AJ2262" s="153"/>
      <c r="AK2262" s="153"/>
      <c r="AL2262" s="153"/>
      <c r="AM2262" s="153"/>
      <c r="AN2262" s="153"/>
      <c r="AO2262" s="153"/>
      <c r="AP2262" s="153"/>
      <c r="AQ2262" s="153"/>
      <c r="AR2262" s="153"/>
      <c r="AS2262" s="153"/>
      <c r="AT2262" s="153"/>
      <c r="AU2262" s="153"/>
      <c r="AV2262" s="153"/>
      <c r="AW2262" s="153"/>
      <c r="AX2262" s="153"/>
      <c r="AY2262" s="153"/>
      <c r="AZ2262" s="153"/>
      <c r="BA2262" s="153"/>
      <c r="BB2262" s="153"/>
      <c r="BC2262" s="153"/>
      <c r="BD2262" s="153"/>
      <c r="BE2262" s="153"/>
      <c r="BF2262" s="153"/>
      <c r="BG2262" s="153"/>
      <c r="BH2262" s="153"/>
      <c r="BI2262" s="153"/>
      <c r="BJ2262" s="153"/>
      <c r="BK2262" s="153"/>
      <c r="BL2262" s="153"/>
      <c r="BM2262" s="153"/>
      <c r="BN2262" s="153"/>
      <c r="BO2262" s="153"/>
      <c r="BP2262" s="153"/>
      <c r="BQ2262" s="153"/>
      <c r="BR2262" s="153"/>
      <c r="BS2262" s="153"/>
      <c r="BT2262" s="153"/>
      <c r="BU2262" s="153"/>
      <c r="BV2262" s="153"/>
      <c r="BW2262" s="153"/>
      <c r="BX2262" s="153"/>
      <c r="BY2262" s="153"/>
      <c r="BZ2262" s="153"/>
      <c r="CA2262" s="153"/>
      <c r="CB2262" s="153"/>
      <c r="CC2262" s="153"/>
      <c r="CD2262" s="155"/>
      <c r="CE2262" s="156"/>
      <c r="CF2262" s="155"/>
      <c r="CG2262" s="156"/>
      <c r="CH2262" s="155"/>
      <c r="CI2262" s="156"/>
      <c r="CJ2262" s="157">
        <f t="shared" si="280"/>
        <v>0</v>
      </c>
      <c r="CK2262" s="158"/>
      <c r="CL2262" s="159"/>
      <c r="CM2262" s="160"/>
      <c r="CN2262" s="161"/>
      <c r="CO2262" s="162"/>
      <c r="CP2262" s="161"/>
      <c r="CQ2262" s="158"/>
      <c r="CR2262" s="159"/>
      <c r="CS2262" s="68"/>
      <c r="CT2262" s="163"/>
      <c r="EC2262" s="366" t="str">
        <f t="shared" si="281"/>
        <v>NARIÑO_PUPIALES</v>
      </c>
      <c r="ED2262" s="367"/>
      <c r="EE2262" s="367"/>
      <c r="EF2262" s="368"/>
      <c r="EG2262" s="367"/>
      <c r="EH2262" s="367"/>
      <c r="EI2262" s="367"/>
    </row>
    <row r="2263" spans="1:139" s="277" customFormat="1" ht="38.25">
      <c r="A2263" s="228">
        <v>40527</v>
      </c>
      <c r="B2263" s="205" t="s">
        <v>1824</v>
      </c>
      <c r="C2263" s="205" t="s">
        <v>2978</v>
      </c>
      <c r="D2263" s="207" t="s">
        <v>1201</v>
      </c>
      <c r="E2263" s="323" t="s">
        <v>3983</v>
      </c>
      <c r="F2263" s="323"/>
      <c r="G2263" s="204"/>
      <c r="H2263" s="151"/>
      <c r="I2263" s="151"/>
      <c r="J2263" s="151">
        <v>1655</v>
      </c>
      <c r="K2263" s="151">
        <v>1655</v>
      </c>
      <c r="L2263" s="1"/>
      <c r="M2263" s="73">
        <f t="shared" si="278"/>
        <v>0</v>
      </c>
      <c r="N2263" s="73">
        <f t="shared" si="283"/>
        <v>0</v>
      </c>
      <c r="O2263" s="73">
        <f t="shared" si="277"/>
        <v>0</v>
      </c>
      <c r="P2263" s="73">
        <f t="shared" si="279"/>
        <v>0</v>
      </c>
      <c r="Q2263" s="73"/>
      <c r="R2263" s="73">
        <v>0</v>
      </c>
      <c r="S2263" s="75">
        <f t="shared" si="282"/>
        <v>0</v>
      </c>
      <c r="T2263" s="77">
        <v>0</v>
      </c>
      <c r="U2263" s="284">
        <v>40617</v>
      </c>
      <c r="V2263" s="285"/>
      <c r="W2263" s="284" t="s">
        <v>1585</v>
      </c>
      <c r="X2263" s="286" t="s">
        <v>1586</v>
      </c>
      <c r="Y2263" s="287"/>
      <c r="Z2263" s="300" t="s">
        <v>894</v>
      </c>
      <c r="AA2263" s="301" t="s">
        <v>3101</v>
      </c>
      <c r="AB2263" s="152"/>
      <c r="AC2263" s="153"/>
      <c r="AD2263" s="154"/>
      <c r="AE2263" s="153"/>
      <c r="AF2263" s="153"/>
      <c r="AG2263" s="153"/>
      <c r="AH2263" s="153"/>
      <c r="AI2263" s="153"/>
      <c r="AJ2263" s="153"/>
      <c r="AK2263" s="153"/>
      <c r="AL2263" s="153"/>
      <c r="AM2263" s="153"/>
      <c r="AN2263" s="153"/>
      <c r="AO2263" s="153"/>
      <c r="AP2263" s="153"/>
      <c r="AQ2263" s="153"/>
      <c r="AR2263" s="153"/>
      <c r="AS2263" s="153"/>
      <c r="AT2263" s="153"/>
      <c r="AU2263" s="153"/>
      <c r="AV2263" s="153"/>
      <c r="AW2263" s="153"/>
      <c r="AX2263" s="153"/>
      <c r="AY2263" s="153"/>
      <c r="AZ2263" s="153"/>
      <c r="BA2263" s="153"/>
      <c r="BB2263" s="153"/>
      <c r="BC2263" s="153"/>
      <c r="BD2263" s="153"/>
      <c r="BE2263" s="153"/>
      <c r="BF2263" s="153"/>
      <c r="BG2263" s="153"/>
      <c r="BH2263" s="153"/>
      <c r="BI2263" s="153"/>
      <c r="BJ2263" s="153"/>
      <c r="BK2263" s="153"/>
      <c r="BL2263" s="153"/>
      <c r="BM2263" s="153"/>
      <c r="BN2263" s="153"/>
      <c r="BO2263" s="153"/>
      <c r="BP2263" s="153"/>
      <c r="BQ2263" s="153"/>
      <c r="BR2263" s="153"/>
      <c r="BS2263" s="153"/>
      <c r="BT2263" s="153"/>
      <c r="BU2263" s="153"/>
      <c r="BV2263" s="153"/>
      <c r="BW2263" s="153"/>
      <c r="BX2263" s="153"/>
      <c r="BY2263" s="153"/>
      <c r="BZ2263" s="153"/>
      <c r="CA2263" s="153"/>
      <c r="CB2263" s="153"/>
      <c r="CC2263" s="153"/>
      <c r="CD2263" s="155"/>
      <c r="CE2263" s="156"/>
      <c r="CF2263" s="155"/>
      <c r="CG2263" s="156"/>
      <c r="CH2263" s="155"/>
      <c r="CI2263" s="156"/>
      <c r="CJ2263" s="157">
        <f t="shared" si="280"/>
        <v>0</v>
      </c>
      <c r="CK2263" s="158"/>
      <c r="CL2263" s="159"/>
      <c r="CM2263" s="160"/>
      <c r="CN2263" s="161"/>
      <c r="CO2263" s="162"/>
      <c r="CP2263" s="161"/>
      <c r="CQ2263" s="158"/>
      <c r="CR2263" s="159"/>
      <c r="CS2263" s="68"/>
      <c r="CT2263" s="163"/>
      <c r="EC2263" s="366" t="str">
        <f t="shared" si="281"/>
        <v>NARIÑO_ROBERTO PAYAN</v>
      </c>
      <c r="ED2263" s="367"/>
      <c r="EE2263" s="367"/>
      <c r="EF2263" s="368"/>
      <c r="EG2263" s="367"/>
      <c r="EH2263" s="367"/>
      <c r="EI2263" s="367"/>
    </row>
    <row r="2264" spans="1:139" s="277" customFormat="1" ht="25.5">
      <c r="A2264" s="228">
        <v>40527</v>
      </c>
      <c r="B2264" s="205" t="s">
        <v>1824</v>
      </c>
      <c r="C2264" s="205" t="s">
        <v>2511</v>
      </c>
      <c r="D2264" s="207" t="s">
        <v>1201</v>
      </c>
      <c r="E2264" s="323" t="s">
        <v>3984</v>
      </c>
      <c r="F2264" s="323"/>
      <c r="G2264" s="204"/>
      <c r="H2264" s="151"/>
      <c r="I2264" s="151"/>
      <c r="J2264" s="151">
        <v>174</v>
      </c>
      <c r="K2264" s="151">
        <v>174</v>
      </c>
      <c r="L2264" s="1"/>
      <c r="M2264" s="73">
        <f t="shared" si="278"/>
        <v>0</v>
      </c>
      <c r="N2264" s="73">
        <f t="shared" si="283"/>
        <v>0</v>
      </c>
      <c r="O2264" s="73">
        <f t="shared" si="277"/>
        <v>0</v>
      </c>
      <c r="P2264" s="73">
        <f t="shared" si="279"/>
        <v>0</v>
      </c>
      <c r="Q2264" s="73"/>
      <c r="R2264" s="73">
        <v>0</v>
      </c>
      <c r="S2264" s="75">
        <f t="shared" si="282"/>
        <v>0</v>
      </c>
      <c r="T2264" s="77">
        <v>0</v>
      </c>
      <c r="U2264" s="284">
        <v>40617</v>
      </c>
      <c r="V2264" s="285"/>
      <c r="W2264" s="284" t="s">
        <v>1585</v>
      </c>
      <c r="X2264" s="286" t="s">
        <v>1586</v>
      </c>
      <c r="Y2264" s="287"/>
      <c r="Z2264" s="300" t="s">
        <v>894</v>
      </c>
      <c r="AA2264" s="301" t="s">
        <v>3101</v>
      </c>
      <c r="AB2264" s="152"/>
      <c r="AC2264" s="153"/>
      <c r="AD2264" s="154"/>
      <c r="AE2264" s="153"/>
      <c r="AF2264" s="153"/>
      <c r="AG2264" s="153"/>
      <c r="AH2264" s="153"/>
      <c r="AI2264" s="153"/>
      <c r="AJ2264" s="153"/>
      <c r="AK2264" s="153"/>
      <c r="AL2264" s="153"/>
      <c r="AM2264" s="153"/>
      <c r="AN2264" s="153"/>
      <c r="AO2264" s="153"/>
      <c r="AP2264" s="153"/>
      <c r="AQ2264" s="153"/>
      <c r="AR2264" s="153"/>
      <c r="AS2264" s="153"/>
      <c r="AT2264" s="153"/>
      <c r="AU2264" s="153"/>
      <c r="AV2264" s="153"/>
      <c r="AW2264" s="153"/>
      <c r="AX2264" s="153"/>
      <c r="AY2264" s="153"/>
      <c r="AZ2264" s="153"/>
      <c r="BA2264" s="153"/>
      <c r="BB2264" s="153"/>
      <c r="BC2264" s="153"/>
      <c r="BD2264" s="153"/>
      <c r="BE2264" s="153"/>
      <c r="BF2264" s="153"/>
      <c r="BG2264" s="153"/>
      <c r="BH2264" s="153"/>
      <c r="BI2264" s="153"/>
      <c r="BJ2264" s="153"/>
      <c r="BK2264" s="153"/>
      <c r="BL2264" s="153"/>
      <c r="BM2264" s="153"/>
      <c r="BN2264" s="153"/>
      <c r="BO2264" s="153"/>
      <c r="BP2264" s="153"/>
      <c r="BQ2264" s="153"/>
      <c r="BR2264" s="153"/>
      <c r="BS2264" s="153"/>
      <c r="BT2264" s="153"/>
      <c r="BU2264" s="153"/>
      <c r="BV2264" s="153"/>
      <c r="BW2264" s="153"/>
      <c r="BX2264" s="153"/>
      <c r="BY2264" s="153"/>
      <c r="BZ2264" s="153"/>
      <c r="CA2264" s="153"/>
      <c r="CB2264" s="153"/>
      <c r="CC2264" s="153"/>
      <c r="CD2264" s="155"/>
      <c r="CE2264" s="156"/>
      <c r="CF2264" s="155"/>
      <c r="CG2264" s="156"/>
      <c r="CH2264" s="155"/>
      <c r="CI2264" s="156"/>
      <c r="CJ2264" s="157">
        <f t="shared" si="280"/>
        <v>0</v>
      </c>
      <c r="CK2264" s="158"/>
      <c r="CL2264" s="159"/>
      <c r="CM2264" s="160"/>
      <c r="CN2264" s="161"/>
      <c r="CO2264" s="162"/>
      <c r="CP2264" s="161"/>
      <c r="CQ2264" s="158"/>
      <c r="CR2264" s="159"/>
      <c r="CS2264" s="68"/>
      <c r="CT2264" s="163"/>
      <c r="EC2264" s="366" t="str">
        <f t="shared" si="281"/>
        <v>NARIÑO_SAMANIEGO</v>
      </c>
      <c r="ED2264" s="367"/>
      <c r="EE2264" s="367"/>
      <c r="EF2264" s="368"/>
      <c r="EG2264" s="367"/>
      <c r="EH2264" s="367"/>
      <c r="EI2264" s="367"/>
    </row>
    <row r="2265" spans="1:139" s="164" customFormat="1" ht="38.25">
      <c r="A2265" s="228">
        <v>40527</v>
      </c>
      <c r="B2265" s="205" t="s">
        <v>1824</v>
      </c>
      <c r="C2265" s="205" t="s">
        <v>954</v>
      </c>
      <c r="D2265" s="207" t="s">
        <v>1878</v>
      </c>
      <c r="E2265" s="323" t="s">
        <v>3986</v>
      </c>
      <c r="F2265" s="323"/>
      <c r="G2265" s="204"/>
      <c r="H2265" s="151"/>
      <c r="I2265" s="151"/>
      <c r="J2265" s="151">
        <v>2900</v>
      </c>
      <c r="K2265" s="151">
        <v>730</v>
      </c>
      <c r="L2265" s="1"/>
      <c r="M2265" s="73">
        <f t="shared" si="278"/>
        <v>0</v>
      </c>
      <c r="N2265" s="73">
        <f t="shared" si="283"/>
        <v>0</v>
      </c>
      <c r="O2265" s="73">
        <f t="shared" si="277"/>
        <v>0</v>
      </c>
      <c r="P2265" s="73">
        <f t="shared" si="279"/>
        <v>0</v>
      </c>
      <c r="Q2265" s="73"/>
      <c r="R2265" s="73">
        <v>0</v>
      </c>
      <c r="S2265" s="75">
        <f t="shared" si="282"/>
        <v>0</v>
      </c>
      <c r="T2265" s="77">
        <v>0</v>
      </c>
      <c r="U2265" s="66">
        <v>40527</v>
      </c>
      <c r="V2265" s="79"/>
      <c r="W2265" s="66" t="s">
        <v>1585</v>
      </c>
      <c r="X2265" s="24" t="s">
        <v>1586</v>
      </c>
      <c r="Y2265" s="62"/>
      <c r="Z2265" s="169" t="s">
        <v>894</v>
      </c>
      <c r="AA2265" s="166" t="s">
        <v>3036</v>
      </c>
      <c r="AB2265" s="152"/>
      <c r="AC2265" s="153"/>
      <c r="AD2265" s="154"/>
      <c r="AE2265" s="153"/>
      <c r="AF2265" s="153"/>
      <c r="AG2265" s="153"/>
      <c r="AH2265" s="153"/>
      <c r="AI2265" s="153"/>
      <c r="AJ2265" s="153"/>
      <c r="AK2265" s="153"/>
      <c r="AL2265" s="153"/>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c r="BF2265" s="153"/>
      <c r="BG2265" s="153"/>
      <c r="BH2265" s="153"/>
      <c r="BI2265" s="153"/>
      <c r="BJ2265" s="153"/>
      <c r="BK2265" s="153"/>
      <c r="BL2265" s="153"/>
      <c r="BM2265" s="153"/>
      <c r="BN2265" s="153"/>
      <c r="BO2265" s="153"/>
      <c r="BP2265" s="153"/>
      <c r="BQ2265" s="153"/>
      <c r="BR2265" s="153"/>
      <c r="BS2265" s="153"/>
      <c r="BT2265" s="153"/>
      <c r="BU2265" s="153"/>
      <c r="BV2265" s="153"/>
      <c r="BW2265" s="153"/>
      <c r="BX2265" s="153"/>
      <c r="BY2265" s="153"/>
      <c r="BZ2265" s="153"/>
      <c r="CA2265" s="153"/>
      <c r="CB2265" s="153"/>
      <c r="CC2265" s="153"/>
      <c r="CD2265" s="155"/>
      <c r="CE2265" s="156"/>
      <c r="CF2265" s="155"/>
      <c r="CG2265" s="156"/>
      <c r="CH2265" s="155"/>
      <c r="CI2265" s="156"/>
      <c r="CJ2265" s="157">
        <f t="shared" si="280"/>
        <v>0</v>
      </c>
      <c r="CK2265" s="158"/>
      <c r="CL2265" s="159"/>
      <c r="CM2265" s="160"/>
      <c r="CN2265" s="161"/>
      <c r="CO2265" s="162"/>
      <c r="CP2265" s="161"/>
      <c r="CQ2265" s="158"/>
      <c r="CR2265" s="159"/>
      <c r="CS2265" s="68"/>
      <c r="CT2265" s="163"/>
      <c r="EC2265" s="366" t="str">
        <f t="shared" si="281"/>
        <v>NARIÑO_SAN BERNARDO</v>
      </c>
      <c r="ED2265" s="367"/>
      <c r="EE2265" s="367"/>
      <c r="EF2265" s="368"/>
      <c r="EG2265" s="367"/>
      <c r="EH2265" s="367"/>
      <c r="EI2265" s="367"/>
    </row>
    <row r="2266" spans="1:139" s="164" customFormat="1" ht="38.25">
      <c r="A2266" s="228">
        <v>40527</v>
      </c>
      <c r="B2266" s="205" t="s">
        <v>1824</v>
      </c>
      <c r="C2266" s="205" t="s">
        <v>954</v>
      </c>
      <c r="D2266" s="207" t="s">
        <v>1201</v>
      </c>
      <c r="E2266" s="323" t="s">
        <v>3986</v>
      </c>
      <c r="F2266" s="323"/>
      <c r="G2266" s="204"/>
      <c r="H2266" s="151"/>
      <c r="I2266" s="151"/>
      <c r="J2266" s="151">
        <v>5500</v>
      </c>
      <c r="K2266" s="151">
        <v>5500</v>
      </c>
      <c r="L2266" s="1"/>
      <c r="M2266" s="73">
        <f t="shared" si="278"/>
        <v>0</v>
      </c>
      <c r="N2266" s="73">
        <f t="shared" si="283"/>
        <v>0</v>
      </c>
      <c r="O2266" s="73">
        <f t="shared" si="277"/>
        <v>0</v>
      </c>
      <c r="P2266" s="73">
        <f t="shared" si="279"/>
        <v>0</v>
      </c>
      <c r="Q2266" s="73"/>
      <c r="R2266" s="73">
        <v>0</v>
      </c>
      <c r="S2266" s="75">
        <f t="shared" si="282"/>
        <v>0</v>
      </c>
      <c r="T2266" s="77">
        <v>0</v>
      </c>
      <c r="U2266" s="284">
        <v>40617</v>
      </c>
      <c r="V2266" s="285"/>
      <c r="W2266" s="284" t="s">
        <v>1585</v>
      </c>
      <c r="X2266" s="286" t="s">
        <v>1586</v>
      </c>
      <c r="Y2266" s="287"/>
      <c r="Z2266" s="300" t="s">
        <v>894</v>
      </c>
      <c r="AA2266" s="301" t="s">
        <v>3101</v>
      </c>
      <c r="AB2266" s="152"/>
      <c r="AC2266" s="153"/>
      <c r="AD2266" s="154"/>
      <c r="AE2266" s="153"/>
      <c r="AF2266" s="153"/>
      <c r="AG2266" s="153"/>
      <c r="AH2266" s="153"/>
      <c r="AI2266" s="153"/>
      <c r="AJ2266" s="153"/>
      <c r="AK2266" s="153"/>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c r="BF2266" s="153"/>
      <c r="BG2266" s="153"/>
      <c r="BH2266" s="153"/>
      <c r="BI2266" s="153"/>
      <c r="BJ2266" s="153"/>
      <c r="BK2266" s="153"/>
      <c r="BL2266" s="153"/>
      <c r="BM2266" s="153"/>
      <c r="BN2266" s="153"/>
      <c r="BO2266" s="153"/>
      <c r="BP2266" s="153"/>
      <c r="BQ2266" s="153"/>
      <c r="BR2266" s="153"/>
      <c r="BS2266" s="153"/>
      <c r="BT2266" s="153"/>
      <c r="BU2266" s="153"/>
      <c r="BV2266" s="153"/>
      <c r="BW2266" s="153"/>
      <c r="BX2266" s="153"/>
      <c r="BY2266" s="153"/>
      <c r="BZ2266" s="153"/>
      <c r="CA2266" s="153"/>
      <c r="CB2266" s="153"/>
      <c r="CC2266" s="153"/>
      <c r="CD2266" s="155"/>
      <c r="CE2266" s="156"/>
      <c r="CF2266" s="155"/>
      <c r="CG2266" s="156"/>
      <c r="CH2266" s="155"/>
      <c r="CI2266" s="156"/>
      <c r="CJ2266" s="157">
        <f t="shared" si="280"/>
        <v>0</v>
      </c>
      <c r="CK2266" s="158"/>
      <c r="CL2266" s="159"/>
      <c r="CM2266" s="160"/>
      <c r="CN2266" s="161"/>
      <c r="CO2266" s="162"/>
      <c r="CP2266" s="161"/>
      <c r="CQ2266" s="158"/>
      <c r="CR2266" s="159"/>
      <c r="CS2266" s="68"/>
      <c r="CT2266" s="163"/>
      <c r="EC2266" s="366" t="str">
        <f t="shared" si="281"/>
        <v>NARIÑO_SAN BERNARDO</v>
      </c>
      <c r="ED2266" s="367"/>
      <c r="EE2266" s="367"/>
      <c r="EF2266" s="368"/>
      <c r="EG2266" s="367"/>
      <c r="EH2266" s="367"/>
      <c r="EI2266" s="367"/>
    </row>
    <row r="2267" spans="1:139" s="164" customFormat="1" ht="38.25">
      <c r="A2267" s="228">
        <v>40527</v>
      </c>
      <c r="B2267" s="205" t="s">
        <v>1824</v>
      </c>
      <c r="C2267" s="205" t="s">
        <v>384</v>
      </c>
      <c r="D2267" s="207" t="s">
        <v>1201</v>
      </c>
      <c r="E2267" s="323" t="s">
        <v>3987</v>
      </c>
      <c r="F2267" s="323"/>
      <c r="G2267" s="204"/>
      <c r="H2267" s="151"/>
      <c r="I2267" s="151"/>
      <c r="J2267" s="151">
        <v>650</v>
      </c>
      <c r="K2267" s="151">
        <v>650</v>
      </c>
      <c r="L2267" s="1"/>
      <c r="M2267" s="73">
        <f t="shared" si="278"/>
        <v>0</v>
      </c>
      <c r="N2267" s="73">
        <f t="shared" si="283"/>
        <v>0</v>
      </c>
      <c r="O2267" s="73">
        <f t="shared" si="277"/>
        <v>0</v>
      </c>
      <c r="P2267" s="73">
        <f t="shared" si="279"/>
        <v>0</v>
      </c>
      <c r="Q2267" s="73"/>
      <c r="R2267" s="73">
        <v>0</v>
      </c>
      <c r="S2267" s="75">
        <f t="shared" si="282"/>
        <v>0</v>
      </c>
      <c r="T2267" s="77">
        <v>0</v>
      </c>
      <c r="U2267" s="284">
        <v>40617</v>
      </c>
      <c r="V2267" s="285"/>
      <c r="W2267" s="284" t="s">
        <v>1585</v>
      </c>
      <c r="X2267" s="286" t="s">
        <v>1586</v>
      </c>
      <c r="Y2267" s="287"/>
      <c r="Z2267" s="300" t="s">
        <v>894</v>
      </c>
      <c r="AA2267" s="301" t="s">
        <v>3101</v>
      </c>
      <c r="AB2267" s="152"/>
      <c r="AC2267" s="153"/>
      <c r="AD2267" s="154"/>
      <c r="AE2267" s="153"/>
      <c r="AF2267" s="153"/>
      <c r="AG2267" s="153"/>
      <c r="AH2267" s="153"/>
      <c r="AI2267" s="153"/>
      <c r="AJ2267" s="153"/>
      <c r="AK2267" s="153"/>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c r="BF2267" s="153"/>
      <c r="BG2267" s="153"/>
      <c r="BH2267" s="153"/>
      <c r="BI2267" s="153"/>
      <c r="BJ2267" s="153"/>
      <c r="BK2267" s="153"/>
      <c r="BL2267" s="153"/>
      <c r="BM2267" s="153"/>
      <c r="BN2267" s="153"/>
      <c r="BO2267" s="153"/>
      <c r="BP2267" s="153"/>
      <c r="BQ2267" s="153"/>
      <c r="BR2267" s="153"/>
      <c r="BS2267" s="153"/>
      <c r="BT2267" s="153"/>
      <c r="BU2267" s="153"/>
      <c r="BV2267" s="153"/>
      <c r="BW2267" s="153"/>
      <c r="BX2267" s="153"/>
      <c r="BY2267" s="153"/>
      <c r="BZ2267" s="153"/>
      <c r="CA2267" s="153"/>
      <c r="CB2267" s="153"/>
      <c r="CC2267" s="153"/>
      <c r="CD2267" s="155"/>
      <c r="CE2267" s="156"/>
      <c r="CF2267" s="155"/>
      <c r="CG2267" s="156"/>
      <c r="CH2267" s="155"/>
      <c r="CI2267" s="156"/>
      <c r="CJ2267" s="157">
        <f t="shared" si="280"/>
        <v>0</v>
      </c>
      <c r="CK2267" s="158"/>
      <c r="CL2267" s="159"/>
      <c r="CM2267" s="160"/>
      <c r="CN2267" s="161"/>
      <c r="CO2267" s="162"/>
      <c r="CP2267" s="161"/>
      <c r="CQ2267" s="158"/>
      <c r="CR2267" s="159"/>
      <c r="CS2267" s="68"/>
      <c r="CT2267" s="163"/>
      <c r="EC2267" s="366" t="str">
        <f t="shared" si="281"/>
        <v>NARIÑO_SAN LORENZO</v>
      </c>
      <c r="ED2267" s="367"/>
      <c r="EE2267" s="367"/>
      <c r="EF2267" s="368"/>
      <c r="EG2267" s="367"/>
      <c r="EH2267" s="367"/>
      <c r="EI2267" s="367"/>
    </row>
    <row r="2268" spans="1:139" s="164" customFormat="1" ht="25.5">
      <c r="A2268" s="228">
        <v>40527</v>
      </c>
      <c r="B2268" s="205" t="s">
        <v>1824</v>
      </c>
      <c r="C2268" s="205" t="s">
        <v>1695</v>
      </c>
      <c r="D2268" s="207" t="s">
        <v>1201</v>
      </c>
      <c r="E2268" s="323" t="s">
        <v>3988</v>
      </c>
      <c r="F2268" s="323"/>
      <c r="G2268" s="204"/>
      <c r="H2268" s="151"/>
      <c r="I2268" s="151"/>
      <c r="J2268" s="151">
        <v>1902</v>
      </c>
      <c r="K2268" s="151">
        <v>1902</v>
      </c>
      <c r="L2268" s="1"/>
      <c r="M2268" s="73">
        <f t="shared" si="278"/>
        <v>0</v>
      </c>
      <c r="N2268" s="73">
        <f t="shared" si="283"/>
        <v>0</v>
      </c>
      <c r="O2268" s="73">
        <f t="shared" si="277"/>
        <v>0</v>
      </c>
      <c r="P2268" s="73">
        <f t="shared" si="279"/>
        <v>0</v>
      </c>
      <c r="Q2268" s="73"/>
      <c r="R2268" s="73">
        <v>0</v>
      </c>
      <c r="S2268" s="75">
        <f t="shared" si="282"/>
        <v>0</v>
      </c>
      <c r="T2268" s="77">
        <v>0</v>
      </c>
      <c r="U2268" s="284">
        <v>40617</v>
      </c>
      <c r="V2268" s="285"/>
      <c r="W2268" s="284" t="s">
        <v>1585</v>
      </c>
      <c r="X2268" s="286" t="s">
        <v>1586</v>
      </c>
      <c r="Y2268" s="287"/>
      <c r="Z2268" s="300" t="s">
        <v>894</v>
      </c>
      <c r="AA2268" s="301" t="s">
        <v>3101</v>
      </c>
      <c r="AB2268" s="152"/>
      <c r="AC2268" s="153"/>
      <c r="AD2268" s="154"/>
      <c r="AE2268" s="153"/>
      <c r="AF2268" s="153"/>
      <c r="AG2268" s="153"/>
      <c r="AH2268" s="153"/>
      <c r="AI2268" s="153"/>
      <c r="AJ2268" s="153"/>
      <c r="AK2268" s="153"/>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c r="BF2268" s="153"/>
      <c r="BG2268" s="153"/>
      <c r="BH2268" s="153"/>
      <c r="BI2268" s="153"/>
      <c r="BJ2268" s="153"/>
      <c r="BK2268" s="153"/>
      <c r="BL2268" s="153"/>
      <c r="BM2268" s="153"/>
      <c r="BN2268" s="153"/>
      <c r="BO2268" s="153"/>
      <c r="BP2268" s="153"/>
      <c r="BQ2268" s="153"/>
      <c r="BR2268" s="153"/>
      <c r="BS2268" s="153"/>
      <c r="BT2268" s="153"/>
      <c r="BU2268" s="153"/>
      <c r="BV2268" s="153"/>
      <c r="BW2268" s="153"/>
      <c r="BX2268" s="153"/>
      <c r="BY2268" s="153"/>
      <c r="BZ2268" s="153"/>
      <c r="CA2268" s="153"/>
      <c r="CB2268" s="153"/>
      <c r="CC2268" s="153"/>
      <c r="CD2268" s="155"/>
      <c r="CE2268" s="156"/>
      <c r="CF2268" s="155"/>
      <c r="CG2268" s="156"/>
      <c r="CH2268" s="155"/>
      <c r="CI2268" s="156"/>
      <c r="CJ2268" s="157">
        <f t="shared" si="280"/>
        <v>0</v>
      </c>
      <c r="CK2268" s="158"/>
      <c r="CL2268" s="159"/>
      <c r="CM2268" s="160"/>
      <c r="CN2268" s="161"/>
      <c r="CO2268" s="162"/>
      <c r="CP2268" s="161"/>
      <c r="CQ2268" s="158"/>
      <c r="CR2268" s="159"/>
      <c r="CS2268" s="68"/>
      <c r="CT2268" s="163"/>
      <c r="EC2268" s="366" t="str">
        <f t="shared" si="281"/>
        <v>NARIÑO_SAN PABLO</v>
      </c>
      <c r="ED2268" s="367"/>
      <c r="EE2268" s="367"/>
      <c r="EF2268" s="368"/>
      <c r="EG2268" s="367"/>
      <c r="EH2268" s="367"/>
      <c r="EI2268" s="367"/>
    </row>
    <row r="2269" spans="1:139" s="164" customFormat="1" ht="25.5">
      <c r="A2269" s="228">
        <v>40527</v>
      </c>
      <c r="B2269" s="205" t="s">
        <v>1824</v>
      </c>
      <c r="C2269" s="205" t="s">
        <v>2531</v>
      </c>
      <c r="D2269" s="207" t="s">
        <v>1201</v>
      </c>
      <c r="E2269" s="323" t="s">
        <v>3985</v>
      </c>
      <c r="F2269" s="323"/>
      <c r="G2269" s="204"/>
      <c r="H2269" s="151"/>
      <c r="I2269" s="151"/>
      <c r="J2269" s="151">
        <v>1620</v>
      </c>
      <c r="K2269" s="151">
        <v>1620</v>
      </c>
      <c r="L2269" s="1"/>
      <c r="M2269" s="73">
        <f t="shared" si="278"/>
        <v>0</v>
      </c>
      <c r="N2269" s="73">
        <f t="shared" si="283"/>
        <v>0</v>
      </c>
      <c r="O2269" s="73">
        <f t="shared" si="277"/>
        <v>0</v>
      </c>
      <c r="P2269" s="73">
        <f t="shared" si="279"/>
        <v>0</v>
      </c>
      <c r="Q2269" s="73"/>
      <c r="R2269" s="73">
        <v>0</v>
      </c>
      <c r="S2269" s="75">
        <f t="shared" si="282"/>
        <v>0</v>
      </c>
      <c r="T2269" s="77">
        <v>0</v>
      </c>
      <c r="U2269" s="284">
        <v>40617</v>
      </c>
      <c r="V2269" s="285"/>
      <c r="W2269" s="284" t="s">
        <v>1585</v>
      </c>
      <c r="X2269" s="286" t="s">
        <v>1586</v>
      </c>
      <c r="Y2269" s="287"/>
      <c r="Z2269" s="300" t="s">
        <v>894</v>
      </c>
      <c r="AA2269" s="301" t="s">
        <v>3101</v>
      </c>
      <c r="AB2269" s="152"/>
      <c r="AC2269" s="153"/>
      <c r="AD2269" s="154"/>
      <c r="AE2269" s="153"/>
      <c r="AF2269" s="153"/>
      <c r="AG2269" s="153"/>
      <c r="AH2269" s="153"/>
      <c r="AI2269" s="153"/>
      <c r="AJ2269" s="153"/>
      <c r="AK2269" s="153"/>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c r="BF2269" s="153"/>
      <c r="BG2269" s="153"/>
      <c r="BH2269" s="153"/>
      <c r="BI2269" s="153"/>
      <c r="BJ2269" s="153"/>
      <c r="BK2269" s="153"/>
      <c r="BL2269" s="153"/>
      <c r="BM2269" s="153"/>
      <c r="BN2269" s="153"/>
      <c r="BO2269" s="153"/>
      <c r="BP2269" s="153"/>
      <c r="BQ2269" s="153"/>
      <c r="BR2269" s="153"/>
      <c r="BS2269" s="153"/>
      <c r="BT2269" s="153"/>
      <c r="BU2269" s="153"/>
      <c r="BV2269" s="153"/>
      <c r="BW2269" s="153"/>
      <c r="BX2269" s="153"/>
      <c r="BY2269" s="153"/>
      <c r="BZ2269" s="153"/>
      <c r="CA2269" s="153"/>
      <c r="CB2269" s="153"/>
      <c r="CC2269" s="153"/>
      <c r="CD2269" s="155"/>
      <c r="CE2269" s="156"/>
      <c r="CF2269" s="155"/>
      <c r="CG2269" s="156"/>
      <c r="CH2269" s="155"/>
      <c r="CI2269" s="156"/>
      <c r="CJ2269" s="157">
        <f t="shared" si="280"/>
        <v>0</v>
      </c>
      <c r="CK2269" s="158"/>
      <c r="CL2269" s="159"/>
      <c r="CM2269" s="160"/>
      <c r="CN2269" s="161"/>
      <c r="CO2269" s="162"/>
      <c r="CP2269" s="161"/>
      <c r="CQ2269" s="158"/>
      <c r="CR2269" s="159"/>
      <c r="CS2269" s="68"/>
      <c r="CT2269" s="163"/>
      <c r="EC2269" s="366" t="str">
        <f t="shared" si="281"/>
        <v>NARIÑO_SANDONA</v>
      </c>
      <c r="ED2269" s="367"/>
      <c r="EE2269" s="367"/>
      <c r="EF2269" s="368"/>
      <c r="EG2269" s="367"/>
      <c r="EH2269" s="367"/>
      <c r="EI2269" s="367"/>
    </row>
    <row r="2270" spans="1:139" s="164" customFormat="1" ht="25.5">
      <c r="A2270" s="228">
        <v>40527</v>
      </c>
      <c r="B2270" s="205" t="s">
        <v>1824</v>
      </c>
      <c r="C2270" s="205" t="s">
        <v>2824</v>
      </c>
      <c r="D2270" s="207" t="s">
        <v>1201</v>
      </c>
      <c r="E2270" s="323" t="s">
        <v>3992</v>
      </c>
      <c r="F2270" s="323"/>
      <c r="G2270" s="204"/>
      <c r="H2270" s="151"/>
      <c r="I2270" s="151"/>
      <c r="J2270" s="151">
        <v>17</v>
      </c>
      <c r="K2270" s="151">
        <v>17</v>
      </c>
      <c r="L2270" s="1"/>
      <c r="M2270" s="73">
        <f t="shared" si="278"/>
        <v>0</v>
      </c>
      <c r="N2270" s="73">
        <f t="shared" si="283"/>
        <v>0</v>
      </c>
      <c r="O2270" s="73">
        <f t="shared" si="277"/>
        <v>0</v>
      </c>
      <c r="P2270" s="73">
        <f t="shared" si="279"/>
        <v>0</v>
      </c>
      <c r="Q2270" s="73"/>
      <c r="R2270" s="73">
        <v>0</v>
      </c>
      <c r="S2270" s="75">
        <f t="shared" si="282"/>
        <v>0</v>
      </c>
      <c r="T2270" s="77">
        <v>0</v>
      </c>
      <c r="U2270" s="284">
        <v>40617</v>
      </c>
      <c r="V2270" s="285"/>
      <c r="W2270" s="284" t="s">
        <v>1585</v>
      </c>
      <c r="X2270" s="286" t="s">
        <v>1586</v>
      </c>
      <c r="Y2270" s="287"/>
      <c r="Z2270" s="300" t="s">
        <v>894</v>
      </c>
      <c r="AA2270" s="301" t="s">
        <v>3101</v>
      </c>
      <c r="AB2270" s="152"/>
      <c r="AC2270" s="153"/>
      <c r="AD2270" s="154"/>
      <c r="AE2270" s="153"/>
      <c r="AF2270" s="153"/>
      <c r="AG2270" s="153"/>
      <c r="AH2270" s="153"/>
      <c r="AI2270" s="153"/>
      <c r="AJ2270" s="153"/>
      <c r="AK2270" s="153"/>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c r="BF2270" s="153"/>
      <c r="BG2270" s="153"/>
      <c r="BH2270" s="153"/>
      <c r="BI2270" s="153"/>
      <c r="BJ2270" s="153"/>
      <c r="BK2270" s="153"/>
      <c r="BL2270" s="153"/>
      <c r="BM2270" s="153"/>
      <c r="BN2270" s="153"/>
      <c r="BO2270" s="153"/>
      <c r="BP2270" s="153"/>
      <c r="BQ2270" s="153"/>
      <c r="BR2270" s="153"/>
      <c r="BS2270" s="153"/>
      <c r="BT2270" s="153"/>
      <c r="BU2270" s="153"/>
      <c r="BV2270" s="153"/>
      <c r="BW2270" s="153"/>
      <c r="BX2270" s="153"/>
      <c r="BY2270" s="153"/>
      <c r="BZ2270" s="153"/>
      <c r="CA2270" s="153"/>
      <c r="CB2270" s="153"/>
      <c r="CC2270" s="153"/>
      <c r="CD2270" s="155"/>
      <c r="CE2270" s="156"/>
      <c r="CF2270" s="155"/>
      <c r="CG2270" s="156"/>
      <c r="CH2270" s="155"/>
      <c r="CI2270" s="156"/>
      <c r="CJ2270" s="157">
        <f t="shared" si="280"/>
        <v>0</v>
      </c>
      <c r="CK2270" s="158"/>
      <c r="CL2270" s="159"/>
      <c r="CM2270" s="160"/>
      <c r="CN2270" s="161"/>
      <c r="CO2270" s="162"/>
      <c r="CP2270" s="161"/>
      <c r="CQ2270" s="158"/>
      <c r="CR2270" s="159"/>
      <c r="CS2270" s="68"/>
      <c r="CT2270" s="163"/>
      <c r="EC2270" s="366" t="str">
        <f t="shared" si="281"/>
        <v>NARIÑO_SAPUYES</v>
      </c>
      <c r="ED2270" s="367"/>
      <c r="EE2270" s="367"/>
      <c r="EF2270" s="368"/>
      <c r="EG2270" s="367"/>
      <c r="EH2270" s="367"/>
      <c r="EI2270" s="367"/>
    </row>
    <row r="2271" spans="1:139" s="164" customFormat="1" ht="60">
      <c r="A2271" s="228">
        <v>40527</v>
      </c>
      <c r="B2271" s="205" t="s">
        <v>1824</v>
      </c>
      <c r="C2271" s="205" t="s">
        <v>1338</v>
      </c>
      <c r="D2271" s="207" t="s">
        <v>1878</v>
      </c>
      <c r="E2271" s="323" t="s">
        <v>3993</v>
      </c>
      <c r="F2271" s="323"/>
      <c r="G2271" s="204"/>
      <c r="H2271" s="151"/>
      <c r="I2271" s="151"/>
      <c r="J2271" s="151">
        <v>904</v>
      </c>
      <c r="K2271" s="151">
        <v>226</v>
      </c>
      <c r="L2271" s="1"/>
      <c r="M2271" s="73">
        <f t="shared" si="278"/>
        <v>0</v>
      </c>
      <c r="N2271" s="73">
        <f t="shared" si="283"/>
        <v>0</v>
      </c>
      <c r="O2271" s="73">
        <f t="shared" si="277"/>
        <v>0</v>
      </c>
      <c r="P2271" s="73">
        <f t="shared" si="279"/>
        <v>0</v>
      </c>
      <c r="Q2271" s="73"/>
      <c r="R2271" s="73">
        <v>0</v>
      </c>
      <c r="S2271" s="75">
        <f t="shared" si="282"/>
        <v>0</v>
      </c>
      <c r="T2271" s="77">
        <v>0</v>
      </c>
      <c r="U2271" s="66">
        <v>40527</v>
      </c>
      <c r="V2271" s="79"/>
      <c r="W2271" s="66" t="s">
        <v>1585</v>
      </c>
      <c r="X2271" s="24" t="s">
        <v>1586</v>
      </c>
      <c r="Y2271" s="62"/>
      <c r="Z2271" s="169" t="s">
        <v>894</v>
      </c>
      <c r="AA2271" s="166" t="s">
        <v>443</v>
      </c>
      <c r="AB2271" s="152"/>
      <c r="AC2271" s="153"/>
      <c r="AD2271" s="154"/>
      <c r="AE2271" s="153"/>
      <c r="AF2271" s="153"/>
      <c r="AG2271" s="153"/>
      <c r="AH2271" s="153"/>
      <c r="AI2271" s="153"/>
      <c r="AJ2271" s="153"/>
      <c r="AK2271" s="153"/>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c r="BF2271" s="153"/>
      <c r="BG2271" s="153"/>
      <c r="BH2271" s="153"/>
      <c r="BI2271" s="153"/>
      <c r="BJ2271" s="153"/>
      <c r="BK2271" s="153"/>
      <c r="BL2271" s="153"/>
      <c r="BM2271" s="153"/>
      <c r="BN2271" s="153"/>
      <c r="BO2271" s="153"/>
      <c r="BP2271" s="153"/>
      <c r="BQ2271" s="153"/>
      <c r="BR2271" s="153"/>
      <c r="BS2271" s="153"/>
      <c r="BT2271" s="153"/>
      <c r="BU2271" s="153"/>
      <c r="BV2271" s="153"/>
      <c r="BW2271" s="153"/>
      <c r="BX2271" s="153"/>
      <c r="BY2271" s="153"/>
      <c r="BZ2271" s="153"/>
      <c r="CA2271" s="153"/>
      <c r="CB2271" s="153"/>
      <c r="CC2271" s="153"/>
      <c r="CD2271" s="155"/>
      <c r="CE2271" s="156"/>
      <c r="CF2271" s="155"/>
      <c r="CG2271" s="156"/>
      <c r="CH2271" s="155"/>
      <c r="CI2271" s="156"/>
      <c r="CJ2271" s="157">
        <f t="shared" si="280"/>
        <v>0</v>
      </c>
      <c r="CK2271" s="158"/>
      <c r="CL2271" s="159"/>
      <c r="CM2271" s="160"/>
      <c r="CN2271" s="161"/>
      <c r="CO2271" s="162"/>
      <c r="CP2271" s="161"/>
      <c r="CQ2271" s="158"/>
      <c r="CR2271" s="159"/>
      <c r="CS2271" s="68"/>
      <c r="CT2271" s="163"/>
      <c r="EC2271" s="366" t="str">
        <f t="shared" si="281"/>
        <v>NARIÑO_TAMINANGO</v>
      </c>
      <c r="ED2271" s="367"/>
      <c r="EE2271" s="367"/>
      <c r="EF2271" s="368"/>
      <c r="EG2271" s="367"/>
      <c r="EH2271" s="367"/>
      <c r="EI2271" s="367"/>
    </row>
    <row r="2272" spans="1:139" s="164" customFormat="1" ht="25.5">
      <c r="A2272" s="228">
        <v>40527</v>
      </c>
      <c r="B2272" s="205" t="s">
        <v>1824</v>
      </c>
      <c r="C2272" s="205" t="s">
        <v>1338</v>
      </c>
      <c r="D2272" s="207" t="s">
        <v>1201</v>
      </c>
      <c r="E2272" s="323" t="s">
        <v>3993</v>
      </c>
      <c r="F2272" s="323"/>
      <c r="G2272" s="204"/>
      <c r="H2272" s="151"/>
      <c r="I2272" s="151"/>
      <c r="J2272" s="151">
        <v>68</v>
      </c>
      <c r="K2272" s="151">
        <v>68</v>
      </c>
      <c r="L2272" s="1"/>
      <c r="M2272" s="73">
        <f t="shared" si="278"/>
        <v>0</v>
      </c>
      <c r="N2272" s="73">
        <f t="shared" si="283"/>
        <v>0</v>
      </c>
      <c r="O2272" s="73">
        <f t="shared" si="277"/>
        <v>0</v>
      </c>
      <c r="P2272" s="73">
        <f t="shared" si="279"/>
        <v>0</v>
      </c>
      <c r="Q2272" s="73"/>
      <c r="R2272" s="73">
        <v>0</v>
      </c>
      <c r="S2272" s="75">
        <f t="shared" si="282"/>
        <v>0</v>
      </c>
      <c r="T2272" s="77">
        <v>0</v>
      </c>
      <c r="U2272" s="284">
        <v>40617</v>
      </c>
      <c r="V2272" s="285"/>
      <c r="W2272" s="284" t="s">
        <v>1585</v>
      </c>
      <c r="X2272" s="286" t="s">
        <v>1586</v>
      </c>
      <c r="Y2272" s="287"/>
      <c r="Z2272" s="300" t="s">
        <v>894</v>
      </c>
      <c r="AA2272" s="301" t="s">
        <v>3101</v>
      </c>
      <c r="AB2272" s="152"/>
      <c r="AC2272" s="153"/>
      <c r="AD2272" s="154"/>
      <c r="AE2272" s="153"/>
      <c r="AF2272" s="153"/>
      <c r="AG2272" s="153"/>
      <c r="AH2272" s="153"/>
      <c r="AI2272" s="153"/>
      <c r="AJ2272" s="153"/>
      <c r="AK2272" s="153"/>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c r="BF2272" s="153"/>
      <c r="BG2272" s="153"/>
      <c r="BH2272" s="153"/>
      <c r="BI2272" s="153"/>
      <c r="BJ2272" s="153"/>
      <c r="BK2272" s="153"/>
      <c r="BL2272" s="153"/>
      <c r="BM2272" s="153"/>
      <c r="BN2272" s="153"/>
      <c r="BO2272" s="153"/>
      <c r="BP2272" s="153"/>
      <c r="BQ2272" s="153"/>
      <c r="BR2272" s="153"/>
      <c r="BS2272" s="153"/>
      <c r="BT2272" s="153"/>
      <c r="BU2272" s="153"/>
      <c r="BV2272" s="153"/>
      <c r="BW2272" s="153"/>
      <c r="BX2272" s="153"/>
      <c r="BY2272" s="153"/>
      <c r="BZ2272" s="153"/>
      <c r="CA2272" s="153"/>
      <c r="CB2272" s="153"/>
      <c r="CC2272" s="153"/>
      <c r="CD2272" s="155"/>
      <c r="CE2272" s="156"/>
      <c r="CF2272" s="155"/>
      <c r="CG2272" s="156"/>
      <c r="CH2272" s="155"/>
      <c r="CI2272" s="156"/>
      <c r="CJ2272" s="157">
        <f t="shared" si="280"/>
        <v>0</v>
      </c>
      <c r="CK2272" s="158"/>
      <c r="CL2272" s="159"/>
      <c r="CM2272" s="160"/>
      <c r="CN2272" s="161"/>
      <c r="CO2272" s="162"/>
      <c r="CP2272" s="161"/>
      <c r="CQ2272" s="158"/>
      <c r="CR2272" s="159"/>
      <c r="CS2272" s="68"/>
      <c r="CT2272" s="163"/>
      <c r="EC2272" s="366" t="str">
        <f t="shared" si="281"/>
        <v>NARIÑO_TAMINANGO</v>
      </c>
      <c r="ED2272" s="367"/>
      <c r="EE2272" s="367"/>
      <c r="EF2272" s="368"/>
      <c r="EG2272" s="367"/>
      <c r="EH2272" s="367"/>
      <c r="EI2272" s="367"/>
    </row>
    <row r="2273" spans="1:139" s="164" customFormat="1" ht="25.5">
      <c r="A2273" s="228">
        <v>40527</v>
      </c>
      <c r="B2273" s="205" t="s">
        <v>1824</v>
      </c>
      <c r="C2273" s="205" t="s">
        <v>2509</v>
      </c>
      <c r="D2273" s="207" t="s">
        <v>1201</v>
      </c>
      <c r="E2273" s="323" t="s">
        <v>3994</v>
      </c>
      <c r="F2273" s="323"/>
      <c r="G2273" s="204"/>
      <c r="H2273" s="151"/>
      <c r="I2273" s="151"/>
      <c r="J2273" s="151">
        <v>1400</v>
      </c>
      <c r="K2273" s="151">
        <v>1400</v>
      </c>
      <c r="L2273" s="1"/>
      <c r="M2273" s="73">
        <f t="shared" si="278"/>
        <v>0</v>
      </c>
      <c r="N2273" s="73">
        <f t="shared" si="283"/>
        <v>0</v>
      </c>
      <c r="O2273" s="73">
        <f t="shared" si="277"/>
        <v>0</v>
      </c>
      <c r="P2273" s="73">
        <f t="shared" si="279"/>
        <v>0</v>
      </c>
      <c r="Q2273" s="73"/>
      <c r="R2273" s="73">
        <v>0</v>
      </c>
      <c r="S2273" s="75">
        <f t="shared" si="282"/>
        <v>0</v>
      </c>
      <c r="T2273" s="77">
        <v>0</v>
      </c>
      <c r="U2273" s="284">
        <v>40617</v>
      </c>
      <c r="V2273" s="285"/>
      <c r="W2273" s="284" t="s">
        <v>1585</v>
      </c>
      <c r="X2273" s="286" t="s">
        <v>1586</v>
      </c>
      <c r="Y2273" s="287"/>
      <c r="Z2273" s="300" t="s">
        <v>894</v>
      </c>
      <c r="AA2273" s="301" t="s">
        <v>3101</v>
      </c>
      <c r="AB2273" s="152"/>
      <c r="AC2273" s="153"/>
      <c r="AD2273" s="154"/>
      <c r="AE2273" s="153"/>
      <c r="AF2273" s="153"/>
      <c r="AG2273" s="153"/>
      <c r="AH2273" s="153"/>
      <c r="AI2273" s="153"/>
      <c r="AJ2273" s="153"/>
      <c r="AK2273" s="153"/>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c r="BF2273" s="153"/>
      <c r="BG2273" s="153"/>
      <c r="BH2273" s="153"/>
      <c r="BI2273" s="153"/>
      <c r="BJ2273" s="153"/>
      <c r="BK2273" s="153"/>
      <c r="BL2273" s="153"/>
      <c r="BM2273" s="153"/>
      <c r="BN2273" s="153"/>
      <c r="BO2273" s="153"/>
      <c r="BP2273" s="153"/>
      <c r="BQ2273" s="153"/>
      <c r="BR2273" s="153"/>
      <c r="BS2273" s="153"/>
      <c r="BT2273" s="153"/>
      <c r="BU2273" s="153"/>
      <c r="BV2273" s="153"/>
      <c r="BW2273" s="153"/>
      <c r="BX2273" s="153"/>
      <c r="BY2273" s="153"/>
      <c r="BZ2273" s="153"/>
      <c r="CA2273" s="153"/>
      <c r="CB2273" s="153"/>
      <c r="CC2273" s="153"/>
      <c r="CD2273" s="155"/>
      <c r="CE2273" s="156"/>
      <c r="CF2273" s="155"/>
      <c r="CG2273" s="156"/>
      <c r="CH2273" s="155"/>
      <c r="CI2273" s="156"/>
      <c r="CJ2273" s="157">
        <f t="shared" si="280"/>
        <v>0</v>
      </c>
      <c r="CK2273" s="158"/>
      <c r="CL2273" s="159"/>
      <c r="CM2273" s="160"/>
      <c r="CN2273" s="161"/>
      <c r="CO2273" s="162"/>
      <c r="CP2273" s="161"/>
      <c r="CQ2273" s="158"/>
      <c r="CR2273" s="159"/>
      <c r="CS2273" s="68"/>
      <c r="CT2273" s="163"/>
      <c r="EC2273" s="366" t="str">
        <f t="shared" si="281"/>
        <v>NARIÑO_TANGUA</v>
      </c>
      <c r="ED2273" s="367"/>
      <c r="EE2273" s="367"/>
      <c r="EF2273" s="368"/>
      <c r="EG2273" s="367"/>
      <c r="EH2273" s="367"/>
      <c r="EI2273" s="367"/>
    </row>
    <row r="2274" spans="1:139" s="164" customFormat="1" ht="51">
      <c r="A2274" s="228">
        <v>40527</v>
      </c>
      <c r="B2274" s="205" t="s">
        <v>965</v>
      </c>
      <c r="C2274" s="205" t="s">
        <v>3178</v>
      </c>
      <c r="D2274" s="207" t="s">
        <v>1201</v>
      </c>
      <c r="E2274" s="323"/>
      <c r="F2274" s="323"/>
      <c r="G2274" s="204"/>
      <c r="H2274" s="151"/>
      <c r="I2274" s="151"/>
      <c r="J2274" s="151">
        <v>513</v>
      </c>
      <c r="K2274" s="151">
        <v>100</v>
      </c>
      <c r="L2274" s="1"/>
      <c r="M2274" s="73">
        <f t="shared" si="278"/>
        <v>0</v>
      </c>
      <c r="N2274" s="73">
        <f t="shared" si="283"/>
        <v>0</v>
      </c>
      <c r="O2274" s="73">
        <f t="shared" si="277"/>
        <v>0</v>
      </c>
      <c r="P2274" s="73">
        <f t="shared" si="279"/>
        <v>0</v>
      </c>
      <c r="Q2274" s="73"/>
      <c r="R2274" s="73">
        <v>0</v>
      </c>
      <c r="S2274" s="75">
        <f t="shared" si="282"/>
        <v>0</v>
      </c>
      <c r="T2274" s="77">
        <v>0</v>
      </c>
      <c r="U2274" s="66"/>
      <c r="V2274" s="79"/>
      <c r="W2274" s="66" t="s">
        <v>1585</v>
      </c>
      <c r="X2274" s="24" t="s">
        <v>1586</v>
      </c>
      <c r="Y2274" s="62"/>
      <c r="Z2274" s="169" t="s">
        <v>894</v>
      </c>
      <c r="AA2274" s="166" t="s">
        <v>155</v>
      </c>
      <c r="AB2274" s="152"/>
      <c r="AC2274" s="153"/>
      <c r="AD2274" s="154"/>
      <c r="AE2274" s="153"/>
      <c r="AF2274" s="153"/>
      <c r="AG2274" s="153"/>
      <c r="AH2274" s="153"/>
      <c r="AI2274" s="153"/>
      <c r="AJ2274" s="153"/>
      <c r="AK2274" s="153"/>
      <c r="AL2274" s="153"/>
      <c r="AM2274" s="153"/>
      <c r="AN2274" s="153"/>
      <c r="AO2274" s="153"/>
      <c r="AP2274" s="153"/>
      <c r="AQ2274" s="153"/>
      <c r="AR2274" s="153"/>
      <c r="AS2274" s="153"/>
      <c r="AT2274" s="153"/>
      <c r="AU2274" s="153"/>
      <c r="AV2274" s="153"/>
      <c r="AW2274" s="153"/>
      <c r="AX2274" s="153"/>
      <c r="AY2274" s="153"/>
      <c r="AZ2274" s="153"/>
      <c r="BA2274" s="153"/>
      <c r="BB2274" s="153"/>
      <c r="BC2274" s="153"/>
      <c r="BD2274" s="153"/>
      <c r="BE2274" s="153"/>
      <c r="BF2274" s="153"/>
      <c r="BG2274" s="153"/>
      <c r="BH2274" s="153"/>
      <c r="BI2274" s="153"/>
      <c r="BJ2274" s="153"/>
      <c r="BK2274" s="153"/>
      <c r="BL2274" s="153"/>
      <c r="BM2274" s="153"/>
      <c r="BN2274" s="153"/>
      <c r="BO2274" s="153"/>
      <c r="BP2274" s="153"/>
      <c r="BQ2274" s="153"/>
      <c r="BR2274" s="153"/>
      <c r="BS2274" s="153"/>
      <c r="BT2274" s="153"/>
      <c r="BU2274" s="153"/>
      <c r="BV2274" s="153"/>
      <c r="BW2274" s="153"/>
      <c r="BX2274" s="153"/>
      <c r="BY2274" s="153"/>
      <c r="BZ2274" s="153"/>
      <c r="CA2274" s="153"/>
      <c r="CB2274" s="153"/>
      <c r="CC2274" s="153"/>
      <c r="CD2274" s="155"/>
      <c r="CE2274" s="156"/>
      <c r="CF2274" s="155"/>
      <c r="CG2274" s="156"/>
      <c r="CH2274" s="155"/>
      <c r="CI2274" s="156"/>
      <c r="CJ2274" s="157">
        <f t="shared" si="280"/>
        <v>0</v>
      </c>
      <c r="CK2274" s="158"/>
      <c r="CL2274" s="159"/>
      <c r="CM2274" s="160"/>
      <c r="CN2274" s="161"/>
      <c r="CO2274" s="162"/>
      <c r="CP2274" s="161"/>
      <c r="CQ2274" s="158"/>
      <c r="CR2274" s="159"/>
      <c r="CS2274" s="68"/>
      <c r="CT2274" s="163"/>
      <c r="EC2274" s="366" t="str">
        <f t="shared" si="281"/>
        <v>NORTE DE SANTANDER_LABATECA</v>
      </c>
      <c r="ED2274" s="367"/>
      <c r="EE2274" s="367"/>
      <c r="EF2274" s="368"/>
      <c r="EG2274" s="367"/>
      <c r="EH2274" s="367"/>
      <c r="EI2274" s="367"/>
    </row>
    <row r="2275" spans="1:139" s="164" customFormat="1" ht="38.25">
      <c r="A2275" s="228">
        <v>40527</v>
      </c>
      <c r="B2275" s="205" t="s">
        <v>1196</v>
      </c>
      <c r="C2275" s="205" t="s">
        <v>3216</v>
      </c>
      <c r="D2275" s="207" t="s">
        <v>1201</v>
      </c>
      <c r="E2275" s="323" t="s">
        <v>4298</v>
      </c>
      <c r="F2275" s="323"/>
      <c r="G2275" s="204"/>
      <c r="H2275" s="151"/>
      <c r="I2275" s="151"/>
      <c r="J2275" s="151">
        <f>1537*5</f>
        <v>7685</v>
      </c>
      <c r="K2275" s="151">
        <f>1541-4</f>
        <v>1537</v>
      </c>
      <c r="L2275" s="1"/>
      <c r="M2275" s="73">
        <f t="shared" si="278"/>
        <v>0</v>
      </c>
      <c r="N2275" s="73">
        <f t="shared" si="283"/>
        <v>0</v>
      </c>
      <c r="O2275" s="73">
        <f t="shared" si="277"/>
        <v>0</v>
      </c>
      <c r="P2275" s="73">
        <f t="shared" si="279"/>
        <v>0</v>
      </c>
      <c r="Q2275" s="73"/>
      <c r="R2275" s="73">
        <v>0</v>
      </c>
      <c r="S2275" s="75">
        <f t="shared" si="282"/>
        <v>0</v>
      </c>
      <c r="T2275" s="77">
        <v>0</v>
      </c>
      <c r="U2275" s="66">
        <v>40616</v>
      </c>
      <c r="V2275" s="79"/>
      <c r="W2275" s="66" t="s">
        <v>1585</v>
      </c>
      <c r="X2275" s="24" t="s">
        <v>1586</v>
      </c>
      <c r="Y2275" s="62"/>
      <c r="Z2275" s="169" t="s">
        <v>894</v>
      </c>
      <c r="AA2275" s="166" t="s">
        <v>155</v>
      </c>
      <c r="AB2275" s="152"/>
      <c r="AC2275" s="153"/>
      <c r="AD2275" s="154"/>
      <c r="AE2275" s="153"/>
      <c r="AF2275" s="153"/>
      <c r="AG2275" s="153"/>
      <c r="AH2275" s="153"/>
      <c r="AI2275" s="153"/>
      <c r="AJ2275" s="153"/>
      <c r="AK2275" s="153"/>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c r="BF2275" s="153"/>
      <c r="BG2275" s="153"/>
      <c r="BH2275" s="153"/>
      <c r="BI2275" s="153"/>
      <c r="BJ2275" s="153"/>
      <c r="BK2275" s="153"/>
      <c r="BL2275" s="153"/>
      <c r="BM2275" s="153"/>
      <c r="BN2275" s="153"/>
      <c r="BO2275" s="153"/>
      <c r="BP2275" s="153"/>
      <c r="BQ2275" s="153"/>
      <c r="BR2275" s="153"/>
      <c r="BS2275" s="153"/>
      <c r="BT2275" s="153"/>
      <c r="BU2275" s="153"/>
      <c r="BV2275" s="153"/>
      <c r="BW2275" s="153"/>
      <c r="BX2275" s="153"/>
      <c r="BY2275" s="153"/>
      <c r="BZ2275" s="153"/>
      <c r="CA2275" s="153"/>
      <c r="CB2275" s="153"/>
      <c r="CC2275" s="153"/>
      <c r="CD2275" s="155"/>
      <c r="CE2275" s="156"/>
      <c r="CF2275" s="155"/>
      <c r="CG2275" s="156"/>
      <c r="CH2275" s="155"/>
      <c r="CI2275" s="156"/>
      <c r="CJ2275" s="157">
        <f t="shared" si="280"/>
        <v>0</v>
      </c>
      <c r="CK2275" s="158"/>
      <c r="CL2275" s="159"/>
      <c r="CM2275" s="160"/>
      <c r="CN2275" s="161"/>
      <c r="CO2275" s="162"/>
      <c r="CP2275" s="161"/>
      <c r="CQ2275" s="158"/>
      <c r="CR2275" s="159"/>
      <c r="CS2275" s="68"/>
      <c r="CT2275" s="163"/>
      <c r="EC2275" s="366" t="str">
        <f t="shared" si="281"/>
        <v>PUTUMAYO_LEGUIZAMO</v>
      </c>
      <c r="ED2275" s="367"/>
      <c r="EE2275" s="367"/>
      <c r="EF2275" s="368"/>
      <c r="EG2275" s="367"/>
      <c r="EH2275" s="367"/>
      <c r="EI2275" s="367"/>
    </row>
    <row r="2276" spans="1:139" s="164" customFormat="1" ht="38.25">
      <c r="A2276" s="228">
        <v>40527</v>
      </c>
      <c r="B2276" s="205" t="s">
        <v>1196</v>
      </c>
      <c r="C2276" s="205" t="s">
        <v>3097</v>
      </c>
      <c r="D2276" s="207" t="s">
        <v>1201</v>
      </c>
      <c r="E2276" s="323" t="s">
        <v>4295</v>
      </c>
      <c r="F2276" s="323"/>
      <c r="G2276" s="204"/>
      <c r="H2276" s="151"/>
      <c r="I2276" s="151"/>
      <c r="J2276" s="151">
        <f>600*5</f>
        <v>3000</v>
      </c>
      <c r="K2276" s="151">
        <v>600</v>
      </c>
      <c r="L2276" s="1"/>
      <c r="M2276" s="73">
        <f t="shared" si="278"/>
        <v>0</v>
      </c>
      <c r="N2276" s="73">
        <f t="shared" si="283"/>
        <v>0</v>
      </c>
      <c r="O2276" s="73">
        <f t="shared" si="277"/>
        <v>0</v>
      </c>
      <c r="P2276" s="73">
        <f t="shared" si="279"/>
        <v>0</v>
      </c>
      <c r="Q2276" s="73"/>
      <c r="R2276" s="73">
        <v>0</v>
      </c>
      <c r="S2276" s="75">
        <f t="shared" si="282"/>
        <v>0</v>
      </c>
      <c r="T2276" s="77">
        <v>0</v>
      </c>
      <c r="U2276" s="66">
        <v>40616</v>
      </c>
      <c r="V2276" s="79"/>
      <c r="W2276" s="66" t="s">
        <v>1585</v>
      </c>
      <c r="X2276" s="24" t="s">
        <v>1586</v>
      </c>
      <c r="Y2276" s="62"/>
      <c r="Z2276" s="169" t="s">
        <v>894</v>
      </c>
      <c r="AA2276" s="166" t="s">
        <v>155</v>
      </c>
      <c r="AB2276" s="152"/>
      <c r="AC2276" s="153"/>
      <c r="AD2276" s="154"/>
      <c r="AE2276" s="153"/>
      <c r="AF2276" s="153"/>
      <c r="AG2276" s="153"/>
      <c r="AH2276" s="153"/>
      <c r="AI2276" s="153"/>
      <c r="AJ2276" s="153"/>
      <c r="AK2276" s="153"/>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c r="BF2276" s="153"/>
      <c r="BG2276" s="153"/>
      <c r="BH2276" s="153"/>
      <c r="BI2276" s="153"/>
      <c r="BJ2276" s="153"/>
      <c r="BK2276" s="153"/>
      <c r="BL2276" s="153"/>
      <c r="BM2276" s="153"/>
      <c r="BN2276" s="153"/>
      <c r="BO2276" s="153"/>
      <c r="BP2276" s="153"/>
      <c r="BQ2276" s="153"/>
      <c r="BR2276" s="153"/>
      <c r="BS2276" s="153"/>
      <c r="BT2276" s="153"/>
      <c r="BU2276" s="153"/>
      <c r="BV2276" s="153"/>
      <c r="BW2276" s="153"/>
      <c r="BX2276" s="153"/>
      <c r="BY2276" s="153"/>
      <c r="BZ2276" s="153"/>
      <c r="CA2276" s="153"/>
      <c r="CB2276" s="153"/>
      <c r="CC2276" s="153"/>
      <c r="CD2276" s="155"/>
      <c r="CE2276" s="156"/>
      <c r="CF2276" s="155"/>
      <c r="CG2276" s="156"/>
      <c r="CH2276" s="155"/>
      <c r="CI2276" s="156"/>
      <c r="CJ2276" s="157">
        <f t="shared" si="280"/>
        <v>0</v>
      </c>
      <c r="CK2276" s="158"/>
      <c r="CL2276" s="159"/>
      <c r="CM2276" s="160"/>
      <c r="CN2276" s="161"/>
      <c r="CO2276" s="162"/>
      <c r="CP2276" s="161"/>
      <c r="CQ2276" s="158"/>
      <c r="CR2276" s="159"/>
      <c r="CS2276" s="68"/>
      <c r="CT2276" s="163"/>
      <c r="EC2276" s="366" t="str">
        <f t="shared" si="281"/>
        <v>PUTUMAYO_PUERTO ASIS</v>
      </c>
      <c r="ED2276" s="367"/>
      <c r="EE2276" s="367"/>
      <c r="EF2276" s="368"/>
      <c r="EG2276" s="367"/>
      <c r="EH2276" s="367"/>
      <c r="EI2276" s="367"/>
    </row>
    <row r="2277" spans="1:139" s="164" customFormat="1" ht="38.25">
      <c r="A2277" s="228">
        <v>40527</v>
      </c>
      <c r="B2277" s="205" t="s">
        <v>1196</v>
      </c>
      <c r="C2277" s="205" t="s">
        <v>3096</v>
      </c>
      <c r="D2277" s="207" t="s">
        <v>2606</v>
      </c>
      <c r="E2277" s="323" t="s">
        <v>4297</v>
      </c>
      <c r="F2277" s="323"/>
      <c r="G2277" s="204"/>
      <c r="H2277" s="151"/>
      <c r="I2277" s="151"/>
      <c r="J2277" s="151">
        <f>37*5</f>
        <v>185</v>
      </c>
      <c r="K2277" s="151">
        <v>37</v>
      </c>
      <c r="L2277" s="1"/>
      <c r="M2277" s="73">
        <f t="shared" si="278"/>
        <v>0</v>
      </c>
      <c r="N2277" s="73">
        <f t="shared" si="283"/>
        <v>0</v>
      </c>
      <c r="O2277" s="73">
        <f t="shared" si="277"/>
        <v>0</v>
      </c>
      <c r="P2277" s="73">
        <f t="shared" si="279"/>
        <v>0</v>
      </c>
      <c r="Q2277" s="73"/>
      <c r="R2277" s="73">
        <v>0</v>
      </c>
      <c r="S2277" s="75">
        <f t="shared" si="282"/>
        <v>0</v>
      </c>
      <c r="T2277" s="77">
        <v>0</v>
      </c>
      <c r="U2277" s="66">
        <v>40616</v>
      </c>
      <c r="V2277" s="79"/>
      <c r="W2277" s="66" t="s">
        <v>1585</v>
      </c>
      <c r="X2277" s="24" t="s">
        <v>1586</v>
      </c>
      <c r="Y2277" s="62"/>
      <c r="Z2277" s="169" t="s">
        <v>894</v>
      </c>
      <c r="AA2277" s="166" t="s">
        <v>155</v>
      </c>
      <c r="AB2277" s="152"/>
      <c r="AC2277" s="153"/>
      <c r="AD2277" s="154"/>
      <c r="AE2277" s="153"/>
      <c r="AF2277" s="153"/>
      <c r="AG2277" s="153"/>
      <c r="AH2277" s="153"/>
      <c r="AI2277" s="153"/>
      <c r="AJ2277" s="153"/>
      <c r="AK2277" s="153"/>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c r="BF2277" s="153"/>
      <c r="BG2277" s="153"/>
      <c r="BH2277" s="153"/>
      <c r="BI2277" s="153"/>
      <c r="BJ2277" s="153"/>
      <c r="BK2277" s="153"/>
      <c r="BL2277" s="153"/>
      <c r="BM2277" s="153"/>
      <c r="BN2277" s="153"/>
      <c r="BO2277" s="153"/>
      <c r="BP2277" s="153"/>
      <c r="BQ2277" s="153"/>
      <c r="BR2277" s="153"/>
      <c r="BS2277" s="153"/>
      <c r="BT2277" s="153"/>
      <c r="BU2277" s="153"/>
      <c r="BV2277" s="153"/>
      <c r="BW2277" s="153"/>
      <c r="BX2277" s="153"/>
      <c r="BY2277" s="153"/>
      <c r="BZ2277" s="153"/>
      <c r="CA2277" s="153"/>
      <c r="CB2277" s="153"/>
      <c r="CC2277" s="153"/>
      <c r="CD2277" s="155"/>
      <c r="CE2277" s="156"/>
      <c r="CF2277" s="155"/>
      <c r="CG2277" s="156"/>
      <c r="CH2277" s="155"/>
      <c r="CI2277" s="156"/>
      <c r="CJ2277" s="157">
        <f t="shared" si="280"/>
        <v>0</v>
      </c>
      <c r="CK2277" s="158"/>
      <c r="CL2277" s="159"/>
      <c r="CM2277" s="160"/>
      <c r="CN2277" s="161"/>
      <c r="CO2277" s="162"/>
      <c r="CP2277" s="161"/>
      <c r="CQ2277" s="158"/>
      <c r="CR2277" s="159"/>
      <c r="CS2277" s="68"/>
      <c r="CT2277" s="163"/>
      <c r="EC2277" s="366" t="str">
        <f t="shared" si="281"/>
        <v>PUTUMAYO_PUERTO GUZMAN</v>
      </c>
      <c r="ED2277" s="367"/>
      <c r="EE2277" s="367"/>
      <c r="EF2277" s="368"/>
      <c r="EG2277" s="367"/>
      <c r="EH2277" s="367"/>
      <c r="EI2277" s="367"/>
    </row>
    <row r="2278" spans="1:139" s="164" customFormat="1" ht="38.25">
      <c r="A2278" s="228">
        <v>40527</v>
      </c>
      <c r="B2278" s="205" t="s">
        <v>1196</v>
      </c>
      <c r="C2278" s="205" t="s">
        <v>58</v>
      </c>
      <c r="D2278" s="207" t="s">
        <v>2606</v>
      </c>
      <c r="E2278" s="323" t="s">
        <v>4301</v>
      </c>
      <c r="F2278" s="323"/>
      <c r="G2278" s="204"/>
      <c r="H2278" s="151"/>
      <c r="I2278" s="151"/>
      <c r="J2278" s="151">
        <f>29*5</f>
        <v>145</v>
      </c>
      <c r="K2278" s="151">
        <v>29</v>
      </c>
      <c r="L2278" s="1"/>
      <c r="M2278" s="73">
        <f t="shared" si="278"/>
        <v>0</v>
      </c>
      <c r="N2278" s="73">
        <f t="shared" si="283"/>
        <v>0</v>
      </c>
      <c r="O2278" s="73">
        <f t="shared" si="277"/>
        <v>0</v>
      </c>
      <c r="P2278" s="73">
        <f t="shared" si="279"/>
        <v>0</v>
      </c>
      <c r="Q2278" s="73"/>
      <c r="R2278" s="73">
        <v>0</v>
      </c>
      <c r="S2278" s="75">
        <f t="shared" si="282"/>
        <v>0</v>
      </c>
      <c r="T2278" s="77">
        <v>0</v>
      </c>
      <c r="U2278" s="66">
        <v>40616</v>
      </c>
      <c r="V2278" s="79"/>
      <c r="W2278" s="66" t="s">
        <v>1585</v>
      </c>
      <c r="X2278" s="24" t="s">
        <v>1586</v>
      </c>
      <c r="Y2278" s="62"/>
      <c r="Z2278" s="169" t="s">
        <v>894</v>
      </c>
      <c r="AA2278" s="166" t="s">
        <v>155</v>
      </c>
      <c r="AB2278" s="152"/>
      <c r="AC2278" s="153"/>
      <c r="AD2278" s="154"/>
      <c r="AE2278" s="153"/>
      <c r="AF2278" s="153"/>
      <c r="AG2278" s="153"/>
      <c r="AH2278" s="153"/>
      <c r="AI2278" s="153"/>
      <c r="AJ2278" s="153"/>
      <c r="AK2278" s="153"/>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c r="BF2278" s="153"/>
      <c r="BG2278" s="153"/>
      <c r="BH2278" s="153"/>
      <c r="BI2278" s="153"/>
      <c r="BJ2278" s="153"/>
      <c r="BK2278" s="153"/>
      <c r="BL2278" s="153"/>
      <c r="BM2278" s="153"/>
      <c r="BN2278" s="153"/>
      <c r="BO2278" s="153"/>
      <c r="BP2278" s="153"/>
      <c r="BQ2278" s="153"/>
      <c r="BR2278" s="153"/>
      <c r="BS2278" s="153"/>
      <c r="BT2278" s="153"/>
      <c r="BU2278" s="153"/>
      <c r="BV2278" s="153"/>
      <c r="BW2278" s="153"/>
      <c r="BX2278" s="153"/>
      <c r="BY2278" s="153"/>
      <c r="BZ2278" s="153"/>
      <c r="CA2278" s="153"/>
      <c r="CB2278" s="153"/>
      <c r="CC2278" s="153"/>
      <c r="CD2278" s="155"/>
      <c r="CE2278" s="156"/>
      <c r="CF2278" s="155"/>
      <c r="CG2278" s="156"/>
      <c r="CH2278" s="155"/>
      <c r="CI2278" s="156"/>
      <c r="CJ2278" s="157">
        <f t="shared" si="280"/>
        <v>0</v>
      </c>
      <c r="CK2278" s="158"/>
      <c r="CL2278" s="159"/>
      <c r="CM2278" s="160"/>
      <c r="CN2278" s="161"/>
      <c r="CO2278" s="162"/>
      <c r="CP2278" s="161"/>
      <c r="CQ2278" s="158"/>
      <c r="CR2278" s="159"/>
      <c r="CS2278" s="68"/>
      <c r="CT2278" s="163"/>
      <c r="EC2278" s="366" t="str">
        <f t="shared" si="281"/>
        <v>PUTUMAYO_SAN MIGUEL</v>
      </c>
      <c r="ED2278" s="367"/>
      <c r="EE2278" s="367"/>
      <c r="EF2278" s="368"/>
      <c r="EG2278" s="367"/>
      <c r="EH2278" s="367"/>
      <c r="EI2278" s="367"/>
    </row>
    <row r="2279" spans="1:139" s="164" customFormat="1" ht="38.25">
      <c r="A2279" s="228">
        <v>40527</v>
      </c>
      <c r="B2279" s="205" t="s">
        <v>1609</v>
      </c>
      <c r="C2279" s="205" t="s">
        <v>2581</v>
      </c>
      <c r="D2279" s="207" t="s">
        <v>1878</v>
      </c>
      <c r="E2279" s="323" t="s">
        <v>4053</v>
      </c>
      <c r="F2279" s="323"/>
      <c r="G2279" s="204"/>
      <c r="H2279" s="151"/>
      <c r="I2279" s="151"/>
      <c r="J2279" s="151">
        <v>50</v>
      </c>
      <c r="K2279" s="151">
        <v>10</v>
      </c>
      <c r="L2279" s="1">
        <v>40536</v>
      </c>
      <c r="M2279" s="73">
        <f t="shared" si="278"/>
        <v>0</v>
      </c>
      <c r="N2279" s="73">
        <f t="shared" si="283"/>
        <v>0</v>
      </c>
      <c r="O2279" s="73">
        <f t="shared" si="277"/>
        <v>0</v>
      </c>
      <c r="P2279" s="73">
        <f t="shared" si="279"/>
        <v>0</v>
      </c>
      <c r="Q2279" s="73"/>
      <c r="R2279" s="73">
        <v>68300000</v>
      </c>
      <c r="S2279" s="75">
        <f t="shared" si="282"/>
        <v>68300000</v>
      </c>
      <c r="T2279" s="77">
        <v>0</v>
      </c>
      <c r="U2279" s="66"/>
      <c r="V2279" s="79"/>
      <c r="W2279" s="66" t="s">
        <v>1606</v>
      </c>
      <c r="X2279" s="24" t="s">
        <v>1607</v>
      </c>
      <c r="Y2279" s="62">
        <v>522</v>
      </c>
      <c r="Z2279" s="169"/>
      <c r="AA2279" s="170" t="s">
        <v>3082</v>
      </c>
      <c r="AB2279" s="152"/>
      <c r="AC2279" s="153"/>
      <c r="AD2279" s="154"/>
      <c r="AE2279" s="153"/>
      <c r="AF2279" s="153"/>
      <c r="AG2279" s="153"/>
      <c r="AH2279" s="153"/>
      <c r="AI2279" s="153"/>
      <c r="AJ2279" s="153"/>
      <c r="AK2279" s="153"/>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c r="BF2279" s="153"/>
      <c r="BG2279" s="153"/>
      <c r="BH2279" s="153"/>
      <c r="BI2279" s="153"/>
      <c r="BJ2279" s="153"/>
      <c r="BK2279" s="153"/>
      <c r="BL2279" s="153"/>
      <c r="BM2279" s="153"/>
      <c r="BN2279" s="153"/>
      <c r="BO2279" s="153"/>
      <c r="BP2279" s="153"/>
      <c r="BQ2279" s="153"/>
      <c r="BR2279" s="153"/>
      <c r="BS2279" s="153"/>
      <c r="BT2279" s="153"/>
      <c r="BU2279" s="153"/>
      <c r="BV2279" s="153"/>
      <c r="BW2279" s="153"/>
      <c r="BX2279" s="153"/>
      <c r="BY2279" s="153"/>
      <c r="BZ2279" s="153"/>
      <c r="CA2279" s="153"/>
      <c r="CB2279" s="153"/>
      <c r="CC2279" s="153"/>
      <c r="CD2279" s="155"/>
      <c r="CE2279" s="156"/>
      <c r="CF2279" s="155"/>
      <c r="CG2279" s="156"/>
      <c r="CH2279" s="155"/>
      <c r="CI2279" s="156"/>
      <c r="CJ2279" s="157">
        <f t="shared" si="280"/>
        <v>0</v>
      </c>
      <c r="CK2279" s="158"/>
      <c r="CL2279" s="159"/>
      <c r="CM2279" s="160"/>
      <c r="CN2279" s="161"/>
      <c r="CO2279" s="162"/>
      <c r="CP2279" s="161"/>
      <c r="CQ2279" s="158"/>
      <c r="CR2279" s="159"/>
      <c r="CS2279" s="68"/>
      <c r="CT2279" s="163"/>
      <c r="EC2279" s="366" t="str">
        <f t="shared" si="281"/>
        <v>RISARALDA_BELEN DE UMBRIA</v>
      </c>
      <c r="ED2279" s="367"/>
      <c r="EE2279" s="367"/>
      <c r="EF2279" s="368"/>
      <c r="EG2279" s="367"/>
      <c r="EH2279" s="367"/>
      <c r="EI2279" s="367"/>
    </row>
    <row r="2280" spans="1:139" s="164" customFormat="1" ht="38.25">
      <c r="A2280" s="228">
        <v>40527</v>
      </c>
      <c r="B2280" s="205" t="s">
        <v>1609</v>
      </c>
      <c r="C2280" s="205" t="s">
        <v>20</v>
      </c>
      <c r="D2280" s="207" t="s">
        <v>1878</v>
      </c>
      <c r="E2280" s="323" t="s">
        <v>4060</v>
      </c>
      <c r="F2280" s="323"/>
      <c r="G2280" s="204"/>
      <c r="H2280" s="151"/>
      <c r="I2280" s="151"/>
      <c r="J2280" s="151">
        <f>16*5</f>
        <v>80</v>
      </c>
      <c r="K2280" s="151">
        <v>16</v>
      </c>
      <c r="L2280" s="1"/>
      <c r="M2280" s="73">
        <f t="shared" si="278"/>
        <v>0</v>
      </c>
      <c r="N2280" s="73">
        <f t="shared" si="283"/>
        <v>0</v>
      </c>
      <c r="O2280" s="73">
        <f t="shared" si="277"/>
        <v>0</v>
      </c>
      <c r="P2280" s="73">
        <f t="shared" si="279"/>
        <v>0</v>
      </c>
      <c r="Q2280" s="73"/>
      <c r="R2280" s="73">
        <v>0</v>
      </c>
      <c r="S2280" s="75">
        <f t="shared" si="282"/>
        <v>0</v>
      </c>
      <c r="T2280" s="77">
        <v>0</v>
      </c>
      <c r="U2280" s="66">
        <v>40527</v>
      </c>
      <c r="V2280" s="79"/>
      <c r="W2280" s="66" t="s">
        <v>1585</v>
      </c>
      <c r="X2280" s="24" t="s">
        <v>1586</v>
      </c>
      <c r="Y2280" s="62"/>
      <c r="Z2280" s="169" t="s">
        <v>894</v>
      </c>
      <c r="AA2280" s="166" t="s">
        <v>21</v>
      </c>
      <c r="AB2280" s="152"/>
      <c r="AC2280" s="153"/>
      <c r="AD2280" s="154"/>
      <c r="AE2280" s="153"/>
      <c r="AF2280" s="153"/>
      <c r="AG2280" s="153"/>
      <c r="AH2280" s="153"/>
      <c r="AI2280" s="153"/>
      <c r="AJ2280" s="153"/>
      <c r="AK2280" s="153"/>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c r="BF2280" s="153"/>
      <c r="BG2280" s="153"/>
      <c r="BH2280" s="153"/>
      <c r="BI2280" s="153"/>
      <c r="BJ2280" s="153"/>
      <c r="BK2280" s="153"/>
      <c r="BL2280" s="153"/>
      <c r="BM2280" s="153"/>
      <c r="BN2280" s="153"/>
      <c r="BO2280" s="153"/>
      <c r="BP2280" s="153"/>
      <c r="BQ2280" s="153"/>
      <c r="BR2280" s="153"/>
      <c r="BS2280" s="153"/>
      <c r="BT2280" s="153"/>
      <c r="BU2280" s="153"/>
      <c r="BV2280" s="153"/>
      <c r="BW2280" s="153"/>
      <c r="BX2280" s="153"/>
      <c r="BY2280" s="153"/>
      <c r="BZ2280" s="153"/>
      <c r="CA2280" s="153"/>
      <c r="CB2280" s="153"/>
      <c r="CC2280" s="153"/>
      <c r="CD2280" s="155"/>
      <c r="CE2280" s="156"/>
      <c r="CF2280" s="155"/>
      <c r="CG2280" s="156"/>
      <c r="CH2280" s="155"/>
      <c r="CI2280" s="156"/>
      <c r="CJ2280" s="157">
        <f t="shared" si="280"/>
        <v>0</v>
      </c>
      <c r="CK2280" s="158"/>
      <c r="CL2280" s="159"/>
      <c r="CM2280" s="160"/>
      <c r="CN2280" s="161"/>
      <c r="CO2280" s="162"/>
      <c r="CP2280" s="161"/>
      <c r="CQ2280" s="158"/>
      <c r="CR2280" s="159"/>
      <c r="CS2280" s="68"/>
      <c r="CT2280" s="163"/>
      <c r="EC2280" s="366" t="str">
        <f t="shared" si="281"/>
        <v>RISARALDA_PUEBLO RICO</v>
      </c>
      <c r="ED2280" s="367"/>
      <c r="EE2280" s="367"/>
      <c r="EF2280" s="368"/>
      <c r="EG2280" s="367"/>
      <c r="EH2280" s="367"/>
      <c r="EI2280" s="367"/>
    </row>
    <row r="2281" spans="1:139" s="164" customFormat="1" ht="38.25">
      <c r="A2281" s="228">
        <v>40527</v>
      </c>
      <c r="B2281" s="205" t="s">
        <v>1609</v>
      </c>
      <c r="C2281" s="205" t="s">
        <v>1538</v>
      </c>
      <c r="D2281" s="207" t="s">
        <v>1878</v>
      </c>
      <c r="E2281" s="323" t="s">
        <v>4063</v>
      </c>
      <c r="F2281" s="323"/>
      <c r="G2281" s="204"/>
      <c r="H2281" s="151"/>
      <c r="I2281" s="151"/>
      <c r="J2281" s="151">
        <v>25</v>
      </c>
      <c r="K2281" s="151">
        <v>5</v>
      </c>
      <c r="L2281" s="1"/>
      <c r="M2281" s="73">
        <f t="shared" si="278"/>
        <v>0</v>
      </c>
      <c r="N2281" s="73">
        <f t="shared" si="283"/>
        <v>0</v>
      </c>
      <c r="O2281" s="73">
        <f t="shared" si="277"/>
        <v>0</v>
      </c>
      <c r="P2281" s="73">
        <f t="shared" si="279"/>
        <v>0</v>
      </c>
      <c r="Q2281" s="73"/>
      <c r="R2281" s="73">
        <v>0</v>
      </c>
      <c r="S2281" s="75">
        <f t="shared" si="282"/>
        <v>0</v>
      </c>
      <c r="T2281" s="77">
        <v>0</v>
      </c>
      <c r="U2281" s="66">
        <v>40527</v>
      </c>
      <c r="V2281" s="79"/>
      <c r="W2281" s="66" t="s">
        <v>1585</v>
      </c>
      <c r="X2281" s="24" t="s">
        <v>1586</v>
      </c>
      <c r="Y2281" s="62"/>
      <c r="Z2281" s="169" t="s">
        <v>894</v>
      </c>
      <c r="AA2281" s="166" t="s">
        <v>226</v>
      </c>
      <c r="AB2281" s="152"/>
      <c r="AC2281" s="153"/>
      <c r="AD2281" s="154"/>
      <c r="AE2281" s="153"/>
      <c r="AF2281" s="153"/>
      <c r="AG2281" s="153"/>
      <c r="AH2281" s="153"/>
      <c r="AI2281" s="153"/>
      <c r="AJ2281" s="153"/>
      <c r="AK2281" s="153"/>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c r="BF2281" s="153"/>
      <c r="BG2281" s="153"/>
      <c r="BH2281" s="153"/>
      <c r="BI2281" s="153"/>
      <c r="BJ2281" s="153"/>
      <c r="BK2281" s="153"/>
      <c r="BL2281" s="153"/>
      <c r="BM2281" s="153"/>
      <c r="BN2281" s="153"/>
      <c r="BO2281" s="153"/>
      <c r="BP2281" s="153"/>
      <c r="BQ2281" s="153"/>
      <c r="BR2281" s="153"/>
      <c r="BS2281" s="153"/>
      <c r="BT2281" s="153"/>
      <c r="BU2281" s="153"/>
      <c r="BV2281" s="153"/>
      <c r="BW2281" s="153"/>
      <c r="BX2281" s="153"/>
      <c r="BY2281" s="153"/>
      <c r="BZ2281" s="153"/>
      <c r="CA2281" s="153"/>
      <c r="CB2281" s="153"/>
      <c r="CC2281" s="153"/>
      <c r="CD2281" s="155"/>
      <c r="CE2281" s="156"/>
      <c r="CF2281" s="155"/>
      <c r="CG2281" s="156"/>
      <c r="CH2281" s="155"/>
      <c r="CI2281" s="156"/>
      <c r="CJ2281" s="157">
        <f t="shared" si="280"/>
        <v>0</v>
      </c>
      <c r="CK2281" s="158"/>
      <c r="CL2281" s="159"/>
      <c r="CM2281" s="160"/>
      <c r="CN2281" s="161"/>
      <c r="CO2281" s="162"/>
      <c r="CP2281" s="161"/>
      <c r="CQ2281" s="158"/>
      <c r="CR2281" s="159"/>
      <c r="CS2281" s="68"/>
      <c r="CT2281" s="163"/>
      <c r="EC2281" s="366" t="str">
        <f t="shared" si="281"/>
        <v>RISARALDA_SANTUARIO</v>
      </c>
      <c r="ED2281" s="367"/>
      <c r="EE2281" s="367"/>
      <c r="EF2281" s="368"/>
      <c r="EG2281" s="367"/>
      <c r="EH2281" s="367"/>
      <c r="EI2281" s="367"/>
    </row>
    <row r="2282" spans="1:139" s="164" customFormat="1" ht="38.25">
      <c r="A2282" s="228">
        <v>40527</v>
      </c>
      <c r="B2282" s="205" t="s">
        <v>1998</v>
      </c>
      <c r="C2282" s="205" t="s">
        <v>1011</v>
      </c>
      <c r="D2282" s="207" t="s">
        <v>1878</v>
      </c>
      <c r="E2282" s="323" t="s">
        <v>4064</v>
      </c>
      <c r="F2282" s="323"/>
      <c r="G2282" s="263"/>
      <c r="H2282" s="151"/>
      <c r="I2282" s="151"/>
      <c r="J2282" s="151"/>
      <c r="K2282" s="151"/>
      <c r="L2282" s="1"/>
      <c r="M2282" s="73">
        <f t="shared" si="278"/>
        <v>0</v>
      </c>
      <c r="N2282" s="73">
        <f t="shared" si="283"/>
        <v>0</v>
      </c>
      <c r="O2282" s="73">
        <f t="shared" si="277"/>
        <v>0</v>
      </c>
      <c r="P2282" s="73">
        <f t="shared" si="279"/>
        <v>0</v>
      </c>
      <c r="Q2282" s="73"/>
      <c r="R2282" s="73">
        <v>0</v>
      </c>
      <c r="S2282" s="75">
        <f t="shared" si="282"/>
        <v>0</v>
      </c>
      <c r="T2282" s="77">
        <v>0</v>
      </c>
      <c r="U2282" s="66"/>
      <c r="V2282" s="79"/>
      <c r="W2282" s="66" t="s">
        <v>1606</v>
      </c>
      <c r="X2282" s="24" t="s">
        <v>1607</v>
      </c>
      <c r="Y2282" s="62"/>
      <c r="Z2282" s="176" t="s">
        <v>3056</v>
      </c>
      <c r="AA2282" s="166" t="s">
        <v>228</v>
      </c>
      <c r="AB2282" s="152"/>
      <c r="AC2282" s="153"/>
      <c r="AD2282" s="154"/>
      <c r="AE2282" s="153"/>
      <c r="AF2282" s="153"/>
      <c r="AG2282" s="153"/>
      <c r="AH2282" s="153"/>
      <c r="AI2282" s="153"/>
      <c r="AJ2282" s="153"/>
      <c r="AK2282" s="153"/>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c r="BF2282" s="153"/>
      <c r="BG2282" s="153"/>
      <c r="BH2282" s="153"/>
      <c r="BI2282" s="153"/>
      <c r="BJ2282" s="153"/>
      <c r="BK2282" s="153"/>
      <c r="BL2282" s="153"/>
      <c r="BM2282" s="153"/>
      <c r="BN2282" s="153"/>
      <c r="BO2282" s="153"/>
      <c r="BP2282" s="153"/>
      <c r="BQ2282" s="153"/>
      <c r="BR2282" s="153"/>
      <c r="BS2282" s="153"/>
      <c r="BT2282" s="153"/>
      <c r="BU2282" s="153"/>
      <c r="BV2282" s="153"/>
      <c r="BW2282" s="153"/>
      <c r="BX2282" s="153"/>
      <c r="BY2282" s="153"/>
      <c r="BZ2282" s="153"/>
      <c r="CA2282" s="153"/>
      <c r="CB2282" s="153"/>
      <c r="CC2282" s="153"/>
      <c r="CD2282" s="155"/>
      <c r="CE2282" s="156"/>
      <c r="CF2282" s="155"/>
      <c r="CG2282" s="156"/>
      <c r="CH2282" s="155"/>
      <c r="CI2282" s="156"/>
      <c r="CJ2282" s="157">
        <f t="shared" si="280"/>
        <v>0</v>
      </c>
      <c r="CK2282" s="158"/>
      <c r="CL2282" s="159"/>
      <c r="CM2282" s="160"/>
      <c r="CN2282" s="161"/>
      <c r="CO2282" s="162"/>
      <c r="CP2282" s="161"/>
      <c r="CQ2282" s="158"/>
      <c r="CR2282" s="159"/>
      <c r="CS2282" s="68"/>
      <c r="CT2282" s="163"/>
      <c r="EC2282" s="366" t="str">
        <f t="shared" si="281"/>
        <v>SANTANDER_BUCARAMANGA</v>
      </c>
      <c r="ED2282" s="367"/>
      <c r="EE2282" s="367"/>
      <c r="EF2282" s="368"/>
      <c r="EG2282" s="367"/>
      <c r="EH2282" s="367"/>
      <c r="EI2282" s="367"/>
    </row>
    <row r="2283" spans="1:139" s="164" customFormat="1" ht="38.25">
      <c r="A2283" s="228">
        <v>40527</v>
      </c>
      <c r="B2283" s="205" t="s">
        <v>1998</v>
      </c>
      <c r="C2283" s="205" t="s">
        <v>1748</v>
      </c>
      <c r="D2283" s="207" t="s">
        <v>1201</v>
      </c>
      <c r="E2283" s="323"/>
      <c r="F2283" s="323"/>
      <c r="G2283" s="204"/>
      <c r="H2283" s="151"/>
      <c r="I2283" s="151"/>
      <c r="J2283" s="151">
        <v>120</v>
      </c>
      <c r="K2283" s="151">
        <v>30</v>
      </c>
      <c r="L2283" s="1"/>
      <c r="M2283" s="73">
        <f t="shared" si="278"/>
        <v>0</v>
      </c>
      <c r="N2283" s="73">
        <f t="shared" si="283"/>
        <v>0</v>
      </c>
      <c r="O2283" s="73">
        <f t="shared" si="277"/>
        <v>0</v>
      </c>
      <c r="P2283" s="73">
        <f t="shared" si="279"/>
        <v>0</v>
      </c>
      <c r="Q2283" s="73"/>
      <c r="R2283" s="73">
        <v>0</v>
      </c>
      <c r="S2283" s="75">
        <f t="shared" si="282"/>
        <v>0</v>
      </c>
      <c r="T2283" s="77">
        <v>0</v>
      </c>
      <c r="U2283" s="66">
        <v>40624</v>
      </c>
      <c r="V2283" s="79"/>
      <c r="W2283" s="66" t="s">
        <v>1585</v>
      </c>
      <c r="X2283" s="24" t="s">
        <v>1586</v>
      </c>
      <c r="Y2283" s="62"/>
      <c r="Z2283" s="169" t="s">
        <v>894</v>
      </c>
      <c r="AA2283" s="166" t="s">
        <v>155</v>
      </c>
      <c r="AB2283" s="152"/>
      <c r="AC2283" s="153"/>
      <c r="AD2283" s="154"/>
      <c r="AE2283" s="153"/>
      <c r="AF2283" s="153"/>
      <c r="AG2283" s="153"/>
      <c r="AH2283" s="153"/>
      <c r="AI2283" s="153"/>
      <c r="AJ2283" s="153"/>
      <c r="AK2283" s="153"/>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c r="BF2283" s="153"/>
      <c r="BG2283" s="153"/>
      <c r="BH2283" s="153"/>
      <c r="BI2283" s="153"/>
      <c r="BJ2283" s="153"/>
      <c r="BK2283" s="153"/>
      <c r="BL2283" s="153"/>
      <c r="BM2283" s="153"/>
      <c r="BN2283" s="153"/>
      <c r="BO2283" s="153"/>
      <c r="BP2283" s="153"/>
      <c r="BQ2283" s="153"/>
      <c r="BR2283" s="153"/>
      <c r="BS2283" s="153"/>
      <c r="BT2283" s="153"/>
      <c r="BU2283" s="153"/>
      <c r="BV2283" s="153"/>
      <c r="BW2283" s="153"/>
      <c r="BX2283" s="153"/>
      <c r="BY2283" s="153"/>
      <c r="BZ2283" s="153"/>
      <c r="CA2283" s="153"/>
      <c r="CB2283" s="153"/>
      <c r="CC2283" s="153"/>
      <c r="CD2283" s="155"/>
      <c r="CE2283" s="156"/>
      <c r="CF2283" s="155"/>
      <c r="CG2283" s="156"/>
      <c r="CH2283" s="155"/>
      <c r="CI2283" s="156"/>
      <c r="CJ2283" s="157">
        <f t="shared" si="280"/>
        <v>0</v>
      </c>
      <c r="CK2283" s="158"/>
      <c r="CL2283" s="159"/>
      <c r="CM2283" s="160"/>
      <c r="CN2283" s="161"/>
      <c r="CO2283" s="162"/>
      <c r="CP2283" s="161"/>
      <c r="CQ2283" s="158"/>
      <c r="CR2283" s="159"/>
      <c r="CS2283" s="68"/>
      <c r="CT2283" s="163">
        <v>1641</v>
      </c>
      <c r="EC2283" s="366" t="str">
        <f t="shared" si="281"/>
        <v>SANTANDER_CABRERA</v>
      </c>
      <c r="ED2283" s="367"/>
      <c r="EE2283" s="367"/>
      <c r="EF2283" s="368"/>
      <c r="EG2283" s="367"/>
      <c r="EH2283" s="367"/>
      <c r="EI2283" s="367"/>
    </row>
    <row r="2284" spans="1:139" s="164" customFormat="1" ht="38.25">
      <c r="A2284" s="228">
        <v>40527</v>
      </c>
      <c r="B2284" s="205" t="s">
        <v>1998</v>
      </c>
      <c r="C2284" s="205" t="s">
        <v>42</v>
      </c>
      <c r="D2284" s="207" t="s">
        <v>1878</v>
      </c>
      <c r="E2284" s="323" t="s">
        <v>4074</v>
      </c>
      <c r="F2284" s="323"/>
      <c r="G2284" s="263"/>
      <c r="H2284" s="151"/>
      <c r="I2284" s="151"/>
      <c r="J2284" s="151">
        <f>12*5</f>
        <v>60</v>
      </c>
      <c r="K2284" s="151">
        <v>12</v>
      </c>
      <c r="L2284" s="1"/>
      <c r="M2284" s="73">
        <f t="shared" si="278"/>
        <v>0</v>
      </c>
      <c r="N2284" s="73">
        <f t="shared" si="283"/>
        <v>0</v>
      </c>
      <c r="O2284" s="73">
        <f t="shared" si="277"/>
        <v>0</v>
      </c>
      <c r="P2284" s="73">
        <f t="shared" si="279"/>
        <v>0</v>
      </c>
      <c r="Q2284" s="73"/>
      <c r="R2284" s="73">
        <v>0</v>
      </c>
      <c r="S2284" s="75">
        <f t="shared" si="282"/>
        <v>0</v>
      </c>
      <c r="T2284" s="77">
        <v>0</v>
      </c>
      <c r="U2284" s="66">
        <v>40575</v>
      </c>
      <c r="V2284" s="79"/>
      <c r="W2284" s="66" t="s">
        <v>1585</v>
      </c>
      <c r="X2284" s="24" t="s">
        <v>1586</v>
      </c>
      <c r="Y2284" s="62"/>
      <c r="Z2284" s="169" t="s">
        <v>894</v>
      </c>
      <c r="AA2284" s="166" t="s">
        <v>54</v>
      </c>
      <c r="AB2284" s="152"/>
      <c r="AC2284" s="153"/>
      <c r="AD2284" s="154"/>
      <c r="AE2284" s="153"/>
      <c r="AF2284" s="153"/>
      <c r="AG2284" s="153"/>
      <c r="AH2284" s="153"/>
      <c r="AI2284" s="153"/>
      <c r="AJ2284" s="153"/>
      <c r="AK2284" s="153"/>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c r="BF2284" s="153"/>
      <c r="BG2284" s="153"/>
      <c r="BH2284" s="153"/>
      <c r="BI2284" s="153"/>
      <c r="BJ2284" s="153"/>
      <c r="BK2284" s="153"/>
      <c r="BL2284" s="153"/>
      <c r="BM2284" s="153"/>
      <c r="BN2284" s="153"/>
      <c r="BO2284" s="153"/>
      <c r="BP2284" s="153"/>
      <c r="BQ2284" s="153"/>
      <c r="BR2284" s="153"/>
      <c r="BS2284" s="153"/>
      <c r="BT2284" s="153"/>
      <c r="BU2284" s="153"/>
      <c r="BV2284" s="153"/>
      <c r="BW2284" s="153"/>
      <c r="BX2284" s="153"/>
      <c r="BY2284" s="153"/>
      <c r="BZ2284" s="153"/>
      <c r="CA2284" s="153"/>
      <c r="CB2284" s="153"/>
      <c r="CC2284" s="153"/>
      <c r="CD2284" s="155"/>
      <c r="CE2284" s="156"/>
      <c r="CF2284" s="155"/>
      <c r="CG2284" s="156"/>
      <c r="CH2284" s="155"/>
      <c r="CI2284" s="156"/>
      <c r="CJ2284" s="157">
        <f t="shared" si="280"/>
        <v>0</v>
      </c>
      <c r="CK2284" s="158"/>
      <c r="CL2284" s="159"/>
      <c r="CM2284" s="160"/>
      <c r="CN2284" s="161"/>
      <c r="CO2284" s="162"/>
      <c r="CP2284" s="161"/>
      <c r="CQ2284" s="158"/>
      <c r="CR2284" s="159"/>
      <c r="CS2284" s="68"/>
      <c r="CT2284" s="163"/>
      <c r="EC2284" s="366" t="str">
        <f t="shared" si="281"/>
        <v>SANTANDER_CALIFORNIA</v>
      </c>
      <c r="ED2284" s="367"/>
      <c r="EE2284" s="367"/>
      <c r="EF2284" s="368"/>
      <c r="EG2284" s="367"/>
      <c r="EH2284" s="367"/>
      <c r="EI2284" s="367"/>
    </row>
    <row r="2285" spans="1:139" s="164" customFormat="1" ht="25.5">
      <c r="A2285" s="228">
        <v>40527</v>
      </c>
      <c r="B2285" s="205" t="s">
        <v>1998</v>
      </c>
      <c r="C2285" s="205" t="s">
        <v>44</v>
      </c>
      <c r="D2285" s="207" t="s">
        <v>1878</v>
      </c>
      <c r="E2285" s="323" t="s">
        <v>4082</v>
      </c>
      <c r="F2285" s="323"/>
      <c r="G2285" s="263"/>
      <c r="H2285" s="151"/>
      <c r="I2285" s="151"/>
      <c r="J2285" s="151">
        <f>70*5</f>
        <v>350</v>
      </c>
      <c r="K2285" s="151">
        <v>70</v>
      </c>
      <c r="L2285" s="1"/>
      <c r="M2285" s="73">
        <f t="shared" si="278"/>
        <v>0</v>
      </c>
      <c r="N2285" s="73">
        <f t="shared" si="283"/>
        <v>0</v>
      </c>
      <c r="O2285" s="73">
        <f t="shared" si="277"/>
        <v>0</v>
      </c>
      <c r="P2285" s="73">
        <f t="shared" si="279"/>
        <v>0</v>
      </c>
      <c r="Q2285" s="73"/>
      <c r="R2285" s="73">
        <v>0</v>
      </c>
      <c r="S2285" s="75">
        <f t="shared" si="282"/>
        <v>0</v>
      </c>
      <c r="T2285" s="77">
        <v>0</v>
      </c>
      <c r="U2285" s="66">
        <v>40575</v>
      </c>
      <c r="V2285" s="79"/>
      <c r="W2285" s="66" t="s">
        <v>1585</v>
      </c>
      <c r="X2285" s="24" t="s">
        <v>1586</v>
      </c>
      <c r="Y2285" s="62"/>
      <c r="Z2285" s="169" t="s">
        <v>894</v>
      </c>
      <c r="AA2285" s="166" t="s">
        <v>54</v>
      </c>
      <c r="AB2285" s="152"/>
      <c r="AC2285" s="153"/>
      <c r="AD2285" s="154"/>
      <c r="AE2285" s="153"/>
      <c r="AF2285" s="153"/>
      <c r="AG2285" s="153"/>
      <c r="AH2285" s="153"/>
      <c r="AI2285" s="153"/>
      <c r="AJ2285" s="153"/>
      <c r="AK2285" s="153"/>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c r="BF2285" s="153"/>
      <c r="BG2285" s="153"/>
      <c r="BH2285" s="153"/>
      <c r="BI2285" s="153"/>
      <c r="BJ2285" s="153"/>
      <c r="BK2285" s="153"/>
      <c r="BL2285" s="153"/>
      <c r="BM2285" s="153"/>
      <c r="BN2285" s="153"/>
      <c r="BO2285" s="153"/>
      <c r="BP2285" s="153"/>
      <c r="BQ2285" s="153"/>
      <c r="BR2285" s="153"/>
      <c r="BS2285" s="153"/>
      <c r="BT2285" s="153"/>
      <c r="BU2285" s="153"/>
      <c r="BV2285" s="153"/>
      <c r="BW2285" s="153"/>
      <c r="BX2285" s="153"/>
      <c r="BY2285" s="153"/>
      <c r="BZ2285" s="153"/>
      <c r="CA2285" s="153"/>
      <c r="CB2285" s="153"/>
      <c r="CC2285" s="153"/>
      <c r="CD2285" s="155"/>
      <c r="CE2285" s="156"/>
      <c r="CF2285" s="155"/>
      <c r="CG2285" s="156"/>
      <c r="CH2285" s="155"/>
      <c r="CI2285" s="156"/>
      <c r="CJ2285" s="157">
        <f t="shared" si="280"/>
        <v>0</v>
      </c>
      <c r="CK2285" s="158"/>
      <c r="CL2285" s="159"/>
      <c r="CM2285" s="160"/>
      <c r="CN2285" s="161"/>
      <c r="CO2285" s="162"/>
      <c r="CP2285" s="161"/>
      <c r="CQ2285" s="158"/>
      <c r="CR2285" s="159"/>
      <c r="CS2285" s="68"/>
      <c r="CT2285" s="163"/>
      <c r="EC2285" s="366" t="str">
        <f t="shared" si="281"/>
        <v>SANTANDER_CHIPATA</v>
      </c>
      <c r="ED2285" s="367"/>
      <c r="EE2285" s="367"/>
      <c r="EF2285" s="368"/>
      <c r="EG2285" s="367"/>
      <c r="EH2285" s="367"/>
      <c r="EI2285" s="367"/>
    </row>
    <row r="2286" spans="1:139" s="164" customFormat="1" ht="38.25">
      <c r="A2286" s="228">
        <v>40527</v>
      </c>
      <c r="B2286" s="205" t="s">
        <v>1998</v>
      </c>
      <c r="C2286" s="205" t="s">
        <v>43</v>
      </c>
      <c r="D2286" s="207" t="s">
        <v>1878</v>
      </c>
      <c r="E2286" s="323" t="s">
        <v>4085</v>
      </c>
      <c r="F2286" s="323"/>
      <c r="G2286" s="263"/>
      <c r="H2286" s="151"/>
      <c r="I2286" s="151"/>
      <c r="J2286" s="151">
        <v>50</v>
      </c>
      <c r="K2286" s="151">
        <v>10</v>
      </c>
      <c r="L2286" s="1"/>
      <c r="M2286" s="73">
        <f t="shared" si="278"/>
        <v>0</v>
      </c>
      <c r="N2286" s="73">
        <f t="shared" si="283"/>
        <v>0</v>
      </c>
      <c r="O2286" s="73">
        <f t="shared" si="277"/>
        <v>0</v>
      </c>
      <c r="P2286" s="73">
        <f t="shared" si="279"/>
        <v>0</v>
      </c>
      <c r="Q2286" s="73"/>
      <c r="R2286" s="73">
        <v>0</v>
      </c>
      <c r="S2286" s="75">
        <f t="shared" si="282"/>
        <v>0</v>
      </c>
      <c r="T2286" s="77">
        <v>0</v>
      </c>
      <c r="U2286" s="66">
        <v>40575</v>
      </c>
      <c r="V2286" s="79"/>
      <c r="W2286" s="66" t="s">
        <v>1585</v>
      </c>
      <c r="X2286" s="24" t="s">
        <v>1586</v>
      </c>
      <c r="Y2286" s="62"/>
      <c r="Z2286" s="169" t="s">
        <v>894</v>
      </c>
      <c r="AA2286" s="166" t="s">
        <v>54</v>
      </c>
      <c r="AB2286" s="152"/>
      <c r="AC2286" s="153"/>
      <c r="AD2286" s="154"/>
      <c r="AE2286" s="153"/>
      <c r="AF2286" s="153"/>
      <c r="AG2286" s="153"/>
      <c r="AH2286" s="153"/>
      <c r="AI2286" s="153"/>
      <c r="AJ2286" s="153"/>
      <c r="AK2286" s="153"/>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c r="BF2286" s="153"/>
      <c r="BG2286" s="153"/>
      <c r="BH2286" s="153"/>
      <c r="BI2286" s="153"/>
      <c r="BJ2286" s="153"/>
      <c r="BK2286" s="153"/>
      <c r="BL2286" s="153"/>
      <c r="BM2286" s="153"/>
      <c r="BN2286" s="153"/>
      <c r="BO2286" s="153"/>
      <c r="BP2286" s="153"/>
      <c r="BQ2286" s="153"/>
      <c r="BR2286" s="153"/>
      <c r="BS2286" s="153"/>
      <c r="BT2286" s="153"/>
      <c r="BU2286" s="153"/>
      <c r="BV2286" s="153"/>
      <c r="BW2286" s="153"/>
      <c r="BX2286" s="153"/>
      <c r="BY2286" s="153"/>
      <c r="BZ2286" s="153"/>
      <c r="CA2286" s="153"/>
      <c r="CB2286" s="153"/>
      <c r="CC2286" s="153"/>
      <c r="CD2286" s="155"/>
      <c r="CE2286" s="156"/>
      <c r="CF2286" s="155"/>
      <c r="CG2286" s="156"/>
      <c r="CH2286" s="155"/>
      <c r="CI2286" s="156"/>
      <c r="CJ2286" s="157">
        <f t="shared" si="280"/>
        <v>0</v>
      </c>
      <c r="CK2286" s="158"/>
      <c r="CL2286" s="159"/>
      <c r="CM2286" s="160"/>
      <c r="CN2286" s="161"/>
      <c r="CO2286" s="162"/>
      <c r="CP2286" s="161"/>
      <c r="CQ2286" s="158"/>
      <c r="CR2286" s="159"/>
      <c r="CS2286" s="68"/>
      <c r="CT2286" s="163"/>
      <c r="EC2286" s="366" t="str">
        <f t="shared" si="281"/>
        <v>SANTANDER_CONFINES</v>
      </c>
      <c r="ED2286" s="367"/>
      <c r="EE2286" s="367"/>
      <c r="EF2286" s="368"/>
      <c r="EG2286" s="367"/>
      <c r="EH2286" s="367"/>
      <c r="EI2286" s="367"/>
    </row>
    <row r="2287" spans="1:139" s="164" customFormat="1" ht="38.25">
      <c r="A2287" s="228">
        <v>40527</v>
      </c>
      <c r="B2287" s="205" t="s">
        <v>1998</v>
      </c>
      <c r="C2287" s="205" t="s">
        <v>1444</v>
      </c>
      <c r="D2287" s="207" t="s">
        <v>1878</v>
      </c>
      <c r="E2287" s="323" t="s">
        <v>4091</v>
      </c>
      <c r="F2287" s="323"/>
      <c r="G2287" s="263"/>
      <c r="H2287" s="151"/>
      <c r="I2287" s="151"/>
      <c r="J2287" s="151">
        <f>50*5</f>
        <v>250</v>
      </c>
      <c r="K2287" s="151">
        <v>50</v>
      </c>
      <c r="L2287" s="1"/>
      <c r="M2287" s="73">
        <f t="shared" si="278"/>
        <v>0</v>
      </c>
      <c r="N2287" s="73">
        <f t="shared" si="283"/>
        <v>0</v>
      </c>
      <c r="O2287" s="73">
        <f t="shared" si="277"/>
        <v>0</v>
      </c>
      <c r="P2287" s="73">
        <f t="shared" si="279"/>
        <v>0</v>
      </c>
      <c r="Q2287" s="73"/>
      <c r="R2287" s="73">
        <v>0</v>
      </c>
      <c r="S2287" s="75">
        <f t="shared" si="282"/>
        <v>0</v>
      </c>
      <c r="T2287" s="77">
        <v>0</v>
      </c>
      <c r="U2287" s="66">
        <v>40575</v>
      </c>
      <c r="V2287" s="79"/>
      <c r="W2287" s="66" t="s">
        <v>1585</v>
      </c>
      <c r="X2287" s="24" t="s">
        <v>1586</v>
      </c>
      <c r="Y2287" s="62"/>
      <c r="Z2287" s="169" t="s">
        <v>894</v>
      </c>
      <c r="AA2287" s="166" t="s">
        <v>54</v>
      </c>
      <c r="AB2287" s="152"/>
      <c r="AC2287" s="153"/>
      <c r="AD2287" s="154"/>
      <c r="AE2287" s="153"/>
      <c r="AF2287" s="153"/>
      <c r="AG2287" s="153"/>
      <c r="AH2287" s="153"/>
      <c r="AI2287" s="153"/>
      <c r="AJ2287" s="153"/>
      <c r="AK2287" s="153"/>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c r="BF2287" s="153"/>
      <c r="BG2287" s="153"/>
      <c r="BH2287" s="153"/>
      <c r="BI2287" s="153"/>
      <c r="BJ2287" s="153"/>
      <c r="BK2287" s="153"/>
      <c r="BL2287" s="153"/>
      <c r="BM2287" s="153"/>
      <c r="BN2287" s="153"/>
      <c r="BO2287" s="153"/>
      <c r="BP2287" s="153"/>
      <c r="BQ2287" s="153"/>
      <c r="BR2287" s="153"/>
      <c r="BS2287" s="153"/>
      <c r="BT2287" s="153"/>
      <c r="BU2287" s="153"/>
      <c r="BV2287" s="153"/>
      <c r="BW2287" s="153"/>
      <c r="BX2287" s="153"/>
      <c r="BY2287" s="153"/>
      <c r="BZ2287" s="153"/>
      <c r="CA2287" s="153"/>
      <c r="CB2287" s="153"/>
      <c r="CC2287" s="153"/>
      <c r="CD2287" s="155"/>
      <c r="CE2287" s="156"/>
      <c r="CF2287" s="155"/>
      <c r="CG2287" s="156"/>
      <c r="CH2287" s="155"/>
      <c r="CI2287" s="156"/>
      <c r="CJ2287" s="157">
        <f t="shared" si="280"/>
        <v>0</v>
      </c>
      <c r="CK2287" s="158"/>
      <c r="CL2287" s="159"/>
      <c r="CM2287" s="160"/>
      <c r="CN2287" s="161"/>
      <c r="CO2287" s="162"/>
      <c r="CP2287" s="161"/>
      <c r="CQ2287" s="158"/>
      <c r="CR2287" s="159"/>
      <c r="CS2287" s="68"/>
      <c r="CT2287" s="163"/>
      <c r="EC2287" s="366" t="str">
        <f t="shared" si="281"/>
        <v>SANTANDER_EL PEÑON</v>
      </c>
      <c r="ED2287" s="367"/>
      <c r="EE2287" s="367"/>
      <c r="EF2287" s="368"/>
      <c r="EG2287" s="367"/>
      <c r="EH2287" s="367"/>
      <c r="EI2287" s="367"/>
    </row>
    <row r="2288" spans="1:139" s="164" customFormat="1" ht="38.25">
      <c r="A2288" s="228">
        <v>40527</v>
      </c>
      <c r="B2288" s="205" t="s">
        <v>1998</v>
      </c>
      <c r="C2288" s="205" t="s">
        <v>45</v>
      </c>
      <c r="D2288" s="207" t="s">
        <v>1878</v>
      </c>
      <c r="E2288" s="323" t="s">
        <v>4108</v>
      </c>
      <c r="F2288" s="323"/>
      <c r="G2288" s="263"/>
      <c r="H2288" s="151"/>
      <c r="I2288" s="151"/>
      <c r="J2288" s="151">
        <f>77*5</f>
        <v>385</v>
      </c>
      <c r="K2288" s="151">
        <v>77</v>
      </c>
      <c r="L2288" s="1"/>
      <c r="M2288" s="73">
        <f t="shared" si="278"/>
        <v>0</v>
      </c>
      <c r="N2288" s="73">
        <f t="shared" si="283"/>
        <v>0</v>
      </c>
      <c r="O2288" s="73">
        <f t="shared" si="277"/>
        <v>0</v>
      </c>
      <c r="P2288" s="73">
        <f t="shared" si="279"/>
        <v>0</v>
      </c>
      <c r="Q2288" s="73"/>
      <c r="R2288" s="73">
        <v>0</v>
      </c>
      <c r="S2288" s="75">
        <f t="shared" si="282"/>
        <v>0</v>
      </c>
      <c r="T2288" s="77">
        <v>0</v>
      </c>
      <c r="U2288" s="66">
        <v>40575</v>
      </c>
      <c r="V2288" s="79"/>
      <c r="W2288" s="66" t="s">
        <v>1585</v>
      </c>
      <c r="X2288" s="24" t="s">
        <v>1586</v>
      </c>
      <c r="Y2288" s="62"/>
      <c r="Z2288" s="169" t="s">
        <v>894</v>
      </c>
      <c r="AA2288" s="166" t="s">
        <v>54</v>
      </c>
      <c r="AB2288" s="152"/>
      <c r="AC2288" s="153"/>
      <c r="AD2288" s="154"/>
      <c r="AE2288" s="153"/>
      <c r="AF2288" s="153"/>
      <c r="AG2288" s="153"/>
      <c r="AH2288" s="153"/>
      <c r="AI2288" s="153"/>
      <c r="AJ2288" s="153"/>
      <c r="AK2288" s="153"/>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c r="BF2288" s="153"/>
      <c r="BG2288" s="153"/>
      <c r="BH2288" s="153"/>
      <c r="BI2288" s="153"/>
      <c r="BJ2288" s="153"/>
      <c r="BK2288" s="153"/>
      <c r="BL2288" s="153"/>
      <c r="BM2288" s="153"/>
      <c r="BN2288" s="153"/>
      <c r="BO2288" s="153"/>
      <c r="BP2288" s="153"/>
      <c r="BQ2288" s="153"/>
      <c r="BR2288" s="153"/>
      <c r="BS2288" s="153"/>
      <c r="BT2288" s="153"/>
      <c r="BU2288" s="153"/>
      <c r="BV2288" s="153"/>
      <c r="BW2288" s="153"/>
      <c r="BX2288" s="153"/>
      <c r="BY2288" s="153"/>
      <c r="BZ2288" s="153"/>
      <c r="CA2288" s="153"/>
      <c r="CB2288" s="153"/>
      <c r="CC2288" s="153"/>
      <c r="CD2288" s="155"/>
      <c r="CE2288" s="156"/>
      <c r="CF2288" s="155"/>
      <c r="CG2288" s="156"/>
      <c r="CH2288" s="155"/>
      <c r="CI2288" s="156"/>
      <c r="CJ2288" s="157">
        <f t="shared" si="280"/>
        <v>0</v>
      </c>
      <c r="CK2288" s="158"/>
      <c r="CL2288" s="159"/>
      <c r="CM2288" s="160"/>
      <c r="CN2288" s="161"/>
      <c r="CO2288" s="162"/>
      <c r="CP2288" s="161"/>
      <c r="CQ2288" s="158"/>
      <c r="CR2288" s="159"/>
      <c r="CS2288" s="68"/>
      <c r="CT2288" s="163"/>
      <c r="EC2288" s="366" t="str">
        <f t="shared" si="281"/>
        <v>SANTANDER_LA BELLEZA</v>
      </c>
      <c r="ED2288" s="367"/>
      <c r="EE2288" s="367"/>
      <c r="EF2288" s="368"/>
      <c r="EG2288" s="367"/>
      <c r="EH2288" s="367"/>
      <c r="EI2288" s="367"/>
    </row>
    <row r="2289" spans="1:139" s="164" customFormat="1" ht="25.5">
      <c r="A2289" s="228">
        <v>40527</v>
      </c>
      <c r="B2289" s="205" t="s">
        <v>1998</v>
      </c>
      <c r="C2289" s="205" t="s">
        <v>1653</v>
      </c>
      <c r="D2289" s="207" t="s">
        <v>1878</v>
      </c>
      <c r="E2289" s="323" t="s">
        <v>4110</v>
      </c>
      <c r="F2289" s="323"/>
      <c r="G2289" s="263"/>
      <c r="H2289" s="151"/>
      <c r="I2289" s="151"/>
      <c r="J2289" s="151">
        <f>50*5</f>
        <v>250</v>
      </c>
      <c r="K2289" s="151">
        <v>50</v>
      </c>
      <c r="L2289" s="1"/>
      <c r="M2289" s="73">
        <f t="shared" si="278"/>
        <v>0</v>
      </c>
      <c r="N2289" s="73">
        <f t="shared" si="283"/>
        <v>0</v>
      </c>
      <c r="O2289" s="73">
        <f t="shared" si="277"/>
        <v>0</v>
      </c>
      <c r="P2289" s="73">
        <f t="shared" si="279"/>
        <v>0</v>
      </c>
      <c r="Q2289" s="73"/>
      <c r="R2289" s="73">
        <v>0</v>
      </c>
      <c r="S2289" s="75">
        <f t="shared" si="282"/>
        <v>0</v>
      </c>
      <c r="T2289" s="77">
        <v>0</v>
      </c>
      <c r="U2289" s="66">
        <v>40575</v>
      </c>
      <c r="V2289" s="79"/>
      <c r="W2289" s="66" t="s">
        <v>1585</v>
      </c>
      <c r="X2289" s="24" t="s">
        <v>1586</v>
      </c>
      <c r="Y2289" s="62"/>
      <c r="Z2289" s="169" t="s">
        <v>894</v>
      </c>
      <c r="AA2289" s="166" t="s">
        <v>54</v>
      </c>
      <c r="AB2289" s="152"/>
      <c r="AC2289" s="153"/>
      <c r="AD2289" s="154"/>
      <c r="AE2289" s="153"/>
      <c r="AF2289" s="153"/>
      <c r="AG2289" s="153"/>
      <c r="AH2289" s="153"/>
      <c r="AI2289" s="153"/>
      <c r="AJ2289" s="153"/>
      <c r="AK2289" s="153"/>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c r="BF2289" s="153"/>
      <c r="BG2289" s="153"/>
      <c r="BH2289" s="153"/>
      <c r="BI2289" s="153"/>
      <c r="BJ2289" s="153"/>
      <c r="BK2289" s="153"/>
      <c r="BL2289" s="153"/>
      <c r="BM2289" s="153"/>
      <c r="BN2289" s="153"/>
      <c r="BO2289" s="153"/>
      <c r="BP2289" s="153"/>
      <c r="BQ2289" s="153"/>
      <c r="BR2289" s="153"/>
      <c r="BS2289" s="153"/>
      <c r="BT2289" s="153"/>
      <c r="BU2289" s="153"/>
      <c r="BV2289" s="153"/>
      <c r="BW2289" s="153"/>
      <c r="BX2289" s="153"/>
      <c r="BY2289" s="153"/>
      <c r="BZ2289" s="153"/>
      <c r="CA2289" s="153"/>
      <c r="CB2289" s="153"/>
      <c r="CC2289" s="153"/>
      <c r="CD2289" s="155"/>
      <c r="CE2289" s="156"/>
      <c r="CF2289" s="155"/>
      <c r="CG2289" s="156"/>
      <c r="CH2289" s="155"/>
      <c r="CI2289" s="156"/>
      <c r="CJ2289" s="157">
        <f t="shared" si="280"/>
        <v>0</v>
      </c>
      <c r="CK2289" s="158"/>
      <c r="CL2289" s="159"/>
      <c r="CM2289" s="160"/>
      <c r="CN2289" s="161"/>
      <c r="CO2289" s="162"/>
      <c r="CP2289" s="161"/>
      <c r="CQ2289" s="158"/>
      <c r="CR2289" s="159"/>
      <c r="CS2289" s="68"/>
      <c r="CT2289" s="163"/>
      <c r="EC2289" s="366" t="str">
        <f t="shared" si="281"/>
        <v>SANTANDER_LA PAZ</v>
      </c>
      <c r="ED2289" s="367"/>
      <c r="EE2289" s="367"/>
      <c r="EF2289" s="368"/>
      <c r="EG2289" s="367"/>
      <c r="EH2289" s="367"/>
      <c r="EI2289" s="367"/>
    </row>
    <row r="2290" spans="1:139" s="164" customFormat="1" ht="38.25">
      <c r="A2290" s="228">
        <v>40527</v>
      </c>
      <c r="B2290" s="205" t="s">
        <v>1998</v>
      </c>
      <c r="C2290" s="205" t="s">
        <v>1999</v>
      </c>
      <c r="D2290" s="207" t="s">
        <v>1878</v>
      </c>
      <c r="E2290" s="323" t="s">
        <v>4112</v>
      </c>
      <c r="F2290" s="323"/>
      <c r="G2290" s="263"/>
      <c r="H2290" s="151"/>
      <c r="I2290" s="151"/>
      <c r="J2290" s="151">
        <f>17*5</f>
        <v>85</v>
      </c>
      <c r="K2290" s="151">
        <v>17</v>
      </c>
      <c r="L2290" s="1"/>
      <c r="M2290" s="73">
        <f t="shared" si="278"/>
        <v>0</v>
      </c>
      <c r="N2290" s="73">
        <f t="shared" si="283"/>
        <v>0</v>
      </c>
      <c r="O2290" s="73">
        <f t="shared" si="277"/>
        <v>0</v>
      </c>
      <c r="P2290" s="73">
        <f t="shared" si="279"/>
        <v>0</v>
      </c>
      <c r="Q2290" s="73"/>
      <c r="R2290" s="73">
        <v>0</v>
      </c>
      <c r="S2290" s="75">
        <f t="shared" si="282"/>
        <v>0</v>
      </c>
      <c r="T2290" s="77">
        <v>0</v>
      </c>
      <c r="U2290" s="66">
        <v>40575</v>
      </c>
      <c r="V2290" s="79"/>
      <c r="W2290" s="66" t="s">
        <v>1585</v>
      </c>
      <c r="X2290" s="24" t="s">
        <v>1586</v>
      </c>
      <c r="Y2290" s="62"/>
      <c r="Z2290" s="169" t="s">
        <v>894</v>
      </c>
      <c r="AA2290" s="166" t="s">
        <v>54</v>
      </c>
      <c r="AB2290" s="152"/>
      <c r="AC2290" s="153"/>
      <c r="AD2290" s="154"/>
      <c r="AE2290" s="153"/>
      <c r="AF2290" s="153"/>
      <c r="AG2290" s="153"/>
      <c r="AH2290" s="153"/>
      <c r="AI2290" s="153"/>
      <c r="AJ2290" s="153"/>
      <c r="AK2290" s="153"/>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c r="BF2290" s="153"/>
      <c r="BG2290" s="153"/>
      <c r="BH2290" s="153"/>
      <c r="BI2290" s="153"/>
      <c r="BJ2290" s="153"/>
      <c r="BK2290" s="153"/>
      <c r="BL2290" s="153"/>
      <c r="BM2290" s="153"/>
      <c r="BN2290" s="153"/>
      <c r="BO2290" s="153"/>
      <c r="BP2290" s="153"/>
      <c r="BQ2290" s="153"/>
      <c r="BR2290" s="153"/>
      <c r="BS2290" s="153"/>
      <c r="BT2290" s="153"/>
      <c r="BU2290" s="153"/>
      <c r="BV2290" s="153"/>
      <c r="BW2290" s="153"/>
      <c r="BX2290" s="153"/>
      <c r="BY2290" s="153"/>
      <c r="BZ2290" s="153"/>
      <c r="CA2290" s="153"/>
      <c r="CB2290" s="153"/>
      <c r="CC2290" s="153"/>
      <c r="CD2290" s="155"/>
      <c r="CE2290" s="156"/>
      <c r="CF2290" s="155"/>
      <c r="CG2290" s="156"/>
      <c r="CH2290" s="155"/>
      <c r="CI2290" s="156"/>
      <c r="CJ2290" s="157">
        <f t="shared" si="280"/>
        <v>0</v>
      </c>
      <c r="CK2290" s="158"/>
      <c r="CL2290" s="159"/>
      <c r="CM2290" s="160"/>
      <c r="CN2290" s="161"/>
      <c r="CO2290" s="162"/>
      <c r="CP2290" s="161"/>
      <c r="CQ2290" s="158"/>
      <c r="CR2290" s="159"/>
      <c r="CS2290" s="68"/>
      <c r="CT2290" s="163"/>
      <c r="EC2290" s="366" t="str">
        <f t="shared" si="281"/>
        <v>SANTANDER_LOS SANTOS</v>
      </c>
      <c r="ED2290" s="367"/>
      <c r="EE2290" s="367"/>
      <c r="EF2290" s="368"/>
      <c r="EG2290" s="367"/>
      <c r="EH2290" s="367"/>
      <c r="EI2290" s="367"/>
    </row>
    <row r="2291" spans="1:139" s="164" customFormat="1" ht="38.25">
      <c r="A2291" s="228">
        <v>40527</v>
      </c>
      <c r="B2291" s="205" t="s">
        <v>1998</v>
      </c>
      <c r="C2291" s="205" t="s">
        <v>2271</v>
      </c>
      <c r="D2291" s="207" t="s">
        <v>1902</v>
      </c>
      <c r="E2291" s="323" t="s">
        <v>4129</v>
      </c>
      <c r="F2291" s="323"/>
      <c r="G2291" s="263">
        <v>3</v>
      </c>
      <c r="H2291" s="151"/>
      <c r="I2291" s="151"/>
      <c r="J2291" s="151"/>
      <c r="K2291" s="151"/>
      <c r="L2291" s="1"/>
      <c r="M2291" s="73">
        <f t="shared" si="278"/>
        <v>0</v>
      </c>
      <c r="N2291" s="73">
        <f t="shared" si="283"/>
        <v>0</v>
      </c>
      <c r="O2291" s="73">
        <f t="shared" si="277"/>
        <v>0</v>
      </c>
      <c r="P2291" s="73">
        <f t="shared" si="279"/>
        <v>0</v>
      </c>
      <c r="Q2291" s="73"/>
      <c r="R2291" s="73">
        <v>0</v>
      </c>
      <c r="S2291" s="75">
        <f t="shared" si="282"/>
        <v>0</v>
      </c>
      <c r="T2291" s="77">
        <v>0</v>
      </c>
      <c r="U2291" s="66"/>
      <c r="V2291" s="79"/>
      <c r="W2291" s="66" t="s">
        <v>1606</v>
      </c>
      <c r="X2291" s="24" t="s">
        <v>1607</v>
      </c>
      <c r="Y2291" s="62"/>
      <c r="Z2291" s="176" t="s">
        <v>3056</v>
      </c>
      <c r="AA2291" s="166" t="s">
        <v>456</v>
      </c>
      <c r="AB2291" s="152"/>
      <c r="AC2291" s="153"/>
      <c r="AD2291" s="154"/>
      <c r="AE2291" s="153"/>
      <c r="AF2291" s="153"/>
      <c r="AG2291" s="153"/>
      <c r="AH2291" s="153"/>
      <c r="AI2291" s="153"/>
      <c r="AJ2291" s="153"/>
      <c r="AK2291" s="153"/>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c r="BF2291" s="153"/>
      <c r="BG2291" s="153"/>
      <c r="BH2291" s="153"/>
      <c r="BI2291" s="153"/>
      <c r="BJ2291" s="153"/>
      <c r="BK2291" s="153"/>
      <c r="BL2291" s="153"/>
      <c r="BM2291" s="153"/>
      <c r="BN2291" s="153"/>
      <c r="BO2291" s="153"/>
      <c r="BP2291" s="153"/>
      <c r="BQ2291" s="153"/>
      <c r="BR2291" s="153"/>
      <c r="BS2291" s="153"/>
      <c r="BT2291" s="153"/>
      <c r="BU2291" s="153"/>
      <c r="BV2291" s="153"/>
      <c r="BW2291" s="153"/>
      <c r="BX2291" s="153"/>
      <c r="BY2291" s="153"/>
      <c r="BZ2291" s="153"/>
      <c r="CA2291" s="153"/>
      <c r="CB2291" s="153"/>
      <c r="CC2291" s="153"/>
      <c r="CD2291" s="155"/>
      <c r="CE2291" s="156"/>
      <c r="CF2291" s="155"/>
      <c r="CG2291" s="156"/>
      <c r="CH2291" s="155"/>
      <c r="CI2291" s="156"/>
      <c r="CJ2291" s="157">
        <f t="shared" si="280"/>
        <v>0</v>
      </c>
      <c r="CK2291" s="158"/>
      <c r="CL2291" s="159"/>
      <c r="CM2291" s="160"/>
      <c r="CN2291" s="161"/>
      <c r="CO2291" s="162"/>
      <c r="CP2291" s="161"/>
      <c r="CQ2291" s="158"/>
      <c r="CR2291" s="159"/>
      <c r="CS2291" s="68"/>
      <c r="CT2291" s="163"/>
      <c r="EC2291" s="366" t="str">
        <f t="shared" si="281"/>
        <v>SANTANDER_RIONEGRO</v>
      </c>
      <c r="ED2291" s="367"/>
      <c r="EE2291" s="367"/>
      <c r="EF2291" s="368"/>
      <c r="EG2291" s="367"/>
      <c r="EH2291" s="367"/>
      <c r="EI2291" s="367"/>
    </row>
    <row r="2292" spans="1:139" s="164" customFormat="1" ht="38.25">
      <c r="A2292" s="228">
        <v>40527</v>
      </c>
      <c r="B2292" s="205" t="s">
        <v>1998</v>
      </c>
      <c r="C2292" s="205" t="s">
        <v>1159</v>
      </c>
      <c r="D2292" s="207" t="s">
        <v>1201</v>
      </c>
      <c r="E2292" s="323"/>
      <c r="F2292" s="323"/>
      <c r="G2292" s="204">
        <v>1</v>
      </c>
      <c r="H2292" s="151"/>
      <c r="I2292" s="151"/>
      <c r="J2292" s="151">
        <v>68</v>
      </c>
      <c r="K2292" s="151">
        <v>15</v>
      </c>
      <c r="L2292" s="1"/>
      <c r="M2292" s="73">
        <f t="shared" si="278"/>
        <v>0</v>
      </c>
      <c r="N2292" s="73">
        <f t="shared" si="283"/>
        <v>0</v>
      </c>
      <c r="O2292" s="73">
        <f t="shared" ref="O2292:O2355" si="284">CP2292+CR2292</f>
        <v>0</v>
      </c>
      <c r="P2292" s="73">
        <f t="shared" si="279"/>
        <v>0</v>
      </c>
      <c r="Q2292" s="73"/>
      <c r="R2292" s="73">
        <v>0</v>
      </c>
      <c r="S2292" s="75">
        <f t="shared" si="282"/>
        <v>0</v>
      </c>
      <c r="T2292" s="77">
        <v>0</v>
      </c>
      <c r="U2292" s="66"/>
      <c r="V2292" s="79"/>
      <c r="W2292" s="66" t="s">
        <v>1585</v>
      </c>
      <c r="X2292" s="24" t="s">
        <v>1586</v>
      </c>
      <c r="Y2292" s="62"/>
      <c r="Z2292" s="169" t="s">
        <v>894</v>
      </c>
      <c r="AA2292" s="166" t="s">
        <v>155</v>
      </c>
      <c r="AB2292" s="152"/>
      <c r="AC2292" s="153"/>
      <c r="AD2292" s="154"/>
      <c r="AE2292" s="153"/>
      <c r="AF2292" s="153"/>
      <c r="AG2292" s="153"/>
      <c r="AH2292" s="153"/>
      <c r="AI2292" s="153"/>
      <c r="AJ2292" s="153"/>
      <c r="AK2292" s="153"/>
      <c r="AL2292" s="153"/>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c r="BF2292" s="153"/>
      <c r="BG2292" s="153"/>
      <c r="BH2292" s="153"/>
      <c r="BI2292" s="153"/>
      <c r="BJ2292" s="153"/>
      <c r="BK2292" s="153"/>
      <c r="BL2292" s="153"/>
      <c r="BM2292" s="153"/>
      <c r="BN2292" s="153"/>
      <c r="BO2292" s="153"/>
      <c r="BP2292" s="153"/>
      <c r="BQ2292" s="153"/>
      <c r="BR2292" s="153"/>
      <c r="BS2292" s="153"/>
      <c r="BT2292" s="153"/>
      <c r="BU2292" s="153"/>
      <c r="BV2292" s="153"/>
      <c r="BW2292" s="153"/>
      <c r="BX2292" s="153"/>
      <c r="BY2292" s="153"/>
      <c r="BZ2292" s="153"/>
      <c r="CA2292" s="153"/>
      <c r="CB2292" s="153"/>
      <c r="CC2292" s="153"/>
      <c r="CD2292" s="155"/>
      <c r="CE2292" s="156"/>
      <c r="CF2292" s="155"/>
      <c r="CG2292" s="156"/>
      <c r="CH2292" s="155"/>
      <c r="CI2292" s="156"/>
      <c r="CJ2292" s="157">
        <f t="shared" si="280"/>
        <v>0</v>
      </c>
      <c r="CK2292" s="158"/>
      <c r="CL2292" s="159"/>
      <c r="CM2292" s="160"/>
      <c r="CN2292" s="161"/>
      <c r="CO2292" s="162"/>
      <c r="CP2292" s="161"/>
      <c r="CQ2292" s="158"/>
      <c r="CR2292" s="159"/>
      <c r="CS2292" s="68"/>
      <c r="CT2292" s="163"/>
      <c r="EC2292" s="366" t="str">
        <f t="shared" si="281"/>
        <v>SANTANDER_SANTA BARBARA</v>
      </c>
      <c r="ED2292" s="367"/>
      <c r="EE2292" s="367"/>
      <c r="EF2292" s="368"/>
      <c r="EG2292" s="367"/>
      <c r="EH2292" s="367"/>
      <c r="EI2292" s="367"/>
    </row>
    <row r="2293" spans="1:139" s="164" customFormat="1" ht="38.25">
      <c r="A2293" s="228">
        <v>40527</v>
      </c>
      <c r="B2293" s="205" t="s">
        <v>1998</v>
      </c>
      <c r="C2293" s="205" t="s">
        <v>1553</v>
      </c>
      <c r="D2293" s="207" t="s">
        <v>1201</v>
      </c>
      <c r="E2293" s="323"/>
      <c r="F2293" s="323"/>
      <c r="G2293" s="204">
        <v>5</v>
      </c>
      <c r="H2293" s="151"/>
      <c r="I2293" s="151">
        <v>1</v>
      </c>
      <c r="J2293" s="151">
        <v>90</v>
      </c>
      <c r="K2293" s="151">
        <v>22</v>
      </c>
      <c r="L2293" s="1"/>
      <c r="M2293" s="73">
        <f t="shared" si="278"/>
        <v>0</v>
      </c>
      <c r="N2293" s="73">
        <f t="shared" si="283"/>
        <v>0</v>
      </c>
      <c r="O2293" s="73">
        <f t="shared" si="284"/>
        <v>0</v>
      </c>
      <c r="P2293" s="73">
        <f t="shared" si="279"/>
        <v>0</v>
      </c>
      <c r="Q2293" s="73"/>
      <c r="R2293" s="73">
        <v>0</v>
      </c>
      <c r="S2293" s="75">
        <f t="shared" si="282"/>
        <v>0</v>
      </c>
      <c r="T2293" s="77">
        <v>0</v>
      </c>
      <c r="U2293" s="66"/>
      <c r="V2293" s="79"/>
      <c r="W2293" s="66" t="s">
        <v>1585</v>
      </c>
      <c r="X2293" s="24" t="s">
        <v>1586</v>
      </c>
      <c r="Y2293" s="62"/>
      <c r="Z2293" s="169" t="s">
        <v>894</v>
      </c>
      <c r="AA2293" s="166" t="s">
        <v>155</v>
      </c>
      <c r="AB2293" s="152"/>
      <c r="AC2293" s="153"/>
      <c r="AD2293" s="154"/>
      <c r="AE2293" s="153"/>
      <c r="AF2293" s="153"/>
      <c r="AG2293" s="153"/>
      <c r="AH2293" s="153"/>
      <c r="AI2293" s="153"/>
      <c r="AJ2293" s="153"/>
      <c r="AK2293" s="153"/>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c r="BF2293" s="153"/>
      <c r="BG2293" s="153"/>
      <c r="BH2293" s="153"/>
      <c r="BI2293" s="153"/>
      <c r="BJ2293" s="153"/>
      <c r="BK2293" s="153"/>
      <c r="BL2293" s="153"/>
      <c r="BM2293" s="153"/>
      <c r="BN2293" s="153"/>
      <c r="BO2293" s="153"/>
      <c r="BP2293" s="153"/>
      <c r="BQ2293" s="153"/>
      <c r="BR2293" s="153"/>
      <c r="BS2293" s="153"/>
      <c r="BT2293" s="153"/>
      <c r="BU2293" s="153"/>
      <c r="BV2293" s="153"/>
      <c r="BW2293" s="153"/>
      <c r="BX2293" s="153"/>
      <c r="BY2293" s="153"/>
      <c r="BZ2293" s="153"/>
      <c r="CA2293" s="153"/>
      <c r="CB2293" s="153"/>
      <c r="CC2293" s="153"/>
      <c r="CD2293" s="155"/>
      <c r="CE2293" s="156"/>
      <c r="CF2293" s="155"/>
      <c r="CG2293" s="156"/>
      <c r="CH2293" s="155"/>
      <c r="CI2293" s="156"/>
      <c r="CJ2293" s="157">
        <f t="shared" si="280"/>
        <v>0</v>
      </c>
      <c r="CK2293" s="158"/>
      <c r="CL2293" s="159"/>
      <c r="CM2293" s="160"/>
      <c r="CN2293" s="161"/>
      <c r="CO2293" s="162"/>
      <c r="CP2293" s="161"/>
      <c r="CQ2293" s="158"/>
      <c r="CR2293" s="159"/>
      <c r="CS2293" s="68"/>
      <c r="CT2293" s="163"/>
      <c r="EC2293" s="366" t="str">
        <f t="shared" si="281"/>
        <v>SANTANDER_VILLANUEVA</v>
      </c>
      <c r="ED2293" s="367"/>
      <c r="EE2293" s="367"/>
      <c r="EF2293" s="368"/>
      <c r="EG2293" s="367"/>
      <c r="EH2293" s="367"/>
      <c r="EI2293" s="367"/>
    </row>
    <row r="2294" spans="1:139" s="164" customFormat="1" ht="25.5">
      <c r="A2294" s="228">
        <v>40527</v>
      </c>
      <c r="B2294" s="205" t="s">
        <v>1943</v>
      </c>
      <c r="C2294" s="205" t="s">
        <v>3193</v>
      </c>
      <c r="D2294" s="207" t="s">
        <v>1201</v>
      </c>
      <c r="E2294" s="323"/>
      <c r="F2294" s="323"/>
      <c r="G2294" s="204"/>
      <c r="H2294" s="151"/>
      <c r="I2294" s="151"/>
      <c r="J2294" s="151">
        <f>30*5</f>
        <v>150</v>
      </c>
      <c r="K2294" s="151">
        <v>30</v>
      </c>
      <c r="L2294" s="1"/>
      <c r="M2294" s="73">
        <f t="shared" si="278"/>
        <v>0</v>
      </c>
      <c r="N2294" s="73">
        <f t="shared" si="283"/>
        <v>0</v>
      </c>
      <c r="O2294" s="73">
        <f t="shared" si="284"/>
        <v>0</v>
      </c>
      <c r="P2294" s="73">
        <f t="shared" si="279"/>
        <v>0</v>
      </c>
      <c r="Q2294" s="73"/>
      <c r="R2294" s="73">
        <v>0</v>
      </c>
      <c r="S2294" s="75">
        <f t="shared" si="282"/>
        <v>0</v>
      </c>
      <c r="T2294" s="77">
        <v>0</v>
      </c>
      <c r="U2294" s="66"/>
      <c r="V2294" s="79"/>
      <c r="W2294" s="66" t="s">
        <v>1585</v>
      </c>
      <c r="X2294" s="24" t="s">
        <v>1586</v>
      </c>
      <c r="Y2294" s="62"/>
      <c r="Z2294" s="169" t="s">
        <v>894</v>
      </c>
      <c r="AA2294" s="166" t="s">
        <v>155</v>
      </c>
      <c r="AB2294" s="152"/>
      <c r="AC2294" s="153"/>
      <c r="AD2294" s="154"/>
      <c r="AE2294" s="153"/>
      <c r="AF2294" s="153"/>
      <c r="AG2294" s="153"/>
      <c r="AH2294" s="153"/>
      <c r="AI2294" s="153"/>
      <c r="AJ2294" s="153"/>
      <c r="AK2294" s="153"/>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c r="BF2294" s="153"/>
      <c r="BG2294" s="153"/>
      <c r="BH2294" s="153"/>
      <c r="BI2294" s="153"/>
      <c r="BJ2294" s="153"/>
      <c r="BK2294" s="153"/>
      <c r="BL2294" s="153"/>
      <c r="BM2294" s="153"/>
      <c r="BN2294" s="153"/>
      <c r="BO2294" s="153"/>
      <c r="BP2294" s="153"/>
      <c r="BQ2294" s="153"/>
      <c r="BR2294" s="153"/>
      <c r="BS2294" s="153"/>
      <c r="BT2294" s="153"/>
      <c r="BU2294" s="153"/>
      <c r="BV2294" s="153"/>
      <c r="BW2294" s="153"/>
      <c r="BX2294" s="153"/>
      <c r="BY2294" s="153"/>
      <c r="BZ2294" s="153"/>
      <c r="CA2294" s="153"/>
      <c r="CB2294" s="153"/>
      <c r="CC2294" s="153"/>
      <c r="CD2294" s="155"/>
      <c r="CE2294" s="156"/>
      <c r="CF2294" s="155"/>
      <c r="CG2294" s="156"/>
      <c r="CH2294" s="155"/>
      <c r="CI2294" s="156"/>
      <c r="CJ2294" s="157">
        <f t="shared" si="280"/>
        <v>0</v>
      </c>
      <c r="CK2294" s="158"/>
      <c r="CL2294" s="159"/>
      <c r="CM2294" s="160"/>
      <c r="CN2294" s="161"/>
      <c r="CO2294" s="162"/>
      <c r="CP2294" s="161"/>
      <c r="CQ2294" s="158"/>
      <c r="CR2294" s="159"/>
      <c r="CS2294" s="68"/>
      <c r="CT2294" s="163"/>
      <c r="EC2294" s="366" t="str">
        <f t="shared" si="281"/>
        <v>SUCRE_COLOSO</v>
      </c>
      <c r="ED2294" s="367"/>
      <c r="EE2294" s="367"/>
      <c r="EF2294" s="368"/>
      <c r="EG2294" s="367"/>
      <c r="EH2294" s="367"/>
      <c r="EI2294" s="367"/>
    </row>
    <row r="2295" spans="1:139" s="164" customFormat="1" ht="25.5">
      <c r="A2295" s="228">
        <v>40527</v>
      </c>
      <c r="B2295" s="205" t="s">
        <v>1943</v>
      </c>
      <c r="C2295" s="205" t="s">
        <v>1450</v>
      </c>
      <c r="D2295" s="207" t="s">
        <v>1201</v>
      </c>
      <c r="E2295" s="323" t="s">
        <v>4156</v>
      </c>
      <c r="F2295" s="323"/>
      <c r="G2295" s="204"/>
      <c r="H2295" s="151"/>
      <c r="I2295" s="151"/>
      <c r="J2295" s="151"/>
      <c r="K2295" s="151"/>
      <c r="L2295" s="1"/>
      <c r="M2295" s="73">
        <f t="shared" si="278"/>
        <v>70945000</v>
      </c>
      <c r="N2295" s="73">
        <f t="shared" si="283"/>
        <v>29750000</v>
      </c>
      <c r="O2295" s="73">
        <f t="shared" si="284"/>
        <v>0</v>
      </c>
      <c r="P2295" s="73">
        <f t="shared" si="279"/>
        <v>0</v>
      </c>
      <c r="Q2295" s="73"/>
      <c r="R2295" s="73">
        <v>0</v>
      </c>
      <c r="S2295" s="75">
        <f t="shared" si="282"/>
        <v>100695000</v>
      </c>
      <c r="T2295" s="77">
        <v>0</v>
      </c>
      <c r="U2295" s="66"/>
      <c r="V2295" s="79"/>
      <c r="W2295" s="66" t="s">
        <v>1606</v>
      </c>
      <c r="X2295" s="24" t="s">
        <v>1607</v>
      </c>
      <c r="Y2295" s="62"/>
      <c r="Z2295" s="169"/>
      <c r="AA2295" s="166"/>
      <c r="AB2295" s="152"/>
      <c r="AC2295" s="153"/>
      <c r="AD2295" s="154"/>
      <c r="AE2295" s="153"/>
      <c r="AF2295" s="153"/>
      <c r="AG2295" s="153"/>
      <c r="AH2295" s="153"/>
      <c r="AI2295" s="153"/>
      <c r="AJ2295" s="153"/>
      <c r="AK2295" s="153"/>
      <c r="AL2295" s="153"/>
      <c r="AM2295" s="153"/>
      <c r="AN2295" s="153"/>
      <c r="AO2295" s="153"/>
      <c r="AP2295" s="153">
        <v>700</v>
      </c>
      <c r="AQ2295" s="153">
        <f>700*56000</f>
        <v>39200000</v>
      </c>
      <c r="AR2295" s="153"/>
      <c r="AS2295" s="153"/>
      <c r="AT2295" s="153"/>
      <c r="AU2295" s="153"/>
      <c r="AV2295" s="153"/>
      <c r="AW2295" s="153"/>
      <c r="AX2295" s="153"/>
      <c r="AY2295" s="153"/>
      <c r="AZ2295" s="153">
        <v>700</v>
      </c>
      <c r="BA2295" s="153">
        <f>700*25500</f>
        <v>17850000</v>
      </c>
      <c r="BB2295" s="153"/>
      <c r="BC2295" s="153"/>
      <c r="BD2295" s="153"/>
      <c r="BE2295" s="153"/>
      <c r="BF2295" s="153"/>
      <c r="BG2295" s="153"/>
      <c r="BH2295" s="153"/>
      <c r="BI2295" s="153"/>
      <c r="BJ2295" s="153"/>
      <c r="BK2295" s="153"/>
      <c r="BL2295" s="153"/>
      <c r="BM2295" s="153"/>
      <c r="BN2295" s="153"/>
      <c r="BO2295" s="153"/>
      <c r="BP2295" s="153"/>
      <c r="BQ2295" s="153"/>
      <c r="BR2295" s="153"/>
      <c r="BS2295" s="153"/>
      <c r="BT2295" s="153"/>
      <c r="BU2295" s="153"/>
      <c r="BV2295" s="153"/>
      <c r="BW2295" s="153"/>
      <c r="BX2295" s="153"/>
      <c r="BY2295" s="153"/>
      <c r="BZ2295" s="153"/>
      <c r="CA2295" s="153"/>
      <c r="CB2295" s="153"/>
      <c r="CC2295" s="153"/>
      <c r="CD2295" s="155"/>
      <c r="CE2295" s="156"/>
      <c r="CF2295" s="155">
        <v>350</v>
      </c>
      <c r="CG2295" s="156">
        <f>350*39700</f>
        <v>13895000</v>
      </c>
      <c r="CH2295" s="155"/>
      <c r="CI2295" s="156"/>
      <c r="CJ2295" s="157">
        <f t="shared" si="280"/>
        <v>70945000</v>
      </c>
      <c r="CK2295" s="158"/>
      <c r="CL2295" s="159"/>
      <c r="CM2295" s="160">
        <v>350</v>
      </c>
      <c r="CN2295" s="161">
        <f>350*85000</f>
        <v>29750000</v>
      </c>
      <c r="CO2295" s="162"/>
      <c r="CP2295" s="161"/>
      <c r="CQ2295" s="158"/>
      <c r="CR2295" s="159"/>
      <c r="CS2295" s="68"/>
      <c r="CT2295" s="163"/>
      <c r="EC2295" s="366" t="str">
        <f t="shared" si="281"/>
        <v>SUCRE_COVEÑAS</v>
      </c>
      <c r="ED2295" s="367"/>
      <c r="EE2295" s="367"/>
      <c r="EF2295" s="368"/>
      <c r="EG2295" s="367"/>
      <c r="EH2295" s="367"/>
      <c r="EI2295" s="367"/>
    </row>
    <row r="2296" spans="1:139" s="164" customFormat="1" ht="25.5">
      <c r="A2296" s="228">
        <v>40527</v>
      </c>
      <c r="B2296" s="205" t="s">
        <v>2400</v>
      </c>
      <c r="C2296" s="205" t="s">
        <v>2317</v>
      </c>
      <c r="D2296" s="207" t="s">
        <v>2606</v>
      </c>
      <c r="E2296" s="323" t="s">
        <v>4193</v>
      </c>
      <c r="F2296" s="323"/>
      <c r="G2296" s="204"/>
      <c r="H2296" s="151"/>
      <c r="I2296" s="151"/>
      <c r="J2296" s="151">
        <v>158</v>
      </c>
      <c r="K2296" s="151">
        <v>35</v>
      </c>
      <c r="L2296" s="1"/>
      <c r="M2296" s="73">
        <f t="shared" si="278"/>
        <v>0</v>
      </c>
      <c r="N2296" s="73">
        <f t="shared" si="283"/>
        <v>0</v>
      </c>
      <c r="O2296" s="73">
        <f t="shared" si="284"/>
        <v>0</v>
      </c>
      <c r="P2296" s="73">
        <f t="shared" si="279"/>
        <v>0</v>
      </c>
      <c r="Q2296" s="73"/>
      <c r="R2296" s="73">
        <v>0</v>
      </c>
      <c r="S2296" s="75">
        <f t="shared" si="282"/>
        <v>0</v>
      </c>
      <c r="T2296" s="77">
        <v>0</v>
      </c>
      <c r="U2296" s="66">
        <v>40575</v>
      </c>
      <c r="V2296" s="79"/>
      <c r="W2296" s="66" t="s">
        <v>1585</v>
      </c>
      <c r="X2296" s="24" t="s">
        <v>1586</v>
      </c>
      <c r="Y2296" s="62"/>
      <c r="Z2296" s="169" t="s">
        <v>894</v>
      </c>
      <c r="AA2296" s="166" t="s">
        <v>5401</v>
      </c>
      <c r="AB2296" s="152"/>
      <c r="AC2296" s="153"/>
      <c r="AD2296" s="154"/>
      <c r="AE2296" s="153"/>
      <c r="AF2296" s="153"/>
      <c r="AG2296" s="153"/>
      <c r="AH2296" s="153"/>
      <c r="AI2296" s="153"/>
      <c r="AJ2296" s="153"/>
      <c r="AK2296" s="153"/>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c r="BF2296" s="153"/>
      <c r="BG2296" s="153"/>
      <c r="BH2296" s="153"/>
      <c r="BI2296" s="153"/>
      <c r="BJ2296" s="153"/>
      <c r="BK2296" s="153"/>
      <c r="BL2296" s="153"/>
      <c r="BM2296" s="153"/>
      <c r="BN2296" s="153"/>
      <c r="BO2296" s="153"/>
      <c r="BP2296" s="153"/>
      <c r="BQ2296" s="153"/>
      <c r="BR2296" s="153"/>
      <c r="BS2296" s="153"/>
      <c r="BT2296" s="153"/>
      <c r="BU2296" s="153"/>
      <c r="BV2296" s="153"/>
      <c r="BW2296" s="153"/>
      <c r="BX2296" s="153"/>
      <c r="BY2296" s="153"/>
      <c r="BZ2296" s="153"/>
      <c r="CA2296" s="153"/>
      <c r="CB2296" s="153"/>
      <c r="CC2296" s="153"/>
      <c r="CD2296" s="155"/>
      <c r="CE2296" s="156"/>
      <c r="CF2296" s="155"/>
      <c r="CG2296" s="156"/>
      <c r="CH2296" s="155"/>
      <c r="CI2296" s="156"/>
      <c r="CJ2296" s="157">
        <f t="shared" si="280"/>
        <v>0</v>
      </c>
      <c r="CK2296" s="158"/>
      <c r="CL2296" s="159"/>
      <c r="CM2296" s="160"/>
      <c r="CN2296" s="161"/>
      <c r="CO2296" s="162"/>
      <c r="CP2296" s="161"/>
      <c r="CQ2296" s="158"/>
      <c r="CR2296" s="159"/>
      <c r="CS2296" s="68"/>
      <c r="CT2296" s="163"/>
      <c r="EC2296" s="366" t="str">
        <f t="shared" si="281"/>
        <v>TOLIMA_FALAN</v>
      </c>
      <c r="ED2296" s="367"/>
      <c r="EE2296" s="367"/>
      <c r="EF2296" s="368"/>
      <c r="EG2296" s="367"/>
      <c r="EH2296" s="367"/>
      <c r="EI2296" s="367"/>
    </row>
    <row r="2297" spans="1:139" s="164" customFormat="1" ht="25.5">
      <c r="A2297" s="228">
        <v>40527</v>
      </c>
      <c r="B2297" s="205" t="s">
        <v>2400</v>
      </c>
      <c r="C2297" s="205" t="s">
        <v>738</v>
      </c>
      <c r="D2297" s="207" t="s">
        <v>1201</v>
      </c>
      <c r="E2297" s="323" t="s">
        <v>4195</v>
      </c>
      <c r="F2297" s="323"/>
      <c r="G2297" s="204"/>
      <c r="H2297" s="151"/>
      <c r="I2297" s="151"/>
      <c r="J2297" s="151">
        <v>995</v>
      </c>
      <c r="K2297" s="151">
        <v>321</v>
      </c>
      <c r="L2297" s="1"/>
      <c r="M2297" s="73">
        <f t="shared" si="278"/>
        <v>0</v>
      </c>
      <c r="N2297" s="73">
        <f t="shared" si="283"/>
        <v>0</v>
      </c>
      <c r="O2297" s="73">
        <f t="shared" si="284"/>
        <v>0</v>
      </c>
      <c r="P2297" s="73">
        <f t="shared" si="279"/>
        <v>0</v>
      </c>
      <c r="Q2297" s="73"/>
      <c r="R2297" s="73">
        <v>0</v>
      </c>
      <c r="S2297" s="75">
        <f t="shared" si="282"/>
        <v>0</v>
      </c>
      <c r="T2297" s="77">
        <v>0</v>
      </c>
      <c r="U2297" s="66">
        <v>40575</v>
      </c>
      <c r="V2297" s="79"/>
      <c r="W2297" s="66" t="s">
        <v>1585</v>
      </c>
      <c r="X2297" s="24" t="s">
        <v>1586</v>
      </c>
      <c r="Y2297" s="62"/>
      <c r="Z2297" s="169" t="s">
        <v>894</v>
      </c>
      <c r="AA2297" s="166" t="s">
        <v>155</v>
      </c>
      <c r="AB2297" s="152"/>
      <c r="AC2297" s="153"/>
      <c r="AD2297" s="154"/>
      <c r="AE2297" s="153"/>
      <c r="AF2297" s="153"/>
      <c r="AG2297" s="153"/>
      <c r="AH2297" s="153"/>
      <c r="AI2297" s="153"/>
      <c r="AJ2297" s="153"/>
      <c r="AK2297" s="153"/>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c r="BF2297" s="153"/>
      <c r="BG2297" s="153"/>
      <c r="BH2297" s="153"/>
      <c r="BI2297" s="153"/>
      <c r="BJ2297" s="153"/>
      <c r="BK2297" s="153"/>
      <c r="BL2297" s="153"/>
      <c r="BM2297" s="153"/>
      <c r="BN2297" s="153"/>
      <c r="BO2297" s="153"/>
      <c r="BP2297" s="153"/>
      <c r="BQ2297" s="153"/>
      <c r="BR2297" s="153"/>
      <c r="BS2297" s="153"/>
      <c r="BT2297" s="153"/>
      <c r="BU2297" s="153"/>
      <c r="BV2297" s="153"/>
      <c r="BW2297" s="153"/>
      <c r="BX2297" s="153"/>
      <c r="BY2297" s="153"/>
      <c r="BZ2297" s="153"/>
      <c r="CA2297" s="153"/>
      <c r="CB2297" s="153"/>
      <c r="CC2297" s="153"/>
      <c r="CD2297" s="155"/>
      <c r="CE2297" s="156"/>
      <c r="CF2297" s="155"/>
      <c r="CG2297" s="156"/>
      <c r="CH2297" s="155"/>
      <c r="CI2297" s="156"/>
      <c r="CJ2297" s="157">
        <f t="shared" si="280"/>
        <v>0</v>
      </c>
      <c r="CK2297" s="158"/>
      <c r="CL2297" s="159"/>
      <c r="CM2297" s="160"/>
      <c r="CN2297" s="161"/>
      <c r="CO2297" s="162"/>
      <c r="CP2297" s="161"/>
      <c r="CQ2297" s="158"/>
      <c r="CR2297" s="159"/>
      <c r="CS2297" s="68"/>
      <c r="CT2297" s="163"/>
      <c r="EC2297" s="366" t="str">
        <f t="shared" si="281"/>
        <v>TOLIMA_FRESNO</v>
      </c>
      <c r="ED2297" s="367"/>
      <c r="EE2297" s="367"/>
      <c r="EF2297" s="368"/>
      <c r="EG2297" s="367"/>
      <c r="EH2297" s="367"/>
      <c r="EI2297" s="367"/>
    </row>
    <row r="2298" spans="1:139" s="164" customFormat="1" ht="25.5">
      <c r="A2298" s="228">
        <v>40527</v>
      </c>
      <c r="B2298" s="205" t="s">
        <v>2400</v>
      </c>
      <c r="C2298" s="205" t="s">
        <v>3054</v>
      </c>
      <c r="D2298" s="207" t="s">
        <v>2606</v>
      </c>
      <c r="E2298" s="323" t="s">
        <v>4197</v>
      </c>
      <c r="F2298" s="323"/>
      <c r="G2298" s="204"/>
      <c r="H2298" s="151"/>
      <c r="I2298" s="151"/>
      <c r="J2298" s="151">
        <v>131</v>
      </c>
      <c r="K2298" s="151">
        <v>29</v>
      </c>
      <c r="L2298" s="1"/>
      <c r="M2298" s="73">
        <f t="shared" si="278"/>
        <v>0</v>
      </c>
      <c r="N2298" s="73">
        <f t="shared" si="283"/>
        <v>0</v>
      </c>
      <c r="O2298" s="73">
        <f t="shared" si="284"/>
        <v>0</v>
      </c>
      <c r="P2298" s="73">
        <f t="shared" si="279"/>
        <v>0</v>
      </c>
      <c r="Q2298" s="73"/>
      <c r="R2298" s="73">
        <v>0</v>
      </c>
      <c r="S2298" s="75">
        <f t="shared" si="282"/>
        <v>0</v>
      </c>
      <c r="T2298" s="77">
        <v>0</v>
      </c>
      <c r="U2298" s="66">
        <v>40575</v>
      </c>
      <c r="V2298" s="79"/>
      <c r="W2298" s="66" t="s">
        <v>1585</v>
      </c>
      <c r="X2298" s="24" t="s">
        <v>1586</v>
      </c>
      <c r="Y2298" s="62"/>
      <c r="Z2298" s="169" t="s">
        <v>894</v>
      </c>
      <c r="AA2298" s="166" t="s">
        <v>155</v>
      </c>
      <c r="AB2298" s="152"/>
      <c r="AC2298" s="153"/>
      <c r="AD2298" s="154"/>
      <c r="AE2298" s="153"/>
      <c r="AF2298" s="153"/>
      <c r="AG2298" s="153"/>
      <c r="AH2298" s="153"/>
      <c r="AI2298" s="153"/>
      <c r="AJ2298" s="153"/>
      <c r="AK2298" s="153"/>
      <c r="AL2298" s="153"/>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c r="BF2298" s="153"/>
      <c r="BG2298" s="153"/>
      <c r="BH2298" s="153"/>
      <c r="BI2298" s="153"/>
      <c r="BJ2298" s="153"/>
      <c r="BK2298" s="153"/>
      <c r="BL2298" s="153"/>
      <c r="BM2298" s="153"/>
      <c r="BN2298" s="153"/>
      <c r="BO2298" s="153"/>
      <c r="BP2298" s="153"/>
      <c r="BQ2298" s="153"/>
      <c r="BR2298" s="153"/>
      <c r="BS2298" s="153"/>
      <c r="BT2298" s="153"/>
      <c r="BU2298" s="153"/>
      <c r="BV2298" s="153"/>
      <c r="BW2298" s="153"/>
      <c r="BX2298" s="153"/>
      <c r="BY2298" s="153"/>
      <c r="BZ2298" s="153"/>
      <c r="CA2298" s="153"/>
      <c r="CB2298" s="153"/>
      <c r="CC2298" s="153"/>
      <c r="CD2298" s="155"/>
      <c r="CE2298" s="156"/>
      <c r="CF2298" s="155"/>
      <c r="CG2298" s="156"/>
      <c r="CH2298" s="155"/>
      <c r="CI2298" s="156"/>
      <c r="CJ2298" s="157">
        <f t="shared" si="280"/>
        <v>0</v>
      </c>
      <c r="CK2298" s="158"/>
      <c r="CL2298" s="159"/>
      <c r="CM2298" s="160"/>
      <c r="CN2298" s="161"/>
      <c r="CO2298" s="162"/>
      <c r="CP2298" s="161"/>
      <c r="CQ2298" s="158"/>
      <c r="CR2298" s="159"/>
      <c r="CS2298" s="68"/>
      <c r="CT2298" s="163"/>
      <c r="EC2298" s="366" t="str">
        <f t="shared" si="281"/>
        <v>TOLIMA_HERVEO</v>
      </c>
      <c r="ED2298" s="367"/>
      <c r="EE2298" s="367"/>
      <c r="EF2298" s="368"/>
      <c r="EG2298" s="367"/>
      <c r="EH2298" s="367"/>
      <c r="EI2298" s="367"/>
    </row>
    <row r="2299" spans="1:139" s="164" customFormat="1" ht="25.5">
      <c r="A2299" s="228">
        <v>40527</v>
      </c>
      <c r="B2299" s="205" t="s">
        <v>2400</v>
      </c>
      <c r="C2299" s="205" t="s">
        <v>2613</v>
      </c>
      <c r="D2299" s="207" t="s">
        <v>2606</v>
      </c>
      <c r="E2299" s="323" t="s">
        <v>4201</v>
      </c>
      <c r="F2299" s="323"/>
      <c r="G2299" s="204"/>
      <c r="H2299" s="151"/>
      <c r="I2299" s="151"/>
      <c r="J2299" s="151">
        <f>827*5</f>
        <v>4135</v>
      </c>
      <c r="K2299" s="151">
        <f>1200-127-246</f>
        <v>827</v>
      </c>
      <c r="L2299" s="1"/>
      <c r="M2299" s="73">
        <f t="shared" si="278"/>
        <v>0</v>
      </c>
      <c r="N2299" s="73">
        <f t="shared" si="283"/>
        <v>0</v>
      </c>
      <c r="O2299" s="73">
        <f t="shared" si="284"/>
        <v>0</v>
      </c>
      <c r="P2299" s="73">
        <f t="shared" si="279"/>
        <v>0</v>
      </c>
      <c r="Q2299" s="73"/>
      <c r="R2299" s="73">
        <v>0</v>
      </c>
      <c r="S2299" s="75">
        <f t="shared" si="282"/>
        <v>0</v>
      </c>
      <c r="T2299" s="77">
        <v>0</v>
      </c>
      <c r="U2299" s="66">
        <v>40575</v>
      </c>
      <c r="V2299" s="79"/>
      <c r="W2299" s="66" t="s">
        <v>1585</v>
      </c>
      <c r="X2299" s="24" t="s">
        <v>1586</v>
      </c>
      <c r="Y2299" s="62"/>
      <c r="Z2299" s="169" t="s">
        <v>894</v>
      </c>
      <c r="AA2299" s="166" t="s">
        <v>155</v>
      </c>
      <c r="AB2299" s="152"/>
      <c r="AC2299" s="153"/>
      <c r="AD2299" s="154"/>
      <c r="AE2299" s="153"/>
      <c r="AF2299" s="153"/>
      <c r="AG2299" s="153"/>
      <c r="AH2299" s="153"/>
      <c r="AI2299" s="153"/>
      <c r="AJ2299" s="153"/>
      <c r="AK2299" s="153"/>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c r="BF2299" s="153"/>
      <c r="BG2299" s="153"/>
      <c r="BH2299" s="153"/>
      <c r="BI2299" s="153"/>
      <c r="BJ2299" s="153"/>
      <c r="BK2299" s="153"/>
      <c r="BL2299" s="153"/>
      <c r="BM2299" s="153"/>
      <c r="BN2299" s="153"/>
      <c r="BO2299" s="153"/>
      <c r="BP2299" s="153"/>
      <c r="BQ2299" s="153"/>
      <c r="BR2299" s="153"/>
      <c r="BS2299" s="153"/>
      <c r="BT2299" s="153"/>
      <c r="BU2299" s="153"/>
      <c r="BV2299" s="153"/>
      <c r="BW2299" s="153"/>
      <c r="BX2299" s="153"/>
      <c r="BY2299" s="153"/>
      <c r="BZ2299" s="153"/>
      <c r="CA2299" s="153"/>
      <c r="CB2299" s="153"/>
      <c r="CC2299" s="153"/>
      <c r="CD2299" s="155"/>
      <c r="CE2299" s="156"/>
      <c r="CF2299" s="155"/>
      <c r="CG2299" s="156"/>
      <c r="CH2299" s="155"/>
      <c r="CI2299" s="156"/>
      <c r="CJ2299" s="157">
        <f t="shared" si="280"/>
        <v>0</v>
      </c>
      <c r="CK2299" s="158"/>
      <c r="CL2299" s="159"/>
      <c r="CM2299" s="160"/>
      <c r="CN2299" s="161"/>
      <c r="CO2299" s="162"/>
      <c r="CP2299" s="161"/>
      <c r="CQ2299" s="158"/>
      <c r="CR2299" s="159"/>
      <c r="CS2299" s="68"/>
      <c r="CT2299" s="163"/>
      <c r="EC2299" s="366" t="str">
        <f t="shared" si="281"/>
        <v>TOLIMA_LIBANO</v>
      </c>
      <c r="ED2299" s="367"/>
      <c r="EE2299" s="367"/>
      <c r="EF2299" s="368"/>
      <c r="EG2299" s="367"/>
      <c r="EH2299" s="367"/>
      <c r="EI2299" s="367"/>
    </row>
    <row r="2300" spans="1:139" s="164" customFormat="1" ht="25.5">
      <c r="A2300" s="228">
        <v>40527</v>
      </c>
      <c r="B2300" s="205" t="s">
        <v>2400</v>
      </c>
      <c r="C2300" s="205" t="s">
        <v>2318</v>
      </c>
      <c r="D2300" s="207" t="s">
        <v>2606</v>
      </c>
      <c r="E2300" s="323" t="s">
        <v>4207</v>
      </c>
      <c r="F2300" s="323"/>
      <c r="G2300" s="204"/>
      <c r="H2300" s="151"/>
      <c r="I2300" s="151"/>
      <c r="J2300" s="151">
        <v>86</v>
      </c>
      <c r="K2300" s="151">
        <v>19</v>
      </c>
      <c r="L2300" s="1"/>
      <c r="M2300" s="73">
        <f t="shared" si="278"/>
        <v>0</v>
      </c>
      <c r="N2300" s="73">
        <f t="shared" si="283"/>
        <v>0</v>
      </c>
      <c r="O2300" s="73">
        <f t="shared" si="284"/>
        <v>0</v>
      </c>
      <c r="P2300" s="73">
        <f t="shared" si="279"/>
        <v>0</v>
      </c>
      <c r="Q2300" s="73"/>
      <c r="R2300" s="73">
        <v>0</v>
      </c>
      <c r="S2300" s="75">
        <f t="shared" si="282"/>
        <v>0</v>
      </c>
      <c r="T2300" s="77">
        <v>0</v>
      </c>
      <c r="U2300" s="66">
        <v>40575</v>
      </c>
      <c r="V2300" s="79"/>
      <c r="W2300" s="66" t="s">
        <v>1585</v>
      </c>
      <c r="X2300" s="24" t="s">
        <v>1586</v>
      </c>
      <c r="Y2300" s="62"/>
      <c r="Z2300" s="169" t="s">
        <v>894</v>
      </c>
      <c r="AA2300" s="166" t="s">
        <v>155</v>
      </c>
      <c r="AB2300" s="152"/>
      <c r="AC2300" s="153"/>
      <c r="AD2300" s="154"/>
      <c r="AE2300" s="153"/>
      <c r="AF2300" s="153"/>
      <c r="AG2300" s="153"/>
      <c r="AH2300" s="153"/>
      <c r="AI2300" s="153"/>
      <c r="AJ2300" s="153"/>
      <c r="AK2300" s="153"/>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c r="BF2300" s="153"/>
      <c r="BG2300" s="153"/>
      <c r="BH2300" s="153"/>
      <c r="BI2300" s="153"/>
      <c r="BJ2300" s="153"/>
      <c r="BK2300" s="153"/>
      <c r="BL2300" s="153"/>
      <c r="BM2300" s="153"/>
      <c r="BN2300" s="153"/>
      <c r="BO2300" s="153"/>
      <c r="BP2300" s="153"/>
      <c r="BQ2300" s="153"/>
      <c r="BR2300" s="153"/>
      <c r="BS2300" s="153"/>
      <c r="BT2300" s="153"/>
      <c r="BU2300" s="153"/>
      <c r="BV2300" s="153"/>
      <c r="BW2300" s="153"/>
      <c r="BX2300" s="153"/>
      <c r="BY2300" s="153"/>
      <c r="BZ2300" s="153"/>
      <c r="CA2300" s="153"/>
      <c r="CB2300" s="153"/>
      <c r="CC2300" s="153"/>
      <c r="CD2300" s="155"/>
      <c r="CE2300" s="156"/>
      <c r="CF2300" s="155"/>
      <c r="CG2300" s="156"/>
      <c r="CH2300" s="155"/>
      <c r="CI2300" s="156"/>
      <c r="CJ2300" s="157">
        <f t="shared" si="280"/>
        <v>0</v>
      </c>
      <c r="CK2300" s="158"/>
      <c r="CL2300" s="159"/>
      <c r="CM2300" s="160"/>
      <c r="CN2300" s="161"/>
      <c r="CO2300" s="162"/>
      <c r="CP2300" s="161"/>
      <c r="CQ2300" s="158"/>
      <c r="CR2300" s="159"/>
      <c r="CS2300" s="68"/>
      <c r="CT2300" s="163"/>
      <c r="EC2300" s="366" t="str">
        <f t="shared" si="281"/>
        <v>TOLIMA_PALOCABILDO</v>
      </c>
      <c r="ED2300" s="367"/>
      <c r="EE2300" s="367"/>
      <c r="EF2300" s="368"/>
      <c r="EG2300" s="367"/>
      <c r="EH2300" s="367"/>
      <c r="EI2300" s="367"/>
    </row>
    <row r="2301" spans="1:139" s="164" customFormat="1" ht="25.5">
      <c r="A2301" s="228">
        <v>40527</v>
      </c>
      <c r="B2301" s="205" t="s">
        <v>2400</v>
      </c>
      <c r="C2301" s="205" t="s">
        <v>2923</v>
      </c>
      <c r="D2301" s="207" t="s">
        <v>2606</v>
      </c>
      <c r="E2301" s="323" t="s">
        <v>4216</v>
      </c>
      <c r="F2301" s="323"/>
      <c r="G2301" s="204"/>
      <c r="H2301" s="151"/>
      <c r="I2301" s="151"/>
      <c r="J2301" s="151">
        <v>198</v>
      </c>
      <c r="K2301" s="151">
        <v>44</v>
      </c>
      <c r="L2301" s="1"/>
      <c r="M2301" s="73">
        <f t="shared" si="278"/>
        <v>0</v>
      </c>
      <c r="N2301" s="73">
        <f t="shared" si="283"/>
        <v>0</v>
      </c>
      <c r="O2301" s="73">
        <f t="shared" si="284"/>
        <v>0</v>
      </c>
      <c r="P2301" s="73">
        <f t="shared" si="279"/>
        <v>0</v>
      </c>
      <c r="Q2301" s="73"/>
      <c r="R2301" s="73">
        <v>0</v>
      </c>
      <c r="S2301" s="75">
        <f t="shared" si="282"/>
        <v>0</v>
      </c>
      <c r="T2301" s="77">
        <v>0</v>
      </c>
      <c r="U2301" s="66">
        <v>40575</v>
      </c>
      <c r="V2301" s="79"/>
      <c r="W2301" s="66" t="s">
        <v>1585</v>
      </c>
      <c r="X2301" s="24" t="s">
        <v>1586</v>
      </c>
      <c r="Y2301" s="62"/>
      <c r="Z2301" s="169" t="s">
        <v>894</v>
      </c>
      <c r="AA2301" s="166" t="s">
        <v>155</v>
      </c>
      <c r="AB2301" s="152"/>
      <c r="AC2301" s="153"/>
      <c r="AD2301" s="154"/>
      <c r="AE2301" s="153"/>
      <c r="AF2301" s="153"/>
      <c r="AG2301" s="153"/>
      <c r="AH2301" s="153"/>
      <c r="AI2301" s="153"/>
      <c r="AJ2301" s="153"/>
      <c r="AK2301" s="153"/>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c r="BF2301" s="153"/>
      <c r="BG2301" s="153"/>
      <c r="BH2301" s="153"/>
      <c r="BI2301" s="153"/>
      <c r="BJ2301" s="153"/>
      <c r="BK2301" s="153"/>
      <c r="BL2301" s="153"/>
      <c r="BM2301" s="153"/>
      <c r="BN2301" s="153"/>
      <c r="BO2301" s="153"/>
      <c r="BP2301" s="153"/>
      <c r="BQ2301" s="153"/>
      <c r="BR2301" s="153"/>
      <c r="BS2301" s="153"/>
      <c r="BT2301" s="153"/>
      <c r="BU2301" s="153"/>
      <c r="BV2301" s="153"/>
      <c r="BW2301" s="153"/>
      <c r="BX2301" s="153"/>
      <c r="BY2301" s="153"/>
      <c r="BZ2301" s="153"/>
      <c r="CA2301" s="153"/>
      <c r="CB2301" s="153"/>
      <c r="CC2301" s="153"/>
      <c r="CD2301" s="155"/>
      <c r="CE2301" s="156"/>
      <c r="CF2301" s="155"/>
      <c r="CG2301" s="156"/>
      <c r="CH2301" s="155"/>
      <c r="CI2301" s="156"/>
      <c r="CJ2301" s="157">
        <f t="shared" si="280"/>
        <v>0</v>
      </c>
      <c r="CK2301" s="158"/>
      <c r="CL2301" s="159"/>
      <c r="CM2301" s="160"/>
      <c r="CN2301" s="161"/>
      <c r="CO2301" s="162"/>
      <c r="CP2301" s="161"/>
      <c r="CQ2301" s="158"/>
      <c r="CR2301" s="159"/>
      <c r="CS2301" s="68"/>
      <c r="CT2301" s="163"/>
      <c r="EC2301" s="366" t="str">
        <f t="shared" si="281"/>
        <v>TOLIMA_SAN ANTONIO</v>
      </c>
      <c r="ED2301" s="367"/>
      <c r="EE2301" s="367"/>
      <c r="EF2301" s="368"/>
      <c r="EG2301" s="367"/>
      <c r="EH2301" s="367"/>
      <c r="EI2301" s="367"/>
    </row>
    <row r="2302" spans="1:139" s="164" customFormat="1" ht="25.5">
      <c r="A2302" s="228">
        <v>40528</v>
      </c>
      <c r="B2302" s="205" t="s">
        <v>1295</v>
      </c>
      <c r="C2302" s="205" t="s">
        <v>2304</v>
      </c>
      <c r="D2302" s="207" t="s">
        <v>1201</v>
      </c>
      <c r="E2302" s="323" t="s">
        <v>3663</v>
      </c>
      <c r="F2302" s="323"/>
      <c r="G2302" s="204"/>
      <c r="H2302" s="151"/>
      <c r="I2302" s="151"/>
      <c r="J2302" s="151">
        <f>486*5</f>
        <v>2430</v>
      </c>
      <c r="K2302" s="151">
        <f>6823-12-6325</f>
        <v>486</v>
      </c>
      <c r="L2302" s="1"/>
      <c r="M2302" s="73">
        <f t="shared" si="278"/>
        <v>0</v>
      </c>
      <c r="N2302" s="73">
        <f t="shared" si="283"/>
        <v>579955000</v>
      </c>
      <c r="O2302" s="73">
        <f t="shared" si="284"/>
        <v>0</v>
      </c>
      <c r="P2302" s="73">
        <f t="shared" si="279"/>
        <v>0</v>
      </c>
      <c r="Q2302" s="73"/>
      <c r="R2302" s="73">
        <v>0</v>
      </c>
      <c r="S2302" s="75">
        <f t="shared" si="282"/>
        <v>579955000</v>
      </c>
      <c r="T2302" s="77">
        <v>0</v>
      </c>
      <c r="U2302" s="66"/>
      <c r="V2302" s="79"/>
      <c r="W2302" s="66" t="s">
        <v>1606</v>
      </c>
      <c r="X2302" s="24" t="s">
        <v>1607</v>
      </c>
      <c r="Y2302" s="62"/>
      <c r="Z2302" s="169"/>
      <c r="AA2302" s="166" t="s">
        <v>3019</v>
      </c>
      <c r="AB2302" s="152"/>
      <c r="AC2302" s="153"/>
      <c r="AD2302" s="154"/>
      <c r="AE2302" s="153"/>
      <c r="AF2302" s="153"/>
      <c r="AG2302" s="153"/>
      <c r="AH2302" s="153"/>
      <c r="AI2302" s="153"/>
      <c r="AJ2302" s="153"/>
      <c r="AK2302" s="153"/>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c r="BF2302" s="153"/>
      <c r="BG2302" s="153"/>
      <c r="BH2302" s="153"/>
      <c r="BI2302" s="153"/>
      <c r="BJ2302" s="153"/>
      <c r="BK2302" s="153"/>
      <c r="BL2302" s="153"/>
      <c r="BM2302" s="153"/>
      <c r="BN2302" s="153"/>
      <c r="BO2302" s="153"/>
      <c r="BP2302" s="153"/>
      <c r="BQ2302" s="153"/>
      <c r="BR2302" s="153"/>
      <c r="BS2302" s="153"/>
      <c r="BT2302" s="153"/>
      <c r="BU2302" s="153"/>
      <c r="BV2302" s="153"/>
      <c r="BW2302" s="153"/>
      <c r="BX2302" s="153"/>
      <c r="BY2302" s="153"/>
      <c r="BZ2302" s="153"/>
      <c r="CA2302" s="153"/>
      <c r="CB2302" s="153"/>
      <c r="CC2302" s="153"/>
      <c r="CD2302" s="155"/>
      <c r="CE2302" s="156"/>
      <c r="CF2302" s="155"/>
      <c r="CG2302" s="156"/>
      <c r="CH2302" s="155"/>
      <c r="CI2302" s="156"/>
      <c r="CJ2302" s="157">
        <f t="shared" si="280"/>
        <v>0</v>
      </c>
      <c r="CK2302" s="158"/>
      <c r="CL2302" s="159"/>
      <c r="CM2302" s="160">
        <v>6823</v>
      </c>
      <c r="CN2302" s="161">
        <f>6823*85000</f>
        <v>579955000</v>
      </c>
      <c r="CO2302" s="162"/>
      <c r="CP2302" s="161"/>
      <c r="CQ2302" s="158"/>
      <c r="CR2302" s="159"/>
      <c r="CS2302" s="68"/>
      <c r="CT2302" s="163"/>
      <c r="EC2302" s="366" t="str">
        <f t="shared" si="281"/>
        <v>CORDOBA_LORICA</v>
      </c>
      <c r="ED2302" s="367"/>
      <c r="EE2302" s="367"/>
      <c r="EF2302" s="368"/>
      <c r="EG2302" s="367"/>
      <c r="EH2302" s="367"/>
      <c r="EI2302" s="367"/>
    </row>
    <row r="2303" spans="1:139" s="164" customFormat="1" ht="45">
      <c r="A2303" s="228">
        <v>40528</v>
      </c>
      <c r="B2303" s="205" t="s">
        <v>1295</v>
      </c>
      <c r="C2303" s="205" t="s">
        <v>3048</v>
      </c>
      <c r="D2303" s="207" t="s">
        <v>1201</v>
      </c>
      <c r="E2303" s="323" t="s">
        <v>3680</v>
      </c>
      <c r="F2303" s="323"/>
      <c r="G2303" s="204"/>
      <c r="H2303" s="151"/>
      <c r="I2303" s="151"/>
      <c r="J2303" s="151">
        <v>1200</v>
      </c>
      <c r="K2303" s="151">
        <v>280</v>
      </c>
      <c r="L2303" s="1"/>
      <c r="M2303" s="73">
        <f t="shared" si="278"/>
        <v>0</v>
      </c>
      <c r="N2303" s="73">
        <f t="shared" si="283"/>
        <v>0</v>
      </c>
      <c r="O2303" s="73">
        <f t="shared" si="284"/>
        <v>0</v>
      </c>
      <c r="P2303" s="73">
        <f t="shared" si="279"/>
        <v>0</v>
      </c>
      <c r="Q2303" s="73"/>
      <c r="R2303" s="73">
        <v>0</v>
      </c>
      <c r="S2303" s="75">
        <f t="shared" si="282"/>
        <v>0</v>
      </c>
      <c r="T2303" s="77">
        <v>0</v>
      </c>
      <c r="U2303" s="66">
        <v>40528</v>
      </c>
      <c r="V2303" s="79"/>
      <c r="W2303" s="66" t="s">
        <v>1606</v>
      </c>
      <c r="X2303" s="264" t="s">
        <v>1607</v>
      </c>
      <c r="Y2303" s="62"/>
      <c r="Z2303" s="260" t="s">
        <v>18</v>
      </c>
      <c r="AA2303" s="166" t="s">
        <v>3074</v>
      </c>
      <c r="AB2303" s="152"/>
      <c r="AC2303" s="153"/>
      <c r="AD2303" s="154"/>
      <c r="AE2303" s="153"/>
      <c r="AF2303" s="153"/>
      <c r="AG2303" s="153"/>
      <c r="AH2303" s="153"/>
      <c r="AI2303" s="153"/>
      <c r="AJ2303" s="153"/>
      <c r="AK2303" s="153"/>
      <c r="AL2303" s="153"/>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c r="BF2303" s="153"/>
      <c r="BG2303" s="153"/>
      <c r="BH2303" s="153"/>
      <c r="BI2303" s="153"/>
      <c r="BJ2303" s="153"/>
      <c r="BK2303" s="153"/>
      <c r="BL2303" s="153"/>
      <c r="BM2303" s="153"/>
      <c r="BN2303" s="153"/>
      <c r="BO2303" s="153"/>
      <c r="BP2303" s="153"/>
      <c r="BQ2303" s="153"/>
      <c r="BR2303" s="153"/>
      <c r="BS2303" s="153"/>
      <c r="BT2303" s="153"/>
      <c r="BU2303" s="153"/>
      <c r="BV2303" s="153"/>
      <c r="BW2303" s="153"/>
      <c r="BX2303" s="153"/>
      <c r="BY2303" s="153"/>
      <c r="BZ2303" s="153"/>
      <c r="CA2303" s="153"/>
      <c r="CB2303" s="153"/>
      <c r="CC2303" s="153"/>
      <c r="CD2303" s="155"/>
      <c r="CE2303" s="156"/>
      <c r="CF2303" s="155"/>
      <c r="CG2303" s="156"/>
      <c r="CH2303" s="155"/>
      <c r="CI2303" s="156"/>
      <c r="CJ2303" s="157">
        <f t="shared" si="280"/>
        <v>0</v>
      </c>
      <c r="CK2303" s="158"/>
      <c r="CL2303" s="159"/>
      <c r="CM2303" s="160"/>
      <c r="CN2303" s="161"/>
      <c r="CO2303" s="162"/>
      <c r="CP2303" s="161"/>
      <c r="CQ2303" s="158"/>
      <c r="CR2303" s="159"/>
      <c r="CS2303" s="68"/>
      <c r="CT2303" s="163"/>
      <c r="EC2303" s="366" t="str">
        <f t="shared" si="281"/>
        <v>CORDOBA_VALENCIA</v>
      </c>
      <c r="ED2303" s="367"/>
      <c r="EE2303" s="367"/>
      <c r="EF2303" s="368"/>
      <c r="EG2303" s="367"/>
      <c r="EH2303" s="367"/>
      <c r="EI2303" s="367"/>
    </row>
    <row r="2304" spans="1:139" s="164" customFormat="1" ht="48">
      <c r="A2304" s="228">
        <v>40528</v>
      </c>
      <c r="B2304" s="205" t="s">
        <v>1604</v>
      </c>
      <c r="C2304" s="205" t="s">
        <v>984</v>
      </c>
      <c r="D2304" s="207" t="s">
        <v>1201</v>
      </c>
      <c r="E2304" s="323" t="s">
        <v>3752</v>
      </c>
      <c r="F2304" s="323"/>
      <c r="G2304" s="204"/>
      <c r="H2304" s="151"/>
      <c r="I2304" s="151"/>
      <c r="J2304" s="151">
        <v>213</v>
      </c>
      <c r="K2304" s="151">
        <v>56</v>
      </c>
      <c r="L2304" s="1"/>
      <c r="M2304" s="73">
        <f t="shared" si="278"/>
        <v>0</v>
      </c>
      <c r="N2304" s="73">
        <f t="shared" si="283"/>
        <v>0</v>
      </c>
      <c r="O2304" s="73">
        <f t="shared" si="284"/>
        <v>0</v>
      </c>
      <c r="P2304" s="73">
        <f t="shared" si="279"/>
        <v>0</v>
      </c>
      <c r="Q2304" s="73"/>
      <c r="R2304" s="73">
        <v>0</v>
      </c>
      <c r="S2304" s="75">
        <f t="shared" si="282"/>
        <v>0</v>
      </c>
      <c r="T2304" s="77">
        <v>0</v>
      </c>
      <c r="U2304" s="66">
        <v>40528</v>
      </c>
      <c r="V2304" s="79"/>
      <c r="W2304" s="66" t="s">
        <v>1585</v>
      </c>
      <c r="X2304" s="24" t="s">
        <v>1586</v>
      </c>
      <c r="Y2304" s="62"/>
      <c r="Z2304" s="169" t="s">
        <v>894</v>
      </c>
      <c r="AA2304" s="166" t="s">
        <v>229</v>
      </c>
      <c r="AB2304" s="152"/>
      <c r="AC2304" s="153"/>
      <c r="AD2304" s="154"/>
      <c r="AE2304" s="153"/>
      <c r="AF2304" s="153"/>
      <c r="AG2304" s="153"/>
      <c r="AH2304" s="153"/>
      <c r="AI2304" s="153"/>
      <c r="AJ2304" s="153"/>
      <c r="AK2304" s="153"/>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c r="BF2304" s="153"/>
      <c r="BG2304" s="153"/>
      <c r="BH2304" s="153"/>
      <c r="BI2304" s="153"/>
      <c r="BJ2304" s="153"/>
      <c r="BK2304" s="153"/>
      <c r="BL2304" s="153"/>
      <c r="BM2304" s="153"/>
      <c r="BN2304" s="153"/>
      <c r="BO2304" s="153"/>
      <c r="BP2304" s="153"/>
      <c r="BQ2304" s="153"/>
      <c r="BR2304" s="153"/>
      <c r="BS2304" s="153"/>
      <c r="BT2304" s="153"/>
      <c r="BU2304" s="153"/>
      <c r="BV2304" s="153"/>
      <c r="BW2304" s="153"/>
      <c r="BX2304" s="153"/>
      <c r="BY2304" s="153"/>
      <c r="BZ2304" s="153"/>
      <c r="CA2304" s="153"/>
      <c r="CB2304" s="153"/>
      <c r="CC2304" s="153"/>
      <c r="CD2304" s="155"/>
      <c r="CE2304" s="156"/>
      <c r="CF2304" s="155"/>
      <c r="CG2304" s="156"/>
      <c r="CH2304" s="155"/>
      <c r="CI2304" s="156"/>
      <c r="CJ2304" s="157">
        <f t="shared" si="280"/>
        <v>0</v>
      </c>
      <c r="CK2304" s="158"/>
      <c r="CL2304" s="159"/>
      <c r="CM2304" s="160"/>
      <c r="CN2304" s="161"/>
      <c r="CO2304" s="162"/>
      <c r="CP2304" s="161"/>
      <c r="CQ2304" s="158"/>
      <c r="CR2304" s="159"/>
      <c r="CS2304" s="68"/>
      <c r="CT2304" s="163"/>
      <c r="EC2304" s="366" t="str">
        <f t="shared" si="281"/>
        <v>CUNDINAMARCA_APULO</v>
      </c>
      <c r="ED2304" s="367"/>
      <c r="EE2304" s="367"/>
      <c r="EF2304" s="368"/>
      <c r="EG2304" s="367"/>
      <c r="EH2304" s="367"/>
      <c r="EI2304" s="367"/>
    </row>
    <row r="2305" spans="1:139" s="164" customFormat="1" ht="38.25">
      <c r="A2305" s="228">
        <v>40528</v>
      </c>
      <c r="B2305" s="205" t="s">
        <v>1604</v>
      </c>
      <c r="C2305" s="205" t="s">
        <v>1957</v>
      </c>
      <c r="D2305" s="207" t="s">
        <v>1878</v>
      </c>
      <c r="E2305" s="323" t="s">
        <v>3726</v>
      </c>
      <c r="F2305" s="323"/>
      <c r="G2305" s="204"/>
      <c r="H2305" s="151"/>
      <c r="I2305" s="151"/>
      <c r="J2305" s="151">
        <v>5</v>
      </c>
      <c r="K2305" s="151">
        <v>1</v>
      </c>
      <c r="L2305" s="1"/>
      <c r="M2305" s="73">
        <f t="shared" si="278"/>
        <v>0</v>
      </c>
      <c r="N2305" s="73">
        <f t="shared" si="283"/>
        <v>0</v>
      </c>
      <c r="O2305" s="73">
        <f t="shared" si="284"/>
        <v>0</v>
      </c>
      <c r="P2305" s="73">
        <f t="shared" si="279"/>
        <v>0</v>
      </c>
      <c r="Q2305" s="73"/>
      <c r="R2305" s="73">
        <v>0</v>
      </c>
      <c r="S2305" s="75">
        <f t="shared" si="282"/>
        <v>0</v>
      </c>
      <c r="T2305" s="77">
        <v>0</v>
      </c>
      <c r="U2305" s="66">
        <v>40528</v>
      </c>
      <c r="V2305" s="79"/>
      <c r="W2305" s="66" t="s">
        <v>1585</v>
      </c>
      <c r="X2305" s="24" t="s">
        <v>1586</v>
      </c>
      <c r="Y2305" s="62"/>
      <c r="Z2305" s="169" t="s">
        <v>894</v>
      </c>
      <c r="AA2305" s="166" t="s">
        <v>230</v>
      </c>
      <c r="AB2305" s="152"/>
      <c r="AC2305" s="153"/>
      <c r="AD2305" s="154"/>
      <c r="AE2305" s="153"/>
      <c r="AF2305" s="153"/>
      <c r="AG2305" s="153"/>
      <c r="AH2305" s="153"/>
      <c r="AI2305" s="153"/>
      <c r="AJ2305" s="153"/>
      <c r="AK2305" s="153"/>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c r="BF2305" s="153"/>
      <c r="BG2305" s="153"/>
      <c r="BH2305" s="153"/>
      <c r="BI2305" s="153"/>
      <c r="BJ2305" s="153"/>
      <c r="BK2305" s="153"/>
      <c r="BL2305" s="153"/>
      <c r="BM2305" s="153"/>
      <c r="BN2305" s="153"/>
      <c r="BO2305" s="153"/>
      <c r="BP2305" s="153"/>
      <c r="BQ2305" s="153"/>
      <c r="BR2305" s="153"/>
      <c r="BS2305" s="153"/>
      <c r="BT2305" s="153"/>
      <c r="BU2305" s="153"/>
      <c r="BV2305" s="153"/>
      <c r="BW2305" s="153"/>
      <c r="BX2305" s="153"/>
      <c r="BY2305" s="153"/>
      <c r="BZ2305" s="153"/>
      <c r="CA2305" s="153"/>
      <c r="CB2305" s="153"/>
      <c r="CC2305" s="153"/>
      <c r="CD2305" s="155"/>
      <c r="CE2305" s="156"/>
      <c r="CF2305" s="155"/>
      <c r="CG2305" s="156"/>
      <c r="CH2305" s="155"/>
      <c r="CI2305" s="156"/>
      <c r="CJ2305" s="157">
        <f t="shared" si="280"/>
        <v>0</v>
      </c>
      <c r="CK2305" s="158"/>
      <c r="CL2305" s="159"/>
      <c r="CM2305" s="160"/>
      <c r="CN2305" s="161"/>
      <c r="CO2305" s="162"/>
      <c r="CP2305" s="161"/>
      <c r="CQ2305" s="158"/>
      <c r="CR2305" s="159"/>
      <c r="CS2305" s="68"/>
      <c r="CT2305" s="163"/>
      <c r="EC2305" s="366" t="str">
        <f t="shared" si="281"/>
        <v>CUNDINAMARCA_LA MESA</v>
      </c>
      <c r="ED2305" s="367"/>
      <c r="EE2305" s="367"/>
      <c r="EF2305" s="368"/>
      <c r="EG2305" s="367"/>
      <c r="EH2305" s="367"/>
      <c r="EI2305" s="367"/>
    </row>
    <row r="2306" spans="1:139" s="164" customFormat="1" ht="38.25">
      <c r="A2306" s="228">
        <v>40528</v>
      </c>
      <c r="B2306" s="205" t="s">
        <v>1604</v>
      </c>
      <c r="C2306" s="205" t="s">
        <v>2734</v>
      </c>
      <c r="D2306" s="207" t="s">
        <v>1201</v>
      </c>
      <c r="E2306" s="323" t="s">
        <v>3729</v>
      </c>
      <c r="F2306" s="323"/>
      <c r="G2306" s="204"/>
      <c r="H2306" s="151"/>
      <c r="I2306" s="151"/>
      <c r="J2306" s="151">
        <v>207</v>
      </c>
      <c r="K2306" s="151">
        <v>50</v>
      </c>
      <c r="L2306" s="1"/>
      <c r="M2306" s="73">
        <f t="shared" si="278"/>
        <v>0</v>
      </c>
      <c r="N2306" s="73">
        <f t="shared" si="283"/>
        <v>0</v>
      </c>
      <c r="O2306" s="73">
        <f t="shared" si="284"/>
        <v>0</v>
      </c>
      <c r="P2306" s="73">
        <f t="shared" si="279"/>
        <v>0</v>
      </c>
      <c r="Q2306" s="73"/>
      <c r="R2306" s="73">
        <v>0</v>
      </c>
      <c r="S2306" s="75">
        <f t="shared" si="282"/>
        <v>0</v>
      </c>
      <c r="T2306" s="77">
        <v>0</v>
      </c>
      <c r="U2306" s="66">
        <v>40528</v>
      </c>
      <c r="V2306" s="79"/>
      <c r="W2306" s="66" t="s">
        <v>1585</v>
      </c>
      <c r="X2306" s="24" t="s">
        <v>1586</v>
      </c>
      <c r="Y2306" s="62"/>
      <c r="Z2306" s="169" t="s">
        <v>894</v>
      </c>
      <c r="AA2306" s="166" t="s">
        <v>233</v>
      </c>
      <c r="AB2306" s="152"/>
      <c r="AC2306" s="153"/>
      <c r="AD2306" s="154"/>
      <c r="AE2306" s="153"/>
      <c r="AF2306" s="153"/>
      <c r="AG2306" s="153"/>
      <c r="AH2306" s="153"/>
      <c r="AI2306" s="153"/>
      <c r="AJ2306" s="153"/>
      <c r="AK2306" s="153"/>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c r="BF2306" s="153"/>
      <c r="BG2306" s="153"/>
      <c r="BH2306" s="153"/>
      <c r="BI2306" s="153"/>
      <c r="BJ2306" s="153"/>
      <c r="BK2306" s="153"/>
      <c r="BL2306" s="153"/>
      <c r="BM2306" s="153"/>
      <c r="BN2306" s="153"/>
      <c r="BO2306" s="153"/>
      <c r="BP2306" s="153"/>
      <c r="BQ2306" s="153"/>
      <c r="BR2306" s="153"/>
      <c r="BS2306" s="153"/>
      <c r="BT2306" s="153"/>
      <c r="BU2306" s="153"/>
      <c r="BV2306" s="153"/>
      <c r="BW2306" s="153"/>
      <c r="BX2306" s="153"/>
      <c r="BY2306" s="153"/>
      <c r="BZ2306" s="153"/>
      <c r="CA2306" s="153"/>
      <c r="CB2306" s="153"/>
      <c r="CC2306" s="153"/>
      <c r="CD2306" s="155"/>
      <c r="CE2306" s="156"/>
      <c r="CF2306" s="155"/>
      <c r="CG2306" s="156"/>
      <c r="CH2306" s="155"/>
      <c r="CI2306" s="156"/>
      <c r="CJ2306" s="157">
        <f t="shared" si="280"/>
        <v>0</v>
      </c>
      <c r="CK2306" s="158"/>
      <c r="CL2306" s="159"/>
      <c r="CM2306" s="160"/>
      <c r="CN2306" s="161"/>
      <c r="CO2306" s="162"/>
      <c r="CP2306" s="161"/>
      <c r="CQ2306" s="158"/>
      <c r="CR2306" s="159"/>
      <c r="CS2306" s="68"/>
      <c r="CT2306" s="163"/>
      <c r="EC2306" s="366" t="str">
        <f t="shared" si="281"/>
        <v>CUNDINAMARCA_LA VEGA</v>
      </c>
      <c r="ED2306" s="367"/>
      <c r="EE2306" s="367"/>
      <c r="EF2306" s="368"/>
      <c r="EG2306" s="367"/>
      <c r="EH2306" s="367"/>
      <c r="EI2306" s="367"/>
    </row>
    <row r="2307" spans="1:139" s="164" customFormat="1" ht="38.25">
      <c r="A2307" s="228">
        <v>40528</v>
      </c>
      <c r="B2307" s="205" t="s">
        <v>1604</v>
      </c>
      <c r="C2307" s="205" t="s">
        <v>184</v>
      </c>
      <c r="D2307" s="207" t="s">
        <v>1201</v>
      </c>
      <c r="E2307" s="323" t="s">
        <v>3773</v>
      </c>
      <c r="F2307" s="323"/>
      <c r="G2307" s="204"/>
      <c r="H2307" s="151"/>
      <c r="I2307" s="151"/>
      <c r="J2307" s="151">
        <v>75</v>
      </c>
      <c r="K2307" s="151">
        <v>22</v>
      </c>
      <c r="L2307" s="1"/>
      <c r="M2307" s="73">
        <f t="shared" ref="M2307:M2370" si="285">CJ2307</f>
        <v>0</v>
      </c>
      <c r="N2307" s="73">
        <f t="shared" si="283"/>
        <v>0</v>
      </c>
      <c r="O2307" s="73">
        <f t="shared" si="284"/>
        <v>0</v>
      </c>
      <c r="P2307" s="73">
        <f t="shared" ref="P2307:P2370" si="286">CL2307</f>
        <v>0</v>
      </c>
      <c r="Q2307" s="73"/>
      <c r="R2307" s="73">
        <v>0</v>
      </c>
      <c r="S2307" s="75">
        <f t="shared" si="282"/>
        <v>0</v>
      </c>
      <c r="T2307" s="77">
        <v>0</v>
      </c>
      <c r="U2307" s="66">
        <v>40612</v>
      </c>
      <c r="V2307" s="79"/>
      <c r="W2307" s="66" t="s">
        <v>1585</v>
      </c>
      <c r="X2307" s="24" t="s">
        <v>1586</v>
      </c>
      <c r="Y2307" s="62"/>
      <c r="Z2307" s="169" t="s">
        <v>894</v>
      </c>
      <c r="AA2307" s="166" t="s">
        <v>155</v>
      </c>
      <c r="AB2307" s="152"/>
      <c r="AC2307" s="153"/>
      <c r="AD2307" s="154"/>
      <c r="AE2307" s="153"/>
      <c r="AF2307" s="153"/>
      <c r="AG2307" s="153"/>
      <c r="AH2307" s="153"/>
      <c r="AI2307" s="153"/>
      <c r="AJ2307" s="153"/>
      <c r="AK2307" s="153"/>
      <c r="AL2307" s="153"/>
      <c r="AM2307" s="153"/>
      <c r="AN2307" s="153"/>
      <c r="AO2307" s="153"/>
      <c r="AP2307" s="153"/>
      <c r="AQ2307" s="153"/>
      <c r="AR2307" s="153"/>
      <c r="AS2307" s="153"/>
      <c r="AT2307" s="153"/>
      <c r="AU2307" s="153"/>
      <c r="AV2307" s="153"/>
      <c r="AW2307" s="153"/>
      <c r="AX2307" s="153"/>
      <c r="AY2307" s="153"/>
      <c r="AZ2307" s="153"/>
      <c r="BA2307" s="153"/>
      <c r="BB2307" s="153"/>
      <c r="BC2307" s="153"/>
      <c r="BD2307" s="153"/>
      <c r="BE2307" s="153"/>
      <c r="BF2307" s="153"/>
      <c r="BG2307" s="153"/>
      <c r="BH2307" s="153"/>
      <c r="BI2307" s="153"/>
      <c r="BJ2307" s="153"/>
      <c r="BK2307" s="153"/>
      <c r="BL2307" s="153"/>
      <c r="BM2307" s="153"/>
      <c r="BN2307" s="153"/>
      <c r="BO2307" s="153"/>
      <c r="BP2307" s="153"/>
      <c r="BQ2307" s="153"/>
      <c r="BR2307" s="153"/>
      <c r="BS2307" s="153"/>
      <c r="BT2307" s="153"/>
      <c r="BU2307" s="153"/>
      <c r="BV2307" s="153"/>
      <c r="BW2307" s="153"/>
      <c r="BX2307" s="153"/>
      <c r="BY2307" s="153"/>
      <c r="BZ2307" s="153"/>
      <c r="CA2307" s="153"/>
      <c r="CB2307" s="153"/>
      <c r="CC2307" s="153"/>
      <c r="CD2307" s="155"/>
      <c r="CE2307" s="156"/>
      <c r="CF2307" s="155"/>
      <c r="CG2307" s="156"/>
      <c r="CH2307" s="155"/>
      <c r="CI2307" s="156"/>
      <c r="CJ2307" s="157">
        <f t="shared" ref="CJ2307:CJ2370" si="287">AC2307+AE2307+AG2307+AI2307+AK2307+AM2307+AO2307+AQ2307+AS2307+AU2307+AW2307+AY2307+BA2307+BC2307+BE2307+BG2307+BI2307+BK2307+BM2307+BO2307+BQ2307+BS2307+BU2307+BW2307+BY2307+CA2307+CC2307+CE2307+CG2307+CI2307</f>
        <v>0</v>
      </c>
      <c r="CK2307" s="158"/>
      <c r="CL2307" s="159"/>
      <c r="CM2307" s="160"/>
      <c r="CN2307" s="161"/>
      <c r="CO2307" s="162"/>
      <c r="CP2307" s="161"/>
      <c r="CQ2307" s="158"/>
      <c r="CR2307" s="159"/>
      <c r="CS2307" s="68"/>
      <c r="CT2307" s="163"/>
      <c r="EC2307" s="366" t="str">
        <f t="shared" ref="EC2307:EC2368" si="288">B2307&amp;"_"&amp;C2307</f>
        <v>CUNDINAMARCA_TENA</v>
      </c>
      <c r="ED2307" s="367"/>
      <c r="EE2307" s="367"/>
      <c r="EF2307" s="368"/>
      <c r="EG2307" s="367"/>
      <c r="EH2307" s="367"/>
      <c r="EI2307" s="367"/>
    </row>
    <row r="2308" spans="1:139" s="164" customFormat="1" ht="38.25">
      <c r="A2308" s="228">
        <v>40528</v>
      </c>
      <c r="B2308" s="205" t="s">
        <v>1604</v>
      </c>
      <c r="C2308" s="205" t="s">
        <v>982</v>
      </c>
      <c r="D2308" s="207" t="s">
        <v>1201</v>
      </c>
      <c r="E2308" s="323" t="s">
        <v>3777</v>
      </c>
      <c r="F2308" s="323"/>
      <c r="G2308" s="204"/>
      <c r="H2308" s="151"/>
      <c r="I2308" s="151"/>
      <c r="J2308" s="151"/>
      <c r="K2308" s="151"/>
      <c r="L2308" s="1"/>
      <c r="M2308" s="73">
        <f t="shared" si="285"/>
        <v>0</v>
      </c>
      <c r="N2308" s="73">
        <f t="shared" si="283"/>
        <v>0</v>
      </c>
      <c r="O2308" s="73">
        <f t="shared" si="284"/>
        <v>0</v>
      </c>
      <c r="P2308" s="73">
        <f t="shared" si="286"/>
        <v>0</v>
      </c>
      <c r="Q2308" s="73"/>
      <c r="R2308" s="73">
        <v>0</v>
      </c>
      <c r="S2308" s="75">
        <f t="shared" si="282"/>
        <v>0</v>
      </c>
      <c r="T2308" s="77">
        <v>0</v>
      </c>
      <c r="U2308" s="66">
        <v>40528</v>
      </c>
      <c r="V2308" s="79"/>
      <c r="W2308" s="66" t="s">
        <v>1585</v>
      </c>
      <c r="X2308" s="24" t="s">
        <v>1586</v>
      </c>
      <c r="Y2308" s="62"/>
      <c r="Z2308" s="169" t="s">
        <v>894</v>
      </c>
      <c r="AA2308" s="166" t="s">
        <v>234</v>
      </c>
      <c r="AB2308" s="152"/>
      <c r="AC2308" s="153"/>
      <c r="AD2308" s="154"/>
      <c r="AE2308" s="153"/>
      <c r="AF2308" s="153"/>
      <c r="AG2308" s="153"/>
      <c r="AH2308" s="153"/>
      <c r="AI2308" s="153"/>
      <c r="AJ2308" s="153"/>
      <c r="AK2308" s="153"/>
      <c r="AL2308" s="153"/>
      <c r="AM2308" s="153"/>
      <c r="AN2308" s="153"/>
      <c r="AO2308" s="153"/>
      <c r="AP2308" s="153"/>
      <c r="AQ2308" s="153"/>
      <c r="AR2308" s="153"/>
      <c r="AS2308" s="153"/>
      <c r="AT2308" s="153"/>
      <c r="AU2308" s="153"/>
      <c r="AV2308" s="153"/>
      <c r="AW2308" s="153"/>
      <c r="AX2308" s="153"/>
      <c r="AY2308" s="153"/>
      <c r="AZ2308" s="153"/>
      <c r="BA2308" s="153"/>
      <c r="BB2308" s="153"/>
      <c r="BC2308" s="153"/>
      <c r="BD2308" s="153"/>
      <c r="BE2308" s="153"/>
      <c r="BF2308" s="153"/>
      <c r="BG2308" s="153"/>
      <c r="BH2308" s="153"/>
      <c r="BI2308" s="153"/>
      <c r="BJ2308" s="153"/>
      <c r="BK2308" s="153"/>
      <c r="BL2308" s="153"/>
      <c r="BM2308" s="153"/>
      <c r="BN2308" s="153"/>
      <c r="BO2308" s="153"/>
      <c r="BP2308" s="153"/>
      <c r="BQ2308" s="153"/>
      <c r="BR2308" s="153"/>
      <c r="BS2308" s="153"/>
      <c r="BT2308" s="153"/>
      <c r="BU2308" s="153"/>
      <c r="BV2308" s="153"/>
      <c r="BW2308" s="153"/>
      <c r="BX2308" s="153"/>
      <c r="BY2308" s="153"/>
      <c r="BZ2308" s="153"/>
      <c r="CA2308" s="153"/>
      <c r="CB2308" s="153"/>
      <c r="CC2308" s="153"/>
      <c r="CD2308" s="155"/>
      <c r="CE2308" s="156"/>
      <c r="CF2308" s="155"/>
      <c r="CG2308" s="156"/>
      <c r="CH2308" s="155"/>
      <c r="CI2308" s="156"/>
      <c r="CJ2308" s="157">
        <f t="shared" si="287"/>
        <v>0</v>
      </c>
      <c r="CK2308" s="158"/>
      <c r="CL2308" s="159"/>
      <c r="CM2308" s="160"/>
      <c r="CN2308" s="161"/>
      <c r="CO2308" s="162"/>
      <c r="CP2308" s="161"/>
      <c r="CQ2308" s="158"/>
      <c r="CR2308" s="159"/>
      <c r="CS2308" s="68"/>
      <c r="CT2308" s="163"/>
      <c r="EC2308" s="366" t="str">
        <f t="shared" si="288"/>
        <v>CUNDINAMARCA_TOCAIMA</v>
      </c>
      <c r="ED2308" s="367"/>
      <c r="EE2308" s="367"/>
      <c r="EF2308" s="368"/>
      <c r="EG2308" s="367"/>
      <c r="EH2308" s="367"/>
      <c r="EI2308" s="367"/>
    </row>
    <row r="2309" spans="1:139" s="164" customFormat="1" ht="25.5">
      <c r="A2309" s="228">
        <v>40528</v>
      </c>
      <c r="B2309" s="205" t="s">
        <v>1609</v>
      </c>
      <c r="C2309" s="205" t="s">
        <v>2196</v>
      </c>
      <c r="D2309" s="207" t="s">
        <v>1878</v>
      </c>
      <c r="E2309" s="323"/>
      <c r="F2309" s="323"/>
      <c r="G2309" s="204"/>
      <c r="H2309" s="151"/>
      <c r="I2309" s="151"/>
      <c r="J2309" s="151">
        <v>150</v>
      </c>
      <c r="K2309" s="151">
        <v>30</v>
      </c>
      <c r="L2309" s="1"/>
      <c r="M2309" s="73">
        <f t="shared" si="285"/>
        <v>0</v>
      </c>
      <c r="N2309" s="73">
        <f t="shared" si="283"/>
        <v>0</v>
      </c>
      <c r="O2309" s="73">
        <f t="shared" si="284"/>
        <v>0</v>
      </c>
      <c r="P2309" s="73">
        <f t="shared" si="286"/>
        <v>0</v>
      </c>
      <c r="Q2309" s="73"/>
      <c r="R2309" s="73">
        <v>0</v>
      </c>
      <c r="S2309" s="75">
        <f t="shared" si="282"/>
        <v>0</v>
      </c>
      <c r="T2309" s="77">
        <v>0</v>
      </c>
      <c r="U2309" s="66">
        <v>40624</v>
      </c>
      <c r="V2309" s="79"/>
      <c r="W2309" s="66" t="s">
        <v>1585</v>
      </c>
      <c r="X2309" s="24" t="s">
        <v>1586</v>
      </c>
      <c r="Y2309" s="62"/>
      <c r="Z2309" s="169" t="s">
        <v>894</v>
      </c>
      <c r="AA2309" s="166" t="s">
        <v>155</v>
      </c>
      <c r="AB2309" s="152"/>
      <c r="AC2309" s="153"/>
      <c r="AD2309" s="154"/>
      <c r="AE2309" s="153"/>
      <c r="AF2309" s="153"/>
      <c r="AG2309" s="153"/>
      <c r="AH2309" s="153"/>
      <c r="AI2309" s="153"/>
      <c r="AJ2309" s="153"/>
      <c r="AK2309" s="153"/>
      <c r="AL2309" s="153"/>
      <c r="AM2309" s="153"/>
      <c r="AN2309" s="153"/>
      <c r="AO2309" s="153"/>
      <c r="AP2309" s="153"/>
      <c r="AQ2309" s="153"/>
      <c r="AR2309" s="153"/>
      <c r="AS2309" s="153"/>
      <c r="AT2309" s="153"/>
      <c r="AU2309" s="153"/>
      <c r="AV2309" s="153"/>
      <c r="AW2309" s="153"/>
      <c r="AX2309" s="153"/>
      <c r="AY2309" s="153"/>
      <c r="AZ2309" s="153"/>
      <c r="BA2309" s="153"/>
      <c r="BB2309" s="153"/>
      <c r="BC2309" s="153"/>
      <c r="BD2309" s="153"/>
      <c r="BE2309" s="153"/>
      <c r="BF2309" s="153"/>
      <c r="BG2309" s="153"/>
      <c r="BH2309" s="153"/>
      <c r="BI2309" s="153"/>
      <c r="BJ2309" s="153"/>
      <c r="BK2309" s="153"/>
      <c r="BL2309" s="153"/>
      <c r="BM2309" s="153"/>
      <c r="BN2309" s="153"/>
      <c r="BO2309" s="153"/>
      <c r="BP2309" s="153"/>
      <c r="BQ2309" s="153"/>
      <c r="BR2309" s="153"/>
      <c r="BS2309" s="153"/>
      <c r="BT2309" s="153"/>
      <c r="BU2309" s="153"/>
      <c r="BV2309" s="153"/>
      <c r="BW2309" s="153"/>
      <c r="BX2309" s="153"/>
      <c r="BY2309" s="153"/>
      <c r="BZ2309" s="153"/>
      <c r="CA2309" s="153"/>
      <c r="CB2309" s="153"/>
      <c r="CC2309" s="153"/>
      <c r="CD2309" s="155"/>
      <c r="CE2309" s="156"/>
      <c r="CF2309" s="155"/>
      <c r="CG2309" s="156"/>
      <c r="CH2309" s="155"/>
      <c r="CI2309" s="156"/>
      <c r="CJ2309" s="157">
        <f t="shared" si="287"/>
        <v>0</v>
      </c>
      <c r="CK2309" s="158"/>
      <c r="CL2309" s="159"/>
      <c r="CM2309" s="160"/>
      <c r="CN2309" s="161"/>
      <c r="CO2309" s="162"/>
      <c r="CP2309" s="161"/>
      <c r="CQ2309" s="158"/>
      <c r="CR2309" s="159"/>
      <c r="CS2309" s="68"/>
      <c r="CT2309" s="163"/>
      <c r="EC2309" s="366" t="str">
        <f t="shared" si="288"/>
        <v>RISARALDA_QUINCHIA</v>
      </c>
      <c r="ED2309" s="367"/>
      <c r="EE2309" s="367"/>
      <c r="EF2309" s="368"/>
      <c r="EG2309" s="367"/>
      <c r="EH2309" s="367"/>
      <c r="EI2309" s="367"/>
    </row>
    <row r="2310" spans="1:139" s="164" customFormat="1" ht="45">
      <c r="A2310" s="228">
        <v>40528</v>
      </c>
      <c r="B2310" s="205" t="s">
        <v>1088</v>
      </c>
      <c r="C2310" s="205" t="s">
        <v>994</v>
      </c>
      <c r="D2310" s="207" t="s">
        <v>1201</v>
      </c>
      <c r="E2310" s="323" t="s">
        <v>4250</v>
      </c>
      <c r="F2310" s="323"/>
      <c r="G2310" s="204"/>
      <c r="H2310" s="151"/>
      <c r="I2310" s="151"/>
      <c r="J2310" s="151">
        <f>44*5</f>
        <v>220</v>
      </c>
      <c r="K2310" s="151">
        <v>44</v>
      </c>
      <c r="L2310" s="1"/>
      <c r="M2310" s="73">
        <f t="shared" si="285"/>
        <v>0</v>
      </c>
      <c r="N2310" s="73">
        <f t="shared" si="283"/>
        <v>0</v>
      </c>
      <c r="O2310" s="73">
        <f t="shared" si="284"/>
        <v>0</v>
      </c>
      <c r="P2310" s="73">
        <f t="shared" si="286"/>
        <v>0</v>
      </c>
      <c r="Q2310" s="73"/>
      <c r="R2310" s="73">
        <v>0</v>
      </c>
      <c r="S2310" s="75">
        <f t="shared" si="282"/>
        <v>0</v>
      </c>
      <c r="T2310" s="77">
        <v>0</v>
      </c>
      <c r="U2310" s="66"/>
      <c r="V2310" s="79"/>
      <c r="W2310" s="66" t="s">
        <v>1606</v>
      </c>
      <c r="X2310" s="264" t="s">
        <v>1607</v>
      </c>
      <c r="Y2310" s="62"/>
      <c r="Z2310" s="260" t="s">
        <v>18</v>
      </c>
      <c r="AA2310" s="166" t="s">
        <v>3098</v>
      </c>
      <c r="AB2310" s="152"/>
      <c r="AC2310" s="153"/>
      <c r="AD2310" s="154"/>
      <c r="AE2310" s="153"/>
      <c r="AF2310" s="153"/>
      <c r="AG2310" s="153"/>
      <c r="AH2310" s="153"/>
      <c r="AI2310" s="153"/>
      <c r="AJ2310" s="153"/>
      <c r="AK2310" s="153"/>
      <c r="AL2310" s="153"/>
      <c r="AM2310" s="153"/>
      <c r="AN2310" s="153"/>
      <c r="AO2310" s="153"/>
      <c r="AP2310" s="153"/>
      <c r="AQ2310" s="153"/>
      <c r="AR2310" s="153"/>
      <c r="AS2310" s="153"/>
      <c r="AT2310" s="153"/>
      <c r="AU2310" s="153"/>
      <c r="AV2310" s="153"/>
      <c r="AW2310" s="153"/>
      <c r="AX2310" s="153"/>
      <c r="AY2310" s="153"/>
      <c r="AZ2310" s="153"/>
      <c r="BA2310" s="153"/>
      <c r="BB2310" s="153"/>
      <c r="BC2310" s="153"/>
      <c r="BD2310" s="153"/>
      <c r="BE2310" s="153"/>
      <c r="BF2310" s="153"/>
      <c r="BG2310" s="153"/>
      <c r="BH2310" s="153"/>
      <c r="BI2310" s="153"/>
      <c r="BJ2310" s="153"/>
      <c r="BK2310" s="153"/>
      <c r="BL2310" s="153"/>
      <c r="BM2310" s="153"/>
      <c r="BN2310" s="153"/>
      <c r="BO2310" s="153"/>
      <c r="BP2310" s="153"/>
      <c r="BQ2310" s="153"/>
      <c r="BR2310" s="153"/>
      <c r="BS2310" s="153"/>
      <c r="BT2310" s="153"/>
      <c r="BU2310" s="153"/>
      <c r="BV2310" s="153"/>
      <c r="BW2310" s="153"/>
      <c r="BX2310" s="153"/>
      <c r="BY2310" s="153"/>
      <c r="BZ2310" s="153"/>
      <c r="CA2310" s="153"/>
      <c r="CB2310" s="153"/>
      <c r="CC2310" s="153"/>
      <c r="CD2310" s="155"/>
      <c r="CE2310" s="156"/>
      <c r="CF2310" s="155"/>
      <c r="CG2310" s="156"/>
      <c r="CH2310" s="155"/>
      <c r="CI2310" s="156"/>
      <c r="CJ2310" s="157">
        <f t="shared" si="287"/>
        <v>0</v>
      </c>
      <c r="CK2310" s="158"/>
      <c r="CL2310" s="159"/>
      <c r="CM2310" s="160"/>
      <c r="CN2310" s="161"/>
      <c r="CO2310" s="162"/>
      <c r="CP2310" s="161"/>
      <c r="CQ2310" s="158"/>
      <c r="CR2310" s="159"/>
      <c r="CS2310" s="68"/>
      <c r="CT2310" s="163"/>
      <c r="EC2310" s="366" t="str">
        <f t="shared" si="288"/>
        <v>VALLE DEL CAUCA_PALMIRA</v>
      </c>
      <c r="ED2310" s="367"/>
      <c r="EE2310" s="367"/>
      <c r="EF2310" s="368"/>
      <c r="EG2310" s="367"/>
      <c r="EH2310" s="367"/>
      <c r="EI2310" s="367"/>
    </row>
    <row r="2311" spans="1:139" s="164" customFormat="1" ht="45">
      <c r="A2311" s="228">
        <v>40529</v>
      </c>
      <c r="B2311" s="205" t="s">
        <v>1314</v>
      </c>
      <c r="C2311" s="205" t="s">
        <v>1615</v>
      </c>
      <c r="D2311" s="207" t="s">
        <v>1878</v>
      </c>
      <c r="E2311" s="323" t="s">
        <v>3590</v>
      </c>
      <c r="F2311" s="323"/>
      <c r="G2311" s="204"/>
      <c r="H2311" s="151"/>
      <c r="I2311" s="151"/>
      <c r="J2311" s="151">
        <f>2449*5</f>
        <v>12245</v>
      </c>
      <c r="K2311" s="151">
        <f>3143-694</f>
        <v>2449</v>
      </c>
      <c r="L2311" s="1"/>
      <c r="M2311" s="73">
        <f t="shared" si="285"/>
        <v>0</v>
      </c>
      <c r="N2311" s="73">
        <f t="shared" si="283"/>
        <v>0</v>
      </c>
      <c r="O2311" s="73">
        <f t="shared" si="284"/>
        <v>0</v>
      </c>
      <c r="P2311" s="73">
        <f t="shared" si="286"/>
        <v>0</v>
      </c>
      <c r="Q2311" s="73"/>
      <c r="R2311" s="73">
        <v>0</v>
      </c>
      <c r="S2311" s="75">
        <f t="shared" si="282"/>
        <v>0</v>
      </c>
      <c r="T2311" s="77">
        <v>0</v>
      </c>
      <c r="U2311" s="66"/>
      <c r="V2311" s="79"/>
      <c r="W2311" s="66" t="s">
        <v>1606</v>
      </c>
      <c r="X2311" s="264" t="s">
        <v>1607</v>
      </c>
      <c r="Y2311" s="62"/>
      <c r="Z2311" s="260" t="s">
        <v>18</v>
      </c>
      <c r="AA2311" s="166" t="s">
        <v>3018</v>
      </c>
      <c r="AB2311" s="152"/>
      <c r="AC2311" s="153"/>
      <c r="AD2311" s="154"/>
      <c r="AE2311" s="153"/>
      <c r="AF2311" s="153"/>
      <c r="AG2311" s="153"/>
      <c r="AH2311" s="153"/>
      <c r="AI2311" s="153"/>
      <c r="AJ2311" s="153"/>
      <c r="AK2311" s="153"/>
      <c r="AL2311" s="153"/>
      <c r="AM2311" s="153"/>
      <c r="AN2311" s="153"/>
      <c r="AO2311" s="153"/>
      <c r="AP2311" s="153"/>
      <c r="AQ2311" s="153"/>
      <c r="AR2311" s="153"/>
      <c r="AS2311" s="153"/>
      <c r="AT2311" s="153"/>
      <c r="AU2311" s="153"/>
      <c r="AV2311" s="153"/>
      <c r="AW2311" s="153"/>
      <c r="AX2311" s="153"/>
      <c r="AY2311" s="153"/>
      <c r="AZ2311" s="153"/>
      <c r="BA2311" s="153"/>
      <c r="BB2311" s="153"/>
      <c r="BC2311" s="153"/>
      <c r="BD2311" s="153"/>
      <c r="BE2311" s="153"/>
      <c r="BF2311" s="153"/>
      <c r="BG2311" s="153"/>
      <c r="BH2311" s="153"/>
      <c r="BI2311" s="153"/>
      <c r="BJ2311" s="153"/>
      <c r="BK2311" s="153"/>
      <c r="BL2311" s="153"/>
      <c r="BM2311" s="153"/>
      <c r="BN2311" s="153"/>
      <c r="BO2311" s="153"/>
      <c r="BP2311" s="153"/>
      <c r="BQ2311" s="153"/>
      <c r="BR2311" s="153"/>
      <c r="BS2311" s="153"/>
      <c r="BT2311" s="153"/>
      <c r="BU2311" s="153"/>
      <c r="BV2311" s="153"/>
      <c r="BW2311" s="153"/>
      <c r="BX2311" s="153"/>
      <c r="BY2311" s="153"/>
      <c r="BZ2311" s="153"/>
      <c r="CA2311" s="153"/>
      <c r="CB2311" s="153"/>
      <c r="CC2311" s="153"/>
      <c r="CD2311" s="155"/>
      <c r="CE2311" s="156"/>
      <c r="CF2311" s="155"/>
      <c r="CG2311" s="156"/>
      <c r="CH2311" s="155"/>
      <c r="CI2311" s="156"/>
      <c r="CJ2311" s="157">
        <f t="shared" si="287"/>
        <v>0</v>
      </c>
      <c r="CK2311" s="158"/>
      <c r="CL2311" s="159"/>
      <c r="CM2311" s="160"/>
      <c r="CN2311" s="161"/>
      <c r="CO2311" s="162"/>
      <c r="CP2311" s="161"/>
      <c r="CQ2311" s="158"/>
      <c r="CR2311" s="159"/>
      <c r="CS2311" s="68"/>
      <c r="CT2311" s="163"/>
      <c r="EC2311" s="366" t="str">
        <f t="shared" si="288"/>
        <v>CAUCA_BOLIVAR</v>
      </c>
      <c r="ED2311" s="367"/>
      <c r="EE2311" s="367"/>
      <c r="EF2311" s="368"/>
      <c r="EG2311" s="367"/>
      <c r="EH2311" s="367"/>
      <c r="EI2311" s="367"/>
    </row>
    <row r="2312" spans="1:139" s="164" customFormat="1" ht="45">
      <c r="A2312" s="228">
        <v>40529</v>
      </c>
      <c r="B2312" s="205" t="s">
        <v>1314</v>
      </c>
      <c r="C2312" s="205" t="s">
        <v>2574</v>
      </c>
      <c r="D2312" s="207" t="s">
        <v>1878</v>
      </c>
      <c r="E2312" s="323" t="s">
        <v>3615</v>
      </c>
      <c r="F2312" s="323"/>
      <c r="G2312" s="204"/>
      <c r="H2312" s="151"/>
      <c r="I2312" s="151"/>
      <c r="J2312" s="151">
        <v>45</v>
      </c>
      <c r="K2312" s="151">
        <v>9</v>
      </c>
      <c r="L2312" s="1"/>
      <c r="M2312" s="73">
        <f t="shared" si="285"/>
        <v>0</v>
      </c>
      <c r="N2312" s="73">
        <f t="shared" si="283"/>
        <v>0</v>
      </c>
      <c r="O2312" s="73">
        <f t="shared" si="284"/>
        <v>0</v>
      </c>
      <c r="P2312" s="73">
        <f t="shared" si="286"/>
        <v>0</v>
      </c>
      <c r="Q2312" s="73"/>
      <c r="R2312" s="73">
        <v>0</v>
      </c>
      <c r="S2312" s="75">
        <f t="shared" si="282"/>
        <v>0</v>
      </c>
      <c r="T2312" s="77">
        <v>0</v>
      </c>
      <c r="U2312" s="66"/>
      <c r="V2312" s="79"/>
      <c r="W2312" s="66" t="s">
        <v>1606</v>
      </c>
      <c r="X2312" s="264" t="s">
        <v>1607</v>
      </c>
      <c r="Y2312" s="62"/>
      <c r="Z2312" s="260" t="s">
        <v>18</v>
      </c>
      <c r="AA2312" s="166" t="s">
        <v>3017</v>
      </c>
      <c r="AB2312" s="152"/>
      <c r="AC2312" s="153"/>
      <c r="AD2312" s="154"/>
      <c r="AE2312" s="153"/>
      <c r="AF2312" s="153"/>
      <c r="AG2312" s="153"/>
      <c r="AH2312" s="153"/>
      <c r="AI2312" s="153"/>
      <c r="AJ2312" s="153"/>
      <c r="AK2312" s="153"/>
      <c r="AL2312" s="153"/>
      <c r="AM2312" s="153"/>
      <c r="AN2312" s="153"/>
      <c r="AO2312" s="153"/>
      <c r="AP2312" s="153"/>
      <c r="AQ2312" s="153"/>
      <c r="AR2312" s="153"/>
      <c r="AS2312" s="153"/>
      <c r="AT2312" s="153"/>
      <c r="AU2312" s="153"/>
      <c r="AV2312" s="153"/>
      <c r="AW2312" s="153"/>
      <c r="AX2312" s="153"/>
      <c r="AY2312" s="153"/>
      <c r="AZ2312" s="153"/>
      <c r="BA2312" s="153"/>
      <c r="BB2312" s="153"/>
      <c r="BC2312" s="153"/>
      <c r="BD2312" s="153"/>
      <c r="BE2312" s="153"/>
      <c r="BF2312" s="153"/>
      <c r="BG2312" s="153"/>
      <c r="BH2312" s="153"/>
      <c r="BI2312" s="153"/>
      <c r="BJ2312" s="153"/>
      <c r="BK2312" s="153"/>
      <c r="BL2312" s="153"/>
      <c r="BM2312" s="153"/>
      <c r="BN2312" s="153"/>
      <c r="BO2312" s="153"/>
      <c r="BP2312" s="153"/>
      <c r="BQ2312" s="153"/>
      <c r="BR2312" s="153"/>
      <c r="BS2312" s="153"/>
      <c r="BT2312" s="153"/>
      <c r="BU2312" s="153"/>
      <c r="BV2312" s="153"/>
      <c r="BW2312" s="153"/>
      <c r="BX2312" s="153"/>
      <c r="BY2312" s="153"/>
      <c r="BZ2312" s="153"/>
      <c r="CA2312" s="153"/>
      <c r="CB2312" s="153"/>
      <c r="CC2312" s="153"/>
      <c r="CD2312" s="155"/>
      <c r="CE2312" s="156"/>
      <c r="CF2312" s="155"/>
      <c r="CG2312" s="156"/>
      <c r="CH2312" s="155"/>
      <c r="CI2312" s="156"/>
      <c r="CJ2312" s="157">
        <f t="shared" si="287"/>
        <v>0</v>
      </c>
      <c r="CK2312" s="158"/>
      <c r="CL2312" s="159"/>
      <c r="CM2312" s="160"/>
      <c r="CN2312" s="161"/>
      <c r="CO2312" s="162"/>
      <c r="CP2312" s="161"/>
      <c r="CQ2312" s="158"/>
      <c r="CR2312" s="159"/>
      <c r="CS2312" s="68"/>
      <c r="CT2312" s="163"/>
      <c r="EC2312" s="366" t="str">
        <f t="shared" si="288"/>
        <v>CAUCA_ROSAS</v>
      </c>
      <c r="ED2312" s="367"/>
      <c r="EE2312" s="367"/>
      <c r="EF2312" s="368"/>
      <c r="EG2312" s="367"/>
      <c r="EH2312" s="367"/>
      <c r="EI2312" s="367"/>
    </row>
    <row r="2313" spans="1:139" s="164" customFormat="1" ht="36">
      <c r="A2313" s="228">
        <v>40529</v>
      </c>
      <c r="B2313" s="205" t="s">
        <v>1295</v>
      </c>
      <c r="C2313" s="205" t="s">
        <v>1724</v>
      </c>
      <c r="D2313" s="207" t="s">
        <v>1201</v>
      </c>
      <c r="E2313" s="323" t="s">
        <v>3653</v>
      </c>
      <c r="F2313" s="323"/>
      <c r="G2313" s="204"/>
      <c r="H2313" s="151"/>
      <c r="I2313" s="151"/>
      <c r="J2313" s="151">
        <v>987</v>
      </c>
      <c r="K2313" s="151">
        <v>220</v>
      </c>
      <c r="L2313" s="1"/>
      <c r="M2313" s="73">
        <f t="shared" si="285"/>
        <v>0</v>
      </c>
      <c r="N2313" s="73">
        <f t="shared" si="283"/>
        <v>255000000</v>
      </c>
      <c r="O2313" s="73">
        <f t="shared" si="284"/>
        <v>0</v>
      </c>
      <c r="P2313" s="73">
        <f t="shared" si="286"/>
        <v>0</v>
      </c>
      <c r="Q2313" s="73"/>
      <c r="R2313" s="73">
        <v>0</v>
      </c>
      <c r="S2313" s="75">
        <f t="shared" ref="S2313:S2376" si="289">M2313+N2313+O2313+P2313+Q2313+R2313</f>
        <v>255000000</v>
      </c>
      <c r="T2313" s="77">
        <v>0</v>
      </c>
      <c r="U2313" s="66"/>
      <c r="V2313" s="79"/>
      <c r="W2313" s="66" t="s">
        <v>1606</v>
      </c>
      <c r="X2313" s="24" t="s">
        <v>1607</v>
      </c>
      <c r="Y2313" s="62"/>
      <c r="Z2313" s="169"/>
      <c r="AA2313" s="166" t="s">
        <v>3015</v>
      </c>
      <c r="AB2313" s="152"/>
      <c r="AC2313" s="153"/>
      <c r="AD2313" s="154"/>
      <c r="AE2313" s="153"/>
      <c r="AF2313" s="153"/>
      <c r="AG2313" s="153"/>
      <c r="AH2313" s="153"/>
      <c r="AI2313" s="153"/>
      <c r="AJ2313" s="153"/>
      <c r="AK2313" s="153"/>
      <c r="AL2313" s="153"/>
      <c r="AM2313" s="153"/>
      <c r="AN2313" s="153"/>
      <c r="AO2313" s="153"/>
      <c r="AP2313" s="153"/>
      <c r="AQ2313" s="153"/>
      <c r="AR2313" s="153"/>
      <c r="AS2313" s="153"/>
      <c r="AT2313" s="153"/>
      <c r="AU2313" s="153"/>
      <c r="AV2313" s="153"/>
      <c r="AW2313" s="153"/>
      <c r="AX2313" s="153"/>
      <c r="AY2313" s="153"/>
      <c r="AZ2313" s="153"/>
      <c r="BA2313" s="153"/>
      <c r="BB2313" s="153"/>
      <c r="BC2313" s="153"/>
      <c r="BD2313" s="153"/>
      <c r="BE2313" s="153"/>
      <c r="BF2313" s="153"/>
      <c r="BG2313" s="153"/>
      <c r="BH2313" s="153"/>
      <c r="BI2313" s="153"/>
      <c r="BJ2313" s="153"/>
      <c r="BK2313" s="153"/>
      <c r="BL2313" s="153"/>
      <c r="BM2313" s="153"/>
      <c r="BN2313" s="153"/>
      <c r="BO2313" s="153"/>
      <c r="BP2313" s="153"/>
      <c r="BQ2313" s="153"/>
      <c r="BR2313" s="153"/>
      <c r="BS2313" s="153"/>
      <c r="BT2313" s="153"/>
      <c r="BU2313" s="153"/>
      <c r="BV2313" s="153"/>
      <c r="BW2313" s="153"/>
      <c r="BX2313" s="153"/>
      <c r="BY2313" s="153"/>
      <c r="BZ2313" s="153"/>
      <c r="CA2313" s="153"/>
      <c r="CB2313" s="153"/>
      <c r="CC2313" s="153"/>
      <c r="CD2313" s="155"/>
      <c r="CE2313" s="156"/>
      <c r="CF2313" s="155"/>
      <c r="CG2313" s="156"/>
      <c r="CH2313" s="155"/>
      <c r="CI2313" s="156"/>
      <c r="CJ2313" s="157">
        <f t="shared" si="287"/>
        <v>0</v>
      </c>
      <c r="CK2313" s="158"/>
      <c r="CL2313" s="159"/>
      <c r="CM2313" s="160">
        <v>3000</v>
      </c>
      <c r="CN2313" s="161">
        <f>3000*85000</f>
        <v>255000000</v>
      </c>
      <c r="CO2313" s="162"/>
      <c r="CP2313" s="161"/>
      <c r="CQ2313" s="158"/>
      <c r="CR2313" s="159"/>
      <c r="CS2313" s="68"/>
      <c r="CT2313" s="163"/>
      <c r="EC2313" s="366" t="str">
        <f t="shared" si="288"/>
        <v>CORDOBA_MONTERIA</v>
      </c>
      <c r="ED2313" s="367"/>
      <c r="EE2313" s="367"/>
      <c r="EF2313" s="368"/>
      <c r="EG2313" s="367"/>
      <c r="EH2313" s="367"/>
      <c r="EI2313" s="367"/>
    </row>
    <row r="2314" spans="1:139" s="164" customFormat="1" ht="25.5">
      <c r="A2314" s="228">
        <v>40529</v>
      </c>
      <c r="B2314" s="205" t="s">
        <v>962</v>
      </c>
      <c r="C2314" s="205" t="s">
        <v>541</v>
      </c>
      <c r="D2314" s="207" t="s">
        <v>1201</v>
      </c>
      <c r="E2314" s="323" t="s">
        <v>3843</v>
      </c>
      <c r="F2314" s="323"/>
      <c r="G2314" s="204"/>
      <c r="H2314" s="151"/>
      <c r="I2314" s="151"/>
      <c r="J2314" s="151">
        <v>50</v>
      </c>
      <c r="K2314" s="151">
        <v>10</v>
      </c>
      <c r="L2314" s="1"/>
      <c r="M2314" s="73">
        <f t="shared" si="285"/>
        <v>0</v>
      </c>
      <c r="N2314" s="73">
        <f t="shared" si="283"/>
        <v>0</v>
      </c>
      <c r="O2314" s="73">
        <f t="shared" si="284"/>
        <v>0</v>
      </c>
      <c r="P2314" s="73">
        <f t="shared" si="286"/>
        <v>0</v>
      </c>
      <c r="Q2314" s="73"/>
      <c r="R2314" s="73">
        <v>0</v>
      </c>
      <c r="S2314" s="75">
        <f t="shared" si="289"/>
        <v>0</v>
      </c>
      <c r="T2314" s="77">
        <v>0</v>
      </c>
      <c r="U2314" s="66">
        <v>40581</v>
      </c>
      <c r="V2314" s="79"/>
      <c r="W2314" s="66" t="s">
        <v>1585</v>
      </c>
      <c r="X2314" s="24" t="s">
        <v>1586</v>
      </c>
      <c r="Y2314" s="62"/>
      <c r="Z2314" s="169" t="s">
        <v>894</v>
      </c>
      <c r="AA2314" s="166" t="s">
        <v>54</v>
      </c>
      <c r="AB2314" s="152"/>
      <c r="AC2314" s="153"/>
      <c r="AD2314" s="154"/>
      <c r="AE2314" s="153"/>
      <c r="AF2314" s="153"/>
      <c r="AG2314" s="153"/>
      <c r="AH2314" s="153"/>
      <c r="AI2314" s="153"/>
      <c r="AJ2314" s="153"/>
      <c r="AK2314" s="153"/>
      <c r="AL2314" s="153"/>
      <c r="AM2314" s="153"/>
      <c r="AN2314" s="153"/>
      <c r="AO2314" s="153"/>
      <c r="AP2314" s="153"/>
      <c r="AQ2314" s="153"/>
      <c r="AR2314" s="153"/>
      <c r="AS2314" s="153"/>
      <c r="AT2314" s="153"/>
      <c r="AU2314" s="153"/>
      <c r="AV2314" s="153"/>
      <c r="AW2314" s="153"/>
      <c r="AX2314" s="153"/>
      <c r="AY2314" s="153"/>
      <c r="AZ2314" s="153"/>
      <c r="BA2314" s="153"/>
      <c r="BB2314" s="153"/>
      <c r="BC2314" s="153"/>
      <c r="BD2314" s="153"/>
      <c r="BE2314" s="153"/>
      <c r="BF2314" s="153"/>
      <c r="BG2314" s="153"/>
      <c r="BH2314" s="153"/>
      <c r="BI2314" s="153"/>
      <c r="BJ2314" s="153"/>
      <c r="BK2314" s="153"/>
      <c r="BL2314" s="153"/>
      <c r="BM2314" s="153"/>
      <c r="BN2314" s="153"/>
      <c r="BO2314" s="153"/>
      <c r="BP2314" s="153"/>
      <c r="BQ2314" s="153"/>
      <c r="BR2314" s="153"/>
      <c r="BS2314" s="153"/>
      <c r="BT2314" s="153"/>
      <c r="BU2314" s="153"/>
      <c r="BV2314" s="153"/>
      <c r="BW2314" s="153"/>
      <c r="BX2314" s="153"/>
      <c r="BY2314" s="153"/>
      <c r="BZ2314" s="153"/>
      <c r="CA2314" s="153"/>
      <c r="CB2314" s="153"/>
      <c r="CC2314" s="153"/>
      <c r="CD2314" s="155"/>
      <c r="CE2314" s="156"/>
      <c r="CF2314" s="155"/>
      <c r="CG2314" s="156"/>
      <c r="CH2314" s="155"/>
      <c r="CI2314" s="156"/>
      <c r="CJ2314" s="157">
        <f t="shared" si="287"/>
        <v>0</v>
      </c>
      <c r="CK2314" s="158"/>
      <c r="CL2314" s="159"/>
      <c r="CM2314" s="160"/>
      <c r="CN2314" s="161"/>
      <c r="CO2314" s="162"/>
      <c r="CP2314" s="161"/>
      <c r="CQ2314" s="158"/>
      <c r="CR2314" s="159"/>
      <c r="CS2314" s="68"/>
      <c r="CT2314" s="163"/>
      <c r="EC2314" s="366" t="str">
        <f t="shared" si="288"/>
        <v>HUILA_PAICOL</v>
      </c>
      <c r="ED2314" s="367"/>
      <c r="EE2314" s="367"/>
      <c r="EF2314" s="368"/>
      <c r="EG2314" s="367"/>
      <c r="EH2314" s="367"/>
      <c r="EI2314" s="367"/>
    </row>
    <row r="2315" spans="1:139" s="164" customFormat="1" ht="56.25">
      <c r="A2315" s="228">
        <v>40529</v>
      </c>
      <c r="B2315" s="205" t="s">
        <v>1440</v>
      </c>
      <c r="C2315" s="205" t="s">
        <v>1394</v>
      </c>
      <c r="D2315" s="207" t="s">
        <v>1201</v>
      </c>
      <c r="E2315" s="323" t="s">
        <v>3892</v>
      </c>
      <c r="F2315" s="323"/>
      <c r="G2315" s="204"/>
      <c r="H2315" s="151"/>
      <c r="I2315" s="151"/>
      <c r="J2315" s="151">
        <v>329</v>
      </c>
      <c r="K2315" s="151">
        <v>47</v>
      </c>
      <c r="L2315" s="1"/>
      <c r="M2315" s="73">
        <f t="shared" si="285"/>
        <v>0</v>
      </c>
      <c r="N2315" s="73">
        <f t="shared" si="283"/>
        <v>0</v>
      </c>
      <c r="O2315" s="73">
        <f t="shared" si="284"/>
        <v>0</v>
      </c>
      <c r="P2315" s="73">
        <f t="shared" si="286"/>
        <v>0</v>
      </c>
      <c r="Q2315" s="73"/>
      <c r="R2315" s="73">
        <v>0</v>
      </c>
      <c r="S2315" s="75">
        <f t="shared" si="289"/>
        <v>0</v>
      </c>
      <c r="T2315" s="77">
        <v>0</v>
      </c>
      <c r="U2315" s="66"/>
      <c r="V2315" s="79"/>
      <c r="W2315" s="66" t="s">
        <v>1606</v>
      </c>
      <c r="X2315" s="24" t="s">
        <v>1607</v>
      </c>
      <c r="Y2315" s="62"/>
      <c r="Z2315" s="176" t="s">
        <v>53</v>
      </c>
      <c r="AA2315" s="166" t="s">
        <v>3011</v>
      </c>
      <c r="AB2315" s="152"/>
      <c r="AC2315" s="153"/>
      <c r="AD2315" s="154"/>
      <c r="AE2315" s="153"/>
      <c r="AF2315" s="153"/>
      <c r="AG2315" s="153"/>
      <c r="AH2315" s="153"/>
      <c r="AI2315" s="153"/>
      <c r="AJ2315" s="153"/>
      <c r="AK2315" s="153"/>
      <c r="AL2315" s="153"/>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c r="BF2315" s="153"/>
      <c r="BG2315" s="153"/>
      <c r="BH2315" s="153"/>
      <c r="BI2315" s="153"/>
      <c r="BJ2315" s="153"/>
      <c r="BK2315" s="153"/>
      <c r="BL2315" s="153"/>
      <c r="BM2315" s="153"/>
      <c r="BN2315" s="153"/>
      <c r="BO2315" s="153"/>
      <c r="BP2315" s="153"/>
      <c r="BQ2315" s="153"/>
      <c r="BR2315" s="153"/>
      <c r="BS2315" s="153"/>
      <c r="BT2315" s="153"/>
      <c r="BU2315" s="153"/>
      <c r="BV2315" s="153"/>
      <c r="BW2315" s="153"/>
      <c r="BX2315" s="153"/>
      <c r="BY2315" s="153"/>
      <c r="BZ2315" s="153"/>
      <c r="CA2315" s="153"/>
      <c r="CB2315" s="153"/>
      <c r="CC2315" s="153"/>
      <c r="CD2315" s="155"/>
      <c r="CE2315" s="156"/>
      <c r="CF2315" s="155"/>
      <c r="CG2315" s="156"/>
      <c r="CH2315" s="155"/>
      <c r="CI2315" s="156"/>
      <c r="CJ2315" s="157">
        <f t="shared" si="287"/>
        <v>0</v>
      </c>
      <c r="CK2315" s="158"/>
      <c r="CL2315" s="159"/>
      <c r="CM2315" s="160"/>
      <c r="CN2315" s="161"/>
      <c r="CO2315" s="162"/>
      <c r="CP2315" s="161"/>
      <c r="CQ2315" s="158"/>
      <c r="CR2315" s="159"/>
      <c r="CS2315" s="68"/>
      <c r="CT2315" s="163"/>
      <c r="EC2315" s="366" t="str">
        <f t="shared" si="288"/>
        <v>MAGDALENA_PLATO</v>
      </c>
      <c r="ED2315" s="367"/>
      <c r="EE2315" s="367"/>
      <c r="EF2315" s="368"/>
      <c r="EG2315" s="367"/>
      <c r="EH2315" s="367"/>
      <c r="EI2315" s="367"/>
    </row>
    <row r="2316" spans="1:139" s="164" customFormat="1" ht="60">
      <c r="A2316" s="228">
        <v>40529</v>
      </c>
      <c r="B2316" s="205" t="s">
        <v>1440</v>
      </c>
      <c r="C2316" s="205" t="s">
        <v>1418</v>
      </c>
      <c r="D2316" s="207" t="s">
        <v>1201</v>
      </c>
      <c r="E2316" s="323" t="s">
        <v>3875</v>
      </c>
      <c r="F2316" s="323"/>
      <c r="G2316" s="204"/>
      <c r="H2316" s="151"/>
      <c r="I2316" s="151"/>
      <c r="J2316" s="151">
        <v>1800</v>
      </c>
      <c r="K2316" s="151">
        <v>400</v>
      </c>
      <c r="L2316" s="1"/>
      <c r="M2316" s="73">
        <f t="shared" si="285"/>
        <v>41760000</v>
      </c>
      <c r="N2316" s="73">
        <f t="shared" si="283"/>
        <v>0</v>
      </c>
      <c r="O2316" s="73">
        <f t="shared" si="284"/>
        <v>0</v>
      </c>
      <c r="P2316" s="73">
        <f t="shared" si="286"/>
        <v>95000000</v>
      </c>
      <c r="Q2316" s="73"/>
      <c r="R2316" s="73">
        <v>0</v>
      </c>
      <c r="S2316" s="75">
        <f t="shared" si="289"/>
        <v>136760000</v>
      </c>
      <c r="T2316" s="77">
        <v>0</v>
      </c>
      <c r="U2316" s="66"/>
      <c r="V2316" s="79"/>
      <c r="W2316" s="66" t="s">
        <v>1606</v>
      </c>
      <c r="X2316" s="24" t="s">
        <v>1607</v>
      </c>
      <c r="Y2316" s="62">
        <v>391</v>
      </c>
      <c r="Z2316" s="169"/>
      <c r="AA2316" s="166" t="s">
        <v>3010</v>
      </c>
      <c r="AB2316" s="152"/>
      <c r="AC2316" s="153"/>
      <c r="AD2316" s="154"/>
      <c r="AE2316" s="153"/>
      <c r="AF2316" s="153"/>
      <c r="AG2316" s="153"/>
      <c r="AH2316" s="153"/>
      <c r="AI2316" s="153"/>
      <c r="AJ2316" s="153"/>
      <c r="AK2316" s="153"/>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c r="BF2316" s="153"/>
      <c r="BG2316" s="153"/>
      <c r="BH2316" s="153"/>
      <c r="BI2316" s="153"/>
      <c r="BJ2316" s="153"/>
      <c r="BK2316" s="153"/>
      <c r="BL2316" s="153"/>
      <c r="BM2316" s="153"/>
      <c r="BN2316" s="153">
        <v>80</v>
      </c>
      <c r="BO2316" s="153">
        <f>80*522000</f>
        <v>41760000</v>
      </c>
      <c r="BP2316" s="153"/>
      <c r="BQ2316" s="153"/>
      <c r="BR2316" s="153"/>
      <c r="BS2316" s="153"/>
      <c r="BT2316" s="153"/>
      <c r="BU2316" s="153"/>
      <c r="BV2316" s="153"/>
      <c r="BW2316" s="153"/>
      <c r="BX2316" s="153"/>
      <c r="BY2316" s="153"/>
      <c r="BZ2316" s="153"/>
      <c r="CA2316" s="153"/>
      <c r="CB2316" s="153"/>
      <c r="CC2316" s="153"/>
      <c r="CD2316" s="155"/>
      <c r="CE2316" s="156"/>
      <c r="CF2316" s="155"/>
      <c r="CG2316" s="156"/>
      <c r="CH2316" s="155"/>
      <c r="CI2316" s="156"/>
      <c r="CJ2316" s="157">
        <f t="shared" si="287"/>
        <v>41760000</v>
      </c>
      <c r="CK2316" s="158">
        <v>100000</v>
      </c>
      <c r="CL2316" s="159">
        <f>100000*950</f>
        <v>95000000</v>
      </c>
      <c r="CM2316" s="160"/>
      <c r="CN2316" s="161"/>
      <c r="CO2316" s="162"/>
      <c r="CP2316" s="161"/>
      <c r="CQ2316" s="158"/>
      <c r="CR2316" s="159"/>
      <c r="CS2316" s="68"/>
      <c r="CT2316" s="163"/>
      <c r="EC2316" s="366" t="str">
        <f t="shared" si="288"/>
        <v>MAGDALENA_SANTA MARTA</v>
      </c>
      <c r="ED2316" s="367"/>
      <c r="EE2316" s="367"/>
      <c r="EF2316" s="368"/>
      <c r="EG2316" s="367"/>
      <c r="EH2316" s="367"/>
      <c r="EI2316" s="367"/>
    </row>
    <row r="2317" spans="1:139" s="164" customFormat="1" ht="38.25">
      <c r="A2317" s="228">
        <v>40529</v>
      </c>
      <c r="B2317" s="205" t="s">
        <v>1824</v>
      </c>
      <c r="C2317" s="205" t="s">
        <v>3174</v>
      </c>
      <c r="D2317" s="207" t="s">
        <v>1878</v>
      </c>
      <c r="E2317" s="323" t="s">
        <v>3953</v>
      </c>
      <c r="F2317" s="323"/>
      <c r="G2317" s="204"/>
      <c r="H2317" s="151"/>
      <c r="I2317" s="151"/>
      <c r="J2317" s="151">
        <f>1246-115</f>
        <v>1131</v>
      </c>
      <c r="K2317" s="151">
        <f>324-30</f>
        <v>294</v>
      </c>
      <c r="L2317" s="1"/>
      <c r="M2317" s="73">
        <f t="shared" si="285"/>
        <v>0</v>
      </c>
      <c r="N2317" s="73">
        <f t="shared" si="283"/>
        <v>0</v>
      </c>
      <c r="O2317" s="73">
        <f t="shared" si="284"/>
        <v>0</v>
      </c>
      <c r="P2317" s="73">
        <f t="shared" si="286"/>
        <v>0</v>
      </c>
      <c r="Q2317" s="73"/>
      <c r="R2317" s="73">
        <v>0</v>
      </c>
      <c r="S2317" s="75">
        <f t="shared" si="289"/>
        <v>0</v>
      </c>
      <c r="T2317" s="77">
        <v>0</v>
      </c>
      <c r="U2317" s="66">
        <v>40529</v>
      </c>
      <c r="V2317" s="79"/>
      <c r="W2317" s="66" t="s">
        <v>1585</v>
      </c>
      <c r="X2317" s="24" t="s">
        <v>1586</v>
      </c>
      <c r="Y2317" s="62"/>
      <c r="Z2317" s="169" t="s">
        <v>894</v>
      </c>
      <c r="AA2317" s="166" t="s">
        <v>442</v>
      </c>
      <c r="AB2317" s="152"/>
      <c r="AC2317" s="153"/>
      <c r="AD2317" s="154"/>
      <c r="AE2317" s="153"/>
      <c r="AF2317" s="153"/>
      <c r="AG2317" s="153"/>
      <c r="AH2317" s="153"/>
      <c r="AI2317" s="153"/>
      <c r="AJ2317" s="153"/>
      <c r="AK2317" s="153"/>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c r="BF2317" s="153"/>
      <c r="BG2317" s="153"/>
      <c r="BH2317" s="153"/>
      <c r="BI2317" s="153"/>
      <c r="BJ2317" s="153"/>
      <c r="BK2317" s="153"/>
      <c r="BL2317" s="153"/>
      <c r="BM2317" s="153"/>
      <c r="BN2317" s="153"/>
      <c r="BO2317" s="153"/>
      <c r="BP2317" s="153"/>
      <c r="BQ2317" s="153"/>
      <c r="BR2317" s="153"/>
      <c r="BS2317" s="153"/>
      <c r="BT2317" s="153"/>
      <c r="BU2317" s="153"/>
      <c r="BV2317" s="153"/>
      <c r="BW2317" s="153"/>
      <c r="BX2317" s="153"/>
      <c r="BY2317" s="153"/>
      <c r="BZ2317" s="153"/>
      <c r="CA2317" s="153"/>
      <c r="CB2317" s="153"/>
      <c r="CC2317" s="153"/>
      <c r="CD2317" s="155"/>
      <c r="CE2317" s="156"/>
      <c r="CF2317" s="155"/>
      <c r="CG2317" s="156"/>
      <c r="CH2317" s="155"/>
      <c r="CI2317" s="156"/>
      <c r="CJ2317" s="157">
        <f t="shared" si="287"/>
        <v>0</v>
      </c>
      <c r="CK2317" s="158"/>
      <c r="CL2317" s="159"/>
      <c r="CM2317" s="160"/>
      <c r="CN2317" s="161"/>
      <c r="CO2317" s="162"/>
      <c r="CP2317" s="161"/>
      <c r="CQ2317" s="158"/>
      <c r="CR2317" s="159"/>
      <c r="CS2317" s="68"/>
      <c r="CT2317" s="163"/>
      <c r="EC2317" s="366" t="str">
        <f t="shared" si="288"/>
        <v>NARIÑO_EL TABLON DE GOMEZ</v>
      </c>
      <c r="ED2317" s="367"/>
      <c r="EE2317" s="367"/>
      <c r="EF2317" s="368"/>
      <c r="EG2317" s="367"/>
      <c r="EH2317" s="367"/>
      <c r="EI2317" s="367"/>
    </row>
    <row r="2318" spans="1:139" s="164" customFormat="1" ht="48">
      <c r="A2318" s="228">
        <v>40529</v>
      </c>
      <c r="B2318" s="205" t="s">
        <v>1824</v>
      </c>
      <c r="C2318" s="205" t="s">
        <v>2531</v>
      </c>
      <c r="D2318" s="207" t="s">
        <v>1878</v>
      </c>
      <c r="E2318" s="323" t="s">
        <v>3985</v>
      </c>
      <c r="F2318" s="323"/>
      <c r="G2318" s="204"/>
      <c r="H2318" s="151">
        <v>1</v>
      </c>
      <c r="I2318" s="151"/>
      <c r="J2318" s="151">
        <f>2048-583</f>
        <v>1465</v>
      </c>
      <c r="K2318" s="151">
        <v>366</v>
      </c>
      <c r="L2318" s="1"/>
      <c r="M2318" s="73">
        <f t="shared" si="285"/>
        <v>0</v>
      </c>
      <c r="N2318" s="73">
        <f t="shared" ref="N2318:N2381" si="290">CN2318</f>
        <v>0</v>
      </c>
      <c r="O2318" s="73">
        <f t="shared" si="284"/>
        <v>0</v>
      </c>
      <c r="P2318" s="73">
        <f t="shared" si="286"/>
        <v>0</v>
      </c>
      <c r="Q2318" s="73"/>
      <c r="R2318" s="73">
        <v>0</v>
      </c>
      <c r="S2318" s="75">
        <f t="shared" si="289"/>
        <v>0</v>
      </c>
      <c r="T2318" s="77">
        <v>0</v>
      </c>
      <c r="U2318" s="66">
        <v>40529</v>
      </c>
      <c r="V2318" s="79"/>
      <c r="W2318" s="66" t="s">
        <v>1585</v>
      </c>
      <c r="X2318" s="24" t="s">
        <v>1586</v>
      </c>
      <c r="Y2318" s="62"/>
      <c r="Z2318" s="169" t="s">
        <v>894</v>
      </c>
      <c r="AA2318" s="166" t="s">
        <v>441</v>
      </c>
      <c r="AB2318" s="152"/>
      <c r="AC2318" s="153"/>
      <c r="AD2318" s="154"/>
      <c r="AE2318" s="153"/>
      <c r="AF2318" s="153"/>
      <c r="AG2318" s="153"/>
      <c r="AH2318" s="153"/>
      <c r="AI2318" s="153"/>
      <c r="AJ2318" s="153"/>
      <c r="AK2318" s="153"/>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c r="BF2318" s="153"/>
      <c r="BG2318" s="153"/>
      <c r="BH2318" s="153"/>
      <c r="BI2318" s="153"/>
      <c r="BJ2318" s="153"/>
      <c r="BK2318" s="153"/>
      <c r="BL2318" s="153"/>
      <c r="BM2318" s="153"/>
      <c r="BN2318" s="153"/>
      <c r="BO2318" s="153"/>
      <c r="BP2318" s="153"/>
      <c r="BQ2318" s="153"/>
      <c r="BR2318" s="153"/>
      <c r="BS2318" s="153"/>
      <c r="BT2318" s="153"/>
      <c r="BU2318" s="153"/>
      <c r="BV2318" s="153"/>
      <c r="BW2318" s="153"/>
      <c r="BX2318" s="153"/>
      <c r="BY2318" s="153"/>
      <c r="BZ2318" s="153"/>
      <c r="CA2318" s="153"/>
      <c r="CB2318" s="153"/>
      <c r="CC2318" s="153"/>
      <c r="CD2318" s="155"/>
      <c r="CE2318" s="156"/>
      <c r="CF2318" s="155"/>
      <c r="CG2318" s="156"/>
      <c r="CH2318" s="155"/>
      <c r="CI2318" s="156"/>
      <c r="CJ2318" s="157">
        <f t="shared" si="287"/>
        <v>0</v>
      </c>
      <c r="CK2318" s="158"/>
      <c r="CL2318" s="159"/>
      <c r="CM2318" s="160"/>
      <c r="CN2318" s="161"/>
      <c r="CO2318" s="162"/>
      <c r="CP2318" s="161"/>
      <c r="CQ2318" s="158"/>
      <c r="CR2318" s="159"/>
      <c r="CS2318" s="68"/>
      <c r="CT2318" s="163"/>
      <c r="EC2318" s="366" t="str">
        <f t="shared" si="288"/>
        <v>NARIÑO_SANDONA</v>
      </c>
      <c r="ED2318" s="367"/>
      <c r="EE2318" s="367"/>
      <c r="EF2318" s="368"/>
      <c r="EG2318" s="367"/>
      <c r="EH2318" s="367"/>
      <c r="EI2318" s="367"/>
    </row>
    <row r="2319" spans="1:139" s="164" customFormat="1" ht="51">
      <c r="A2319" s="228">
        <v>40529</v>
      </c>
      <c r="B2319" s="205" t="s">
        <v>965</v>
      </c>
      <c r="C2319" s="205" t="s">
        <v>2017</v>
      </c>
      <c r="D2319" s="207" t="s">
        <v>1878</v>
      </c>
      <c r="E2319" s="323" t="s">
        <v>4013</v>
      </c>
      <c r="F2319" s="323"/>
      <c r="G2319" s="204"/>
      <c r="H2319" s="151"/>
      <c r="I2319" s="151"/>
      <c r="J2319" s="416">
        <f>1000*3.3</f>
        <v>3300</v>
      </c>
      <c r="K2319" s="151">
        <v>1000</v>
      </c>
      <c r="L2319" s="1"/>
      <c r="M2319" s="73">
        <f t="shared" si="285"/>
        <v>0</v>
      </c>
      <c r="N2319" s="73">
        <f t="shared" si="290"/>
        <v>0</v>
      </c>
      <c r="O2319" s="73">
        <f t="shared" si="284"/>
        <v>0</v>
      </c>
      <c r="P2319" s="73">
        <f t="shared" si="286"/>
        <v>0</v>
      </c>
      <c r="Q2319" s="73"/>
      <c r="R2319" s="73">
        <v>0</v>
      </c>
      <c r="S2319" s="75">
        <f t="shared" si="289"/>
        <v>0</v>
      </c>
      <c r="T2319" s="77">
        <v>0</v>
      </c>
      <c r="U2319" s="66">
        <v>40529</v>
      </c>
      <c r="V2319" s="79"/>
      <c r="W2319" s="66" t="s">
        <v>1606</v>
      </c>
      <c r="X2319" s="264" t="s">
        <v>1607</v>
      </c>
      <c r="Y2319" s="62"/>
      <c r="Z2319" s="260" t="s">
        <v>18</v>
      </c>
      <c r="AA2319" s="166" t="s">
        <v>3012</v>
      </c>
      <c r="AB2319" s="152"/>
      <c r="AC2319" s="153"/>
      <c r="AD2319" s="154"/>
      <c r="AE2319" s="153"/>
      <c r="AF2319" s="153"/>
      <c r="AG2319" s="153"/>
      <c r="AH2319" s="153"/>
      <c r="AI2319" s="153"/>
      <c r="AJ2319" s="153"/>
      <c r="AK2319" s="153"/>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c r="BF2319" s="153"/>
      <c r="BG2319" s="153"/>
      <c r="BH2319" s="153"/>
      <c r="BI2319" s="153"/>
      <c r="BJ2319" s="153"/>
      <c r="BK2319" s="153"/>
      <c r="BL2319" s="153"/>
      <c r="BM2319" s="153"/>
      <c r="BN2319" s="153"/>
      <c r="BO2319" s="153"/>
      <c r="BP2319" s="153"/>
      <c r="BQ2319" s="153"/>
      <c r="BR2319" s="153"/>
      <c r="BS2319" s="153"/>
      <c r="BT2319" s="153"/>
      <c r="BU2319" s="153"/>
      <c r="BV2319" s="153"/>
      <c r="BW2319" s="153"/>
      <c r="BX2319" s="153"/>
      <c r="BY2319" s="153"/>
      <c r="BZ2319" s="153"/>
      <c r="CA2319" s="153"/>
      <c r="CB2319" s="153"/>
      <c r="CC2319" s="153"/>
      <c r="CD2319" s="155"/>
      <c r="CE2319" s="156"/>
      <c r="CF2319" s="155"/>
      <c r="CG2319" s="156"/>
      <c r="CH2319" s="155"/>
      <c r="CI2319" s="156"/>
      <c r="CJ2319" s="157">
        <f t="shared" si="287"/>
        <v>0</v>
      </c>
      <c r="CK2319" s="158"/>
      <c r="CL2319" s="159"/>
      <c r="CM2319" s="160"/>
      <c r="CN2319" s="161"/>
      <c r="CO2319" s="162"/>
      <c r="CP2319" s="161"/>
      <c r="CQ2319" s="158"/>
      <c r="CR2319" s="159"/>
      <c r="CS2319" s="68"/>
      <c r="CT2319" s="163"/>
      <c r="EC2319" s="366" t="str">
        <f t="shared" si="288"/>
        <v>NORTE DE SANTANDER_GRAMALOTE</v>
      </c>
      <c r="ED2319" s="367"/>
      <c r="EE2319" s="367"/>
      <c r="EF2319" s="368"/>
      <c r="EG2319" s="367"/>
      <c r="EH2319" s="367"/>
      <c r="EI2319" s="367"/>
    </row>
    <row r="2320" spans="1:139" s="164" customFormat="1" ht="63.75">
      <c r="A2320" s="228">
        <v>40529</v>
      </c>
      <c r="B2320" s="205" t="s">
        <v>965</v>
      </c>
      <c r="C2320" s="205" t="s">
        <v>1328</v>
      </c>
      <c r="D2320" s="207" t="s">
        <v>1878</v>
      </c>
      <c r="E2320" s="323" t="s">
        <v>4037</v>
      </c>
      <c r="F2320" s="323"/>
      <c r="G2320" s="204"/>
      <c r="H2320" s="151"/>
      <c r="I2320" s="151"/>
      <c r="J2320" s="151">
        <v>40</v>
      </c>
      <c r="K2320" s="151">
        <v>8</v>
      </c>
      <c r="L2320" s="1"/>
      <c r="M2320" s="73">
        <f t="shared" si="285"/>
        <v>0</v>
      </c>
      <c r="N2320" s="73">
        <f t="shared" si="290"/>
        <v>0</v>
      </c>
      <c r="O2320" s="73">
        <f t="shared" si="284"/>
        <v>0</v>
      </c>
      <c r="P2320" s="73">
        <f t="shared" si="286"/>
        <v>0</v>
      </c>
      <c r="Q2320" s="73"/>
      <c r="R2320" s="73">
        <v>0</v>
      </c>
      <c r="S2320" s="75">
        <f t="shared" si="289"/>
        <v>0</v>
      </c>
      <c r="T2320" s="77">
        <v>0</v>
      </c>
      <c r="U2320" s="66">
        <v>40529</v>
      </c>
      <c r="V2320" s="79"/>
      <c r="W2320" s="66" t="s">
        <v>1606</v>
      </c>
      <c r="X2320" s="264" t="s">
        <v>1607</v>
      </c>
      <c r="Y2320" s="62"/>
      <c r="Z2320" s="260" t="s">
        <v>18</v>
      </c>
      <c r="AA2320" s="166"/>
      <c r="AB2320" s="152"/>
      <c r="AC2320" s="153"/>
      <c r="AD2320" s="154"/>
      <c r="AE2320" s="153"/>
      <c r="AF2320" s="153"/>
      <c r="AG2320" s="153"/>
      <c r="AH2320" s="153"/>
      <c r="AI2320" s="153"/>
      <c r="AJ2320" s="153"/>
      <c r="AK2320" s="153"/>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c r="BF2320" s="153"/>
      <c r="BG2320" s="153"/>
      <c r="BH2320" s="153"/>
      <c r="BI2320" s="153"/>
      <c r="BJ2320" s="153"/>
      <c r="BK2320" s="153"/>
      <c r="BL2320" s="153"/>
      <c r="BM2320" s="153"/>
      <c r="BN2320" s="153"/>
      <c r="BO2320" s="153"/>
      <c r="BP2320" s="153"/>
      <c r="BQ2320" s="153"/>
      <c r="BR2320" s="153"/>
      <c r="BS2320" s="153"/>
      <c r="BT2320" s="153"/>
      <c r="BU2320" s="153"/>
      <c r="BV2320" s="153"/>
      <c r="BW2320" s="153"/>
      <c r="BX2320" s="153"/>
      <c r="BY2320" s="153"/>
      <c r="BZ2320" s="153"/>
      <c r="CA2320" s="153"/>
      <c r="CB2320" s="153"/>
      <c r="CC2320" s="153"/>
      <c r="CD2320" s="155"/>
      <c r="CE2320" s="156"/>
      <c r="CF2320" s="155"/>
      <c r="CG2320" s="156"/>
      <c r="CH2320" s="155"/>
      <c r="CI2320" s="156"/>
      <c r="CJ2320" s="157">
        <f t="shared" si="287"/>
        <v>0</v>
      </c>
      <c r="CK2320" s="158"/>
      <c r="CL2320" s="159"/>
      <c r="CM2320" s="160"/>
      <c r="CN2320" s="161"/>
      <c r="CO2320" s="162"/>
      <c r="CP2320" s="161"/>
      <c r="CQ2320" s="158"/>
      <c r="CR2320" s="159"/>
      <c r="CS2320" s="68"/>
      <c r="CT2320" s="163"/>
      <c r="EC2320" s="366" t="str">
        <f t="shared" si="288"/>
        <v>NORTE DE SANTANDER_VILLA DEL ROSARIO</v>
      </c>
      <c r="ED2320" s="367"/>
      <c r="EE2320" s="367"/>
      <c r="EF2320" s="368"/>
      <c r="EG2320" s="367"/>
      <c r="EH2320" s="367"/>
      <c r="EI2320" s="367"/>
    </row>
    <row r="2321" spans="1:139" s="164" customFormat="1" ht="48">
      <c r="A2321" s="228">
        <v>40529</v>
      </c>
      <c r="B2321" s="205" t="s">
        <v>1612</v>
      </c>
      <c r="C2321" s="205" t="s">
        <v>1613</v>
      </c>
      <c r="D2321" s="207" t="s">
        <v>1878</v>
      </c>
      <c r="E2321" s="323" t="s">
        <v>4038</v>
      </c>
      <c r="F2321" s="323"/>
      <c r="G2321" s="204"/>
      <c r="H2321" s="151"/>
      <c r="I2321" s="151"/>
      <c r="J2321" s="151">
        <v>25</v>
      </c>
      <c r="K2321" s="151">
        <v>5</v>
      </c>
      <c r="L2321" s="1"/>
      <c r="M2321" s="73">
        <f t="shared" si="285"/>
        <v>0</v>
      </c>
      <c r="N2321" s="73">
        <f t="shared" si="290"/>
        <v>0</v>
      </c>
      <c r="O2321" s="73">
        <f t="shared" si="284"/>
        <v>0</v>
      </c>
      <c r="P2321" s="73">
        <f t="shared" si="286"/>
        <v>0</v>
      </c>
      <c r="Q2321" s="73"/>
      <c r="R2321" s="73">
        <v>0</v>
      </c>
      <c r="S2321" s="75">
        <f t="shared" si="289"/>
        <v>0</v>
      </c>
      <c r="T2321" s="77">
        <v>0</v>
      </c>
      <c r="U2321" s="66">
        <v>40533</v>
      </c>
      <c r="V2321" s="79"/>
      <c r="W2321" s="66" t="s">
        <v>1585</v>
      </c>
      <c r="X2321" s="24" t="s">
        <v>1586</v>
      </c>
      <c r="Y2321" s="62"/>
      <c r="Z2321" s="169" t="s">
        <v>894</v>
      </c>
      <c r="AA2321" s="166" t="s">
        <v>3023</v>
      </c>
      <c r="AB2321" s="152"/>
      <c r="AC2321" s="153"/>
      <c r="AD2321" s="154"/>
      <c r="AE2321" s="153"/>
      <c r="AF2321" s="153"/>
      <c r="AG2321" s="153"/>
      <c r="AH2321" s="153"/>
      <c r="AI2321" s="153"/>
      <c r="AJ2321" s="153"/>
      <c r="AK2321" s="153"/>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c r="BF2321" s="153"/>
      <c r="BG2321" s="153"/>
      <c r="BH2321" s="153"/>
      <c r="BI2321" s="153"/>
      <c r="BJ2321" s="153"/>
      <c r="BK2321" s="153"/>
      <c r="BL2321" s="153"/>
      <c r="BM2321" s="153"/>
      <c r="BN2321" s="153"/>
      <c r="BO2321" s="153"/>
      <c r="BP2321" s="153"/>
      <c r="BQ2321" s="153"/>
      <c r="BR2321" s="153"/>
      <c r="BS2321" s="153"/>
      <c r="BT2321" s="153"/>
      <c r="BU2321" s="153"/>
      <c r="BV2321" s="153"/>
      <c r="BW2321" s="153"/>
      <c r="BX2321" s="153"/>
      <c r="BY2321" s="153"/>
      <c r="BZ2321" s="153"/>
      <c r="CA2321" s="153"/>
      <c r="CB2321" s="153"/>
      <c r="CC2321" s="153"/>
      <c r="CD2321" s="155"/>
      <c r="CE2321" s="156"/>
      <c r="CF2321" s="155"/>
      <c r="CG2321" s="156"/>
      <c r="CH2321" s="155"/>
      <c r="CI2321" s="156"/>
      <c r="CJ2321" s="157">
        <f t="shared" si="287"/>
        <v>0</v>
      </c>
      <c r="CK2321" s="158"/>
      <c r="CL2321" s="159"/>
      <c r="CM2321" s="160"/>
      <c r="CN2321" s="161"/>
      <c r="CO2321" s="162"/>
      <c r="CP2321" s="161"/>
      <c r="CQ2321" s="158"/>
      <c r="CR2321" s="159"/>
      <c r="CS2321" s="68"/>
      <c r="CT2321" s="163"/>
      <c r="EC2321" s="366" t="str">
        <f t="shared" si="288"/>
        <v>QUINDIO_ARMENIA</v>
      </c>
      <c r="ED2321" s="367"/>
      <c r="EE2321" s="367"/>
      <c r="EF2321" s="368"/>
      <c r="EG2321" s="367"/>
      <c r="EH2321" s="367"/>
      <c r="EI2321" s="367"/>
    </row>
    <row r="2322" spans="1:139" s="164" customFormat="1" ht="45">
      <c r="A2322" s="228">
        <v>40529</v>
      </c>
      <c r="B2322" s="205" t="s">
        <v>1088</v>
      </c>
      <c r="C2322" s="205" t="s">
        <v>993</v>
      </c>
      <c r="D2322" s="207" t="s">
        <v>1201</v>
      </c>
      <c r="E2322" s="323" t="s">
        <v>4245</v>
      </c>
      <c r="F2322" s="323"/>
      <c r="G2322" s="204"/>
      <c r="H2322" s="151"/>
      <c r="I2322" s="151"/>
      <c r="J2322" s="151">
        <f>934*5</f>
        <v>4670</v>
      </c>
      <c r="K2322" s="151">
        <f>2386-12-150-120-1-118-851-200</f>
        <v>934</v>
      </c>
      <c r="L2322" s="1"/>
      <c r="M2322" s="73">
        <f t="shared" si="285"/>
        <v>0</v>
      </c>
      <c r="N2322" s="73">
        <f t="shared" si="290"/>
        <v>0</v>
      </c>
      <c r="O2322" s="73">
        <f t="shared" si="284"/>
        <v>0</v>
      </c>
      <c r="P2322" s="73">
        <f t="shared" si="286"/>
        <v>0</v>
      </c>
      <c r="Q2322" s="73"/>
      <c r="R2322" s="73">
        <v>0</v>
      </c>
      <c r="S2322" s="75">
        <f t="shared" si="289"/>
        <v>0</v>
      </c>
      <c r="T2322" s="77">
        <v>0</v>
      </c>
      <c r="U2322" s="66"/>
      <c r="V2322" s="79"/>
      <c r="W2322" s="66" t="s">
        <v>1606</v>
      </c>
      <c r="X2322" s="264" t="s">
        <v>1607</v>
      </c>
      <c r="Y2322" s="62"/>
      <c r="Z2322" s="260" t="s">
        <v>18</v>
      </c>
      <c r="AA2322" s="166" t="s">
        <v>3016</v>
      </c>
      <c r="AB2322" s="152"/>
      <c r="AC2322" s="153"/>
      <c r="AD2322" s="154"/>
      <c r="AE2322" s="153"/>
      <c r="AF2322" s="153"/>
      <c r="AG2322" s="153"/>
      <c r="AH2322" s="153"/>
      <c r="AI2322" s="153"/>
      <c r="AJ2322" s="153"/>
      <c r="AK2322" s="153"/>
      <c r="AL2322" s="153"/>
      <c r="AM2322" s="153"/>
      <c r="AN2322" s="153"/>
      <c r="AO2322" s="153"/>
      <c r="AP2322" s="153"/>
      <c r="AQ2322" s="153"/>
      <c r="AR2322" s="153"/>
      <c r="AS2322" s="153"/>
      <c r="AT2322" s="153"/>
      <c r="AU2322" s="153"/>
      <c r="AV2322" s="153"/>
      <c r="AW2322" s="153"/>
      <c r="AX2322" s="153"/>
      <c r="AY2322" s="153"/>
      <c r="AZ2322" s="153"/>
      <c r="BA2322" s="153"/>
      <c r="BB2322" s="153"/>
      <c r="BC2322" s="153"/>
      <c r="BD2322" s="153"/>
      <c r="BE2322" s="153"/>
      <c r="BF2322" s="153"/>
      <c r="BG2322" s="153"/>
      <c r="BH2322" s="153"/>
      <c r="BI2322" s="153"/>
      <c r="BJ2322" s="153"/>
      <c r="BK2322" s="153"/>
      <c r="BL2322" s="153"/>
      <c r="BM2322" s="153"/>
      <c r="BN2322" s="153"/>
      <c r="BO2322" s="153"/>
      <c r="BP2322" s="153"/>
      <c r="BQ2322" s="153"/>
      <c r="BR2322" s="153"/>
      <c r="BS2322" s="153"/>
      <c r="BT2322" s="153"/>
      <c r="BU2322" s="153"/>
      <c r="BV2322" s="153"/>
      <c r="BW2322" s="153"/>
      <c r="BX2322" s="153"/>
      <c r="BY2322" s="153"/>
      <c r="BZ2322" s="153"/>
      <c r="CA2322" s="153"/>
      <c r="CB2322" s="153"/>
      <c r="CC2322" s="153"/>
      <c r="CD2322" s="155"/>
      <c r="CE2322" s="156"/>
      <c r="CF2322" s="155"/>
      <c r="CG2322" s="156"/>
      <c r="CH2322" s="155"/>
      <c r="CI2322" s="156"/>
      <c r="CJ2322" s="157">
        <f t="shared" si="287"/>
        <v>0</v>
      </c>
      <c r="CK2322" s="158"/>
      <c r="CL2322" s="159"/>
      <c r="CM2322" s="160"/>
      <c r="CN2322" s="161"/>
      <c r="CO2322" s="162"/>
      <c r="CP2322" s="161"/>
      <c r="CQ2322" s="158"/>
      <c r="CR2322" s="159"/>
      <c r="CS2322" s="68"/>
      <c r="CT2322" s="163"/>
      <c r="EC2322" s="366" t="str">
        <f t="shared" si="288"/>
        <v>VALLE DEL CAUCA_JAMUNDI</v>
      </c>
      <c r="ED2322" s="367"/>
      <c r="EE2322" s="367"/>
      <c r="EF2322" s="368"/>
      <c r="EG2322" s="367"/>
      <c r="EH2322" s="367"/>
      <c r="EI2322" s="367"/>
    </row>
    <row r="2323" spans="1:139" s="164" customFormat="1" ht="25.5">
      <c r="A2323" s="228">
        <v>40530</v>
      </c>
      <c r="B2323" s="205" t="s">
        <v>2400</v>
      </c>
      <c r="C2323" s="205" t="s">
        <v>1545</v>
      </c>
      <c r="D2323" s="207" t="s">
        <v>1878</v>
      </c>
      <c r="E2323" s="323" t="s">
        <v>4177</v>
      </c>
      <c r="F2323" s="323"/>
      <c r="G2323" s="204"/>
      <c r="H2323" s="151"/>
      <c r="I2323" s="151"/>
      <c r="J2323" s="151">
        <v>10</v>
      </c>
      <c r="K2323" s="151">
        <v>2</v>
      </c>
      <c r="L2323" s="1"/>
      <c r="M2323" s="73">
        <f t="shared" si="285"/>
        <v>0</v>
      </c>
      <c r="N2323" s="73">
        <f t="shared" si="290"/>
        <v>0</v>
      </c>
      <c r="O2323" s="73">
        <f t="shared" si="284"/>
        <v>0</v>
      </c>
      <c r="P2323" s="73">
        <f t="shared" si="286"/>
        <v>0</v>
      </c>
      <c r="Q2323" s="73"/>
      <c r="R2323" s="73">
        <v>0</v>
      </c>
      <c r="S2323" s="75">
        <f t="shared" si="289"/>
        <v>0</v>
      </c>
      <c r="T2323" s="77">
        <v>0</v>
      </c>
      <c r="U2323" s="66">
        <v>40533</v>
      </c>
      <c r="V2323" s="79"/>
      <c r="W2323" s="66" t="s">
        <v>1585</v>
      </c>
      <c r="X2323" s="24" t="s">
        <v>1586</v>
      </c>
      <c r="Y2323" s="62"/>
      <c r="Z2323" s="169" t="s">
        <v>894</v>
      </c>
      <c r="AA2323" s="166" t="s">
        <v>3022</v>
      </c>
      <c r="AB2323" s="152"/>
      <c r="AC2323" s="153"/>
      <c r="AD2323" s="154"/>
      <c r="AE2323" s="153"/>
      <c r="AF2323" s="153"/>
      <c r="AG2323" s="153"/>
      <c r="AH2323" s="153"/>
      <c r="AI2323" s="153"/>
      <c r="AJ2323" s="153"/>
      <c r="AK2323" s="153"/>
      <c r="AL2323" s="153"/>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c r="BF2323" s="153"/>
      <c r="BG2323" s="153"/>
      <c r="BH2323" s="153"/>
      <c r="BI2323" s="153"/>
      <c r="BJ2323" s="153"/>
      <c r="BK2323" s="153"/>
      <c r="BL2323" s="153"/>
      <c r="BM2323" s="153"/>
      <c r="BN2323" s="153"/>
      <c r="BO2323" s="153"/>
      <c r="BP2323" s="153"/>
      <c r="BQ2323" s="153"/>
      <c r="BR2323" s="153"/>
      <c r="BS2323" s="153"/>
      <c r="BT2323" s="153"/>
      <c r="BU2323" s="153"/>
      <c r="BV2323" s="153"/>
      <c r="BW2323" s="153"/>
      <c r="BX2323" s="153"/>
      <c r="BY2323" s="153"/>
      <c r="BZ2323" s="153"/>
      <c r="CA2323" s="153"/>
      <c r="CB2323" s="153"/>
      <c r="CC2323" s="153"/>
      <c r="CD2323" s="155"/>
      <c r="CE2323" s="156"/>
      <c r="CF2323" s="155"/>
      <c r="CG2323" s="156"/>
      <c r="CH2323" s="155"/>
      <c r="CI2323" s="156"/>
      <c r="CJ2323" s="157">
        <f t="shared" si="287"/>
        <v>0</v>
      </c>
      <c r="CK2323" s="158"/>
      <c r="CL2323" s="159"/>
      <c r="CM2323" s="160"/>
      <c r="CN2323" s="161"/>
      <c r="CO2323" s="162"/>
      <c r="CP2323" s="161"/>
      <c r="CQ2323" s="158"/>
      <c r="CR2323" s="159"/>
      <c r="CS2323" s="68"/>
      <c r="CT2323" s="163"/>
      <c r="EC2323" s="366" t="str">
        <f t="shared" si="288"/>
        <v>TOLIMA_IBAGUE</v>
      </c>
      <c r="ED2323" s="367"/>
      <c r="EE2323" s="367"/>
      <c r="EF2323" s="368"/>
      <c r="EG2323" s="367"/>
      <c r="EH2323" s="367"/>
      <c r="EI2323" s="367"/>
    </row>
    <row r="2324" spans="1:139" s="164" customFormat="1" ht="38.25">
      <c r="A2324" s="228">
        <v>40530</v>
      </c>
      <c r="B2324" s="205" t="s">
        <v>1088</v>
      </c>
      <c r="C2324" s="205" t="s">
        <v>2887</v>
      </c>
      <c r="D2324" s="207" t="s">
        <v>1902</v>
      </c>
      <c r="E2324" s="323" t="s">
        <v>4236</v>
      </c>
      <c r="F2324" s="323"/>
      <c r="G2324" s="204"/>
      <c r="H2324" s="151"/>
      <c r="I2324" s="151"/>
      <c r="J2324" s="151">
        <f>365*5</f>
        <v>1825</v>
      </c>
      <c r="K2324" s="151">
        <f>560-195</f>
        <v>365</v>
      </c>
      <c r="L2324" s="1"/>
      <c r="M2324" s="73">
        <f t="shared" si="285"/>
        <v>7215000</v>
      </c>
      <c r="N2324" s="73">
        <f t="shared" si="290"/>
        <v>16575000</v>
      </c>
      <c r="O2324" s="73">
        <f t="shared" si="284"/>
        <v>0</v>
      </c>
      <c r="P2324" s="73">
        <f t="shared" si="286"/>
        <v>0</v>
      </c>
      <c r="Q2324" s="73"/>
      <c r="R2324" s="73">
        <v>0</v>
      </c>
      <c r="S2324" s="75">
        <f t="shared" si="289"/>
        <v>23790000</v>
      </c>
      <c r="T2324" s="77">
        <v>0</v>
      </c>
      <c r="U2324" s="66"/>
      <c r="V2324" s="79"/>
      <c r="W2324" s="66" t="s">
        <v>1606</v>
      </c>
      <c r="X2324" s="24" t="s">
        <v>1607</v>
      </c>
      <c r="Y2324" s="62"/>
      <c r="Z2324" s="169"/>
      <c r="AA2324" s="166" t="s">
        <v>3024</v>
      </c>
      <c r="AB2324" s="152"/>
      <c r="AC2324" s="153"/>
      <c r="AD2324" s="154"/>
      <c r="AE2324" s="153"/>
      <c r="AF2324" s="153"/>
      <c r="AG2324" s="153"/>
      <c r="AH2324" s="153"/>
      <c r="AI2324" s="153"/>
      <c r="AJ2324" s="153"/>
      <c r="AK2324" s="153"/>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c r="BF2324" s="153"/>
      <c r="BG2324" s="153"/>
      <c r="BH2324" s="153"/>
      <c r="BI2324" s="153"/>
      <c r="BJ2324" s="153"/>
      <c r="BK2324" s="153"/>
      <c r="BL2324" s="153"/>
      <c r="BM2324" s="153"/>
      <c r="BN2324" s="153"/>
      <c r="BO2324" s="153"/>
      <c r="BP2324" s="153"/>
      <c r="BQ2324" s="153"/>
      <c r="BR2324" s="153"/>
      <c r="BS2324" s="153"/>
      <c r="BT2324" s="153"/>
      <c r="BU2324" s="153"/>
      <c r="BV2324" s="153"/>
      <c r="BW2324" s="153"/>
      <c r="BX2324" s="153"/>
      <c r="BY2324" s="153"/>
      <c r="BZ2324" s="153"/>
      <c r="CA2324" s="153"/>
      <c r="CB2324" s="153"/>
      <c r="CC2324" s="153"/>
      <c r="CD2324" s="155">
        <v>195</v>
      </c>
      <c r="CE2324" s="156">
        <f>195*37000</f>
        <v>7215000</v>
      </c>
      <c r="CF2324" s="155"/>
      <c r="CG2324" s="156"/>
      <c r="CH2324" s="155"/>
      <c r="CI2324" s="156"/>
      <c r="CJ2324" s="157">
        <f t="shared" si="287"/>
        <v>7215000</v>
      </c>
      <c r="CK2324" s="158"/>
      <c r="CL2324" s="159"/>
      <c r="CM2324" s="160">
        <v>195</v>
      </c>
      <c r="CN2324" s="161">
        <f>195*85000</f>
        <v>16575000</v>
      </c>
      <c r="CO2324" s="162"/>
      <c r="CP2324" s="161"/>
      <c r="CQ2324" s="158"/>
      <c r="CR2324" s="159"/>
      <c r="CS2324" s="68"/>
      <c r="CT2324" s="163"/>
      <c r="EC2324" s="366" t="str">
        <f t="shared" si="288"/>
        <v>VALLE DEL CAUCA_CARTAGO</v>
      </c>
      <c r="ED2324" s="367"/>
      <c r="EE2324" s="367"/>
      <c r="EF2324" s="368"/>
      <c r="EG2324" s="367"/>
      <c r="EH2324" s="367"/>
      <c r="EI2324" s="367"/>
    </row>
    <row r="2325" spans="1:139" s="164" customFormat="1" ht="45">
      <c r="A2325" s="228">
        <v>40530</v>
      </c>
      <c r="B2325" s="205" t="s">
        <v>1088</v>
      </c>
      <c r="C2325" s="205" t="s">
        <v>2529</v>
      </c>
      <c r="D2325" s="207" t="s">
        <v>1878</v>
      </c>
      <c r="E2325" s="323" t="s">
        <v>4237</v>
      </c>
      <c r="F2325" s="323"/>
      <c r="G2325" s="204"/>
      <c r="H2325" s="151"/>
      <c r="I2325" s="151"/>
      <c r="J2325" s="151">
        <v>65</v>
      </c>
      <c r="K2325" s="151">
        <v>13</v>
      </c>
      <c r="L2325" s="1"/>
      <c r="M2325" s="73">
        <f t="shared" si="285"/>
        <v>0</v>
      </c>
      <c r="N2325" s="73">
        <f t="shared" si="290"/>
        <v>0</v>
      </c>
      <c r="O2325" s="73">
        <f t="shared" si="284"/>
        <v>0</v>
      </c>
      <c r="P2325" s="73">
        <f t="shared" si="286"/>
        <v>0</v>
      </c>
      <c r="Q2325" s="73"/>
      <c r="R2325" s="73">
        <v>0</v>
      </c>
      <c r="S2325" s="75">
        <f t="shared" si="289"/>
        <v>0</v>
      </c>
      <c r="T2325" s="77">
        <v>0</v>
      </c>
      <c r="U2325" s="66"/>
      <c r="V2325" s="79"/>
      <c r="W2325" s="66" t="s">
        <v>1606</v>
      </c>
      <c r="X2325" s="264" t="s">
        <v>1607</v>
      </c>
      <c r="Y2325" s="62"/>
      <c r="Z2325" s="260" t="s">
        <v>18</v>
      </c>
      <c r="AA2325" s="166" t="s">
        <v>3027</v>
      </c>
      <c r="AB2325" s="152"/>
      <c r="AC2325" s="153"/>
      <c r="AD2325" s="154"/>
      <c r="AE2325" s="153"/>
      <c r="AF2325" s="153"/>
      <c r="AG2325" s="153"/>
      <c r="AH2325" s="153"/>
      <c r="AI2325" s="153"/>
      <c r="AJ2325" s="153"/>
      <c r="AK2325" s="153"/>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c r="BF2325" s="153"/>
      <c r="BG2325" s="153"/>
      <c r="BH2325" s="153"/>
      <c r="BI2325" s="153"/>
      <c r="BJ2325" s="153"/>
      <c r="BK2325" s="153"/>
      <c r="BL2325" s="153"/>
      <c r="BM2325" s="153"/>
      <c r="BN2325" s="153"/>
      <c r="BO2325" s="153"/>
      <c r="BP2325" s="153"/>
      <c r="BQ2325" s="153"/>
      <c r="BR2325" s="153"/>
      <c r="BS2325" s="153"/>
      <c r="BT2325" s="153"/>
      <c r="BU2325" s="153"/>
      <c r="BV2325" s="153"/>
      <c r="BW2325" s="153"/>
      <c r="BX2325" s="153"/>
      <c r="BY2325" s="153"/>
      <c r="BZ2325" s="153"/>
      <c r="CA2325" s="153"/>
      <c r="CB2325" s="153"/>
      <c r="CC2325" s="153"/>
      <c r="CD2325" s="155"/>
      <c r="CE2325" s="156"/>
      <c r="CF2325" s="155"/>
      <c r="CG2325" s="156"/>
      <c r="CH2325" s="155"/>
      <c r="CI2325" s="156"/>
      <c r="CJ2325" s="157">
        <f t="shared" si="287"/>
        <v>0</v>
      </c>
      <c r="CK2325" s="158"/>
      <c r="CL2325" s="159"/>
      <c r="CM2325" s="160"/>
      <c r="CN2325" s="161"/>
      <c r="CO2325" s="162"/>
      <c r="CP2325" s="161"/>
      <c r="CQ2325" s="158"/>
      <c r="CR2325" s="159"/>
      <c r="CS2325" s="68"/>
      <c r="CT2325" s="163"/>
      <c r="EC2325" s="366" t="str">
        <f t="shared" si="288"/>
        <v>VALLE DEL CAUCA_DAGUA</v>
      </c>
      <c r="ED2325" s="367"/>
      <c r="EE2325" s="367"/>
      <c r="EF2325" s="368"/>
      <c r="EG2325" s="367"/>
      <c r="EH2325" s="367"/>
      <c r="EI2325" s="367"/>
    </row>
    <row r="2326" spans="1:139" s="164" customFormat="1" ht="45">
      <c r="A2326" s="228">
        <v>40530</v>
      </c>
      <c r="B2326" s="205" t="s">
        <v>1088</v>
      </c>
      <c r="C2326" s="205" t="s">
        <v>2747</v>
      </c>
      <c r="D2326" s="207" t="s">
        <v>1201</v>
      </c>
      <c r="E2326" s="323" t="s">
        <v>4240</v>
      </c>
      <c r="F2326" s="323"/>
      <c r="G2326" s="204">
        <v>1</v>
      </c>
      <c r="H2326" s="151"/>
      <c r="I2326" s="151"/>
      <c r="J2326" s="151">
        <v>12</v>
      </c>
      <c r="K2326" s="151">
        <v>3</v>
      </c>
      <c r="L2326" s="1"/>
      <c r="M2326" s="73">
        <f t="shared" si="285"/>
        <v>0</v>
      </c>
      <c r="N2326" s="73">
        <f t="shared" si="290"/>
        <v>0</v>
      </c>
      <c r="O2326" s="73">
        <f t="shared" si="284"/>
        <v>0</v>
      </c>
      <c r="P2326" s="73">
        <f t="shared" si="286"/>
        <v>0</v>
      </c>
      <c r="Q2326" s="73"/>
      <c r="R2326" s="73">
        <v>0</v>
      </c>
      <c r="S2326" s="75">
        <f t="shared" si="289"/>
        <v>0</v>
      </c>
      <c r="T2326" s="77">
        <v>0</v>
      </c>
      <c r="U2326" s="66"/>
      <c r="V2326" s="79"/>
      <c r="W2326" s="66" t="s">
        <v>1606</v>
      </c>
      <c r="X2326" s="264" t="s">
        <v>1607</v>
      </c>
      <c r="Y2326" s="62"/>
      <c r="Z2326" s="260" t="s">
        <v>18</v>
      </c>
      <c r="AA2326" s="166" t="s">
        <v>3025</v>
      </c>
      <c r="AB2326" s="152"/>
      <c r="AC2326" s="153"/>
      <c r="AD2326" s="154"/>
      <c r="AE2326" s="153"/>
      <c r="AF2326" s="153"/>
      <c r="AG2326" s="153"/>
      <c r="AH2326" s="153"/>
      <c r="AI2326" s="153"/>
      <c r="AJ2326" s="153"/>
      <c r="AK2326" s="153"/>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c r="BF2326" s="153"/>
      <c r="BG2326" s="153"/>
      <c r="BH2326" s="153"/>
      <c r="BI2326" s="153"/>
      <c r="BJ2326" s="153"/>
      <c r="BK2326" s="153"/>
      <c r="BL2326" s="153"/>
      <c r="BM2326" s="153"/>
      <c r="BN2326" s="153"/>
      <c r="BO2326" s="153"/>
      <c r="BP2326" s="153"/>
      <c r="BQ2326" s="153"/>
      <c r="BR2326" s="153"/>
      <c r="BS2326" s="153"/>
      <c r="BT2326" s="153"/>
      <c r="BU2326" s="153"/>
      <c r="BV2326" s="153"/>
      <c r="BW2326" s="153"/>
      <c r="BX2326" s="153"/>
      <c r="BY2326" s="153"/>
      <c r="BZ2326" s="153"/>
      <c r="CA2326" s="153"/>
      <c r="CB2326" s="153"/>
      <c r="CC2326" s="153"/>
      <c r="CD2326" s="155"/>
      <c r="CE2326" s="156"/>
      <c r="CF2326" s="155"/>
      <c r="CG2326" s="156"/>
      <c r="CH2326" s="155"/>
      <c r="CI2326" s="156"/>
      <c r="CJ2326" s="157">
        <f t="shared" si="287"/>
        <v>0</v>
      </c>
      <c r="CK2326" s="158"/>
      <c r="CL2326" s="159"/>
      <c r="CM2326" s="160"/>
      <c r="CN2326" s="161"/>
      <c r="CO2326" s="162"/>
      <c r="CP2326" s="161"/>
      <c r="CQ2326" s="158"/>
      <c r="CR2326" s="159"/>
      <c r="CS2326" s="68"/>
      <c r="CT2326" s="163"/>
      <c r="EC2326" s="366" t="str">
        <f t="shared" si="288"/>
        <v>VALLE DEL CAUCA_EL CERRITO</v>
      </c>
      <c r="ED2326" s="367"/>
      <c r="EE2326" s="367"/>
      <c r="EF2326" s="368"/>
      <c r="EG2326" s="367"/>
      <c r="EH2326" s="367"/>
      <c r="EI2326" s="367"/>
    </row>
    <row r="2327" spans="1:139" s="164" customFormat="1" ht="45">
      <c r="A2327" s="228">
        <v>40530</v>
      </c>
      <c r="B2327" s="205" t="s">
        <v>1088</v>
      </c>
      <c r="C2327" s="205" t="s">
        <v>2440</v>
      </c>
      <c r="D2327" s="207" t="s">
        <v>1878</v>
      </c>
      <c r="E2327" s="323" t="s">
        <v>4242</v>
      </c>
      <c r="F2327" s="323"/>
      <c r="G2327" s="204"/>
      <c r="H2327" s="151"/>
      <c r="I2327" s="151"/>
      <c r="J2327" s="151">
        <v>4</v>
      </c>
      <c r="K2327" s="151">
        <v>1</v>
      </c>
      <c r="L2327" s="1"/>
      <c r="M2327" s="73">
        <f t="shared" si="285"/>
        <v>0</v>
      </c>
      <c r="N2327" s="73">
        <f t="shared" si="290"/>
        <v>0</v>
      </c>
      <c r="O2327" s="73">
        <f t="shared" si="284"/>
        <v>0</v>
      </c>
      <c r="P2327" s="73">
        <f t="shared" si="286"/>
        <v>0</v>
      </c>
      <c r="Q2327" s="73"/>
      <c r="R2327" s="73">
        <v>0</v>
      </c>
      <c r="S2327" s="75">
        <f t="shared" si="289"/>
        <v>0</v>
      </c>
      <c r="T2327" s="77">
        <v>0</v>
      </c>
      <c r="U2327" s="66"/>
      <c r="V2327" s="79"/>
      <c r="W2327" s="66" t="s">
        <v>1606</v>
      </c>
      <c r="X2327" s="264" t="s">
        <v>1607</v>
      </c>
      <c r="Y2327" s="62"/>
      <c r="Z2327" s="260" t="s">
        <v>18</v>
      </c>
      <c r="AA2327" s="166" t="s">
        <v>3026</v>
      </c>
      <c r="AB2327" s="152"/>
      <c r="AC2327" s="153"/>
      <c r="AD2327" s="154"/>
      <c r="AE2327" s="153"/>
      <c r="AF2327" s="153"/>
      <c r="AG2327" s="153"/>
      <c r="AH2327" s="153"/>
      <c r="AI2327" s="153"/>
      <c r="AJ2327" s="153"/>
      <c r="AK2327" s="153"/>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c r="BF2327" s="153"/>
      <c r="BG2327" s="153"/>
      <c r="BH2327" s="153"/>
      <c r="BI2327" s="153"/>
      <c r="BJ2327" s="153"/>
      <c r="BK2327" s="153"/>
      <c r="BL2327" s="153"/>
      <c r="BM2327" s="153"/>
      <c r="BN2327" s="153"/>
      <c r="BO2327" s="153"/>
      <c r="BP2327" s="153"/>
      <c r="BQ2327" s="153"/>
      <c r="BR2327" s="153"/>
      <c r="BS2327" s="153"/>
      <c r="BT2327" s="153"/>
      <c r="BU2327" s="153"/>
      <c r="BV2327" s="153"/>
      <c r="BW2327" s="153"/>
      <c r="BX2327" s="153"/>
      <c r="BY2327" s="153"/>
      <c r="BZ2327" s="153"/>
      <c r="CA2327" s="153"/>
      <c r="CB2327" s="153"/>
      <c r="CC2327" s="153"/>
      <c r="CD2327" s="155"/>
      <c r="CE2327" s="156"/>
      <c r="CF2327" s="155"/>
      <c r="CG2327" s="156"/>
      <c r="CH2327" s="155"/>
      <c r="CI2327" s="156"/>
      <c r="CJ2327" s="157">
        <f t="shared" si="287"/>
        <v>0</v>
      </c>
      <c r="CK2327" s="158"/>
      <c r="CL2327" s="159"/>
      <c r="CM2327" s="160"/>
      <c r="CN2327" s="161"/>
      <c r="CO2327" s="162"/>
      <c r="CP2327" s="161"/>
      <c r="CQ2327" s="158"/>
      <c r="CR2327" s="159"/>
      <c r="CS2327" s="68"/>
      <c r="CT2327" s="163"/>
      <c r="EC2327" s="366" t="str">
        <f t="shared" si="288"/>
        <v>VALLE DEL CAUCA_FLORIDA</v>
      </c>
      <c r="ED2327" s="367"/>
      <c r="EE2327" s="367"/>
      <c r="EF2327" s="368"/>
      <c r="EG2327" s="367"/>
      <c r="EH2327" s="367"/>
      <c r="EI2327" s="367"/>
    </row>
    <row r="2328" spans="1:139" s="164" customFormat="1" ht="25.5">
      <c r="A2328" s="228">
        <v>40531</v>
      </c>
      <c r="B2328" s="205" t="s">
        <v>962</v>
      </c>
      <c r="C2328" s="205" t="s">
        <v>88</v>
      </c>
      <c r="D2328" s="207" t="s">
        <v>2606</v>
      </c>
      <c r="E2328" s="323" t="s">
        <v>3842</v>
      </c>
      <c r="F2328" s="323"/>
      <c r="G2328" s="204"/>
      <c r="H2328" s="151"/>
      <c r="I2328" s="151"/>
      <c r="J2328" s="151">
        <v>33</v>
      </c>
      <c r="K2328" s="151">
        <v>8</v>
      </c>
      <c r="L2328" s="1"/>
      <c r="M2328" s="73">
        <f t="shared" si="285"/>
        <v>0</v>
      </c>
      <c r="N2328" s="73">
        <f t="shared" si="290"/>
        <v>0</v>
      </c>
      <c r="O2328" s="73">
        <f t="shared" si="284"/>
        <v>0</v>
      </c>
      <c r="P2328" s="73">
        <f t="shared" si="286"/>
        <v>0</v>
      </c>
      <c r="Q2328" s="73"/>
      <c r="R2328" s="73">
        <v>0</v>
      </c>
      <c r="S2328" s="75">
        <f t="shared" si="289"/>
        <v>0</v>
      </c>
      <c r="T2328" s="77">
        <v>0</v>
      </c>
      <c r="U2328" s="66">
        <v>40581</v>
      </c>
      <c r="V2328" s="79"/>
      <c r="W2328" s="66" t="s">
        <v>1585</v>
      </c>
      <c r="X2328" s="24" t="s">
        <v>1586</v>
      </c>
      <c r="Y2328" s="62"/>
      <c r="Z2328" s="169" t="s">
        <v>894</v>
      </c>
      <c r="AA2328" s="166" t="s">
        <v>54</v>
      </c>
      <c r="AB2328" s="152"/>
      <c r="AC2328" s="153"/>
      <c r="AD2328" s="154"/>
      <c r="AE2328" s="153"/>
      <c r="AF2328" s="153"/>
      <c r="AG2328" s="153"/>
      <c r="AH2328" s="153"/>
      <c r="AI2328" s="153"/>
      <c r="AJ2328" s="153"/>
      <c r="AK2328" s="153"/>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c r="BF2328" s="153"/>
      <c r="BG2328" s="153"/>
      <c r="BH2328" s="153"/>
      <c r="BI2328" s="153"/>
      <c r="BJ2328" s="153"/>
      <c r="BK2328" s="153"/>
      <c r="BL2328" s="153"/>
      <c r="BM2328" s="153"/>
      <c r="BN2328" s="153"/>
      <c r="BO2328" s="153"/>
      <c r="BP2328" s="153"/>
      <c r="BQ2328" s="153"/>
      <c r="BR2328" s="153"/>
      <c r="BS2328" s="153"/>
      <c r="BT2328" s="153"/>
      <c r="BU2328" s="153"/>
      <c r="BV2328" s="153"/>
      <c r="BW2328" s="153"/>
      <c r="BX2328" s="153"/>
      <c r="BY2328" s="153"/>
      <c r="BZ2328" s="153"/>
      <c r="CA2328" s="153"/>
      <c r="CB2328" s="153"/>
      <c r="CC2328" s="153"/>
      <c r="CD2328" s="155"/>
      <c r="CE2328" s="156"/>
      <c r="CF2328" s="155"/>
      <c r="CG2328" s="156"/>
      <c r="CH2328" s="155"/>
      <c r="CI2328" s="156"/>
      <c r="CJ2328" s="157">
        <f t="shared" si="287"/>
        <v>0</v>
      </c>
      <c r="CK2328" s="158"/>
      <c r="CL2328" s="159"/>
      <c r="CM2328" s="160"/>
      <c r="CN2328" s="161"/>
      <c r="CO2328" s="162"/>
      <c r="CP2328" s="161"/>
      <c r="CQ2328" s="158"/>
      <c r="CR2328" s="159"/>
      <c r="CS2328" s="68"/>
      <c r="CT2328" s="163"/>
      <c r="EC2328" s="366" t="str">
        <f t="shared" si="288"/>
        <v>HUILA_OPORAPA</v>
      </c>
      <c r="ED2328" s="367"/>
      <c r="EE2328" s="367"/>
      <c r="EF2328" s="368"/>
      <c r="EG2328" s="367"/>
      <c r="EH2328" s="367"/>
      <c r="EI2328" s="367"/>
    </row>
    <row r="2329" spans="1:139" s="164" customFormat="1" ht="48">
      <c r="A2329" s="228">
        <v>40531</v>
      </c>
      <c r="B2329" s="205" t="s">
        <v>1998</v>
      </c>
      <c r="C2329" s="205" t="s">
        <v>716</v>
      </c>
      <c r="D2329" s="207" t="s">
        <v>1902</v>
      </c>
      <c r="E2329" s="323" t="s">
        <v>4092</v>
      </c>
      <c r="F2329" s="323"/>
      <c r="G2329" s="263"/>
      <c r="H2329" s="175"/>
      <c r="I2329" s="175"/>
      <c r="J2329" s="175">
        <f>70*5</f>
        <v>350</v>
      </c>
      <c r="K2329" s="175">
        <f>250-180</f>
        <v>70</v>
      </c>
      <c r="L2329" s="1">
        <v>40535</v>
      </c>
      <c r="M2329" s="73">
        <f t="shared" si="285"/>
        <v>0</v>
      </c>
      <c r="N2329" s="73">
        <f t="shared" si="290"/>
        <v>0</v>
      </c>
      <c r="O2329" s="73">
        <f t="shared" si="284"/>
        <v>0</v>
      </c>
      <c r="P2329" s="73">
        <f t="shared" si="286"/>
        <v>0</v>
      </c>
      <c r="Q2329" s="73"/>
      <c r="R2329" s="73">
        <v>102400000</v>
      </c>
      <c r="S2329" s="75">
        <f t="shared" si="289"/>
        <v>102400000</v>
      </c>
      <c r="T2329" s="77">
        <v>0</v>
      </c>
      <c r="U2329" s="66">
        <v>40526</v>
      </c>
      <c r="V2329" s="79">
        <v>72382</v>
      </c>
      <c r="W2329" s="66" t="s">
        <v>1606</v>
      </c>
      <c r="X2329" s="24" t="s">
        <v>1607</v>
      </c>
      <c r="Y2329" s="62">
        <v>518</v>
      </c>
      <c r="Z2329" s="169"/>
      <c r="AA2329" s="170" t="s">
        <v>458</v>
      </c>
      <c r="AB2329" s="152"/>
      <c r="AC2329" s="153"/>
      <c r="AD2329" s="154"/>
      <c r="AE2329" s="153"/>
      <c r="AF2329" s="153"/>
      <c r="AG2329" s="153"/>
      <c r="AH2329" s="153"/>
      <c r="AI2329" s="153"/>
      <c r="AJ2329" s="153"/>
      <c r="AK2329" s="153"/>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c r="BF2329" s="153"/>
      <c r="BG2329" s="153"/>
      <c r="BH2329" s="153"/>
      <c r="BI2329" s="153"/>
      <c r="BJ2329" s="153"/>
      <c r="BK2329" s="153"/>
      <c r="BL2329" s="153"/>
      <c r="BM2329" s="153"/>
      <c r="BN2329" s="153"/>
      <c r="BO2329" s="153"/>
      <c r="BP2329" s="153"/>
      <c r="BQ2329" s="153"/>
      <c r="BR2329" s="153"/>
      <c r="BS2329" s="153"/>
      <c r="BT2329" s="153"/>
      <c r="BU2329" s="153"/>
      <c r="BV2329" s="153"/>
      <c r="BW2329" s="153"/>
      <c r="BX2329" s="153"/>
      <c r="BY2329" s="153"/>
      <c r="BZ2329" s="153"/>
      <c r="CA2329" s="153"/>
      <c r="CB2329" s="153"/>
      <c r="CC2329" s="153"/>
      <c r="CD2329" s="155"/>
      <c r="CE2329" s="156"/>
      <c r="CF2329" s="155"/>
      <c r="CG2329" s="156"/>
      <c r="CH2329" s="155"/>
      <c r="CI2329" s="156"/>
      <c r="CJ2329" s="157">
        <f t="shared" si="287"/>
        <v>0</v>
      </c>
      <c r="CK2329" s="158"/>
      <c r="CL2329" s="159"/>
      <c r="CM2329" s="160"/>
      <c r="CN2329" s="161"/>
      <c r="CO2329" s="162"/>
      <c r="CP2329" s="161"/>
      <c r="CQ2329" s="158"/>
      <c r="CR2329" s="159"/>
      <c r="CS2329" s="68">
        <v>2</v>
      </c>
      <c r="CT2329" s="163"/>
      <c r="EC2329" s="366" t="str">
        <f t="shared" si="288"/>
        <v>SANTANDER_EL PLAYON</v>
      </c>
      <c r="ED2329" s="367"/>
      <c r="EE2329" s="367"/>
      <c r="EF2329" s="368"/>
      <c r="EG2329" s="367"/>
      <c r="EH2329" s="367"/>
      <c r="EI2329" s="367"/>
    </row>
    <row r="2330" spans="1:139" s="164" customFormat="1" ht="38.25">
      <c r="A2330" s="228">
        <v>40531</v>
      </c>
      <c r="B2330" s="205" t="s">
        <v>1998</v>
      </c>
      <c r="C2330" s="205" t="s">
        <v>2271</v>
      </c>
      <c r="D2330" s="207" t="s">
        <v>1902</v>
      </c>
      <c r="E2330" s="323" t="s">
        <v>4129</v>
      </c>
      <c r="F2330" s="323"/>
      <c r="G2330" s="263">
        <v>3</v>
      </c>
      <c r="H2330" s="151"/>
      <c r="I2330" s="151">
        <v>3</v>
      </c>
      <c r="J2330" s="151"/>
      <c r="K2330" s="151"/>
      <c r="L2330" s="1"/>
      <c r="M2330" s="73">
        <f t="shared" si="285"/>
        <v>0</v>
      </c>
      <c r="N2330" s="73">
        <f t="shared" si="290"/>
        <v>0</v>
      </c>
      <c r="O2330" s="73">
        <f t="shared" si="284"/>
        <v>0</v>
      </c>
      <c r="P2330" s="73">
        <f t="shared" si="286"/>
        <v>0</v>
      </c>
      <c r="Q2330" s="73"/>
      <c r="R2330" s="73">
        <v>0</v>
      </c>
      <c r="S2330" s="75">
        <f t="shared" si="289"/>
        <v>0</v>
      </c>
      <c r="T2330" s="77">
        <v>0</v>
      </c>
      <c r="U2330" s="66"/>
      <c r="V2330" s="79"/>
      <c r="W2330" s="66" t="s">
        <v>1606</v>
      </c>
      <c r="X2330" s="24" t="s">
        <v>1607</v>
      </c>
      <c r="Y2330" s="62"/>
      <c r="Z2330" s="176" t="s">
        <v>3056</v>
      </c>
      <c r="AA2330" s="166" t="s">
        <v>457</v>
      </c>
      <c r="AB2330" s="152"/>
      <c r="AC2330" s="153"/>
      <c r="AD2330" s="154"/>
      <c r="AE2330" s="153"/>
      <c r="AF2330" s="153"/>
      <c r="AG2330" s="153"/>
      <c r="AH2330" s="153"/>
      <c r="AI2330" s="153"/>
      <c r="AJ2330" s="153"/>
      <c r="AK2330" s="153"/>
      <c r="AL2330" s="153"/>
      <c r="AM2330" s="153"/>
      <c r="AN2330" s="153"/>
      <c r="AO2330" s="153"/>
      <c r="AP2330" s="153"/>
      <c r="AQ2330" s="153"/>
      <c r="AR2330" s="153"/>
      <c r="AS2330" s="153"/>
      <c r="AT2330" s="153"/>
      <c r="AU2330" s="153"/>
      <c r="AV2330" s="153"/>
      <c r="AW2330" s="153"/>
      <c r="AX2330" s="153"/>
      <c r="AY2330" s="153"/>
      <c r="AZ2330" s="153"/>
      <c r="BA2330" s="153"/>
      <c r="BB2330" s="153"/>
      <c r="BC2330" s="153"/>
      <c r="BD2330" s="153"/>
      <c r="BE2330" s="153"/>
      <c r="BF2330" s="153"/>
      <c r="BG2330" s="153"/>
      <c r="BH2330" s="153"/>
      <c r="BI2330" s="153"/>
      <c r="BJ2330" s="153"/>
      <c r="BK2330" s="153"/>
      <c r="BL2330" s="153"/>
      <c r="BM2330" s="153"/>
      <c r="BN2330" s="153"/>
      <c r="BO2330" s="153"/>
      <c r="BP2330" s="153"/>
      <c r="BQ2330" s="153"/>
      <c r="BR2330" s="153"/>
      <c r="BS2330" s="153"/>
      <c r="BT2330" s="153"/>
      <c r="BU2330" s="153"/>
      <c r="BV2330" s="153"/>
      <c r="BW2330" s="153"/>
      <c r="BX2330" s="153"/>
      <c r="BY2330" s="153"/>
      <c r="BZ2330" s="153"/>
      <c r="CA2330" s="153"/>
      <c r="CB2330" s="153"/>
      <c r="CC2330" s="153"/>
      <c r="CD2330" s="155"/>
      <c r="CE2330" s="156"/>
      <c r="CF2330" s="155"/>
      <c r="CG2330" s="156"/>
      <c r="CH2330" s="155"/>
      <c r="CI2330" s="156"/>
      <c r="CJ2330" s="157">
        <f t="shared" si="287"/>
        <v>0</v>
      </c>
      <c r="CK2330" s="158"/>
      <c r="CL2330" s="159"/>
      <c r="CM2330" s="160"/>
      <c r="CN2330" s="161"/>
      <c r="CO2330" s="162"/>
      <c r="CP2330" s="161"/>
      <c r="CQ2330" s="158"/>
      <c r="CR2330" s="159"/>
      <c r="CS2330" s="68"/>
      <c r="CT2330" s="163"/>
      <c r="EC2330" s="366" t="str">
        <f t="shared" si="288"/>
        <v>SANTANDER_RIONEGRO</v>
      </c>
      <c r="ED2330" s="367"/>
      <c r="EE2330" s="367"/>
      <c r="EF2330" s="368"/>
      <c r="EG2330" s="367"/>
      <c r="EH2330" s="367"/>
      <c r="EI2330" s="367"/>
    </row>
    <row r="2331" spans="1:139" s="164" customFormat="1" ht="38.25">
      <c r="A2331" s="235">
        <v>40532</v>
      </c>
      <c r="B2331" s="269" t="s">
        <v>1972</v>
      </c>
      <c r="C2331" s="269" t="s">
        <v>2042</v>
      </c>
      <c r="D2331" s="270" t="s">
        <v>1878</v>
      </c>
      <c r="E2331" s="327" t="s">
        <v>3291</v>
      </c>
      <c r="F2331" s="327"/>
      <c r="G2331" s="204"/>
      <c r="H2331" s="151"/>
      <c r="I2331" s="151"/>
      <c r="J2331" s="151">
        <v>75</v>
      </c>
      <c r="K2331" s="151">
        <v>15</v>
      </c>
      <c r="L2331" s="1"/>
      <c r="M2331" s="73">
        <f t="shared" si="285"/>
        <v>0</v>
      </c>
      <c r="N2331" s="73">
        <f t="shared" si="290"/>
        <v>0</v>
      </c>
      <c r="O2331" s="73">
        <f t="shared" si="284"/>
        <v>0</v>
      </c>
      <c r="P2331" s="73">
        <f t="shared" si="286"/>
        <v>0</v>
      </c>
      <c r="Q2331" s="73"/>
      <c r="R2331" s="73">
        <v>0</v>
      </c>
      <c r="S2331" s="75">
        <f t="shared" si="289"/>
        <v>0</v>
      </c>
      <c r="T2331" s="77">
        <v>0</v>
      </c>
      <c r="U2331" s="66">
        <v>40532</v>
      </c>
      <c r="V2331" s="79"/>
      <c r="W2331" s="66" t="s">
        <v>1606</v>
      </c>
      <c r="X2331" s="24" t="s">
        <v>1607</v>
      </c>
      <c r="Y2331" s="62"/>
      <c r="Z2331" s="176" t="s">
        <v>460</v>
      </c>
      <c r="AA2331" s="166" t="s">
        <v>3049</v>
      </c>
      <c r="AB2331" s="152"/>
      <c r="AC2331" s="153"/>
      <c r="AD2331" s="154"/>
      <c r="AE2331" s="153"/>
      <c r="AF2331" s="153"/>
      <c r="AG2331" s="153"/>
      <c r="AH2331" s="153"/>
      <c r="AI2331" s="153"/>
      <c r="AJ2331" s="153"/>
      <c r="AK2331" s="153"/>
      <c r="AL2331" s="153"/>
      <c r="AM2331" s="153"/>
      <c r="AN2331" s="153"/>
      <c r="AO2331" s="153"/>
      <c r="AP2331" s="153"/>
      <c r="AQ2331" s="153"/>
      <c r="AR2331" s="153"/>
      <c r="AS2331" s="153"/>
      <c r="AT2331" s="153"/>
      <c r="AU2331" s="153"/>
      <c r="AV2331" s="153"/>
      <c r="AW2331" s="153"/>
      <c r="AX2331" s="153"/>
      <c r="AY2331" s="153"/>
      <c r="AZ2331" s="153"/>
      <c r="BA2331" s="153"/>
      <c r="BB2331" s="153"/>
      <c r="BC2331" s="153"/>
      <c r="BD2331" s="153"/>
      <c r="BE2331" s="153"/>
      <c r="BF2331" s="153"/>
      <c r="BG2331" s="153"/>
      <c r="BH2331" s="153"/>
      <c r="BI2331" s="153"/>
      <c r="BJ2331" s="153"/>
      <c r="BK2331" s="153"/>
      <c r="BL2331" s="153"/>
      <c r="BM2331" s="153"/>
      <c r="BN2331" s="153"/>
      <c r="BO2331" s="153"/>
      <c r="BP2331" s="153"/>
      <c r="BQ2331" s="153"/>
      <c r="BR2331" s="153"/>
      <c r="BS2331" s="153"/>
      <c r="BT2331" s="153"/>
      <c r="BU2331" s="153"/>
      <c r="BV2331" s="153"/>
      <c r="BW2331" s="153"/>
      <c r="BX2331" s="153"/>
      <c r="BY2331" s="153"/>
      <c r="BZ2331" s="153"/>
      <c r="CA2331" s="153"/>
      <c r="CB2331" s="153"/>
      <c r="CC2331" s="153"/>
      <c r="CD2331" s="155"/>
      <c r="CE2331" s="156"/>
      <c r="CF2331" s="155"/>
      <c r="CG2331" s="156"/>
      <c r="CH2331" s="155"/>
      <c r="CI2331" s="156"/>
      <c r="CJ2331" s="157">
        <f t="shared" si="287"/>
        <v>0</v>
      </c>
      <c r="CK2331" s="158"/>
      <c r="CL2331" s="159"/>
      <c r="CM2331" s="160"/>
      <c r="CN2331" s="161"/>
      <c r="CO2331" s="162"/>
      <c r="CP2331" s="161"/>
      <c r="CQ2331" s="158"/>
      <c r="CR2331" s="159"/>
      <c r="CS2331" s="68"/>
      <c r="CT2331" s="163"/>
      <c r="EC2331" s="366" t="str">
        <f t="shared" si="288"/>
        <v>ANTIOQUIA_LA PINTADA</v>
      </c>
      <c r="ED2331" s="367"/>
      <c r="EE2331" s="367"/>
      <c r="EF2331" s="368"/>
      <c r="EG2331" s="367"/>
      <c r="EH2331" s="367"/>
      <c r="EI2331" s="367"/>
    </row>
    <row r="2332" spans="1:139" s="164" customFormat="1" ht="60">
      <c r="A2332" s="228">
        <v>40532</v>
      </c>
      <c r="B2332" s="222" t="s">
        <v>1192</v>
      </c>
      <c r="C2332" s="205" t="s">
        <v>1238</v>
      </c>
      <c r="D2332" s="233" t="s">
        <v>1201</v>
      </c>
      <c r="E2332" s="325" t="s">
        <v>3510</v>
      </c>
      <c r="F2332" s="325"/>
      <c r="G2332" s="204"/>
      <c r="H2332" s="151"/>
      <c r="I2332" s="151"/>
      <c r="J2332" s="151">
        <f>93*5</f>
        <v>465</v>
      </c>
      <c r="K2332" s="151">
        <v>93</v>
      </c>
      <c r="L2332" s="1"/>
      <c r="M2332" s="73">
        <f t="shared" si="285"/>
        <v>0</v>
      </c>
      <c r="N2332" s="73">
        <f t="shared" si="290"/>
        <v>0</v>
      </c>
      <c r="O2332" s="73">
        <f t="shared" si="284"/>
        <v>0</v>
      </c>
      <c r="P2332" s="73">
        <f t="shared" si="286"/>
        <v>0</v>
      </c>
      <c r="Q2332" s="73"/>
      <c r="R2332" s="73">
        <v>0</v>
      </c>
      <c r="S2332" s="75">
        <f t="shared" si="289"/>
        <v>0</v>
      </c>
      <c r="T2332" s="77">
        <v>0</v>
      </c>
      <c r="U2332" s="66">
        <v>40578</v>
      </c>
      <c r="V2332" s="79"/>
      <c r="W2332" s="66" t="s">
        <v>1585</v>
      </c>
      <c r="X2332" s="24" t="s">
        <v>1586</v>
      </c>
      <c r="Y2332" s="62"/>
      <c r="Z2332" s="169" t="s">
        <v>894</v>
      </c>
      <c r="AA2332" s="166" t="s">
        <v>62</v>
      </c>
      <c r="AB2332" s="152"/>
      <c r="AC2332" s="153"/>
      <c r="AD2332" s="154"/>
      <c r="AE2332" s="153"/>
      <c r="AF2332" s="153"/>
      <c r="AG2332" s="153"/>
      <c r="AH2332" s="153"/>
      <c r="AI2332" s="153"/>
      <c r="AJ2332" s="153"/>
      <c r="AK2332" s="153"/>
      <c r="AL2332" s="153"/>
      <c r="AM2332" s="153"/>
      <c r="AN2332" s="153"/>
      <c r="AO2332" s="153"/>
      <c r="AP2332" s="153"/>
      <c r="AQ2332" s="153"/>
      <c r="AR2332" s="153"/>
      <c r="AS2332" s="153"/>
      <c r="AT2332" s="153"/>
      <c r="AU2332" s="153"/>
      <c r="AV2332" s="153"/>
      <c r="AW2332" s="153"/>
      <c r="AX2332" s="153"/>
      <c r="AY2332" s="153"/>
      <c r="AZ2332" s="153"/>
      <c r="BA2332" s="153"/>
      <c r="BB2332" s="153"/>
      <c r="BC2332" s="153"/>
      <c r="BD2332" s="153"/>
      <c r="BE2332" s="153"/>
      <c r="BF2332" s="153"/>
      <c r="BG2332" s="153"/>
      <c r="BH2332" s="153"/>
      <c r="BI2332" s="153"/>
      <c r="BJ2332" s="153"/>
      <c r="BK2332" s="153"/>
      <c r="BL2332" s="153"/>
      <c r="BM2332" s="153"/>
      <c r="BN2332" s="153"/>
      <c r="BO2332" s="153"/>
      <c r="BP2332" s="153"/>
      <c r="BQ2332" s="153"/>
      <c r="BR2332" s="153"/>
      <c r="BS2332" s="153"/>
      <c r="BT2332" s="153"/>
      <c r="BU2332" s="153"/>
      <c r="BV2332" s="153"/>
      <c r="BW2332" s="153"/>
      <c r="BX2332" s="153"/>
      <c r="BY2332" s="153"/>
      <c r="BZ2332" s="153"/>
      <c r="CA2332" s="153"/>
      <c r="CB2332" s="153"/>
      <c r="CC2332" s="153"/>
      <c r="CD2332" s="155"/>
      <c r="CE2332" s="156"/>
      <c r="CF2332" s="155"/>
      <c r="CG2332" s="156"/>
      <c r="CH2332" s="155"/>
      <c r="CI2332" s="156"/>
      <c r="CJ2332" s="157">
        <f t="shared" si="287"/>
        <v>0</v>
      </c>
      <c r="CK2332" s="158"/>
      <c r="CL2332" s="159"/>
      <c r="CM2332" s="160"/>
      <c r="CN2332" s="161"/>
      <c r="CO2332" s="162"/>
      <c r="CP2332" s="161"/>
      <c r="CQ2332" s="158"/>
      <c r="CR2332" s="159"/>
      <c r="CS2332" s="68"/>
      <c r="CT2332" s="163"/>
      <c r="EC2332" s="366" t="str">
        <f t="shared" si="288"/>
        <v>BOYACA_SANTA ROSA DE VITERBO</v>
      </c>
      <c r="ED2332" s="367"/>
      <c r="EE2332" s="367"/>
      <c r="EF2332" s="368"/>
      <c r="EG2332" s="367"/>
      <c r="EH2332" s="367"/>
      <c r="EI2332" s="367"/>
    </row>
    <row r="2333" spans="1:139" s="164" customFormat="1" ht="25.5">
      <c r="A2333" s="228">
        <v>40532</v>
      </c>
      <c r="B2333" s="205" t="s">
        <v>1996</v>
      </c>
      <c r="C2333" s="205" t="s">
        <v>1945</v>
      </c>
      <c r="D2333" s="207" t="s">
        <v>1201</v>
      </c>
      <c r="E2333" s="323" t="s">
        <v>3793</v>
      </c>
      <c r="F2333" s="323"/>
      <c r="G2333" s="204">
        <v>1</v>
      </c>
      <c r="H2333" s="151"/>
      <c r="I2333" s="151"/>
      <c r="J2333" s="151">
        <f>15480-1700-45-120</f>
        <v>13615</v>
      </c>
      <c r="K2333" s="151">
        <v>3322</v>
      </c>
      <c r="L2333" s="1"/>
      <c r="M2333" s="73">
        <f t="shared" si="285"/>
        <v>15660000</v>
      </c>
      <c r="N2333" s="73">
        <f t="shared" si="290"/>
        <v>73950000</v>
      </c>
      <c r="O2333" s="73">
        <f t="shared" si="284"/>
        <v>0</v>
      </c>
      <c r="P2333" s="73">
        <f t="shared" si="286"/>
        <v>0</v>
      </c>
      <c r="Q2333" s="73"/>
      <c r="R2333" s="73">
        <v>0</v>
      </c>
      <c r="S2333" s="75">
        <f t="shared" si="289"/>
        <v>89610000</v>
      </c>
      <c r="T2333" s="77">
        <v>0</v>
      </c>
      <c r="U2333" s="66"/>
      <c r="V2333" s="79"/>
      <c r="W2333" s="66" t="s">
        <v>1606</v>
      </c>
      <c r="X2333" s="24" t="s">
        <v>1607</v>
      </c>
      <c r="Y2333" s="62"/>
      <c r="Z2333" s="169"/>
      <c r="AA2333" s="166" t="s">
        <v>3070</v>
      </c>
      <c r="AB2333" s="152"/>
      <c r="AC2333" s="153"/>
      <c r="AD2333" s="154"/>
      <c r="AE2333" s="153"/>
      <c r="AF2333" s="153"/>
      <c r="AG2333" s="153"/>
      <c r="AH2333" s="153"/>
      <c r="AI2333" s="153"/>
      <c r="AJ2333" s="153"/>
      <c r="AK2333" s="153"/>
      <c r="AL2333" s="153"/>
      <c r="AM2333" s="153"/>
      <c r="AN2333" s="153"/>
      <c r="AO2333" s="153"/>
      <c r="AP2333" s="153"/>
      <c r="AQ2333" s="153"/>
      <c r="AR2333" s="153"/>
      <c r="AS2333" s="153"/>
      <c r="AT2333" s="153"/>
      <c r="AU2333" s="153"/>
      <c r="AV2333" s="153"/>
      <c r="AW2333" s="153"/>
      <c r="AX2333" s="153"/>
      <c r="AY2333" s="153"/>
      <c r="AZ2333" s="153"/>
      <c r="BA2333" s="153"/>
      <c r="BB2333" s="153"/>
      <c r="BC2333" s="153"/>
      <c r="BD2333" s="153"/>
      <c r="BE2333" s="153"/>
      <c r="BF2333" s="153"/>
      <c r="BG2333" s="153"/>
      <c r="BH2333" s="153"/>
      <c r="BI2333" s="153"/>
      <c r="BJ2333" s="153"/>
      <c r="BK2333" s="153"/>
      <c r="BL2333" s="153"/>
      <c r="BM2333" s="153"/>
      <c r="BN2333" s="153"/>
      <c r="BO2333" s="153"/>
      <c r="BP2333" s="153"/>
      <c r="BQ2333" s="153"/>
      <c r="BR2333" s="153"/>
      <c r="BS2333" s="153"/>
      <c r="BT2333" s="153"/>
      <c r="BU2333" s="153"/>
      <c r="BV2333" s="153"/>
      <c r="BW2333" s="153"/>
      <c r="BX2333" s="153"/>
      <c r="BY2333" s="153"/>
      <c r="BZ2333" s="153"/>
      <c r="CA2333" s="153"/>
      <c r="CB2333" s="153">
        <v>870</v>
      </c>
      <c r="CC2333" s="153">
        <f>870*18000</f>
        <v>15660000</v>
      </c>
      <c r="CD2333" s="155"/>
      <c r="CE2333" s="156"/>
      <c r="CF2333" s="155"/>
      <c r="CG2333" s="156"/>
      <c r="CH2333" s="155"/>
      <c r="CI2333" s="156"/>
      <c r="CJ2333" s="157">
        <f t="shared" si="287"/>
        <v>15660000</v>
      </c>
      <c r="CK2333" s="158"/>
      <c r="CL2333" s="159"/>
      <c r="CM2333" s="160">
        <v>870</v>
      </c>
      <c r="CN2333" s="161">
        <f>870*85000</f>
        <v>73950000</v>
      </c>
      <c r="CO2333" s="162"/>
      <c r="CP2333" s="161"/>
      <c r="CQ2333" s="158"/>
      <c r="CR2333" s="159"/>
      <c r="CS2333" s="68"/>
      <c r="CT2333" s="163"/>
      <c r="EC2333" s="366" t="str">
        <f t="shared" si="288"/>
        <v>CHOCO_QUIBDO</v>
      </c>
      <c r="ED2333" s="367"/>
      <c r="EE2333" s="367"/>
      <c r="EF2333" s="368"/>
      <c r="EG2333" s="367"/>
      <c r="EH2333" s="367"/>
      <c r="EI2333" s="367"/>
    </row>
    <row r="2334" spans="1:139" s="164" customFormat="1" ht="18" customHeight="1">
      <c r="A2334" s="228">
        <v>40532</v>
      </c>
      <c r="B2334" s="205" t="s">
        <v>965</v>
      </c>
      <c r="C2334" s="205" t="s">
        <v>1327</v>
      </c>
      <c r="D2334" s="207" t="s">
        <v>1878</v>
      </c>
      <c r="E2334" s="323" t="s">
        <v>3998</v>
      </c>
      <c r="F2334" s="323"/>
      <c r="G2334" s="204">
        <v>1</v>
      </c>
      <c r="H2334" s="151"/>
      <c r="I2334" s="151"/>
      <c r="J2334" s="151">
        <v>532</v>
      </c>
      <c r="K2334" s="151">
        <v>241</v>
      </c>
      <c r="L2334" s="1"/>
      <c r="M2334" s="73">
        <f t="shared" si="285"/>
        <v>0</v>
      </c>
      <c r="N2334" s="73">
        <f t="shared" si="290"/>
        <v>0</v>
      </c>
      <c r="O2334" s="73">
        <f t="shared" si="284"/>
        <v>0</v>
      </c>
      <c r="P2334" s="73">
        <f t="shared" si="286"/>
        <v>0</v>
      </c>
      <c r="Q2334" s="73"/>
      <c r="R2334" s="73">
        <v>0</v>
      </c>
      <c r="S2334" s="75">
        <f t="shared" si="289"/>
        <v>0</v>
      </c>
      <c r="T2334" s="77">
        <v>0</v>
      </c>
      <c r="U2334" s="66">
        <v>40529</v>
      </c>
      <c r="V2334" s="79"/>
      <c r="W2334" s="66" t="s">
        <v>1606</v>
      </c>
      <c r="X2334" s="264" t="s">
        <v>1607</v>
      </c>
      <c r="Y2334" s="62"/>
      <c r="Z2334" s="260" t="s">
        <v>18</v>
      </c>
      <c r="AA2334" s="166" t="s">
        <v>3073</v>
      </c>
      <c r="AB2334" s="152"/>
      <c r="AC2334" s="153"/>
      <c r="AD2334" s="154"/>
      <c r="AE2334" s="153"/>
      <c r="AF2334" s="153"/>
      <c r="AG2334" s="153"/>
      <c r="AH2334" s="153"/>
      <c r="AI2334" s="153"/>
      <c r="AJ2334" s="153"/>
      <c r="AK2334" s="153"/>
      <c r="AL2334" s="153"/>
      <c r="AM2334" s="153"/>
      <c r="AN2334" s="153"/>
      <c r="AO2334" s="153"/>
      <c r="AP2334" s="153"/>
      <c r="AQ2334" s="153"/>
      <c r="AR2334" s="153"/>
      <c r="AS2334" s="153"/>
      <c r="AT2334" s="153"/>
      <c r="AU2334" s="153"/>
      <c r="AV2334" s="153"/>
      <c r="AW2334" s="153"/>
      <c r="AX2334" s="153"/>
      <c r="AY2334" s="153"/>
      <c r="AZ2334" s="153"/>
      <c r="BA2334" s="153"/>
      <c r="BB2334" s="153"/>
      <c r="BC2334" s="153"/>
      <c r="BD2334" s="153"/>
      <c r="BE2334" s="153"/>
      <c r="BF2334" s="153"/>
      <c r="BG2334" s="153"/>
      <c r="BH2334" s="153"/>
      <c r="BI2334" s="153"/>
      <c r="BJ2334" s="153"/>
      <c r="BK2334" s="153"/>
      <c r="BL2334" s="153"/>
      <c r="BM2334" s="153"/>
      <c r="BN2334" s="153"/>
      <c r="BO2334" s="153"/>
      <c r="BP2334" s="153"/>
      <c r="BQ2334" s="153"/>
      <c r="BR2334" s="153"/>
      <c r="BS2334" s="153"/>
      <c r="BT2334" s="153"/>
      <c r="BU2334" s="153"/>
      <c r="BV2334" s="153"/>
      <c r="BW2334" s="153"/>
      <c r="BX2334" s="153"/>
      <c r="BY2334" s="153"/>
      <c r="BZ2334" s="153"/>
      <c r="CA2334" s="153"/>
      <c r="CB2334" s="153"/>
      <c r="CC2334" s="153"/>
      <c r="CD2334" s="155"/>
      <c r="CE2334" s="156"/>
      <c r="CF2334" s="155"/>
      <c r="CG2334" s="156"/>
      <c r="CH2334" s="155"/>
      <c r="CI2334" s="156"/>
      <c r="CJ2334" s="157">
        <f t="shared" si="287"/>
        <v>0</v>
      </c>
      <c r="CK2334" s="158"/>
      <c r="CL2334" s="159"/>
      <c r="CM2334" s="160"/>
      <c r="CN2334" s="161"/>
      <c r="CO2334" s="162"/>
      <c r="CP2334" s="161"/>
      <c r="CQ2334" s="158"/>
      <c r="CR2334" s="159"/>
      <c r="CS2334" s="68"/>
      <c r="CT2334" s="163"/>
      <c r="EC2334" s="366" t="str">
        <f t="shared" si="288"/>
        <v>NORTE DE SANTANDER_CUCUTA</v>
      </c>
      <c r="ED2334" s="367"/>
      <c r="EE2334" s="367"/>
      <c r="EF2334" s="368"/>
      <c r="EG2334" s="367"/>
      <c r="EH2334" s="367"/>
      <c r="EI2334" s="367"/>
    </row>
    <row r="2335" spans="1:139" s="164" customFormat="1" ht="25.5">
      <c r="A2335" s="228">
        <v>40532</v>
      </c>
      <c r="B2335" s="205" t="s">
        <v>1196</v>
      </c>
      <c r="C2335" s="205" t="s">
        <v>1497</v>
      </c>
      <c r="D2335" s="207" t="s">
        <v>2606</v>
      </c>
      <c r="E2335" s="323" t="s">
        <v>4292</v>
      </c>
      <c r="F2335" s="323"/>
      <c r="G2335" s="204"/>
      <c r="H2335" s="151"/>
      <c r="I2335" s="151"/>
      <c r="J2335" s="151">
        <f>270*5</f>
        <v>1350</v>
      </c>
      <c r="K2335" s="151">
        <f>300-2-28</f>
        <v>270</v>
      </c>
      <c r="L2335" s="1"/>
      <c r="M2335" s="73">
        <f t="shared" si="285"/>
        <v>0</v>
      </c>
      <c r="N2335" s="73">
        <f t="shared" si="290"/>
        <v>0</v>
      </c>
      <c r="O2335" s="73">
        <f t="shared" si="284"/>
        <v>0</v>
      </c>
      <c r="P2335" s="73">
        <f t="shared" si="286"/>
        <v>0</v>
      </c>
      <c r="Q2335" s="73"/>
      <c r="R2335" s="73">
        <v>0</v>
      </c>
      <c r="S2335" s="75">
        <f t="shared" si="289"/>
        <v>0</v>
      </c>
      <c r="T2335" s="77">
        <v>0</v>
      </c>
      <c r="U2335" s="66">
        <v>40533</v>
      </c>
      <c r="V2335" s="79"/>
      <c r="W2335" s="66" t="s">
        <v>1585</v>
      </c>
      <c r="X2335" s="24" t="s">
        <v>1586</v>
      </c>
      <c r="Y2335" s="62"/>
      <c r="Z2335" s="169" t="s">
        <v>894</v>
      </c>
      <c r="AA2335" s="166" t="s">
        <v>3047</v>
      </c>
      <c r="AB2335" s="152"/>
      <c r="AC2335" s="153"/>
      <c r="AD2335" s="154"/>
      <c r="AE2335" s="153"/>
      <c r="AF2335" s="153"/>
      <c r="AG2335" s="153"/>
      <c r="AH2335" s="153"/>
      <c r="AI2335" s="153"/>
      <c r="AJ2335" s="153"/>
      <c r="AK2335" s="153"/>
      <c r="AL2335" s="153"/>
      <c r="AM2335" s="153"/>
      <c r="AN2335" s="153"/>
      <c r="AO2335" s="153"/>
      <c r="AP2335" s="153"/>
      <c r="AQ2335" s="153"/>
      <c r="AR2335" s="153"/>
      <c r="AS2335" s="153"/>
      <c r="AT2335" s="153"/>
      <c r="AU2335" s="153"/>
      <c r="AV2335" s="153"/>
      <c r="AW2335" s="153"/>
      <c r="AX2335" s="153"/>
      <c r="AY2335" s="153"/>
      <c r="AZ2335" s="153"/>
      <c r="BA2335" s="153"/>
      <c r="BB2335" s="153"/>
      <c r="BC2335" s="153"/>
      <c r="BD2335" s="153"/>
      <c r="BE2335" s="153"/>
      <c r="BF2335" s="153"/>
      <c r="BG2335" s="153"/>
      <c r="BH2335" s="153"/>
      <c r="BI2335" s="153"/>
      <c r="BJ2335" s="153"/>
      <c r="BK2335" s="153"/>
      <c r="BL2335" s="153"/>
      <c r="BM2335" s="153"/>
      <c r="BN2335" s="153"/>
      <c r="BO2335" s="153"/>
      <c r="BP2335" s="153"/>
      <c r="BQ2335" s="153"/>
      <c r="BR2335" s="153"/>
      <c r="BS2335" s="153"/>
      <c r="BT2335" s="153"/>
      <c r="BU2335" s="153"/>
      <c r="BV2335" s="153"/>
      <c r="BW2335" s="153"/>
      <c r="BX2335" s="153"/>
      <c r="BY2335" s="153"/>
      <c r="BZ2335" s="153"/>
      <c r="CA2335" s="153"/>
      <c r="CB2335" s="153"/>
      <c r="CC2335" s="153"/>
      <c r="CD2335" s="155"/>
      <c r="CE2335" s="156"/>
      <c r="CF2335" s="155"/>
      <c r="CG2335" s="156"/>
      <c r="CH2335" s="155"/>
      <c r="CI2335" s="156"/>
      <c r="CJ2335" s="157">
        <f t="shared" si="287"/>
        <v>0</v>
      </c>
      <c r="CK2335" s="158"/>
      <c r="CL2335" s="159"/>
      <c r="CM2335" s="160"/>
      <c r="CN2335" s="161"/>
      <c r="CO2335" s="162"/>
      <c r="CP2335" s="161"/>
      <c r="CQ2335" s="158"/>
      <c r="CR2335" s="159"/>
      <c r="CS2335" s="68"/>
      <c r="CT2335" s="163"/>
      <c r="EC2335" s="366" t="str">
        <f t="shared" si="288"/>
        <v>PUTUMAYO_MOCOA</v>
      </c>
      <c r="ED2335" s="367"/>
      <c r="EE2335" s="367"/>
      <c r="EF2335" s="368"/>
      <c r="EG2335" s="367"/>
      <c r="EH2335" s="367"/>
      <c r="EI2335" s="367"/>
    </row>
    <row r="2336" spans="1:139" s="164" customFormat="1" ht="45">
      <c r="A2336" s="228">
        <v>40532</v>
      </c>
      <c r="B2336" s="205" t="s">
        <v>1088</v>
      </c>
      <c r="C2336" s="205" t="s">
        <v>2529</v>
      </c>
      <c r="D2336" s="207" t="s">
        <v>1878</v>
      </c>
      <c r="E2336" s="323" t="s">
        <v>4237</v>
      </c>
      <c r="F2336" s="323"/>
      <c r="G2336" s="204"/>
      <c r="H2336" s="151"/>
      <c r="I2336" s="151"/>
      <c r="J2336" s="151">
        <v>65</v>
      </c>
      <c r="K2336" s="151">
        <v>13</v>
      </c>
      <c r="L2336" s="1"/>
      <c r="M2336" s="73">
        <f t="shared" si="285"/>
        <v>0</v>
      </c>
      <c r="N2336" s="73">
        <f t="shared" si="290"/>
        <v>0</v>
      </c>
      <c r="O2336" s="73">
        <f t="shared" si="284"/>
        <v>0</v>
      </c>
      <c r="P2336" s="73">
        <f t="shared" si="286"/>
        <v>0</v>
      </c>
      <c r="Q2336" s="73"/>
      <c r="R2336" s="73">
        <v>0</v>
      </c>
      <c r="S2336" s="75">
        <f t="shared" si="289"/>
        <v>0</v>
      </c>
      <c r="T2336" s="77">
        <v>0</v>
      </c>
      <c r="U2336" s="66"/>
      <c r="V2336" s="79"/>
      <c r="W2336" s="66" t="s">
        <v>1606</v>
      </c>
      <c r="X2336" s="264" t="s">
        <v>1607</v>
      </c>
      <c r="Y2336" s="62"/>
      <c r="Z2336" s="260" t="s">
        <v>18</v>
      </c>
      <c r="AA2336" s="166" t="s">
        <v>3068</v>
      </c>
      <c r="AB2336" s="152"/>
      <c r="AC2336" s="153"/>
      <c r="AD2336" s="154"/>
      <c r="AE2336" s="153"/>
      <c r="AF2336" s="153"/>
      <c r="AG2336" s="153"/>
      <c r="AH2336" s="153"/>
      <c r="AI2336" s="153"/>
      <c r="AJ2336" s="153"/>
      <c r="AK2336" s="153"/>
      <c r="AL2336" s="153"/>
      <c r="AM2336" s="153"/>
      <c r="AN2336" s="153"/>
      <c r="AO2336" s="153"/>
      <c r="AP2336" s="153"/>
      <c r="AQ2336" s="153"/>
      <c r="AR2336" s="153"/>
      <c r="AS2336" s="153"/>
      <c r="AT2336" s="153"/>
      <c r="AU2336" s="153"/>
      <c r="AV2336" s="153"/>
      <c r="AW2336" s="153"/>
      <c r="AX2336" s="153"/>
      <c r="AY2336" s="153"/>
      <c r="AZ2336" s="153"/>
      <c r="BA2336" s="153"/>
      <c r="BB2336" s="153"/>
      <c r="BC2336" s="153"/>
      <c r="BD2336" s="153"/>
      <c r="BE2336" s="153"/>
      <c r="BF2336" s="153"/>
      <c r="BG2336" s="153"/>
      <c r="BH2336" s="153"/>
      <c r="BI2336" s="153"/>
      <c r="BJ2336" s="153"/>
      <c r="BK2336" s="153"/>
      <c r="BL2336" s="153"/>
      <c r="BM2336" s="153"/>
      <c r="BN2336" s="153"/>
      <c r="BO2336" s="153"/>
      <c r="BP2336" s="153"/>
      <c r="BQ2336" s="153"/>
      <c r="BR2336" s="153"/>
      <c r="BS2336" s="153"/>
      <c r="BT2336" s="153"/>
      <c r="BU2336" s="153"/>
      <c r="BV2336" s="153"/>
      <c r="BW2336" s="153"/>
      <c r="BX2336" s="153"/>
      <c r="BY2336" s="153"/>
      <c r="BZ2336" s="153"/>
      <c r="CA2336" s="153"/>
      <c r="CB2336" s="153"/>
      <c r="CC2336" s="153"/>
      <c r="CD2336" s="155"/>
      <c r="CE2336" s="156"/>
      <c r="CF2336" s="155"/>
      <c r="CG2336" s="156"/>
      <c r="CH2336" s="155"/>
      <c r="CI2336" s="156"/>
      <c r="CJ2336" s="157">
        <f t="shared" si="287"/>
        <v>0</v>
      </c>
      <c r="CK2336" s="158"/>
      <c r="CL2336" s="159"/>
      <c r="CM2336" s="160"/>
      <c r="CN2336" s="161"/>
      <c r="CO2336" s="162"/>
      <c r="CP2336" s="161"/>
      <c r="CQ2336" s="158"/>
      <c r="CR2336" s="159"/>
      <c r="CS2336" s="68"/>
      <c r="CT2336" s="163"/>
      <c r="EC2336" s="366" t="str">
        <f t="shared" si="288"/>
        <v>VALLE DEL CAUCA_DAGUA</v>
      </c>
      <c r="ED2336" s="367"/>
      <c r="EE2336" s="367"/>
      <c r="EF2336" s="368"/>
      <c r="EG2336" s="367"/>
      <c r="EH2336" s="367"/>
      <c r="EI2336" s="367"/>
    </row>
    <row r="2337" spans="1:139" s="164" customFormat="1" ht="38.25">
      <c r="A2337" s="228">
        <v>40532</v>
      </c>
      <c r="B2337" s="205" t="s">
        <v>1088</v>
      </c>
      <c r="C2337" s="205" t="s">
        <v>2747</v>
      </c>
      <c r="D2337" s="207" t="s">
        <v>1878</v>
      </c>
      <c r="E2337" s="323" t="s">
        <v>4240</v>
      </c>
      <c r="F2337" s="323"/>
      <c r="G2337" s="204"/>
      <c r="H2337" s="151"/>
      <c r="I2337" s="151"/>
      <c r="J2337" s="151"/>
      <c r="K2337" s="151"/>
      <c r="L2337" s="1"/>
      <c r="M2337" s="73">
        <f t="shared" si="285"/>
        <v>0</v>
      </c>
      <c r="N2337" s="73">
        <f t="shared" si="290"/>
        <v>0</v>
      </c>
      <c r="O2337" s="73">
        <f t="shared" si="284"/>
        <v>0</v>
      </c>
      <c r="P2337" s="73">
        <f t="shared" si="286"/>
        <v>0</v>
      </c>
      <c r="Q2337" s="73"/>
      <c r="R2337" s="73">
        <v>0</v>
      </c>
      <c r="S2337" s="75">
        <f t="shared" si="289"/>
        <v>0</v>
      </c>
      <c r="T2337" s="77">
        <v>0</v>
      </c>
      <c r="U2337" s="66">
        <v>40540</v>
      </c>
      <c r="V2337" s="79"/>
      <c r="W2337" s="66" t="s">
        <v>1585</v>
      </c>
      <c r="X2337" s="24" t="s">
        <v>1586</v>
      </c>
      <c r="Y2337" s="62"/>
      <c r="Z2337" s="169" t="s">
        <v>894</v>
      </c>
      <c r="AA2337" s="166" t="s">
        <v>3069</v>
      </c>
      <c r="AB2337" s="152"/>
      <c r="AC2337" s="153"/>
      <c r="AD2337" s="154"/>
      <c r="AE2337" s="153"/>
      <c r="AF2337" s="153"/>
      <c r="AG2337" s="153"/>
      <c r="AH2337" s="153"/>
      <c r="AI2337" s="153"/>
      <c r="AJ2337" s="153"/>
      <c r="AK2337" s="153"/>
      <c r="AL2337" s="153"/>
      <c r="AM2337" s="153"/>
      <c r="AN2337" s="153"/>
      <c r="AO2337" s="153"/>
      <c r="AP2337" s="153"/>
      <c r="AQ2337" s="153"/>
      <c r="AR2337" s="153"/>
      <c r="AS2337" s="153"/>
      <c r="AT2337" s="153"/>
      <c r="AU2337" s="153"/>
      <c r="AV2337" s="153"/>
      <c r="AW2337" s="153"/>
      <c r="AX2337" s="153"/>
      <c r="AY2337" s="153"/>
      <c r="AZ2337" s="153"/>
      <c r="BA2337" s="153"/>
      <c r="BB2337" s="153"/>
      <c r="BC2337" s="153"/>
      <c r="BD2337" s="153"/>
      <c r="BE2337" s="153"/>
      <c r="BF2337" s="153"/>
      <c r="BG2337" s="153"/>
      <c r="BH2337" s="153"/>
      <c r="BI2337" s="153"/>
      <c r="BJ2337" s="153"/>
      <c r="BK2337" s="153"/>
      <c r="BL2337" s="153"/>
      <c r="BM2337" s="153"/>
      <c r="BN2337" s="153"/>
      <c r="BO2337" s="153"/>
      <c r="BP2337" s="153"/>
      <c r="BQ2337" s="153"/>
      <c r="BR2337" s="153"/>
      <c r="BS2337" s="153"/>
      <c r="BT2337" s="153"/>
      <c r="BU2337" s="153"/>
      <c r="BV2337" s="153"/>
      <c r="BW2337" s="153"/>
      <c r="BX2337" s="153"/>
      <c r="BY2337" s="153"/>
      <c r="BZ2337" s="153"/>
      <c r="CA2337" s="153"/>
      <c r="CB2337" s="153"/>
      <c r="CC2337" s="153"/>
      <c r="CD2337" s="155"/>
      <c r="CE2337" s="156"/>
      <c r="CF2337" s="155"/>
      <c r="CG2337" s="156"/>
      <c r="CH2337" s="155"/>
      <c r="CI2337" s="156"/>
      <c r="CJ2337" s="157">
        <f t="shared" si="287"/>
        <v>0</v>
      </c>
      <c r="CK2337" s="158"/>
      <c r="CL2337" s="159"/>
      <c r="CM2337" s="160"/>
      <c r="CN2337" s="161"/>
      <c r="CO2337" s="162"/>
      <c r="CP2337" s="161"/>
      <c r="CQ2337" s="158"/>
      <c r="CR2337" s="159"/>
      <c r="CS2337" s="68"/>
      <c r="CT2337" s="163"/>
      <c r="EC2337" s="366" t="str">
        <f t="shared" si="288"/>
        <v>VALLE DEL CAUCA_EL CERRITO</v>
      </c>
      <c r="ED2337" s="367"/>
      <c r="EE2337" s="367"/>
      <c r="EF2337" s="368"/>
      <c r="EG2337" s="367"/>
      <c r="EH2337" s="367"/>
      <c r="EI2337" s="367"/>
    </row>
    <row r="2338" spans="1:139" s="164" customFormat="1" ht="96">
      <c r="A2338" s="228">
        <v>40533</v>
      </c>
      <c r="B2338" s="205" t="s">
        <v>653</v>
      </c>
      <c r="C2338" s="205" t="s">
        <v>1605</v>
      </c>
      <c r="D2338" s="207" t="s">
        <v>1201</v>
      </c>
      <c r="E2338" s="323" t="s">
        <v>3125</v>
      </c>
      <c r="F2338" s="323"/>
      <c r="G2338" s="204"/>
      <c r="H2338" s="151"/>
      <c r="I2338" s="151"/>
      <c r="J2338" s="151"/>
      <c r="K2338" s="151"/>
      <c r="L2338" s="1">
        <v>40533</v>
      </c>
      <c r="M2338" s="73">
        <f t="shared" si="285"/>
        <v>34300000</v>
      </c>
      <c r="N2338" s="73">
        <f t="shared" si="290"/>
        <v>0</v>
      </c>
      <c r="O2338" s="73">
        <f t="shared" si="284"/>
        <v>0</v>
      </c>
      <c r="P2338" s="73">
        <f t="shared" si="286"/>
        <v>0</v>
      </c>
      <c r="Q2338" s="73"/>
      <c r="R2338" s="73">
        <v>600000000</v>
      </c>
      <c r="S2338" s="75">
        <f t="shared" si="289"/>
        <v>634300000</v>
      </c>
      <c r="T2338" s="77">
        <v>0</v>
      </c>
      <c r="U2338" s="66">
        <v>40526</v>
      </c>
      <c r="V2338" s="79">
        <v>71423</v>
      </c>
      <c r="W2338" s="66" t="s">
        <v>1606</v>
      </c>
      <c r="X2338" s="24" t="s">
        <v>1607</v>
      </c>
      <c r="Y2338" s="62"/>
      <c r="Z2338" s="169" t="s">
        <v>3056</v>
      </c>
      <c r="AA2338" s="170" t="s">
        <v>3055</v>
      </c>
      <c r="AB2338" s="152"/>
      <c r="AC2338" s="153"/>
      <c r="AD2338" s="154"/>
      <c r="AE2338" s="153"/>
      <c r="AF2338" s="153"/>
      <c r="AG2338" s="153"/>
      <c r="AH2338" s="153"/>
      <c r="AI2338" s="153"/>
      <c r="AJ2338" s="153"/>
      <c r="AK2338" s="153"/>
      <c r="AL2338" s="153"/>
      <c r="AM2338" s="153"/>
      <c r="AN2338" s="153">
        <v>500</v>
      </c>
      <c r="AO2338" s="153">
        <f>500*56000</f>
        <v>28000000</v>
      </c>
      <c r="AP2338" s="153"/>
      <c r="AQ2338" s="153"/>
      <c r="AR2338" s="153"/>
      <c r="AS2338" s="153"/>
      <c r="AT2338" s="153"/>
      <c r="AU2338" s="153"/>
      <c r="AV2338" s="153"/>
      <c r="AW2338" s="153"/>
      <c r="AX2338" s="153"/>
      <c r="AY2338" s="153"/>
      <c r="AZ2338" s="153"/>
      <c r="BA2338" s="153"/>
      <c r="BB2338" s="153"/>
      <c r="BC2338" s="153"/>
      <c r="BD2338" s="153"/>
      <c r="BE2338" s="153"/>
      <c r="BF2338" s="153"/>
      <c r="BG2338" s="153"/>
      <c r="BH2338" s="153"/>
      <c r="BI2338" s="153"/>
      <c r="BJ2338" s="153"/>
      <c r="BK2338" s="153"/>
      <c r="BL2338" s="153"/>
      <c r="BM2338" s="153"/>
      <c r="BN2338" s="153"/>
      <c r="BO2338" s="153"/>
      <c r="BP2338" s="153"/>
      <c r="BQ2338" s="153"/>
      <c r="BR2338" s="153"/>
      <c r="BS2338" s="153"/>
      <c r="BT2338" s="153"/>
      <c r="BU2338" s="153"/>
      <c r="BV2338" s="153"/>
      <c r="BW2338" s="153"/>
      <c r="BX2338" s="153">
        <v>300</v>
      </c>
      <c r="BY2338" s="153">
        <f>300*21000</f>
        <v>6300000</v>
      </c>
      <c r="BZ2338" s="153"/>
      <c r="CA2338" s="153"/>
      <c r="CB2338" s="153"/>
      <c r="CC2338" s="153"/>
      <c r="CD2338" s="155"/>
      <c r="CE2338" s="156"/>
      <c r="CF2338" s="155"/>
      <c r="CG2338" s="156"/>
      <c r="CH2338" s="155"/>
      <c r="CI2338" s="156"/>
      <c r="CJ2338" s="157">
        <f t="shared" si="287"/>
        <v>34300000</v>
      </c>
      <c r="CK2338" s="158"/>
      <c r="CL2338" s="159"/>
      <c r="CM2338" s="160"/>
      <c r="CN2338" s="161"/>
      <c r="CO2338" s="162"/>
      <c r="CP2338" s="161"/>
      <c r="CQ2338" s="158"/>
      <c r="CR2338" s="159"/>
      <c r="CS2338" s="68"/>
      <c r="CT2338" s="163"/>
      <c r="EC2338" s="366" t="str">
        <f t="shared" si="288"/>
        <v>CALDAS_DEPARTAMENTO</v>
      </c>
      <c r="ED2338" s="367"/>
      <c r="EE2338" s="367"/>
      <c r="EF2338" s="368"/>
      <c r="EG2338" s="367"/>
      <c r="EH2338" s="367"/>
      <c r="EI2338" s="367"/>
    </row>
    <row r="2339" spans="1:139" s="164" customFormat="1" ht="48">
      <c r="A2339" s="228">
        <v>40533</v>
      </c>
      <c r="B2339" s="205" t="s">
        <v>1824</v>
      </c>
      <c r="C2339" s="205" t="s">
        <v>3052</v>
      </c>
      <c r="D2339" s="207" t="s">
        <v>1878</v>
      </c>
      <c r="E2339" s="323" t="s">
        <v>3971</v>
      </c>
      <c r="F2339" s="323"/>
      <c r="G2339" s="204"/>
      <c r="H2339" s="151"/>
      <c r="I2339" s="151"/>
      <c r="J2339" s="151">
        <v>859</v>
      </c>
      <c r="K2339" s="151">
        <v>211</v>
      </c>
      <c r="L2339" s="1"/>
      <c r="M2339" s="73">
        <f t="shared" si="285"/>
        <v>0</v>
      </c>
      <c r="N2339" s="73">
        <f t="shared" si="290"/>
        <v>0</v>
      </c>
      <c r="O2339" s="73">
        <f t="shared" si="284"/>
        <v>0</v>
      </c>
      <c r="P2339" s="73">
        <f t="shared" si="286"/>
        <v>0</v>
      </c>
      <c r="Q2339" s="73"/>
      <c r="R2339" s="73">
        <v>0</v>
      </c>
      <c r="S2339" s="75">
        <f t="shared" si="289"/>
        <v>0</v>
      </c>
      <c r="T2339" s="77">
        <v>0</v>
      </c>
      <c r="U2339" s="66">
        <v>40533</v>
      </c>
      <c r="V2339" s="79"/>
      <c r="W2339" s="66" t="s">
        <v>1585</v>
      </c>
      <c r="X2339" s="24" t="s">
        <v>1586</v>
      </c>
      <c r="Y2339" s="62"/>
      <c r="Z2339" s="169" t="s">
        <v>894</v>
      </c>
      <c r="AA2339" s="166" t="s">
        <v>3100</v>
      </c>
      <c r="AB2339" s="152"/>
      <c r="AC2339" s="153"/>
      <c r="AD2339" s="154"/>
      <c r="AE2339" s="153"/>
      <c r="AF2339" s="153"/>
      <c r="AG2339" s="153"/>
      <c r="AH2339" s="153"/>
      <c r="AI2339" s="153"/>
      <c r="AJ2339" s="153"/>
      <c r="AK2339" s="153"/>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c r="BF2339" s="153"/>
      <c r="BG2339" s="153"/>
      <c r="BH2339" s="153"/>
      <c r="BI2339" s="153"/>
      <c r="BJ2339" s="153"/>
      <c r="BK2339" s="153"/>
      <c r="BL2339" s="153"/>
      <c r="BM2339" s="153"/>
      <c r="BN2339" s="153"/>
      <c r="BO2339" s="153"/>
      <c r="BP2339" s="153"/>
      <c r="BQ2339" s="153"/>
      <c r="BR2339" s="153"/>
      <c r="BS2339" s="153"/>
      <c r="BT2339" s="153"/>
      <c r="BU2339" s="153"/>
      <c r="BV2339" s="153"/>
      <c r="BW2339" s="153"/>
      <c r="BX2339" s="153"/>
      <c r="BY2339" s="153"/>
      <c r="BZ2339" s="153"/>
      <c r="CA2339" s="153"/>
      <c r="CB2339" s="153"/>
      <c r="CC2339" s="153"/>
      <c r="CD2339" s="155"/>
      <c r="CE2339" s="156"/>
      <c r="CF2339" s="155"/>
      <c r="CG2339" s="156"/>
      <c r="CH2339" s="155"/>
      <c r="CI2339" s="156"/>
      <c r="CJ2339" s="157">
        <f t="shared" si="287"/>
        <v>0</v>
      </c>
      <c r="CK2339" s="158"/>
      <c r="CL2339" s="159"/>
      <c r="CM2339" s="160"/>
      <c r="CN2339" s="161"/>
      <c r="CO2339" s="162"/>
      <c r="CP2339" s="161"/>
      <c r="CQ2339" s="158"/>
      <c r="CR2339" s="159"/>
      <c r="CS2339" s="68"/>
      <c r="CT2339" s="163"/>
      <c r="EC2339" s="366" t="str">
        <f t="shared" si="288"/>
        <v>NARIÑO_MALLAMA</v>
      </c>
      <c r="ED2339" s="367"/>
      <c r="EE2339" s="367"/>
      <c r="EF2339" s="368"/>
      <c r="EG2339" s="367"/>
      <c r="EH2339" s="367"/>
      <c r="EI2339" s="367"/>
    </row>
    <row r="2340" spans="1:139" s="164" customFormat="1" ht="51">
      <c r="A2340" s="228">
        <v>40533</v>
      </c>
      <c r="B2340" s="205" t="s">
        <v>1824</v>
      </c>
      <c r="C2340" s="205" t="s">
        <v>2830</v>
      </c>
      <c r="D2340" s="207" t="s">
        <v>1878</v>
      </c>
      <c r="E2340" s="323" t="s">
        <v>3989</v>
      </c>
      <c r="F2340" s="323"/>
      <c r="G2340" s="204"/>
      <c r="H2340" s="151"/>
      <c r="I2340" s="151"/>
      <c r="J2340" s="151">
        <v>380</v>
      </c>
      <c r="K2340" s="151">
        <f>14+83</f>
        <v>97</v>
      </c>
      <c r="L2340" s="1"/>
      <c r="M2340" s="73">
        <f t="shared" si="285"/>
        <v>0</v>
      </c>
      <c r="N2340" s="73">
        <f t="shared" si="290"/>
        <v>0</v>
      </c>
      <c r="O2340" s="73">
        <f t="shared" si="284"/>
        <v>0</v>
      </c>
      <c r="P2340" s="73">
        <f t="shared" si="286"/>
        <v>0</v>
      </c>
      <c r="Q2340" s="73"/>
      <c r="R2340" s="73">
        <v>0</v>
      </c>
      <c r="S2340" s="75">
        <f t="shared" si="289"/>
        <v>0</v>
      </c>
      <c r="T2340" s="77">
        <v>0</v>
      </c>
      <c r="U2340" s="66">
        <v>40533</v>
      </c>
      <c r="V2340" s="79"/>
      <c r="W2340" s="66" t="s">
        <v>1585</v>
      </c>
      <c r="X2340" s="24" t="s">
        <v>1586</v>
      </c>
      <c r="Y2340" s="62"/>
      <c r="Z2340" s="169" t="s">
        <v>894</v>
      </c>
      <c r="AA2340" s="166" t="s">
        <v>444</v>
      </c>
      <c r="AB2340" s="152"/>
      <c r="AC2340" s="153"/>
      <c r="AD2340" s="154"/>
      <c r="AE2340" s="153"/>
      <c r="AF2340" s="153"/>
      <c r="AG2340" s="153"/>
      <c r="AH2340" s="153"/>
      <c r="AI2340" s="153"/>
      <c r="AJ2340" s="153"/>
      <c r="AK2340" s="153"/>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c r="BF2340" s="153"/>
      <c r="BG2340" s="153"/>
      <c r="BH2340" s="153"/>
      <c r="BI2340" s="153"/>
      <c r="BJ2340" s="153"/>
      <c r="BK2340" s="153"/>
      <c r="BL2340" s="153"/>
      <c r="BM2340" s="153"/>
      <c r="BN2340" s="153"/>
      <c r="BO2340" s="153"/>
      <c r="BP2340" s="153"/>
      <c r="BQ2340" s="153"/>
      <c r="BR2340" s="153"/>
      <c r="BS2340" s="153"/>
      <c r="BT2340" s="153"/>
      <c r="BU2340" s="153"/>
      <c r="BV2340" s="153"/>
      <c r="BW2340" s="153"/>
      <c r="BX2340" s="153"/>
      <c r="BY2340" s="153"/>
      <c r="BZ2340" s="153"/>
      <c r="CA2340" s="153"/>
      <c r="CB2340" s="153"/>
      <c r="CC2340" s="153"/>
      <c r="CD2340" s="155"/>
      <c r="CE2340" s="156"/>
      <c r="CF2340" s="155"/>
      <c r="CG2340" s="156"/>
      <c r="CH2340" s="155"/>
      <c r="CI2340" s="156"/>
      <c r="CJ2340" s="157">
        <f t="shared" si="287"/>
        <v>0</v>
      </c>
      <c r="CK2340" s="158"/>
      <c r="CL2340" s="159"/>
      <c r="CM2340" s="160"/>
      <c r="CN2340" s="161"/>
      <c r="CO2340" s="162"/>
      <c r="CP2340" s="161"/>
      <c r="CQ2340" s="158"/>
      <c r="CR2340" s="159"/>
      <c r="CS2340" s="68"/>
      <c r="CT2340" s="163"/>
      <c r="EC2340" s="366" t="str">
        <f t="shared" si="288"/>
        <v>NARIÑO_SAN PEDRO DE CARTAGO</v>
      </c>
      <c r="ED2340" s="367"/>
      <c r="EE2340" s="367"/>
      <c r="EF2340" s="368"/>
      <c r="EG2340" s="367"/>
      <c r="EH2340" s="367"/>
      <c r="EI2340" s="367"/>
    </row>
    <row r="2341" spans="1:139" s="164" customFormat="1" ht="25.5">
      <c r="A2341" s="228">
        <v>40534</v>
      </c>
      <c r="B2341" s="205" t="s">
        <v>1192</v>
      </c>
      <c r="C2341" s="205" t="s">
        <v>552</v>
      </c>
      <c r="D2341" s="207" t="s">
        <v>1201</v>
      </c>
      <c r="E2341" s="323" t="s">
        <v>3430</v>
      </c>
      <c r="F2341" s="323"/>
      <c r="G2341" s="204"/>
      <c r="H2341" s="151"/>
      <c r="I2341" s="151"/>
      <c r="J2341" s="151">
        <f>125*5</f>
        <v>625</v>
      </c>
      <c r="K2341" s="151">
        <v>125</v>
      </c>
      <c r="L2341" s="1"/>
      <c r="M2341" s="73">
        <f t="shared" si="285"/>
        <v>0</v>
      </c>
      <c r="N2341" s="73">
        <f t="shared" si="290"/>
        <v>0</v>
      </c>
      <c r="O2341" s="73">
        <f t="shared" si="284"/>
        <v>0</v>
      </c>
      <c r="P2341" s="73">
        <f t="shared" si="286"/>
        <v>0</v>
      </c>
      <c r="Q2341" s="73"/>
      <c r="R2341" s="73">
        <v>0</v>
      </c>
      <c r="S2341" s="75">
        <f t="shared" si="289"/>
        <v>0</v>
      </c>
      <c r="T2341" s="77">
        <v>0</v>
      </c>
      <c r="U2341" s="66">
        <v>40578</v>
      </c>
      <c r="V2341" s="79"/>
      <c r="W2341" s="66" t="s">
        <v>1585</v>
      </c>
      <c r="X2341" s="24" t="s">
        <v>1586</v>
      </c>
      <c r="Y2341" s="62"/>
      <c r="Z2341" s="169" t="s">
        <v>894</v>
      </c>
      <c r="AA2341" s="166" t="s">
        <v>54</v>
      </c>
      <c r="AB2341" s="152"/>
      <c r="AC2341" s="153"/>
      <c r="AD2341" s="154"/>
      <c r="AE2341" s="153"/>
      <c r="AF2341" s="153"/>
      <c r="AG2341" s="153"/>
      <c r="AH2341" s="153"/>
      <c r="AI2341" s="153"/>
      <c r="AJ2341" s="153"/>
      <c r="AK2341" s="153"/>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c r="BF2341" s="153"/>
      <c r="BG2341" s="153"/>
      <c r="BH2341" s="153"/>
      <c r="BI2341" s="153"/>
      <c r="BJ2341" s="153"/>
      <c r="BK2341" s="153"/>
      <c r="BL2341" s="153"/>
      <c r="BM2341" s="153"/>
      <c r="BN2341" s="153"/>
      <c r="BO2341" s="153"/>
      <c r="BP2341" s="153"/>
      <c r="BQ2341" s="153"/>
      <c r="BR2341" s="153"/>
      <c r="BS2341" s="153"/>
      <c r="BT2341" s="153"/>
      <c r="BU2341" s="153"/>
      <c r="BV2341" s="153"/>
      <c r="BW2341" s="153"/>
      <c r="BX2341" s="153"/>
      <c r="BY2341" s="153"/>
      <c r="BZ2341" s="153"/>
      <c r="CA2341" s="153"/>
      <c r="CB2341" s="153"/>
      <c r="CC2341" s="153"/>
      <c r="CD2341" s="155"/>
      <c r="CE2341" s="156"/>
      <c r="CF2341" s="155"/>
      <c r="CG2341" s="156"/>
      <c r="CH2341" s="155"/>
      <c r="CI2341" s="156"/>
      <c r="CJ2341" s="157">
        <f t="shared" si="287"/>
        <v>0</v>
      </c>
      <c r="CK2341" s="158"/>
      <c r="CL2341" s="159"/>
      <c r="CM2341" s="160"/>
      <c r="CN2341" s="161"/>
      <c r="CO2341" s="162"/>
      <c r="CP2341" s="161"/>
      <c r="CQ2341" s="158"/>
      <c r="CR2341" s="159"/>
      <c r="CS2341" s="68"/>
      <c r="CT2341" s="163"/>
      <c r="EC2341" s="366" t="str">
        <f t="shared" si="288"/>
        <v>BOYACA_BRICEÑO</v>
      </c>
      <c r="ED2341" s="367"/>
      <c r="EE2341" s="367"/>
      <c r="EF2341" s="368"/>
      <c r="EG2341" s="367"/>
      <c r="EH2341" s="367"/>
      <c r="EI2341" s="367"/>
    </row>
    <row r="2342" spans="1:139" s="164" customFormat="1" ht="45">
      <c r="A2342" s="228">
        <v>40534</v>
      </c>
      <c r="B2342" s="205" t="s">
        <v>1314</v>
      </c>
      <c r="C2342" s="205" t="s">
        <v>3133</v>
      </c>
      <c r="D2342" s="207" t="s">
        <v>1316</v>
      </c>
      <c r="E2342" s="323" t="s">
        <v>3604</v>
      </c>
      <c r="F2342" s="323"/>
      <c r="G2342" s="204"/>
      <c r="H2342" s="151">
        <v>1</v>
      </c>
      <c r="I2342" s="151"/>
      <c r="J2342" s="151">
        <v>5</v>
      </c>
      <c r="K2342" s="151">
        <v>1</v>
      </c>
      <c r="L2342" s="1"/>
      <c r="M2342" s="73">
        <f t="shared" si="285"/>
        <v>0</v>
      </c>
      <c r="N2342" s="73">
        <f t="shared" si="290"/>
        <v>0</v>
      </c>
      <c r="O2342" s="73">
        <f t="shared" si="284"/>
        <v>0</v>
      </c>
      <c r="P2342" s="73">
        <f t="shared" si="286"/>
        <v>0</v>
      </c>
      <c r="Q2342" s="73"/>
      <c r="R2342" s="73">
        <v>0</v>
      </c>
      <c r="S2342" s="75">
        <f t="shared" si="289"/>
        <v>0</v>
      </c>
      <c r="T2342" s="77">
        <v>0</v>
      </c>
      <c r="U2342" s="66"/>
      <c r="V2342" s="79"/>
      <c r="W2342" s="66" t="s">
        <v>1606</v>
      </c>
      <c r="X2342" s="264" t="s">
        <v>1607</v>
      </c>
      <c r="Y2342" s="62"/>
      <c r="Z2342" s="260" t="s">
        <v>18</v>
      </c>
      <c r="AA2342" s="166" t="s">
        <v>3072</v>
      </c>
      <c r="AB2342" s="152"/>
      <c r="AC2342" s="153"/>
      <c r="AD2342" s="154"/>
      <c r="AE2342" s="153"/>
      <c r="AF2342" s="153"/>
      <c r="AG2342" s="153"/>
      <c r="AH2342" s="153"/>
      <c r="AI2342" s="153"/>
      <c r="AJ2342" s="153"/>
      <c r="AK2342" s="153"/>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c r="BF2342" s="153"/>
      <c r="BG2342" s="153"/>
      <c r="BH2342" s="153"/>
      <c r="BI2342" s="153"/>
      <c r="BJ2342" s="153"/>
      <c r="BK2342" s="153"/>
      <c r="BL2342" s="153"/>
      <c r="BM2342" s="153"/>
      <c r="BN2342" s="153"/>
      <c r="BO2342" s="153"/>
      <c r="BP2342" s="153"/>
      <c r="BQ2342" s="153"/>
      <c r="BR2342" s="153"/>
      <c r="BS2342" s="153"/>
      <c r="BT2342" s="153"/>
      <c r="BU2342" s="153"/>
      <c r="BV2342" s="153"/>
      <c r="BW2342" s="153"/>
      <c r="BX2342" s="153"/>
      <c r="BY2342" s="153"/>
      <c r="BZ2342" s="153"/>
      <c r="CA2342" s="153"/>
      <c r="CB2342" s="153"/>
      <c r="CC2342" s="153"/>
      <c r="CD2342" s="155"/>
      <c r="CE2342" s="156"/>
      <c r="CF2342" s="155"/>
      <c r="CG2342" s="156"/>
      <c r="CH2342" s="155"/>
      <c r="CI2342" s="156"/>
      <c r="CJ2342" s="157">
        <f t="shared" si="287"/>
        <v>0</v>
      </c>
      <c r="CK2342" s="158"/>
      <c r="CL2342" s="159"/>
      <c r="CM2342" s="160"/>
      <c r="CN2342" s="161"/>
      <c r="CO2342" s="162"/>
      <c r="CP2342" s="161"/>
      <c r="CQ2342" s="158"/>
      <c r="CR2342" s="159"/>
      <c r="CS2342" s="68"/>
      <c r="CT2342" s="163"/>
      <c r="EC2342" s="366" t="str">
        <f t="shared" si="288"/>
        <v>CAUCA_LOPEZ</v>
      </c>
      <c r="ED2342" s="367"/>
      <c r="EE2342" s="367"/>
      <c r="EF2342" s="368"/>
      <c r="EG2342" s="367"/>
      <c r="EH2342" s="367"/>
      <c r="EI2342" s="367"/>
    </row>
    <row r="2343" spans="1:139" s="164" customFormat="1" ht="25.5">
      <c r="A2343" s="228">
        <v>40534</v>
      </c>
      <c r="B2343" s="205" t="s">
        <v>1824</v>
      </c>
      <c r="C2343" s="205" t="s">
        <v>331</v>
      </c>
      <c r="D2343" s="207" t="s">
        <v>1878</v>
      </c>
      <c r="E2343" s="323" t="s">
        <v>3954</v>
      </c>
      <c r="F2343" s="323"/>
      <c r="G2343" s="204"/>
      <c r="H2343" s="151"/>
      <c r="I2343" s="151"/>
      <c r="J2343" s="151">
        <f>619-339</f>
        <v>280</v>
      </c>
      <c r="K2343" s="151">
        <f>159-89</f>
        <v>70</v>
      </c>
      <c r="L2343" s="1"/>
      <c r="M2343" s="73">
        <f t="shared" si="285"/>
        <v>0</v>
      </c>
      <c r="N2343" s="73">
        <f t="shared" si="290"/>
        <v>0</v>
      </c>
      <c r="O2343" s="73">
        <f t="shared" si="284"/>
        <v>0</v>
      </c>
      <c r="P2343" s="73">
        <f t="shared" si="286"/>
        <v>0</v>
      </c>
      <c r="Q2343" s="73"/>
      <c r="R2343" s="73">
        <v>0</v>
      </c>
      <c r="S2343" s="75">
        <f t="shared" si="289"/>
        <v>0</v>
      </c>
      <c r="T2343" s="77">
        <v>0</v>
      </c>
      <c r="U2343" s="66">
        <v>40534</v>
      </c>
      <c r="V2343" s="79"/>
      <c r="W2343" s="66" t="s">
        <v>1585</v>
      </c>
      <c r="X2343" s="24" t="s">
        <v>1586</v>
      </c>
      <c r="Y2343" s="62"/>
      <c r="Z2343" s="169" t="s">
        <v>894</v>
      </c>
      <c r="AA2343" s="166" t="s">
        <v>445</v>
      </c>
      <c r="AB2343" s="152"/>
      <c r="AC2343" s="153"/>
      <c r="AD2343" s="154"/>
      <c r="AE2343" s="153"/>
      <c r="AF2343" s="153"/>
      <c r="AG2343" s="153"/>
      <c r="AH2343" s="153"/>
      <c r="AI2343" s="153"/>
      <c r="AJ2343" s="153"/>
      <c r="AK2343" s="153"/>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c r="BF2343" s="153"/>
      <c r="BG2343" s="153"/>
      <c r="BH2343" s="153"/>
      <c r="BI2343" s="153"/>
      <c r="BJ2343" s="153"/>
      <c r="BK2343" s="153"/>
      <c r="BL2343" s="153"/>
      <c r="BM2343" s="153"/>
      <c r="BN2343" s="153"/>
      <c r="BO2343" s="153"/>
      <c r="BP2343" s="153"/>
      <c r="BQ2343" s="153"/>
      <c r="BR2343" s="153"/>
      <c r="BS2343" s="153"/>
      <c r="BT2343" s="153"/>
      <c r="BU2343" s="153"/>
      <c r="BV2343" s="153"/>
      <c r="BW2343" s="153"/>
      <c r="BX2343" s="153"/>
      <c r="BY2343" s="153"/>
      <c r="BZ2343" s="153"/>
      <c r="CA2343" s="153"/>
      <c r="CB2343" s="153"/>
      <c r="CC2343" s="153"/>
      <c r="CD2343" s="155"/>
      <c r="CE2343" s="156"/>
      <c r="CF2343" s="155"/>
      <c r="CG2343" s="156"/>
      <c r="CH2343" s="155"/>
      <c r="CI2343" s="156"/>
      <c r="CJ2343" s="157">
        <f t="shared" si="287"/>
        <v>0</v>
      </c>
      <c r="CK2343" s="158"/>
      <c r="CL2343" s="159"/>
      <c r="CM2343" s="160"/>
      <c r="CN2343" s="161"/>
      <c r="CO2343" s="162"/>
      <c r="CP2343" s="161"/>
      <c r="CQ2343" s="158"/>
      <c r="CR2343" s="159"/>
      <c r="CS2343" s="68"/>
      <c r="CT2343" s="163"/>
      <c r="EC2343" s="366" t="str">
        <f t="shared" si="288"/>
        <v>NARIÑO_EL TAMBO</v>
      </c>
      <c r="ED2343" s="367"/>
      <c r="EE2343" s="367"/>
      <c r="EF2343" s="368"/>
      <c r="EG2343" s="367"/>
      <c r="EH2343" s="367"/>
      <c r="EI2343" s="367"/>
    </row>
    <row r="2344" spans="1:139" s="164" customFormat="1" ht="51">
      <c r="A2344" s="228">
        <v>40534</v>
      </c>
      <c r="B2344" s="205" t="s">
        <v>965</v>
      </c>
      <c r="C2344" s="205" t="s">
        <v>1329</v>
      </c>
      <c r="D2344" s="207" t="s">
        <v>1878</v>
      </c>
      <c r="E2344" s="323" t="s">
        <v>4019</v>
      </c>
      <c r="F2344" s="323"/>
      <c r="G2344" s="204"/>
      <c r="H2344" s="151"/>
      <c r="I2344" s="151"/>
      <c r="J2344" s="151">
        <v>400</v>
      </c>
      <c r="K2344" s="151">
        <v>80</v>
      </c>
      <c r="L2344" s="1"/>
      <c r="M2344" s="73">
        <f t="shared" si="285"/>
        <v>0</v>
      </c>
      <c r="N2344" s="73">
        <f t="shared" si="290"/>
        <v>0</v>
      </c>
      <c r="O2344" s="73">
        <f t="shared" si="284"/>
        <v>0</v>
      </c>
      <c r="P2344" s="73">
        <f t="shared" si="286"/>
        <v>0</v>
      </c>
      <c r="Q2344" s="73"/>
      <c r="R2344" s="73">
        <v>0</v>
      </c>
      <c r="S2344" s="75">
        <f t="shared" si="289"/>
        <v>0</v>
      </c>
      <c r="T2344" s="77">
        <v>0</v>
      </c>
      <c r="U2344" s="66">
        <v>40529</v>
      </c>
      <c r="V2344" s="79"/>
      <c r="W2344" s="66" t="s">
        <v>1606</v>
      </c>
      <c r="X2344" s="264" t="s">
        <v>1607</v>
      </c>
      <c r="Y2344" s="62"/>
      <c r="Z2344" s="260" t="s">
        <v>18</v>
      </c>
      <c r="AA2344" s="166" t="s">
        <v>3075</v>
      </c>
      <c r="AB2344" s="152"/>
      <c r="AC2344" s="153"/>
      <c r="AD2344" s="154"/>
      <c r="AE2344" s="153"/>
      <c r="AF2344" s="153"/>
      <c r="AG2344" s="153"/>
      <c r="AH2344" s="153"/>
      <c r="AI2344" s="153"/>
      <c r="AJ2344" s="153"/>
      <c r="AK2344" s="153"/>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c r="BF2344" s="153"/>
      <c r="BG2344" s="153"/>
      <c r="BH2344" s="153"/>
      <c r="BI2344" s="153"/>
      <c r="BJ2344" s="153"/>
      <c r="BK2344" s="153"/>
      <c r="BL2344" s="153"/>
      <c r="BM2344" s="153"/>
      <c r="BN2344" s="153"/>
      <c r="BO2344" s="153"/>
      <c r="BP2344" s="153"/>
      <c r="BQ2344" s="153"/>
      <c r="BR2344" s="153"/>
      <c r="BS2344" s="153"/>
      <c r="BT2344" s="153"/>
      <c r="BU2344" s="153"/>
      <c r="BV2344" s="153"/>
      <c r="BW2344" s="153"/>
      <c r="BX2344" s="153"/>
      <c r="BY2344" s="153"/>
      <c r="BZ2344" s="153"/>
      <c r="CA2344" s="153"/>
      <c r="CB2344" s="153"/>
      <c r="CC2344" s="153"/>
      <c r="CD2344" s="155"/>
      <c r="CE2344" s="156"/>
      <c r="CF2344" s="155"/>
      <c r="CG2344" s="156"/>
      <c r="CH2344" s="155"/>
      <c r="CI2344" s="156"/>
      <c r="CJ2344" s="157">
        <f t="shared" si="287"/>
        <v>0</v>
      </c>
      <c r="CK2344" s="158"/>
      <c r="CL2344" s="159"/>
      <c r="CM2344" s="160"/>
      <c r="CN2344" s="161"/>
      <c r="CO2344" s="162"/>
      <c r="CP2344" s="161"/>
      <c r="CQ2344" s="158"/>
      <c r="CR2344" s="159"/>
      <c r="CS2344" s="68"/>
      <c r="CT2344" s="163"/>
      <c r="EC2344" s="366" t="str">
        <f t="shared" si="288"/>
        <v>NORTE DE SANTANDER_LOS PATIOS</v>
      </c>
      <c r="ED2344" s="367"/>
      <c r="EE2344" s="367"/>
      <c r="EF2344" s="368"/>
      <c r="EG2344" s="367"/>
      <c r="EH2344" s="367"/>
      <c r="EI2344" s="367"/>
    </row>
    <row r="2345" spans="1:139" s="164" customFormat="1" ht="25.5">
      <c r="A2345" s="228">
        <v>40534</v>
      </c>
      <c r="B2345" s="205" t="s">
        <v>1612</v>
      </c>
      <c r="C2345" s="205" t="s">
        <v>673</v>
      </c>
      <c r="D2345" s="207" t="s">
        <v>1878</v>
      </c>
      <c r="E2345" s="323" t="s">
        <v>4040</v>
      </c>
      <c r="F2345" s="323"/>
      <c r="G2345" s="204"/>
      <c r="H2345" s="151"/>
      <c r="I2345" s="151"/>
      <c r="J2345" s="151">
        <v>5</v>
      </c>
      <c r="K2345" s="151">
        <v>1</v>
      </c>
      <c r="L2345" s="1"/>
      <c r="M2345" s="73">
        <f t="shared" si="285"/>
        <v>0</v>
      </c>
      <c r="N2345" s="73">
        <f t="shared" si="290"/>
        <v>0</v>
      </c>
      <c r="O2345" s="73">
        <f t="shared" si="284"/>
        <v>0</v>
      </c>
      <c r="P2345" s="73">
        <f t="shared" si="286"/>
        <v>0</v>
      </c>
      <c r="Q2345" s="73"/>
      <c r="R2345" s="73">
        <v>0</v>
      </c>
      <c r="S2345" s="75">
        <f t="shared" si="289"/>
        <v>0</v>
      </c>
      <c r="T2345" s="77">
        <v>0</v>
      </c>
      <c r="U2345" s="66">
        <v>40540</v>
      </c>
      <c r="V2345" s="79"/>
      <c r="W2345" s="66" t="s">
        <v>1585</v>
      </c>
      <c r="X2345" s="24" t="s">
        <v>1586</v>
      </c>
      <c r="Y2345" s="62"/>
      <c r="Z2345" s="169" t="s">
        <v>894</v>
      </c>
      <c r="AA2345" s="166" t="s">
        <v>3071</v>
      </c>
      <c r="AB2345" s="152"/>
      <c r="AC2345" s="153"/>
      <c r="AD2345" s="154"/>
      <c r="AE2345" s="153"/>
      <c r="AF2345" s="153"/>
      <c r="AG2345" s="153"/>
      <c r="AH2345" s="153"/>
      <c r="AI2345" s="153"/>
      <c r="AJ2345" s="153"/>
      <c r="AK2345" s="153"/>
      <c r="AL2345" s="153"/>
      <c r="AM2345" s="153"/>
      <c r="AN2345" s="153"/>
      <c r="AO2345" s="153"/>
      <c r="AP2345" s="153"/>
      <c r="AQ2345" s="153"/>
      <c r="AR2345" s="153"/>
      <c r="AS2345" s="153"/>
      <c r="AT2345" s="153"/>
      <c r="AU2345" s="153"/>
      <c r="AV2345" s="153"/>
      <c r="AW2345" s="153"/>
      <c r="AX2345" s="153"/>
      <c r="AY2345" s="153"/>
      <c r="AZ2345" s="153"/>
      <c r="BA2345" s="153"/>
      <c r="BB2345" s="153"/>
      <c r="BC2345" s="153"/>
      <c r="BD2345" s="153"/>
      <c r="BE2345" s="153"/>
      <c r="BF2345" s="153"/>
      <c r="BG2345" s="153"/>
      <c r="BH2345" s="153"/>
      <c r="BI2345" s="153"/>
      <c r="BJ2345" s="153"/>
      <c r="BK2345" s="153"/>
      <c r="BL2345" s="153"/>
      <c r="BM2345" s="153"/>
      <c r="BN2345" s="153"/>
      <c r="BO2345" s="153"/>
      <c r="BP2345" s="153"/>
      <c r="BQ2345" s="153"/>
      <c r="BR2345" s="153"/>
      <c r="BS2345" s="153"/>
      <c r="BT2345" s="153"/>
      <c r="BU2345" s="153"/>
      <c r="BV2345" s="153"/>
      <c r="BW2345" s="153"/>
      <c r="BX2345" s="153"/>
      <c r="BY2345" s="153"/>
      <c r="BZ2345" s="153"/>
      <c r="CA2345" s="153"/>
      <c r="CB2345" s="153"/>
      <c r="CC2345" s="153"/>
      <c r="CD2345" s="155"/>
      <c r="CE2345" s="156"/>
      <c r="CF2345" s="155"/>
      <c r="CG2345" s="156"/>
      <c r="CH2345" s="155"/>
      <c r="CI2345" s="156"/>
      <c r="CJ2345" s="157">
        <f t="shared" si="287"/>
        <v>0</v>
      </c>
      <c r="CK2345" s="158"/>
      <c r="CL2345" s="159"/>
      <c r="CM2345" s="160"/>
      <c r="CN2345" s="161"/>
      <c r="CO2345" s="162"/>
      <c r="CP2345" s="161"/>
      <c r="CQ2345" s="158"/>
      <c r="CR2345" s="159"/>
      <c r="CS2345" s="68"/>
      <c r="CT2345" s="163"/>
      <c r="EC2345" s="366" t="str">
        <f t="shared" si="288"/>
        <v>QUINDIO_CALARCA</v>
      </c>
      <c r="ED2345" s="367"/>
      <c r="EE2345" s="367"/>
      <c r="EF2345" s="368"/>
      <c r="EG2345" s="367"/>
      <c r="EH2345" s="367"/>
      <c r="EI2345" s="367"/>
    </row>
    <row r="2346" spans="1:139" s="164" customFormat="1" ht="38.25">
      <c r="A2346" s="228">
        <v>40534</v>
      </c>
      <c r="B2346" s="205" t="s">
        <v>1609</v>
      </c>
      <c r="C2346" s="205" t="s">
        <v>20</v>
      </c>
      <c r="D2346" s="207" t="s">
        <v>1878</v>
      </c>
      <c r="E2346" s="323"/>
      <c r="F2346" s="323"/>
      <c r="G2346" s="204"/>
      <c r="H2346" s="151"/>
      <c r="I2346" s="151"/>
      <c r="J2346" s="151">
        <v>225</v>
      </c>
      <c r="K2346" s="151">
        <v>45</v>
      </c>
      <c r="L2346" s="1"/>
      <c r="M2346" s="73">
        <f t="shared" si="285"/>
        <v>0</v>
      </c>
      <c r="N2346" s="73">
        <f t="shared" si="290"/>
        <v>0</v>
      </c>
      <c r="O2346" s="73">
        <f t="shared" si="284"/>
        <v>0</v>
      </c>
      <c r="P2346" s="73">
        <f t="shared" si="286"/>
        <v>0</v>
      </c>
      <c r="Q2346" s="73"/>
      <c r="R2346" s="73">
        <v>0</v>
      </c>
      <c r="S2346" s="75">
        <f t="shared" si="289"/>
        <v>0</v>
      </c>
      <c r="T2346" s="77">
        <v>0</v>
      </c>
      <c r="U2346" s="66">
        <v>40624</v>
      </c>
      <c r="V2346" s="79"/>
      <c r="W2346" s="66" t="s">
        <v>1585</v>
      </c>
      <c r="X2346" s="24" t="s">
        <v>1586</v>
      </c>
      <c r="Y2346" s="62"/>
      <c r="Z2346" s="169" t="s">
        <v>894</v>
      </c>
      <c r="AA2346" s="166" t="s">
        <v>155</v>
      </c>
      <c r="AB2346" s="152"/>
      <c r="AC2346" s="153"/>
      <c r="AD2346" s="154"/>
      <c r="AE2346" s="153"/>
      <c r="AF2346" s="153"/>
      <c r="AG2346" s="153"/>
      <c r="AH2346" s="153"/>
      <c r="AI2346" s="153"/>
      <c r="AJ2346" s="153"/>
      <c r="AK2346" s="153"/>
      <c r="AL2346" s="153"/>
      <c r="AM2346" s="153"/>
      <c r="AN2346" s="153"/>
      <c r="AO2346" s="153"/>
      <c r="AP2346" s="153"/>
      <c r="AQ2346" s="153"/>
      <c r="AR2346" s="153"/>
      <c r="AS2346" s="153"/>
      <c r="AT2346" s="153"/>
      <c r="AU2346" s="153"/>
      <c r="AV2346" s="153"/>
      <c r="AW2346" s="153"/>
      <c r="AX2346" s="153"/>
      <c r="AY2346" s="153"/>
      <c r="AZ2346" s="153"/>
      <c r="BA2346" s="153"/>
      <c r="BB2346" s="153"/>
      <c r="BC2346" s="153"/>
      <c r="BD2346" s="153"/>
      <c r="BE2346" s="153"/>
      <c r="BF2346" s="153"/>
      <c r="BG2346" s="153"/>
      <c r="BH2346" s="153"/>
      <c r="BI2346" s="153"/>
      <c r="BJ2346" s="153"/>
      <c r="BK2346" s="153"/>
      <c r="BL2346" s="153"/>
      <c r="BM2346" s="153"/>
      <c r="BN2346" s="153"/>
      <c r="BO2346" s="153"/>
      <c r="BP2346" s="153"/>
      <c r="BQ2346" s="153"/>
      <c r="BR2346" s="153"/>
      <c r="BS2346" s="153"/>
      <c r="BT2346" s="153"/>
      <c r="BU2346" s="153"/>
      <c r="BV2346" s="153"/>
      <c r="BW2346" s="153"/>
      <c r="BX2346" s="153"/>
      <c r="BY2346" s="153"/>
      <c r="BZ2346" s="153"/>
      <c r="CA2346" s="153"/>
      <c r="CB2346" s="153"/>
      <c r="CC2346" s="153"/>
      <c r="CD2346" s="155"/>
      <c r="CE2346" s="156"/>
      <c r="CF2346" s="155"/>
      <c r="CG2346" s="156"/>
      <c r="CH2346" s="155"/>
      <c r="CI2346" s="156"/>
      <c r="CJ2346" s="157">
        <f t="shared" si="287"/>
        <v>0</v>
      </c>
      <c r="CK2346" s="158"/>
      <c r="CL2346" s="159"/>
      <c r="CM2346" s="160"/>
      <c r="CN2346" s="161"/>
      <c r="CO2346" s="162"/>
      <c r="CP2346" s="161"/>
      <c r="CQ2346" s="158"/>
      <c r="CR2346" s="159"/>
      <c r="CS2346" s="68"/>
      <c r="CT2346" s="163"/>
      <c r="EC2346" s="366" t="str">
        <f t="shared" si="288"/>
        <v>RISARALDA_PUEBLO RICO</v>
      </c>
      <c r="ED2346" s="367"/>
      <c r="EE2346" s="367"/>
      <c r="EF2346" s="368"/>
      <c r="EG2346" s="367"/>
      <c r="EH2346" s="367"/>
      <c r="EI2346" s="367"/>
    </row>
    <row r="2347" spans="1:139" s="164" customFormat="1" ht="45">
      <c r="A2347" s="228">
        <v>40535</v>
      </c>
      <c r="B2347" s="205" t="s">
        <v>1314</v>
      </c>
      <c r="C2347" s="205" t="s">
        <v>1101</v>
      </c>
      <c r="D2347" s="207" t="s">
        <v>1902</v>
      </c>
      <c r="E2347" s="323" t="s">
        <v>3595</v>
      </c>
      <c r="F2347" s="323"/>
      <c r="G2347" s="204"/>
      <c r="H2347" s="151"/>
      <c r="I2347" s="151"/>
      <c r="J2347" s="151">
        <v>235</v>
      </c>
      <c r="K2347" s="151">
        <v>47</v>
      </c>
      <c r="L2347" s="1"/>
      <c r="M2347" s="73">
        <f t="shared" si="285"/>
        <v>0</v>
      </c>
      <c r="N2347" s="73">
        <f t="shared" si="290"/>
        <v>0</v>
      </c>
      <c r="O2347" s="73">
        <f t="shared" si="284"/>
        <v>0</v>
      </c>
      <c r="P2347" s="73">
        <f t="shared" si="286"/>
        <v>0</v>
      </c>
      <c r="Q2347" s="73"/>
      <c r="R2347" s="73">
        <v>0</v>
      </c>
      <c r="S2347" s="75">
        <f t="shared" si="289"/>
        <v>0</v>
      </c>
      <c r="T2347" s="77">
        <v>0</v>
      </c>
      <c r="U2347" s="66"/>
      <c r="V2347" s="79"/>
      <c r="W2347" s="66" t="s">
        <v>1606</v>
      </c>
      <c r="X2347" s="264" t="s">
        <v>1607</v>
      </c>
      <c r="Y2347" s="62"/>
      <c r="Z2347" s="260" t="s">
        <v>18</v>
      </c>
      <c r="AA2347" s="166" t="s">
        <v>3077</v>
      </c>
      <c r="AB2347" s="152"/>
      <c r="AC2347" s="153"/>
      <c r="AD2347" s="154"/>
      <c r="AE2347" s="153"/>
      <c r="AF2347" s="153"/>
      <c r="AG2347" s="153"/>
      <c r="AH2347" s="153"/>
      <c r="AI2347" s="153"/>
      <c r="AJ2347" s="153"/>
      <c r="AK2347" s="153"/>
      <c r="AL2347" s="153"/>
      <c r="AM2347" s="153"/>
      <c r="AN2347" s="153"/>
      <c r="AO2347" s="153"/>
      <c r="AP2347" s="153"/>
      <c r="AQ2347" s="153"/>
      <c r="AR2347" s="153"/>
      <c r="AS2347" s="153"/>
      <c r="AT2347" s="153"/>
      <c r="AU2347" s="153"/>
      <c r="AV2347" s="153"/>
      <c r="AW2347" s="153"/>
      <c r="AX2347" s="153"/>
      <c r="AY2347" s="153"/>
      <c r="AZ2347" s="153"/>
      <c r="BA2347" s="153"/>
      <c r="BB2347" s="153"/>
      <c r="BC2347" s="153"/>
      <c r="BD2347" s="153"/>
      <c r="BE2347" s="153"/>
      <c r="BF2347" s="153"/>
      <c r="BG2347" s="153"/>
      <c r="BH2347" s="153"/>
      <c r="BI2347" s="153"/>
      <c r="BJ2347" s="153"/>
      <c r="BK2347" s="153"/>
      <c r="BL2347" s="153"/>
      <c r="BM2347" s="153"/>
      <c r="BN2347" s="153"/>
      <c r="BO2347" s="153"/>
      <c r="BP2347" s="153"/>
      <c r="BQ2347" s="153"/>
      <c r="BR2347" s="153"/>
      <c r="BS2347" s="153"/>
      <c r="BT2347" s="153"/>
      <c r="BU2347" s="153"/>
      <c r="BV2347" s="153"/>
      <c r="BW2347" s="153"/>
      <c r="BX2347" s="153"/>
      <c r="BY2347" s="153"/>
      <c r="BZ2347" s="153"/>
      <c r="CA2347" s="153"/>
      <c r="CB2347" s="153"/>
      <c r="CC2347" s="153"/>
      <c r="CD2347" s="155"/>
      <c r="CE2347" s="156"/>
      <c r="CF2347" s="155"/>
      <c r="CG2347" s="156"/>
      <c r="CH2347" s="155"/>
      <c r="CI2347" s="156"/>
      <c r="CJ2347" s="157">
        <f t="shared" si="287"/>
        <v>0</v>
      </c>
      <c r="CK2347" s="158"/>
      <c r="CL2347" s="159"/>
      <c r="CM2347" s="160"/>
      <c r="CN2347" s="161"/>
      <c r="CO2347" s="162"/>
      <c r="CP2347" s="161"/>
      <c r="CQ2347" s="158"/>
      <c r="CR2347" s="159"/>
      <c r="CS2347" s="68"/>
      <c r="CT2347" s="163"/>
      <c r="EC2347" s="366" t="str">
        <f t="shared" si="288"/>
        <v>CAUCA_CORINTO</v>
      </c>
      <c r="ED2347" s="367"/>
      <c r="EE2347" s="367"/>
      <c r="EF2347" s="368"/>
      <c r="EG2347" s="367"/>
      <c r="EH2347" s="367"/>
      <c r="EI2347" s="367"/>
    </row>
    <row r="2348" spans="1:139" s="164" customFormat="1" ht="36">
      <c r="A2348" s="228">
        <v>40535</v>
      </c>
      <c r="B2348" s="205" t="s">
        <v>1824</v>
      </c>
      <c r="C2348" s="205" t="s">
        <v>2507</v>
      </c>
      <c r="D2348" s="207" t="s">
        <v>1878</v>
      </c>
      <c r="E2348" s="323" t="s">
        <v>3938</v>
      </c>
      <c r="F2348" s="323"/>
      <c r="G2348" s="204"/>
      <c r="H2348" s="151"/>
      <c r="I2348" s="151"/>
      <c r="J2348" s="151">
        <f>1148-193-320</f>
        <v>635</v>
      </c>
      <c r="K2348" s="151">
        <f>372-46-78</f>
        <v>248</v>
      </c>
      <c r="L2348" s="1"/>
      <c r="M2348" s="73">
        <f t="shared" si="285"/>
        <v>0</v>
      </c>
      <c r="N2348" s="73">
        <f t="shared" si="290"/>
        <v>0</v>
      </c>
      <c r="O2348" s="73">
        <f t="shared" si="284"/>
        <v>0</v>
      </c>
      <c r="P2348" s="73">
        <f t="shared" si="286"/>
        <v>0</v>
      </c>
      <c r="Q2348" s="73"/>
      <c r="R2348" s="73">
        <v>0</v>
      </c>
      <c r="S2348" s="75">
        <f t="shared" si="289"/>
        <v>0</v>
      </c>
      <c r="T2348" s="77">
        <v>0</v>
      </c>
      <c r="U2348" s="66">
        <v>40535</v>
      </c>
      <c r="V2348" s="79"/>
      <c r="W2348" s="66" t="s">
        <v>1585</v>
      </c>
      <c r="X2348" s="24" t="s">
        <v>1586</v>
      </c>
      <c r="Y2348" s="62"/>
      <c r="Z2348" s="169" t="s">
        <v>894</v>
      </c>
      <c r="AA2348" s="166" t="s">
        <v>471</v>
      </c>
      <c r="AB2348" s="152"/>
      <c r="AC2348" s="153"/>
      <c r="AD2348" s="154"/>
      <c r="AE2348" s="153"/>
      <c r="AF2348" s="153"/>
      <c r="AG2348" s="153"/>
      <c r="AH2348" s="153"/>
      <c r="AI2348" s="153"/>
      <c r="AJ2348" s="153"/>
      <c r="AK2348" s="153"/>
      <c r="AL2348" s="153"/>
      <c r="AM2348" s="153"/>
      <c r="AN2348" s="153"/>
      <c r="AO2348" s="153"/>
      <c r="AP2348" s="153"/>
      <c r="AQ2348" s="153"/>
      <c r="AR2348" s="153"/>
      <c r="AS2348" s="153"/>
      <c r="AT2348" s="153"/>
      <c r="AU2348" s="153"/>
      <c r="AV2348" s="153"/>
      <c r="AW2348" s="153"/>
      <c r="AX2348" s="153"/>
      <c r="AY2348" s="153"/>
      <c r="AZ2348" s="153"/>
      <c r="BA2348" s="153"/>
      <c r="BB2348" s="153"/>
      <c r="BC2348" s="153"/>
      <c r="BD2348" s="153"/>
      <c r="BE2348" s="153"/>
      <c r="BF2348" s="153"/>
      <c r="BG2348" s="153"/>
      <c r="BH2348" s="153"/>
      <c r="BI2348" s="153"/>
      <c r="BJ2348" s="153"/>
      <c r="BK2348" s="153"/>
      <c r="BL2348" s="153"/>
      <c r="BM2348" s="153"/>
      <c r="BN2348" s="153"/>
      <c r="BO2348" s="153"/>
      <c r="BP2348" s="153"/>
      <c r="BQ2348" s="153"/>
      <c r="BR2348" s="153"/>
      <c r="BS2348" s="153"/>
      <c r="BT2348" s="153"/>
      <c r="BU2348" s="153"/>
      <c r="BV2348" s="153"/>
      <c r="BW2348" s="153"/>
      <c r="BX2348" s="153"/>
      <c r="BY2348" s="153"/>
      <c r="BZ2348" s="153"/>
      <c r="CA2348" s="153"/>
      <c r="CB2348" s="153"/>
      <c r="CC2348" s="153"/>
      <c r="CD2348" s="155"/>
      <c r="CE2348" s="156"/>
      <c r="CF2348" s="155"/>
      <c r="CG2348" s="156"/>
      <c r="CH2348" s="155"/>
      <c r="CI2348" s="156"/>
      <c r="CJ2348" s="157">
        <f t="shared" si="287"/>
        <v>0</v>
      </c>
      <c r="CK2348" s="158"/>
      <c r="CL2348" s="159"/>
      <c r="CM2348" s="160"/>
      <c r="CN2348" s="161"/>
      <c r="CO2348" s="162"/>
      <c r="CP2348" s="161"/>
      <c r="CQ2348" s="158"/>
      <c r="CR2348" s="159"/>
      <c r="CS2348" s="68"/>
      <c r="CT2348" s="163"/>
      <c r="EC2348" s="366" t="str">
        <f t="shared" si="288"/>
        <v>NARIÑO_ARBOLEDA</v>
      </c>
      <c r="ED2348" s="367"/>
      <c r="EE2348" s="367"/>
      <c r="EF2348" s="368"/>
      <c r="EG2348" s="367"/>
      <c r="EH2348" s="367"/>
      <c r="EI2348" s="367"/>
    </row>
    <row r="2349" spans="1:139" s="164" customFormat="1" ht="48">
      <c r="A2349" s="228">
        <v>40535</v>
      </c>
      <c r="B2349" s="205" t="s">
        <v>1824</v>
      </c>
      <c r="C2349" s="205" t="s">
        <v>2832</v>
      </c>
      <c r="D2349" s="207" t="s">
        <v>1878</v>
      </c>
      <c r="E2349" s="323" t="s">
        <v>3947</v>
      </c>
      <c r="F2349" s="323"/>
      <c r="G2349" s="204"/>
      <c r="H2349" s="151"/>
      <c r="I2349" s="151"/>
      <c r="J2349" s="151">
        <v>286</v>
      </c>
      <c r="K2349" s="151">
        <v>68</v>
      </c>
      <c r="L2349" s="1"/>
      <c r="M2349" s="73">
        <f t="shared" si="285"/>
        <v>0</v>
      </c>
      <c r="N2349" s="73">
        <f t="shared" si="290"/>
        <v>0</v>
      </c>
      <c r="O2349" s="73">
        <f t="shared" si="284"/>
        <v>0</v>
      </c>
      <c r="P2349" s="73">
        <f t="shared" si="286"/>
        <v>0</v>
      </c>
      <c r="Q2349" s="73"/>
      <c r="R2349" s="73">
        <v>0</v>
      </c>
      <c r="S2349" s="75">
        <f t="shared" si="289"/>
        <v>0</v>
      </c>
      <c r="T2349" s="77">
        <v>0</v>
      </c>
      <c r="U2349" s="66">
        <v>40535</v>
      </c>
      <c r="V2349" s="79"/>
      <c r="W2349" s="66" t="s">
        <v>1585</v>
      </c>
      <c r="X2349" s="24" t="s">
        <v>1586</v>
      </c>
      <c r="Y2349" s="62"/>
      <c r="Z2349" s="169" t="s">
        <v>894</v>
      </c>
      <c r="AA2349" s="166" t="s">
        <v>472</v>
      </c>
      <c r="AB2349" s="152"/>
      <c r="AC2349" s="153"/>
      <c r="AD2349" s="154"/>
      <c r="AE2349" s="153"/>
      <c r="AF2349" s="153"/>
      <c r="AG2349" s="153"/>
      <c r="AH2349" s="153"/>
      <c r="AI2349" s="153"/>
      <c r="AJ2349" s="153"/>
      <c r="AK2349" s="153"/>
      <c r="AL2349" s="153"/>
      <c r="AM2349" s="153"/>
      <c r="AN2349" s="153"/>
      <c r="AO2349" s="153"/>
      <c r="AP2349" s="153"/>
      <c r="AQ2349" s="153"/>
      <c r="AR2349" s="153"/>
      <c r="AS2349" s="153"/>
      <c r="AT2349" s="153"/>
      <c r="AU2349" s="153"/>
      <c r="AV2349" s="153"/>
      <c r="AW2349" s="153"/>
      <c r="AX2349" s="153"/>
      <c r="AY2349" s="153"/>
      <c r="AZ2349" s="153"/>
      <c r="BA2349" s="153"/>
      <c r="BB2349" s="153"/>
      <c r="BC2349" s="153"/>
      <c r="BD2349" s="153"/>
      <c r="BE2349" s="153"/>
      <c r="BF2349" s="153"/>
      <c r="BG2349" s="153"/>
      <c r="BH2349" s="153"/>
      <c r="BI2349" s="153"/>
      <c r="BJ2349" s="153"/>
      <c r="BK2349" s="153"/>
      <c r="BL2349" s="153"/>
      <c r="BM2349" s="153"/>
      <c r="BN2349" s="153"/>
      <c r="BO2349" s="153"/>
      <c r="BP2349" s="153"/>
      <c r="BQ2349" s="153"/>
      <c r="BR2349" s="153"/>
      <c r="BS2349" s="153"/>
      <c r="BT2349" s="153"/>
      <c r="BU2349" s="153"/>
      <c r="BV2349" s="153"/>
      <c r="BW2349" s="153"/>
      <c r="BX2349" s="153"/>
      <c r="BY2349" s="153"/>
      <c r="BZ2349" s="153"/>
      <c r="CA2349" s="153"/>
      <c r="CB2349" s="153"/>
      <c r="CC2349" s="153"/>
      <c r="CD2349" s="155"/>
      <c r="CE2349" s="156"/>
      <c r="CF2349" s="155"/>
      <c r="CG2349" s="156"/>
      <c r="CH2349" s="155"/>
      <c r="CI2349" s="156"/>
      <c r="CJ2349" s="157">
        <f t="shared" si="287"/>
        <v>0</v>
      </c>
      <c r="CK2349" s="158"/>
      <c r="CL2349" s="159"/>
      <c r="CM2349" s="160"/>
      <c r="CN2349" s="161"/>
      <c r="CO2349" s="162"/>
      <c r="CP2349" s="161"/>
      <c r="CQ2349" s="158"/>
      <c r="CR2349" s="159"/>
      <c r="CS2349" s="68"/>
      <c r="CT2349" s="163"/>
      <c r="EC2349" s="366" t="str">
        <f t="shared" si="288"/>
        <v>NARIÑO_CUMBAL</v>
      </c>
      <c r="ED2349" s="367"/>
      <c r="EE2349" s="367"/>
      <c r="EF2349" s="368"/>
      <c r="EG2349" s="367"/>
      <c r="EH2349" s="367"/>
      <c r="EI2349" s="367"/>
    </row>
    <row r="2350" spans="1:139" s="164" customFormat="1" ht="25.5">
      <c r="A2350" s="228">
        <v>40535</v>
      </c>
      <c r="B2350" s="205" t="s">
        <v>1824</v>
      </c>
      <c r="C2350" s="205" t="s">
        <v>255</v>
      </c>
      <c r="D2350" s="207" t="s">
        <v>1878</v>
      </c>
      <c r="E2350" s="323" t="s">
        <v>3962</v>
      </c>
      <c r="F2350" s="323"/>
      <c r="G2350" s="204">
        <v>13</v>
      </c>
      <c r="H2350" s="151">
        <v>35</v>
      </c>
      <c r="I2350" s="151"/>
      <c r="J2350" s="151">
        <v>25</v>
      </c>
      <c r="K2350" s="151">
        <v>5</v>
      </c>
      <c r="L2350" s="1"/>
      <c r="M2350" s="73">
        <f t="shared" si="285"/>
        <v>0</v>
      </c>
      <c r="N2350" s="73">
        <f t="shared" si="290"/>
        <v>0</v>
      </c>
      <c r="O2350" s="73">
        <f t="shared" si="284"/>
        <v>0</v>
      </c>
      <c r="P2350" s="73">
        <f t="shared" si="286"/>
        <v>0</v>
      </c>
      <c r="Q2350" s="73"/>
      <c r="R2350" s="73">
        <v>0</v>
      </c>
      <c r="S2350" s="75">
        <f t="shared" si="289"/>
        <v>0</v>
      </c>
      <c r="T2350" s="77">
        <v>0</v>
      </c>
      <c r="U2350" s="66">
        <v>40535</v>
      </c>
      <c r="V2350" s="79"/>
      <c r="W2350" s="66" t="s">
        <v>1585</v>
      </c>
      <c r="X2350" s="24" t="s">
        <v>1586</v>
      </c>
      <c r="Y2350" s="62"/>
      <c r="Z2350" s="169" t="s">
        <v>894</v>
      </c>
      <c r="AA2350" s="166" t="s">
        <v>3078</v>
      </c>
      <c r="AB2350" s="152"/>
      <c r="AC2350" s="153"/>
      <c r="AD2350" s="154"/>
      <c r="AE2350" s="153"/>
      <c r="AF2350" s="153"/>
      <c r="AG2350" s="153"/>
      <c r="AH2350" s="153"/>
      <c r="AI2350" s="153"/>
      <c r="AJ2350" s="153"/>
      <c r="AK2350" s="153"/>
      <c r="AL2350" s="153"/>
      <c r="AM2350" s="153"/>
      <c r="AN2350" s="153"/>
      <c r="AO2350" s="153"/>
      <c r="AP2350" s="153"/>
      <c r="AQ2350" s="153"/>
      <c r="AR2350" s="153"/>
      <c r="AS2350" s="153"/>
      <c r="AT2350" s="153"/>
      <c r="AU2350" s="153"/>
      <c r="AV2350" s="153"/>
      <c r="AW2350" s="153"/>
      <c r="AX2350" s="153"/>
      <c r="AY2350" s="153"/>
      <c r="AZ2350" s="153"/>
      <c r="BA2350" s="153"/>
      <c r="BB2350" s="153"/>
      <c r="BC2350" s="153"/>
      <c r="BD2350" s="153"/>
      <c r="BE2350" s="153"/>
      <c r="BF2350" s="153"/>
      <c r="BG2350" s="153"/>
      <c r="BH2350" s="153"/>
      <c r="BI2350" s="153"/>
      <c r="BJ2350" s="153"/>
      <c r="BK2350" s="153"/>
      <c r="BL2350" s="153"/>
      <c r="BM2350" s="153"/>
      <c r="BN2350" s="153"/>
      <c r="BO2350" s="153"/>
      <c r="BP2350" s="153"/>
      <c r="BQ2350" s="153"/>
      <c r="BR2350" s="153"/>
      <c r="BS2350" s="153"/>
      <c r="BT2350" s="153"/>
      <c r="BU2350" s="153"/>
      <c r="BV2350" s="153"/>
      <c r="BW2350" s="153"/>
      <c r="BX2350" s="153"/>
      <c r="BY2350" s="153"/>
      <c r="BZ2350" s="153"/>
      <c r="CA2350" s="153"/>
      <c r="CB2350" s="153"/>
      <c r="CC2350" s="153"/>
      <c r="CD2350" s="155"/>
      <c r="CE2350" s="156"/>
      <c r="CF2350" s="155"/>
      <c r="CG2350" s="156"/>
      <c r="CH2350" s="155"/>
      <c r="CI2350" s="156"/>
      <c r="CJ2350" s="157">
        <f t="shared" si="287"/>
        <v>0</v>
      </c>
      <c r="CK2350" s="158"/>
      <c r="CL2350" s="159"/>
      <c r="CM2350" s="160"/>
      <c r="CN2350" s="161"/>
      <c r="CO2350" s="162"/>
      <c r="CP2350" s="161"/>
      <c r="CQ2350" s="158"/>
      <c r="CR2350" s="159"/>
      <c r="CS2350" s="68"/>
      <c r="CT2350" s="163"/>
      <c r="EC2350" s="366" t="str">
        <f t="shared" si="288"/>
        <v>NARIÑO_LA CRUZ</v>
      </c>
      <c r="ED2350" s="367"/>
      <c r="EE2350" s="367"/>
      <c r="EF2350" s="368"/>
      <c r="EG2350" s="367"/>
      <c r="EH2350" s="367"/>
      <c r="EI2350" s="367"/>
    </row>
    <row r="2351" spans="1:139" s="164" customFormat="1" ht="25.5">
      <c r="A2351" s="228">
        <v>40536</v>
      </c>
      <c r="B2351" s="205" t="s">
        <v>1615</v>
      </c>
      <c r="C2351" s="205" t="s">
        <v>1552</v>
      </c>
      <c r="D2351" s="207" t="s">
        <v>1201</v>
      </c>
      <c r="E2351" s="323" t="s">
        <v>3387</v>
      </c>
      <c r="F2351" s="323"/>
      <c r="G2351" s="204"/>
      <c r="H2351" s="151"/>
      <c r="I2351" s="151"/>
      <c r="J2351" s="151">
        <f>838*5</f>
        <v>4190</v>
      </c>
      <c r="K2351" s="151">
        <v>838</v>
      </c>
      <c r="L2351" s="1"/>
      <c r="M2351" s="73">
        <f t="shared" si="285"/>
        <v>0</v>
      </c>
      <c r="N2351" s="73">
        <f t="shared" si="290"/>
        <v>0</v>
      </c>
      <c r="O2351" s="73">
        <f t="shared" si="284"/>
        <v>0</v>
      </c>
      <c r="P2351" s="73">
        <f t="shared" si="286"/>
        <v>0</v>
      </c>
      <c r="Q2351" s="73"/>
      <c r="R2351" s="73">
        <v>0</v>
      </c>
      <c r="S2351" s="75">
        <f t="shared" si="289"/>
        <v>0</v>
      </c>
      <c r="T2351" s="77">
        <v>0</v>
      </c>
      <c r="U2351" s="66">
        <v>40540</v>
      </c>
      <c r="V2351" s="79"/>
      <c r="W2351" s="66" t="s">
        <v>1585</v>
      </c>
      <c r="X2351" s="24" t="s">
        <v>1586</v>
      </c>
      <c r="Y2351" s="62"/>
      <c r="Z2351" s="169" t="s">
        <v>894</v>
      </c>
      <c r="AA2351" s="166"/>
      <c r="AB2351" s="152"/>
      <c r="AC2351" s="153"/>
      <c r="AD2351" s="154"/>
      <c r="AE2351" s="153"/>
      <c r="AF2351" s="153"/>
      <c r="AG2351" s="153"/>
      <c r="AH2351" s="153"/>
      <c r="AI2351" s="153"/>
      <c r="AJ2351" s="153"/>
      <c r="AK2351" s="153"/>
      <c r="AL2351" s="153"/>
      <c r="AM2351" s="153"/>
      <c r="AN2351" s="153"/>
      <c r="AO2351" s="153"/>
      <c r="AP2351" s="153"/>
      <c r="AQ2351" s="153"/>
      <c r="AR2351" s="153"/>
      <c r="AS2351" s="153"/>
      <c r="AT2351" s="153"/>
      <c r="AU2351" s="153"/>
      <c r="AV2351" s="153"/>
      <c r="AW2351" s="153"/>
      <c r="AX2351" s="153"/>
      <c r="AY2351" s="153"/>
      <c r="AZ2351" s="153"/>
      <c r="BA2351" s="153"/>
      <c r="BB2351" s="153"/>
      <c r="BC2351" s="153"/>
      <c r="BD2351" s="153"/>
      <c r="BE2351" s="153"/>
      <c r="BF2351" s="153"/>
      <c r="BG2351" s="153"/>
      <c r="BH2351" s="153"/>
      <c r="BI2351" s="153"/>
      <c r="BJ2351" s="153"/>
      <c r="BK2351" s="153"/>
      <c r="BL2351" s="153"/>
      <c r="BM2351" s="153"/>
      <c r="BN2351" s="153"/>
      <c r="BO2351" s="153"/>
      <c r="BP2351" s="153"/>
      <c r="BQ2351" s="153"/>
      <c r="BR2351" s="153"/>
      <c r="BS2351" s="153"/>
      <c r="BT2351" s="153"/>
      <c r="BU2351" s="153"/>
      <c r="BV2351" s="153"/>
      <c r="BW2351" s="153"/>
      <c r="BX2351" s="153"/>
      <c r="BY2351" s="153"/>
      <c r="BZ2351" s="153"/>
      <c r="CA2351" s="153"/>
      <c r="CB2351" s="153"/>
      <c r="CC2351" s="153"/>
      <c r="CD2351" s="155"/>
      <c r="CE2351" s="156"/>
      <c r="CF2351" s="155"/>
      <c r="CG2351" s="156"/>
      <c r="CH2351" s="155"/>
      <c r="CI2351" s="156"/>
      <c r="CJ2351" s="157">
        <f t="shared" si="287"/>
        <v>0</v>
      </c>
      <c r="CK2351" s="158"/>
      <c r="CL2351" s="159"/>
      <c r="CM2351" s="160"/>
      <c r="CN2351" s="161"/>
      <c r="CO2351" s="162"/>
      <c r="CP2351" s="161"/>
      <c r="CQ2351" s="158"/>
      <c r="CR2351" s="159"/>
      <c r="CS2351" s="68"/>
      <c r="CT2351" s="163"/>
      <c r="EC2351" s="366" t="str">
        <f t="shared" si="288"/>
        <v>BOLIVAR_CLEMENCIA</v>
      </c>
      <c r="ED2351" s="367"/>
      <c r="EE2351" s="367"/>
      <c r="EF2351" s="368"/>
      <c r="EG2351" s="367"/>
      <c r="EH2351" s="367"/>
      <c r="EI2351" s="367"/>
    </row>
    <row r="2352" spans="1:139" s="164" customFormat="1" ht="25.5">
      <c r="A2352" s="228">
        <v>40536</v>
      </c>
      <c r="B2352" s="205" t="s">
        <v>653</v>
      </c>
      <c r="C2352" s="205" t="s">
        <v>399</v>
      </c>
      <c r="D2352" s="207" t="s">
        <v>1316</v>
      </c>
      <c r="E2352" s="323" t="s">
        <v>3543</v>
      </c>
      <c r="F2352" s="323"/>
      <c r="G2352" s="204"/>
      <c r="H2352" s="151"/>
      <c r="I2352" s="151"/>
      <c r="J2352" s="151"/>
      <c r="K2352" s="151"/>
      <c r="L2352" s="1"/>
      <c r="M2352" s="73">
        <f t="shared" si="285"/>
        <v>0</v>
      </c>
      <c r="N2352" s="73">
        <f t="shared" si="290"/>
        <v>0</v>
      </c>
      <c r="O2352" s="73">
        <f t="shared" si="284"/>
        <v>0</v>
      </c>
      <c r="P2352" s="73">
        <f t="shared" si="286"/>
        <v>0</v>
      </c>
      <c r="Q2352" s="73"/>
      <c r="R2352" s="73">
        <v>0</v>
      </c>
      <c r="S2352" s="75">
        <f t="shared" si="289"/>
        <v>0</v>
      </c>
      <c r="T2352" s="77">
        <v>0</v>
      </c>
      <c r="U2352" s="66">
        <v>40536</v>
      </c>
      <c r="V2352" s="79"/>
      <c r="W2352" s="66" t="s">
        <v>1585</v>
      </c>
      <c r="X2352" s="24" t="s">
        <v>1586</v>
      </c>
      <c r="Y2352" s="62"/>
      <c r="Z2352" s="169" t="s">
        <v>894</v>
      </c>
      <c r="AA2352" s="166" t="s">
        <v>440</v>
      </c>
      <c r="AB2352" s="152"/>
      <c r="AC2352" s="153"/>
      <c r="AD2352" s="154"/>
      <c r="AE2352" s="153"/>
      <c r="AF2352" s="153"/>
      <c r="AG2352" s="153"/>
      <c r="AH2352" s="153"/>
      <c r="AI2352" s="153"/>
      <c r="AJ2352" s="153"/>
      <c r="AK2352" s="153"/>
      <c r="AL2352" s="153"/>
      <c r="AM2352" s="153"/>
      <c r="AN2352" s="153"/>
      <c r="AO2352" s="153"/>
      <c r="AP2352" s="153"/>
      <c r="AQ2352" s="153"/>
      <c r="AR2352" s="153"/>
      <c r="AS2352" s="153"/>
      <c r="AT2352" s="153"/>
      <c r="AU2352" s="153"/>
      <c r="AV2352" s="153"/>
      <c r="AW2352" s="153"/>
      <c r="AX2352" s="153"/>
      <c r="AY2352" s="153"/>
      <c r="AZ2352" s="153"/>
      <c r="BA2352" s="153"/>
      <c r="BB2352" s="153"/>
      <c r="BC2352" s="153"/>
      <c r="BD2352" s="153"/>
      <c r="BE2352" s="153"/>
      <c r="BF2352" s="153"/>
      <c r="BG2352" s="153"/>
      <c r="BH2352" s="153"/>
      <c r="BI2352" s="153"/>
      <c r="BJ2352" s="153"/>
      <c r="BK2352" s="153"/>
      <c r="BL2352" s="153"/>
      <c r="BM2352" s="153"/>
      <c r="BN2352" s="153"/>
      <c r="BO2352" s="153"/>
      <c r="BP2352" s="153"/>
      <c r="BQ2352" s="153"/>
      <c r="BR2352" s="153"/>
      <c r="BS2352" s="153"/>
      <c r="BT2352" s="153"/>
      <c r="BU2352" s="153"/>
      <c r="BV2352" s="153"/>
      <c r="BW2352" s="153"/>
      <c r="BX2352" s="153"/>
      <c r="BY2352" s="153"/>
      <c r="BZ2352" s="153"/>
      <c r="CA2352" s="153"/>
      <c r="CB2352" s="153"/>
      <c r="CC2352" s="153"/>
      <c r="CD2352" s="155"/>
      <c r="CE2352" s="156"/>
      <c r="CF2352" s="155"/>
      <c r="CG2352" s="156"/>
      <c r="CH2352" s="155"/>
      <c r="CI2352" s="156"/>
      <c r="CJ2352" s="157">
        <f t="shared" si="287"/>
        <v>0</v>
      </c>
      <c r="CK2352" s="158"/>
      <c r="CL2352" s="159"/>
      <c r="CM2352" s="160"/>
      <c r="CN2352" s="161"/>
      <c r="CO2352" s="162"/>
      <c r="CP2352" s="161"/>
      <c r="CQ2352" s="158"/>
      <c r="CR2352" s="159"/>
      <c r="CS2352" s="68"/>
      <c r="CT2352" s="163">
        <v>1499</v>
      </c>
      <c r="EC2352" s="366" t="str">
        <f t="shared" si="288"/>
        <v>CALDAS_MANIZALES</v>
      </c>
      <c r="ED2352" s="367"/>
      <c r="EE2352" s="367"/>
      <c r="EF2352" s="368"/>
      <c r="EG2352" s="367"/>
      <c r="EH2352" s="367"/>
      <c r="EI2352" s="367"/>
    </row>
    <row r="2353" spans="1:139" s="164" customFormat="1" ht="25.5">
      <c r="A2353" s="235">
        <v>40537</v>
      </c>
      <c r="B2353" s="269" t="s">
        <v>1972</v>
      </c>
      <c r="C2353" s="269" t="s">
        <v>2358</v>
      </c>
      <c r="D2353" s="270" t="s">
        <v>1201</v>
      </c>
      <c r="E2353" s="327" t="s">
        <v>3227</v>
      </c>
      <c r="F2353" s="327"/>
      <c r="G2353" s="204"/>
      <c r="H2353" s="151"/>
      <c r="I2353" s="151"/>
      <c r="J2353" s="151">
        <v>100</v>
      </c>
      <c r="K2353" s="151">
        <v>20</v>
      </c>
      <c r="L2353" s="1"/>
      <c r="M2353" s="73">
        <f t="shared" si="285"/>
        <v>0</v>
      </c>
      <c r="N2353" s="73">
        <f t="shared" si="290"/>
        <v>0</v>
      </c>
      <c r="O2353" s="73">
        <f t="shared" si="284"/>
        <v>0</v>
      </c>
      <c r="P2353" s="73">
        <f t="shared" si="286"/>
        <v>0</v>
      </c>
      <c r="Q2353" s="73"/>
      <c r="R2353" s="73">
        <v>0</v>
      </c>
      <c r="S2353" s="75">
        <f t="shared" si="289"/>
        <v>0</v>
      </c>
      <c r="T2353" s="77">
        <v>0</v>
      </c>
      <c r="U2353" s="66">
        <v>40537</v>
      </c>
      <c r="V2353" s="79"/>
      <c r="W2353" s="66" t="s">
        <v>1585</v>
      </c>
      <c r="X2353" s="24" t="s">
        <v>1586</v>
      </c>
      <c r="Y2353" s="62"/>
      <c r="Z2353" s="169" t="s">
        <v>894</v>
      </c>
      <c r="AA2353" s="166" t="s">
        <v>902</v>
      </c>
      <c r="AB2353" s="152"/>
      <c r="AC2353" s="153"/>
      <c r="AD2353" s="154"/>
      <c r="AE2353" s="153"/>
      <c r="AF2353" s="153"/>
      <c r="AG2353" s="153"/>
      <c r="AH2353" s="153"/>
      <c r="AI2353" s="153"/>
      <c r="AJ2353" s="153"/>
      <c r="AK2353" s="153"/>
      <c r="AL2353" s="153"/>
      <c r="AM2353" s="153"/>
      <c r="AN2353" s="153"/>
      <c r="AO2353" s="153"/>
      <c r="AP2353" s="153"/>
      <c r="AQ2353" s="153"/>
      <c r="AR2353" s="153"/>
      <c r="AS2353" s="153"/>
      <c r="AT2353" s="153"/>
      <c r="AU2353" s="153"/>
      <c r="AV2353" s="153"/>
      <c r="AW2353" s="153"/>
      <c r="AX2353" s="153"/>
      <c r="AY2353" s="153"/>
      <c r="AZ2353" s="153"/>
      <c r="BA2353" s="153"/>
      <c r="BB2353" s="153"/>
      <c r="BC2353" s="153"/>
      <c r="BD2353" s="153"/>
      <c r="BE2353" s="153"/>
      <c r="BF2353" s="153"/>
      <c r="BG2353" s="153"/>
      <c r="BH2353" s="153"/>
      <c r="BI2353" s="153"/>
      <c r="BJ2353" s="153"/>
      <c r="BK2353" s="153"/>
      <c r="BL2353" s="153"/>
      <c r="BM2353" s="153"/>
      <c r="BN2353" s="153"/>
      <c r="BO2353" s="153"/>
      <c r="BP2353" s="153"/>
      <c r="BQ2353" s="153"/>
      <c r="BR2353" s="153"/>
      <c r="BS2353" s="153"/>
      <c r="BT2353" s="153"/>
      <c r="BU2353" s="153"/>
      <c r="BV2353" s="153"/>
      <c r="BW2353" s="153"/>
      <c r="BX2353" s="153"/>
      <c r="BY2353" s="153"/>
      <c r="BZ2353" s="153"/>
      <c r="CA2353" s="153"/>
      <c r="CB2353" s="153"/>
      <c r="CC2353" s="153"/>
      <c r="CD2353" s="155"/>
      <c r="CE2353" s="156"/>
      <c r="CF2353" s="155"/>
      <c r="CG2353" s="156"/>
      <c r="CH2353" s="155"/>
      <c r="CI2353" s="156"/>
      <c r="CJ2353" s="157">
        <f t="shared" si="287"/>
        <v>0</v>
      </c>
      <c r="CK2353" s="158"/>
      <c r="CL2353" s="159"/>
      <c r="CM2353" s="160"/>
      <c r="CN2353" s="161"/>
      <c r="CO2353" s="162"/>
      <c r="CP2353" s="161"/>
      <c r="CQ2353" s="158"/>
      <c r="CR2353" s="159"/>
      <c r="CS2353" s="68"/>
      <c r="CT2353" s="163"/>
      <c r="EC2353" s="366" t="str">
        <f t="shared" si="288"/>
        <v>ANTIOQUIA_MEDELLIN</v>
      </c>
      <c r="ED2353" s="367"/>
      <c r="EE2353" s="367"/>
      <c r="EF2353" s="368"/>
      <c r="EG2353" s="367"/>
      <c r="EH2353" s="367"/>
      <c r="EI2353" s="367"/>
    </row>
    <row r="2354" spans="1:139" s="164" customFormat="1" ht="36">
      <c r="A2354" s="235">
        <v>40537</v>
      </c>
      <c r="B2354" s="269" t="s">
        <v>1972</v>
      </c>
      <c r="C2354" s="269" t="s">
        <v>1843</v>
      </c>
      <c r="D2354" s="270" t="s">
        <v>1201</v>
      </c>
      <c r="E2354" s="327" t="s">
        <v>3300</v>
      </c>
      <c r="F2354" s="327"/>
      <c r="G2354" s="204"/>
      <c r="H2354" s="151"/>
      <c r="I2354" s="151"/>
      <c r="J2354" s="151">
        <v>6473</v>
      </c>
      <c r="K2354" s="151">
        <v>2538</v>
      </c>
      <c r="L2354" s="1"/>
      <c r="M2354" s="73">
        <f t="shared" si="285"/>
        <v>0</v>
      </c>
      <c r="N2354" s="73">
        <f t="shared" si="290"/>
        <v>0</v>
      </c>
      <c r="O2354" s="73">
        <f t="shared" si="284"/>
        <v>0</v>
      </c>
      <c r="P2354" s="73">
        <f t="shared" si="286"/>
        <v>0</v>
      </c>
      <c r="Q2354" s="73"/>
      <c r="R2354" s="73">
        <v>0</v>
      </c>
      <c r="S2354" s="75">
        <f t="shared" si="289"/>
        <v>0</v>
      </c>
      <c r="T2354" s="77">
        <v>0</v>
      </c>
      <c r="U2354" s="66">
        <v>40537</v>
      </c>
      <c r="V2354" s="79"/>
      <c r="W2354" s="66" t="s">
        <v>1606</v>
      </c>
      <c r="X2354" s="24" t="s">
        <v>1607</v>
      </c>
      <c r="Y2354" s="62"/>
      <c r="Z2354" s="176" t="s">
        <v>460</v>
      </c>
      <c r="AA2354" s="166" t="s">
        <v>447</v>
      </c>
      <c r="AB2354" s="152"/>
      <c r="AC2354" s="153"/>
      <c r="AD2354" s="154"/>
      <c r="AE2354" s="153"/>
      <c r="AF2354" s="153"/>
      <c r="AG2354" s="153"/>
      <c r="AH2354" s="153"/>
      <c r="AI2354" s="153"/>
      <c r="AJ2354" s="153"/>
      <c r="AK2354" s="153"/>
      <c r="AL2354" s="153"/>
      <c r="AM2354" s="153"/>
      <c r="AN2354" s="153"/>
      <c r="AO2354" s="153"/>
      <c r="AP2354" s="153"/>
      <c r="AQ2354" s="153"/>
      <c r="AR2354" s="153"/>
      <c r="AS2354" s="153"/>
      <c r="AT2354" s="153"/>
      <c r="AU2354" s="153"/>
      <c r="AV2354" s="153"/>
      <c r="AW2354" s="153"/>
      <c r="AX2354" s="153"/>
      <c r="AY2354" s="153"/>
      <c r="AZ2354" s="153"/>
      <c r="BA2354" s="153"/>
      <c r="BB2354" s="153"/>
      <c r="BC2354" s="153"/>
      <c r="BD2354" s="153"/>
      <c r="BE2354" s="153"/>
      <c r="BF2354" s="153"/>
      <c r="BG2354" s="153"/>
      <c r="BH2354" s="153"/>
      <c r="BI2354" s="153"/>
      <c r="BJ2354" s="153"/>
      <c r="BK2354" s="153"/>
      <c r="BL2354" s="153"/>
      <c r="BM2354" s="153"/>
      <c r="BN2354" s="153"/>
      <c r="BO2354" s="153"/>
      <c r="BP2354" s="153"/>
      <c r="BQ2354" s="153"/>
      <c r="BR2354" s="153"/>
      <c r="BS2354" s="153"/>
      <c r="BT2354" s="153"/>
      <c r="BU2354" s="153"/>
      <c r="BV2354" s="153"/>
      <c r="BW2354" s="153"/>
      <c r="BX2354" s="153"/>
      <c r="BY2354" s="153"/>
      <c r="BZ2354" s="153"/>
      <c r="CA2354" s="153"/>
      <c r="CB2354" s="153"/>
      <c r="CC2354" s="153"/>
      <c r="CD2354" s="155"/>
      <c r="CE2354" s="156"/>
      <c r="CF2354" s="155"/>
      <c r="CG2354" s="156"/>
      <c r="CH2354" s="155"/>
      <c r="CI2354" s="156"/>
      <c r="CJ2354" s="157">
        <f t="shared" si="287"/>
        <v>0</v>
      </c>
      <c r="CK2354" s="158"/>
      <c r="CL2354" s="159"/>
      <c r="CM2354" s="160"/>
      <c r="CN2354" s="161"/>
      <c r="CO2354" s="162"/>
      <c r="CP2354" s="161"/>
      <c r="CQ2354" s="158"/>
      <c r="CR2354" s="159"/>
      <c r="CS2354" s="68"/>
      <c r="CT2354" s="163"/>
      <c r="EC2354" s="366" t="str">
        <f t="shared" si="288"/>
        <v>ANTIOQUIA_NECOCLI</v>
      </c>
      <c r="ED2354" s="367"/>
      <c r="EE2354" s="367"/>
      <c r="EF2354" s="368"/>
      <c r="EG2354" s="367"/>
      <c r="EH2354" s="367"/>
      <c r="EI2354" s="367"/>
    </row>
    <row r="2355" spans="1:139" s="164" customFormat="1" ht="48">
      <c r="A2355" s="228">
        <v>40538</v>
      </c>
      <c r="B2355" s="205" t="s">
        <v>1821</v>
      </c>
      <c r="C2355" s="205" t="s">
        <v>2671</v>
      </c>
      <c r="D2355" s="207" t="s">
        <v>1902</v>
      </c>
      <c r="E2355" s="323" t="s">
        <v>3637</v>
      </c>
      <c r="F2355" s="323"/>
      <c r="G2355" s="204"/>
      <c r="H2355" s="151"/>
      <c r="I2355" s="151"/>
      <c r="J2355" s="151">
        <f>495*5</f>
        <v>2475</v>
      </c>
      <c r="K2355" s="151">
        <v>495</v>
      </c>
      <c r="L2355" s="1"/>
      <c r="M2355" s="73">
        <f t="shared" si="285"/>
        <v>0</v>
      </c>
      <c r="N2355" s="73">
        <f t="shared" si="290"/>
        <v>0</v>
      </c>
      <c r="O2355" s="73">
        <f t="shared" si="284"/>
        <v>0</v>
      </c>
      <c r="P2355" s="73">
        <f t="shared" si="286"/>
        <v>0</v>
      </c>
      <c r="Q2355" s="73"/>
      <c r="R2355" s="73">
        <v>0</v>
      </c>
      <c r="S2355" s="75">
        <f t="shared" si="289"/>
        <v>0</v>
      </c>
      <c r="T2355" s="77">
        <v>0</v>
      </c>
      <c r="U2355" s="66">
        <v>40538</v>
      </c>
      <c r="V2355" s="79"/>
      <c r="W2355" s="66" t="s">
        <v>1585</v>
      </c>
      <c r="X2355" s="24" t="s">
        <v>1586</v>
      </c>
      <c r="Y2355" s="62"/>
      <c r="Z2355" s="169" t="s">
        <v>894</v>
      </c>
      <c r="AA2355" s="166" t="s">
        <v>448</v>
      </c>
      <c r="AB2355" s="152"/>
      <c r="AC2355" s="153"/>
      <c r="AD2355" s="154"/>
      <c r="AE2355" s="153"/>
      <c r="AF2355" s="153"/>
      <c r="AG2355" s="153"/>
      <c r="AH2355" s="153"/>
      <c r="AI2355" s="153"/>
      <c r="AJ2355" s="153"/>
      <c r="AK2355" s="153"/>
      <c r="AL2355" s="153"/>
      <c r="AM2355" s="153"/>
      <c r="AN2355" s="153"/>
      <c r="AO2355" s="153"/>
      <c r="AP2355" s="153"/>
      <c r="AQ2355" s="153"/>
      <c r="AR2355" s="153"/>
      <c r="AS2355" s="153"/>
      <c r="AT2355" s="153"/>
      <c r="AU2355" s="153"/>
      <c r="AV2355" s="153"/>
      <c r="AW2355" s="153"/>
      <c r="AX2355" s="153"/>
      <c r="AY2355" s="153"/>
      <c r="AZ2355" s="153"/>
      <c r="BA2355" s="153"/>
      <c r="BB2355" s="153"/>
      <c r="BC2355" s="153"/>
      <c r="BD2355" s="153"/>
      <c r="BE2355" s="153"/>
      <c r="BF2355" s="153"/>
      <c r="BG2355" s="153"/>
      <c r="BH2355" s="153"/>
      <c r="BI2355" s="153"/>
      <c r="BJ2355" s="153"/>
      <c r="BK2355" s="153"/>
      <c r="BL2355" s="153"/>
      <c r="BM2355" s="153"/>
      <c r="BN2355" s="153"/>
      <c r="BO2355" s="153"/>
      <c r="BP2355" s="153"/>
      <c r="BQ2355" s="153"/>
      <c r="BR2355" s="153"/>
      <c r="BS2355" s="153"/>
      <c r="BT2355" s="153"/>
      <c r="BU2355" s="153"/>
      <c r="BV2355" s="153"/>
      <c r="BW2355" s="153"/>
      <c r="BX2355" s="153"/>
      <c r="BY2355" s="153"/>
      <c r="BZ2355" s="153"/>
      <c r="CA2355" s="153"/>
      <c r="CB2355" s="153"/>
      <c r="CC2355" s="153"/>
      <c r="CD2355" s="155"/>
      <c r="CE2355" s="156"/>
      <c r="CF2355" s="155"/>
      <c r="CG2355" s="156"/>
      <c r="CH2355" s="155"/>
      <c r="CI2355" s="156"/>
      <c r="CJ2355" s="157">
        <f t="shared" si="287"/>
        <v>0</v>
      </c>
      <c r="CK2355" s="158"/>
      <c r="CL2355" s="159"/>
      <c r="CM2355" s="160"/>
      <c r="CN2355" s="161"/>
      <c r="CO2355" s="162"/>
      <c r="CP2355" s="161"/>
      <c r="CQ2355" s="158"/>
      <c r="CR2355" s="159"/>
      <c r="CS2355" s="68"/>
      <c r="CT2355" s="163"/>
      <c r="EC2355" s="366" t="str">
        <f t="shared" si="288"/>
        <v>CESAR_EL COPEY</v>
      </c>
      <c r="ED2355" s="367"/>
      <c r="EE2355" s="367"/>
      <c r="EF2355" s="368"/>
      <c r="EG2355" s="367"/>
      <c r="EH2355" s="367"/>
      <c r="EI2355" s="367"/>
    </row>
    <row r="2356" spans="1:139" s="164" customFormat="1" ht="48">
      <c r="A2356" s="228">
        <v>40538</v>
      </c>
      <c r="B2356" s="205" t="s">
        <v>1440</v>
      </c>
      <c r="C2356" s="205" t="s">
        <v>1418</v>
      </c>
      <c r="D2356" s="207" t="s">
        <v>1201</v>
      </c>
      <c r="E2356" s="323" t="s">
        <v>3875</v>
      </c>
      <c r="F2356" s="323"/>
      <c r="G2356" s="204"/>
      <c r="H2356" s="151"/>
      <c r="I2356" s="151"/>
      <c r="J2356" s="151">
        <v>370</v>
      </c>
      <c r="K2356" s="151">
        <v>94</v>
      </c>
      <c r="L2356" s="1"/>
      <c r="M2356" s="73">
        <f t="shared" si="285"/>
        <v>0</v>
      </c>
      <c r="N2356" s="73">
        <f t="shared" si="290"/>
        <v>0</v>
      </c>
      <c r="O2356" s="73">
        <f t="shared" ref="O2356:O2398" si="291">CP2356+CR2356</f>
        <v>0</v>
      </c>
      <c r="P2356" s="73">
        <f t="shared" si="286"/>
        <v>0</v>
      </c>
      <c r="Q2356" s="73"/>
      <c r="R2356" s="73">
        <v>0</v>
      </c>
      <c r="S2356" s="75">
        <f t="shared" si="289"/>
        <v>0</v>
      </c>
      <c r="T2356" s="77">
        <v>0</v>
      </c>
      <c r="U2356" s="66">
        <v>40538</v>
      </c>
      <c r="V2356" s="79"/>
      <c r="W2356" s="66" t="s">
        <v>1585</v>
      </c>
      <c r="X2356" s="24" t="s">
        <v>1586</v>
      </c>
      <c r="Y2356" s="62"/>
      <c r="Z2356" s="169" t="s">
        <v>894</v>
      </c>
      <c r="AA2356" s="166" t="s">
        <v>446</v>
      </c>
      <c r="AB2356" s="152"/>
      <c r="AC2356" s="153"/>
      <c r="AD2356" s="154"/>
      <c r="AE2356" s="153"/>
      <c r="AF2356" s="153"/>
      <c r="AG2356" s="153"/>
      <c r="AH2356" s="153"/>
      <c r="AI2356" s="153"/>
      <c r="AJ2356" s="153"/>
      <c r="AK2356" s="153"/>
      <c r="AL2356" s="153"/>
      <c r="AM2356" s="153"/>
      <c r="AN2356" s="153"/>
      <c r="AO2356" s="153"/>
      <c r="AP2356" s="153"/>
      <c r="AQ2356" s="153"/>
      <c r="AR2356" s="153"/>
      <c r="AS2356" s="153"/>
      <c r="AT2356" s="153"/>
      <c r="AU2356" s="153"/>
      <c r="AV2356" s="153"/>
      <c r="AW2356" s="153"/>
      <c r="AX2356" s="153"/>
      <c r="AY2356" s="153"/>
      <c r="AZ2356" s="153"/>
      <c r="BA2356" s="153"/>
      <c r="BB2356" s="153"/>
      <c r="BC2356" s="153"/>
      <c r="BD2356" s="153"/>
      <c r="BE2356" s="153"/>
      <c r="BF2356" s="153"/>
      <c r="BG2356" s="153"/>
      <c r="BH2356" s="153"/>
      <c r="BI2356" s="153"/>
      <c r="BJ2356" s="153"/>
      <c r="BK2356" s="153"/>
      <c r="BL2356" s="153"/>
      <c r="BM2356" s="153"/>
      <c r="BN2356" s="153"/>
      <c r="BO2356" s="153"/>
      <c r="BP2356" s="153"/>
      <c r="BQ2356" s="153"/>
      <c r="BR2356" s="153"/>
      <c r="BS2356" s="153"/>
      <c r="BT2356" s="153"/>
      <c r="BU2356" s="153"/>
      <c r="BV2356" s="153"/>
      <c r="BW2356" s="153"/>
      <c r="BX2356" s="153"/>
      <c r="BY2356" s="153"/>
      <c r="BZ2356" s="153"/>
      <c r="CA2356" s="153"/>
      <c r="CB2356" s="153"/>
      <c r="CC2356" s="153"/>
      <c r="CD2356" s="155"/>
      <c r="CE2356" s="156"/>
      <c r="CF2356" s="155"/>
      <c r="CG2356" s="156"/>
      <c r="CH2356" s="155"/>
      <c r="CI2356" s="156"/>
      <c r="CJ2356" s="157">
        <f t="shared" si="287"/>
        <v>0</v>
      </c>
      <c r="CK2356" s="158"/>
      <c r="CL2356" s="159"/>
      <c r="CM2356" s="160"/>
      <c r="CN2356" s="161"/>
      <c r="CO2356" s="162"/>
      <c r="CP2356" s="161"/>
      <c r="CQ2356" s="158"/>
      <c r="CR2356" s="159"/>
      <c r="CS2356" s="68"/>
      <c r="CT2356" s="163"/>
      <c r="EC2356" s="366" t="str">
        <f t="shared" si="288"/>
        <v>MAGDALENA_SANTA MARTA</v>
      </c>
      <c r="ED2356" s="367"/>
      <c r="EE2356" s="367"/>
      <c r="EF2356" s="368"/>
      <c r="EG2356" s="367"/>
      <c r="EH2356" s="367"/>
      <c r="EI2356" s="367"/>
    </row>
    <row r="2357" spans="1:139" s="164" customFormat="1" ht="25.5">
      <c r="A2357" s="228">
        <v>40538</v>
      </c>
      <c r="B2357" s="205" t="s">
        <v>396</v>
      </c>
      <c r="C2357" s="205" t="s">
        <v>1899</v>
      </c>
      <c r="D2357" s="207" t="s">
        <v>1201</v>
      </c>
      <c r="E2357" s="323" t="s">
        <v>3905</v>
      </c>
      <c r="F2357" s="323"/>
      <c r="G2357" s="204"/>
      <c r="H2357" s="151"/>
      <c r="I2357" s="151"/>
      <c r="J2357" s="151">
        <v>9</v>
      </c>
      <c r="K2357" s="151">
        <v>1</v>
      </c>
      <c r="L2357" s="1"/>
      <c r="M2357" s="73">
        <f t="shared" si="285"/>
        <v>0</v>
      </c>
      <c r="N2357" s="73">
        <f t="shared" si="290"/>
        <v>0</v>
      </c>
      <c r="O2357" s="73">
        <f t="shared" si="291"/>
        <v>0</v>
      </c>
      <c r="P2357" s="73">
        <f t="shared" si="286"/>
        <v>0</v>
      </c>
      <c r="Q2357" s="73"/>
      <c r="R2357" s="73">
        <v>0</v>
      </c>
      <c r="S2357" s="75">
        <f t="shared" si="289"/>
        <v>0</v>
      </c>
      <c r="T2357" s="77">
        <v>0</v>
      </c>
      <c r="U2357" s="66">
        <v>40538</v>
      </c>
      <c r="V2357" s="79"/>
      <c r="W2357" s="66" t="s">
        <v>1585</v>
      </c>
      <c r="X2357" s="24" t="s">
        <v>1586</v>
      </c>
      <c r="Y2357" s="62"/>
      <c r="Z2357" s="169" t="s">
        <v>894</v>
      </c>
      <c r="AA2357" s="166" t="s">
        <v>449</v>
      </c>
      <c r="AB2357" s="152"/>
      <c r="AC2357" s="153"/>
      <c r="AD2357" s="154"/>
      <c r="AE2357" s="153"/>
      <c r="AF2357" s="153"/>
      <c r="AG2357" s="153"/>
      <c r="AH2357" s="153"/>
      <c r="AI2357" s="153"/>
      <c r="AJ2357" s="153"/>
      <c r="AK2357" s="153"/>
      <c r="AL2357" s="153"/>
      <c r="AM2357" s="153"/>
      <c r="AN2357" s="153"/>
      <c r="AO2357" s="153"/>
      <c r="AP2357" s="153"/>
      <c r="AQ2357" s="153"/>
      <c r="AR2357" s="153"/>
      <c r="AS2357" s="153"/>
      <c r="AT2357" s="153"/>
      <c r="AU2357" s="153"/>
      <c r="AV2357" s="153"/>
      <c r="AW2357" s="153"/>
      <c r="AX2357" s="153"/>
      <c r="AY2357" s="153"/>
      <c r="AZ2357" s="153"/>
      <c r="BA2357" s="153"/>
      <c r="BB2357" s="153"/>
      <c r="BC2357" s="153"/>
      <c r="BD2357" s="153"/>
      <c r="BE2357" s="153"/>
      <c r="BF2357" s="153"/>
      <c r="BG2357" s="153"/>
      <c r="BH2357" s="153"/>
      <c r="BI2357" s="153"/>
      <c r="BJ2357" s="153"/>
      <c r="BK2357" s="153"/>
      <c r="BL2357" s="153"/>
      <c r="BM2357" s="153"/>
      <c r="BN2357" s="153"/>
      <c r="BO2357" s="153"/>
      <c r="BP2357" s="153"/>
      <c r="BQ2357" s="153"/>
      <c r="BR2357" s="153"/>
      <c r="BS2357" s="153"/>
      <c r="BT2357" s="153"/>
      <c r="BU2357" s="153"/>
      <c r="BV2357" s="153"/>
      <c r="BW2357" s="153"/>
      <c r="BX2357" s="153"/>
      <c r="BY2357" s="153"/>
      <c r="BZ2357" s="153"/>
      <c r="CA2357" s="153"/>
      <c r="CB2357" s="153"/>
      <c r="CC2357" s="153"/>
      <c r="CD2357" s="155"/>
      <c r="CE2357" s="156"/>
      <c r="CF2357" s="155"/>
      <c r="CG2357" s="156"/>
      <c r="CH2357" s="155"/>
      <c r="CI2357" s="156"/>
      <c r="CJ2357" s="157">
        <f t="shared" si="287"/>
        <v>0</v>
      </c>
      <c r="CK2357" s="158"/>
      <c r="CL2357" s="159"/>
      <c r="CM2357" s="160"/>
      <c r="CN2357" s="161"/>
      <c r="CO2357" s="162"/>
      <c r="CP2357" s="161"/>
      <c r="CQ2357" s="158"/>
      <c r="CR2357" s="159"/>
      <c r="CS2357" s="68"/>
      <c r="CT2357" s="163"/>
      <c r="EC2357" s="366" t="str">
        <f t="shared" si="288"/>
        <v>META_VILLAVICENCIO</v>
      </c>
      <c r="ED2357" s="367"/>
      <c r="EE2357" s="367"/>
      <c r="EF2357" s="368"/>
      <c r="EG2357" s="367"/>
      <c r="EH2357" s="367"/>
      <c r="EI2357" s="367"/>
    </row>
    <row r="2358" spans="1:139" s="164" customFormat="1" ht="38.25">
      <c r="A2358" s="228">
        <v>40539</v>
      </c>
      <c r="B2358" s="205" t="s">
        <v>1551</v>
      </c>
      <c r="C2358" s="205" t="s">
        <v>1590</v>
      </c>
      <c r="D2358" s="207" t="s">
        <v>1878</v>
      </c>
      <c r="E2358" s="323" t="s">
        <v>3352</v>
      </c>
      <c r="F2358" s="323"/>
      <c r="G2358" s="204"/>
      <c r="H2358" s="151"/>
      <c r="I2358" s="151"/>
      <c r="J2358" s="151">
        <v>6</v>
      </c>
      <c r="K2358" s="151">
        <v>1</v>
      </c>
      <c r="L2358" s="1"/>
      <c r="M2358" s="73">
        <f t="shared" si="285"/>
        <v>0</v>
      </c>
      <c r="N2358" s="73">
        <f t="shared" si="290"/>
        <v>0</v>
      </c>
      <c r="O2358" s="73">
        <f t="shared" si="291"/>
        <v>0</v>
      </c>
      <c r="P2358" s="73">
        <f t="shared" si="286"/>
        <v>0</v>
      </c>
      <c r="Q2358" s="73"/>
      <c r="R2358" s="73">
        <v>0</v>
      </c>
      <c r="S2358" s="75">
        <f t="shared" si="289"/>
        <v>0</v>
      </c>
      <c r="T2358" s="77">
        <v>0</v>
      </c>
      <c r="U2358" s="66">
        <v>40539</v>
      </c>
      <c r="V2358" s="79"/>
      <c r="W2358" s="66" t="s">
        <v>1585</v>
      </c>
      <c r="X2358" s="24" t="s">
        <v>1586</v>
      </c>
      <c r="Y2358" s="62"/>
      <c r="Z2358" s="169" t="s">
        <v>894</v>
      </c>
      <c r="AA2358" s="166" t="s">
        <v>451</v>
      </c>
      <c r="AB2358" s="152"/>
      <c r="AC2358" s="153"/>
      <c r="AD2358" s="154"/>
      <c r="AE2358" s="153"/>
      <c r="AF2358" s="153"/>
      <c r="AG2358" s="153"/>
      <c r="AH2358" s="153"/>
      <c r="AI2358" s="153"/>
      <c r="AJ2358" s="153"/>
      <c r="AK2358" s="153"/>
      <c r="AL2358" s="153"/>
      <c r="AM2358" s="153"/>
      <c r="AN2358" s="153"/>
      <c r="AO2358" s="153"/>
      <c r="AP2358" s="153"/>
      <c r="AQ2358" s="153"/>
      <c r="AR2358" s="153"/>
      <c r="AS2358" s="153"/>
      <c r="AT2358" s="153"/>
      <c r="AU2358" s="153"/>
      <c r="AV2358" s="153"/>
      <c r="AW2358" s="153"/>
      <c r="AX2358" s="153"/>
      <c r="AY2358" s="153"/>
      <c r="AZ2358" s="153"/>
      <c r="BA2358" s="153"/>
      <c r="BB2358" s="153"/>
      <c r="BC2358" s="153"/>
      <c r="BD2358" s="153"/>
      <c r="BE2358" s="153"/>
      <c r="BF2358" s="153"/>
      <c r="BG2358" s="153"/>
      <c r="BH2358" s="153"/>
      <c r="BI2358" s="153"/>
      <c r="BJ2358" s="153"/>
      <c r="BK2358" s="153"/>
      <c r="BL2358" s="153"/>
      <c r="BM2358" s="153"/>
      <c r="BN2358" s="153"/>
      <c r="BO2358" s="153"/>
      <c r="BP2358" s="153"/>
      <c r="BQ2358" s="153"/>
      <c r="BR2358" s="153"/>
      <c r="BS2358" s="153"/>
      <c r="BT2358" s="153"/>
      <c r="BU2358" s="153"/>
      <c r="BV2358" s="153"/>
      <c r="BW2358" s="153"/>
      <c r="BX2358" s="153"/>
      <c r="BY2358" s="153"/>
      <c r="BZ2358" s="153"/>
      <c r="CA2358" s="153"/>
      <c r="CB2358" s="153"/>
      <c r="CC2358" s="153"/>
      <c r="CD2358" s="155"/>
      <c r="CE2358" s="156"/>
      <c r="CF2358" s="155"/>
      <c r="CG2358" s="156"/>
      <c r="CH2358" s="155"/>
      <c r="CI2358" s="156"/>
      <c r="CJ2358" s="157">
        <f t="shared" si="287"/>
        <v>0</v>
      </c>
      <c r="CK2358" s="158"/>
      <c r="CL2358" s="159"/>
      <c r="CM2358" s="160"/>
      <c r="CN2358" s="161"/>
      <c r="CO2358" s="162"/>
      <c r="CP2358" s="161"/>
      <c r="CQ2358" s="158"/>
      <c r="CR2358" s="159"/>
      <c r="CS2358" s="68"/>
      <c r="CT2358" s="163"/>
      <c r="EC2358" s="366" t="str">
        <f t="shared" si="288"/>
        <v>ATLANTICO_BARRANQUILLA</v>
      </c>
      <c r="ED2358" s="367"/>
      <c r="EE2358" s="367"/>
      <c r="EF2358" s="368"/>
      <c r="EG2358" s="367"/>
      <c r="EH2358" s="367"/>
      <c r="EI2358" s="367"/>
    </row>
    <row r="2359" spans="1:139" s="164" customFormat="1" ht="38.25">
      <c r="A2359" s="228">
        <v>40539</v>
      </c>
      <c r="B2359" s="205" t="s">
        <v>2298</v>
      </c>
      <c r="C2359" s="205" t="s">
        <v>1610</v>
      </c>
      <c r="D2359" s="207" t="s">
        <v>1316</v>
      </c>
      <c r="E2359" s="323" t="s">
        <v>3375</v>
      </c>
      <c r="F2359" s="323"/>
      <c r="G2359" s="204"/>
      <c r="H2359" s="151"/>
      <c r="I2359" s="151"/>
      <c r="J2359" s="151"/>
      <c r="K2359" s="151"/>
      <c r="L2359" s="1"/>
      <c r="M2359" s="73">
        <f t="shared" si="285"/>
        <v>0</v>
      </c>
      <c r="N2359" s="73">
        <f t="shared" si="290"/>
        <v>0</v>
      </c>
      <c r="O2359" s="73">
        <f t="shared" si="291"/>
        <v>0</v>
      </c>
      <c r="P2359" s="73">
        <f t="shared" si="286"/>
        <v>0</v>
      </c>
      <c r="Q2359" s="73"/>
      <c r="R2359" s="73">
        <v>0</v>
      </c>
      <c r="S2359" s="75">
        <f t="shared" si="289"/>
        <v>0</v>
      </c>
      <c r="T2359" s="77">
        <v>0</v>
      </c>
      <c r="U2359" s="66">
        <v>40539</v>
      </c>
      <c r="V2359" s="79"/>
      <c r="W2359" s="66" t="s">
        <v>1585</v>
      </c>
      <c r="X2359" s="24" t="s">
        <v>1586</v>
      </c>
      <c r="Y2359" s="62"/>
      <c r="Z2359" s="169" t="s">
        <v>894</v>
      </c>
      <c r="AA2359" s="166" t="s">
        <v>452</v>
      </c>
      <c r="AB2359" s="152"/>
      <c r="AC2359" s="153"/>
      <c r="AD2359" s="154"/>
      <c r="AE2359" s="153"/>
      <c r="AF2359" s="153"/>
      <c r="AG2359" s="153"/>
      <c r="AH2359" s="153"/>
      <c r="AI2359" s="153"/>
      <c r="AJ2359" s="153"/>
      <c r="AK2359" s="153"/>
      <c r="AL2359" s="153"/>
      <c r="AM2359" s="153"/>
      <c r="AN2359" s="153"/>
      <c r="AO2359" s="153"/>
      <c r="AP2359" s="153"/>
      <c r="AQ2359" s="153"/>
      <c r="AR2359" s="153"/>
      <c r="AS2359" s="153"/>
      <c r="AT2359" s="153"/>
      <c r="AU2359" s="153"/>
      <c r="AV2359" s="153"/>
      <c r="AW2359" s="153"/>
      <c r="AX2359" s="153"/>
      <c r="AY2359" s="153"/>
      <c r="AZ2359" s="153"/>
      <c r="BA2359" s="153"/>
      <c r="BB2359" s="153"/>
      <c r="BC2359" s="153"/>
      <c r="BD2359" s="153"/>
      <c r="BE2359" s="153"/>
      <c r="BF2359" s="153"/>
      <c r="BG2359" s="153"/>
      <c r="BH2359" s="153"/>
      <c r="BI2359" s="153"/>
      <c r="BJ2359" s="153"/>
      <c r="BK2359" s="153"/>
      <c r="BL2359" s="153"/>
      <c r="BM2359" s="153"/>
      <c r="BN2359" s="153"/>
      <c r="BO2359" s="153"/>
      <c r="BP2359" s="153"/>
      <c r="BQ2359" s="153"/>
      <c r="BR2359" s="153"/>
      <c r="BS2359" s="153"/>
      <c r="BT2359" s="153"/>
      <c r="BU2359" s="153"/>
      <c r="BV2359" s="153"/>
      <c r="BW2359" s="153"/>
      <c r="BX2359" s="153"/>
      <c r="BY2359" s="153"/>
      <c r="BZ2359" s="153"/>
      <c r="CA2359" s="153"/>
      <c r="CB2359" s="153"/>
      <c r="CC2359" s="153"/>
      <c r="CD2359" s="155"/>
      <c r="CE2359" s="156"/>
      <c r="CF2359" s="155"/>
      <c r="CG2359" s="156"/>
      <c r="CH2359" s="155"/>
      <c r="CI2359" s="156"/>
      <c r="CJ2359" s="157">
        <f t="shared" si="287"/>
        <v>0</v>
      </c>
      <c r="CK2359" s="158"/>
      <c r="CL2359" s="159"/>
      <c r="CM2359" s="160"/>
      <c r="CN2359" s="161"/>
      <c r="CO2359" s="162"/>
      <c r="CP2359" s="161"/>
      <c r="CQ2359" s="158"/>
      <c r="CR2359" s="159"/>
      <c r="CS2359" s="68"/>
      <c r="CT2359" s="163"/>
      <c r="EC2359" s="366" t="str">
        <f t="shared" si="288"/>
        <v>BOGOTA D.C._BOGOTA</v>
      </c>
      <c r="ED2359" s="367"/>
      <c r="EE2359" s="367"/>
      <c r="EF2359" s="368"/>
      <c r="EG2359" s="367"/>
      <c r="EH2359" s="367"/>
      <c r="EI2359" s="367"/>
    </row>
    <row r="2360" spans="1:139" s="164" customFormat="1" ht="36">
      <c r="A2360" s="228">
        <v>40539</v>
      </c>
      <c r="B2360" s="205" t="s">
        <v>1821</v>
      </c>
      <c r="C2360" s="205" t="s">
        <v>1266</v>
      </c>
      <c r="D2360" s="207" t="s">
        <v>1201</v>
      </c>
      <c r="E2360" s="323" t="s">
        <v>3650</v>
      </c>
      <c r="F2360" s="323"/>
      <c r="G2360" s="204"/>
      <c r="H2360" s="151"/>
      <c r="I2360" s="151">
        <v>1</v>
      </c>
      <c r="J2360" s="151"/>
      <c r="K2360" s="151"/>
      <c r="L2360" s="1"/>
      <c r="M2360" s="73">
        <f t="shared" si="285"/>
        <v>0</v>
      </c>
      <c r="N2360" s="73">
        <f t="shared" si="290"/>
        <v>0</v>
      </c>
      <c r="O2360" s="73">
        <f t="shared" si="291"/>
        <v>0</v>
      </c>
      <c r="P2360" s="73">
        <f t="shared" si="286"/>
        <v>0</v>
      </c>
      <c r="Q2360" s="73"/>
      <c r="R2360" s="73">
        <v>0</v>
      </c>
      <c r="S2360" s="75">
        <f t="shared" si="289"/>
        <v>0</v>
      </c>
      <c r="T2360" s="77">
        <v>0</v>
      </c>
      <c r="U2360" s="66">
        <v>40539</v>
      </c>
      <c r="V2360" s="79"/>
      <c r="W2360" s="66" t="s">
        <v>1585</v>
      </c>
      <c r="X2360" s="24" t="s">
        <v>1586</v>
      </c>
      <c r="Y2360" s="62"/>
      <c r="Z2360" s="169" t="s">
        <v>894</v>
      </c>
      <c r="AA2360" s="166" t="s">
        <v>450</v>
      </c>
      <c r="AB2360" s="152"/>
      <c r="AC2360" s="153"/>
      <c r="AD2360" s="154"/>
      <c r="AE2360" s="153"/>
      <c r="AF2360" s="153"/>
      <c r="AG2360" s="153"/>
      <c r="AH2360" s="153"/>
      <c r="AI2360" s="153"/>
      <c r="AJ2360" s="153"/>
      <c r="AK2360" s="153"/>
      <c r="AL2360" s="153"/>
      <c r="AM2360" s="153"/>
      <c r="AN2360" s="153"/>
      <c r="AO2360" s="153"/>
      <c r="AP2360" s="153"/>
      <c r="AQ2360" s="153"/>
      <c r="AR2360" s="153"/>
      <c r="AS2360" s="153"/>
      <c r="AT2360" s="153"/>
      <c r="AU2360" s="153"/>
      <c r="AV2360" s="153"/>
      <c r="AW2360" s="153"/>
      <c r="AX2360" s="153"/>
      <c r="AY2360" s="153"/>
      <c r="AZ2360" s="153"/>
      <c r="BA2360" s="153"/>
      <c r="BB2360" s="153"/>
      <c r="BC2360" s="153"/>
      <c r="BD2360" s="153"/>
      <c r="BE2360" s="153"/>
      <c r="BF2360" s="153"/>
      <c r="BG2360" s="153"/>
      <c r="BH2360" s="153"/>
      <c r="BI2360" s="153"/>
      <c r="BJ2360" s="153"/>
      <c r="BK2360" s="153"/>
      <c r="BL2360" s="153"/>
      <c r="BM2360" s="153"/>
      <c r="BN2360" s="153"/>
      <c r="BO2360" s="153"/>
      <c r="BP2360" s="153"/>
      <c r="BQ2360" s="153"/>
      <c r="BR2360" s="153"/>
      <c r="BS2360" s="153"/>
      <c r="BT2360" s="153"/>
      <c r="BU2360" s="153"/>
      <c r="BV2360" s="153"/>
      <c r="BW2360" s="153"/>
      <c r="BX2360" s="153"/>
      <c r="BY2360" s="153"/>
      <c r="BZ2360" s="153"/>
      <c r="CA2360" s="153"/>
      <c r="CB2360" s="153"/>
      <c r="CC2360" s="153"/>
      <c r="CD2360" s="155"/>
      <c r="CE2360" s="156"/>
      <c r="CF2360" s="155"/>
      <c r="CG2360" s="156"/>
      <c r="CH2360" s="155"/>
      <c r="CI2360" s="156"/>
      <c r="CJ2360" s="157">
        <f t="shared" si="287"/>
        <v>0</v>
      </c>
      <c r="CK2360" s="158"/>
      <c r="CL2360" s="159"/>
      <c r="CM2360" s="160"/>
      <c r="CN2360" s="161"/>
      <c r="CO2360" s="162"/>
      <c r="CP2360" s="161"/>
      <c r="CQ2360" s="158"/>
      <c r="CR2360" s="159"/>
      <c r="CS2360" s="68"/>
      <c r="CT2360" s="163"/>
      <c r="EC2360" s="366" t="str">
        <f t="shared" si="288"/>
        <v>CESAR_SAN DIEGO</v>
      </c>
      <c r="ED2360" s="367"/>
      <c r="EE2360" s="367"/>
      <c r="EF2360" s="368"/>
      <c r="EG2360" s="367"/>
      <c r="EH2360" s="367"/>
      <c r="EI2360" s="367"/>
    </row>
    <row r="2361" spans="1:139" s="164" customFormat="1" ht="60" customHeight="1">
      <c r="A2361" s="228">
        <v>40539</v>
      </c>
      <c r="B2361" s="205" t="s">
        <v>1996</v>
      </c>
      <c r="C2361" s="205" t="s">
        <v>1945</v>
      </c>
      <c r="D2361" s="207" t="s">
        <v>1878</v>
      </c>
      <c r="E2361" s="323" t="s">
        <v>3793</v>
      </c>
      <c r="F2361" s="323"/>
      <c r="G2361" s="204"/>
      <c r="H2361" s="151"/>
      <c r="I2361" s="151"/>
      <c r="J2361" s="151">
        <v>5</v>
      </c>
      <c r="K2361" s="151">
        <v>1</v>
      </c>
      <c r="L2361" s="1"/>
      <c r="M2361" s="73">
        <f t="shared" si="285"/>
        <v>0</v>
      </c>
      <c r="N2361" s="73">
        <f t="shared" si="290"/>
        <v>0</v>
      </c>
      <c r="O2361" s="73">
        <f t="shared" si="291"/>
        <v>0</v>
      </c>
      <c r="P2361" s="73">
        <f t="shared" si="286"/>
        <v>0</v>
      </c>
      <c r="Q2361" s="73"/>
      <c r="R2361" s="73">
        <v>0</v>
      </c>
      <c r="S2361" s="75">
        <f t="shared" si="289"/>
        <v>0</v>
      </c>
      <c r="T2361" s="77">
        <v>0</v>
      </c>
      <c r="U2361" s="66">
        <v>40539</v>
      </c>
      <c r="V2361" s="79"/>
      <c r="W2361" s="66" t="s">
        <v>1585</v>
      </c>
      <c r="X2361" s="24" t="s">
        <v>1586</v>
      </c>
      <c r="Y2361" s="62"/>
      <c r="Z2361" s="169" t="s">
        <v>894</v>
      </c>
      <c r="AA2361" s="166" t="s">
        <v>462</v>
      </c>
      <c r="AB2361" s="152"/>
      <c r="AC2361" s="153"/>
      <c r="AD2361" s="154"/>
      <c r="AE2361" s="153"/>
      <c r="AF2361" s="153"/>
      <c r="AG2361" s="153"/>
      <c r="AH2361" s="153"/>
      <c r="AI2361" s="153"/>
      <c r="AJ2361" s="153"/>
      <c r="AK2361" s="153"/>
      <c r="AL2361" s="153"/>
      <c r="AM2361" s="153"/>
      <c r="AN2361" s="153"/>
      <c r="AO2361" s="153"/>
      <c r="AP2361" s="153"/>
      <c r="AQ2361" s="153"/>
      <c r="AR2361" s="153"/>
      <c r="AS2361" s="153"/>
      <c r="AT2361" s="153"/>
      <c r="AU2361" s="153"/>
      <c r="AV2361" s="153"/>
      <c r="AW2361" s="153"/>
      <c r="AX2361" s="153"/>
      <c r="AY2361" s="153"/>
      <c r="AZ2361" s="153"/>
      <c r="BA2361" s="153"/>
      <c r="BB2361" s="153"/>
      <c r="BC2361" s="153"/>
      <c r="BD2361" s="153"/>
      <c r="BE2361" s="153"/>
      <c r="BF2361" s="153"/>
      <c r="BG2361" s="153"/>
      <c r="BH2361" s="153"/>
      <c r="BI2361" s="153"/>
      <c r="BJ2361" s="153"/>
      <c r="BK2361" s="153"/>
      <c r="BL2361" s="153"/>
      <c r="BM2361" s="153"/>
      <c r="BN2361" s="153"/>
      <c r="BO2361" s="153"/>
      <c r="BP2361" s="153"/>
      <c r="BQ2361" s="153"/>
      <c r="BR2361" s="153"/>
      <c r="BS2361" s="153"/>
      <c r="BT2361" s="153"/>
      <c r="BU2361" s="153"/>
      <c r="BV2361" s="153"/>
      <c r="BW2361" s="153"/>
      <c r="BX2361" s="153"/>
      <c r="BY2361" s="153"/>
      <c r="BZ2361" s="153"/>
      <c r="CA2361" s="153"/>
      <c r="CB2361" s="153"/>
      <c r="CC2361" s="153"/>
      <c r="CD2361" s="155"/>
      <c r="CE2361" s="156"/>
      <c r="CF2361" s="155"/>
      <c r="CG2361" s="156"/>
      <c r="CH2361" s="155"/>
      <c r="CI2361" s="156"/>
      <c r="CJ2361" s="157">
        <f t="shared" si="287"/>
        <v>0</v>
      </c>
      <c r="CK2361" s="158"/>
      <c r="CL2361" s="159"/>
      <c r="CM2361" s="160"/>
      <c r="CN2361" s="161"/>
      <c r="CO2361" s="162"/>
      <c r="CP2361" s="161"/>
      <c r="CQ2361" s="158"/>
      <c r="CR2361" s="159"/>
      <c r="CS2361" s="68"/>
      <c r="CT2361" s="163"/>
      <c r="EC2361" s="366" t="str">
        <f t="shared" si="288"/>
        <v>CHOCO_QUIBDO</v>
      </c>
      <c r="ED2361" s="367"/>
      <c r="EE2361" s="367"/>
      <c r="EF2361" s="368"/>
      <c r="EG2361" s="367"/>
      <c r="EH2361" s="367"/>
      <c r="EI2361" s="367"/>
    </row>
    <row r="2362" spans="1:139" s="164" customFormat="1" ht="60">
      <c r="A2362" s="228">
        <v>40539</v>
      </c>
      <c r="B2362" s="205" t="s">
        <v>396</v>
      </c>
      <c r="C2362" s="205" t="s">
        <v>461</v>
      </c>
      <c r="D2362" s="207" t="s">
        <v>1244</v>
      </c>
      <c r="E2362" s="323" t="s">
        <v>3918</v>
      </c>
      <c r="F2362" s="323"/>
      <c r="G2362" s="204"/>
      <c r="H2362" s="151"/>
      <c r="I2362" s="151"/>
      <c r="J2362" s="151"/>
      <c r="K2362" s="151"/>
      <c r="L2362" s="1"/>
      <c r="M2362" s="73">
        <f t="shared" si="285"/>
        <v>0</v>
      </c>
      <c r="N2362" s="73">
        <f t="shared" si="290"/>
        <v>0</v>
      </c>
      <c r="O2362" s="73">
        <f t="shared" si="291"/>
        <v>0</v>
      </c>
      <c r="P2362" s="73">
        <f t="shared" si="286"/>
        <v>0</v>
      </c>
      <c r="Q2362" s="73"/>
      <c r="R2362" s="73">
        <v>0</v>
      </c>
      <c r="S2362" s="75">
        <f t="shared" si="289"/>
        <v>0</v>
      </c>
      <c r="T2362" s="77">
        <v>0</v>
      </c>
      <c r="U2362" s="66">
        <v>40539</v>
      </c>
      <c r="V2362" s="79"/>
      <c r="W2362" s="66" t="s">
        <v>1585</v>
      </c>
      <c r="X2362" s="24" t="s">
        <v>1586</v>
      </c>
      <c r="Y2362" s="62"/>
      <c r="Z2362" s="169" t="s">
        <v>894</v>
      </c>
      <c r="AA2362" s="166" t="s">
        <v>147</v>
      </c>
      <c r="AB2362" s="152"/>
      <c r="AC2362" s="153"/>
      <c r="AD2362" s="154"/>
      <c r="AE2362" s="153"/>
      <c r="AF2362" s="153"/>
      <c r="AG2362" s="153"/>
      <c r="AH2362" s="153"/>
      <c r="AI2362" s="153"/>
      <c r="AJ2362" s="153"/>
      <c r="AK2362" s="153"/>
      <c r="AL2362" s="153"/>
      <c r="AM2362" s="153"/>
      <c r="AN2362" s="153"/>
      <c r="AO2362" s="153"/>
      <c r="AP2362" s="153"/>
      <c r="AQ2362" s="153"/>
      <c r="AR2362" s="153"/>
      <c r="AS2362" s="153"/>
      <c r="AT2362" s="153"/>
      <c r="AU2362" s="153"/>
      <c r="AV2362" s="153"/>
      <c r="AW2362" s="153"/>
      <c r="AX2362" s="153"/>
      <c r="AY2362" s="153"/>
      <c r="AZ2362" s="153"/>
      <c r="BA2362" s="153"/>
      <c r="BB2362" s="153"/>
      <c r="BC2362" s="153"/>
      <c r="BD2362" s="153"/>
      <c r="BE2362" s="153"/>
      <c r="BF2362" s="153"/>
      <c r="BG2362" s="153"/>
      <c r="BH2362" s="153"/>
      <c r="BI2362" s="153"/>
      <c r="BJ2362" s="153"/>
      <c r="BK2362" s="153"/>
      <c r="BL2362" s="153"/>
      <c r="BM2362" s="153"/>
      <c r="BN2362" s="153"/>
      <c r="BO2362" s="153"/>
      <c r="BP2362" s="153"/>
      <c r="BQ2362" s="153"/>
      <c r="BR2362" s="153"/>
      <c r="BS2362" s="153"/>
      <c r="BT2362" s="153"/>
      <c r="BU2362" s="153"/>
      <c r="BV2362" s="153"/>
      <c r="BW2362" s="153"/>
      <c r="BX2362" s="153"/>
      <c r="BY2362" s="153"/>
      <c r="BZ2362" s="153"/>
      <c r="CA2362" s="153"/>
      <c r="CB2362" s="153"/>
      <c r="CC2362" s="153"/>
      <c r="CD2362" s="155"/>
      <c r="CE2362" s="156"/>
      <c r="CF2362" s="155"/>
      <c r="CG2362" s="156"/>
      <c r="CH2362" s="155"/>
      <c r="CI2362" s="156"/>
      <c r="CJ2362" s="157">
        <f t="shared" si="287"/>
        <v>0</v>
      </c>
      <c r="CK2362" s="158"/>
      <c r="CL2362" s="159"/>
      <c r="CM2362" s="160"/>
      <c r="CN2362" s="161"/>
      <c r="CO2362" s="162"/>
      <c r="CP2362" s="161"/>
      <c r="CQ2362" s="158"/>
      <c r="CR2362" s="159"/>
      <c r="CS2362" s="68"/>
      <c r="CT2362" s="163"/>
      <c r="EC2362" s="366" t="str">
        <f t="shared" si="288"/>
        <v>META_MAPIRIPAN</v>
      </c>
      <c r="ED2362" s="367"/>
      <c r="EE2362" s="367"/>
      <c r="EF2362" s="368"/>
      <c r="EG2362" s="367"/>
      <c r="EH2362" s="367"/>
      <c r="EI2362" s="367"/>
    </row>
    <row r="2363" spans="1:139" s="164" customFormat="1" ht="36">
      <c r="A2363" s="228">
        <v>40539</v>
      </c>
      <c r="B2363" s="205" t="s">
        <v>1824</v>
      </c>
      <c r="C2363" s="205" t="s">
        <v>841</v>
      </c>
      <c r="D2363" s="207" t="s">
        <v>1878</v>
      </c>
      <c r="E2363" s="323" t="s">
        <v>3934</v>
      </c>
      <c r="F2363" s="323"/>
      <c r="G2363" s="204">
        <v>1</v>
      </c>
      <c r="H2363" s="151"/>
      <c r="I2363" s="151"/>
      <c r="J2363" s="151">
        <v>10</v>
      </c>
      <c r="K2363" s="151">
        <v>3</v>
      </c>
      <c r="L2363" s="1"/>
      <c r="M2363" s="73">
        <f t="shared" si="285"/>
        <v>0</v>
      </c>
      <c r="N2363" s="73">
        <f t="shared" si="290"/>
        <v>0</v>
      </c>
      <c r="O2363" s="73">
        <f t="shared" si="291"/>
        <v>0</v>
      </c>
      <c r="P2363" s="73">
        <f t="shared" si="286"/>
        <v>0</v>
      </c>
      <c r="Q2363" s="73"/>
      <c r="R2363" s="73">
        <v>0</v>
      </c>
      <c r="S2363" s="75">
        <f t="shared" si="289"/>
        <v>0</v>
      </c>
      <c r="T2363" s="77">
        <v>0</v>
      </c>
      <c r="U2363" s="66">
        <v>40539</v>
      </c>
      <c r="V2363" s="79"/>
      <c r="W2363" s="66" t="s">
        <v>1585</v>
      </c>
      <c r="X2363" s="24" t="s">
        <v>1586</v>
      </c>
      <c r="Y2363" s="62"/>
      <c r="Z2363" s="169" t="s">
        <v>894</v>
      </c>
      <c r="AA2363" s="166" t="s">
        <v>474</v>
      </c>
      <c r="AB2363" s="152"/>
      <c r="AC2363" s="153"/>
      <c r="AD2363" s="154"/>
      <c r="AE2363" s="153"/>
      <c r="AF2363" s="153"/>
      <c r="AG2363" s="153"/>
      <c r="AH2363" s="153"/>
      <c r="AI2363" s="153"/>
      <c r="AJ2363" s="153"/>
      <c r="AK2363" s="153"/>
      <c r="AL2363" s="153"/>
      <c r="AM2363" s="153"/>
      <c r="AN2363" s="153"/>
      <c r="AO2363" s="153"/>
      <c r="AP2363" s="153"/>
      <c r="AQ2363" s="153"/>
      <c r="AR2363" s="153"/>
      <c r="AS2363" s="153"/>
      <c r="AT2363" s="153"/>
      <c r="AU2363" s="153"/>
      <c r="AV2363" s="153"/>
      <c r="AW2363" s="153"/>
      <c r="AX2363" s="153"/>
      <c r="AY2363" s="153"/>
      <c r="AZ2363" s="153"/>
      <c r="BA2363" s="153"/>
      <c r="BB2363" s="153"/>
      <c r="BC2363" s="153"/>
      <c r="BD2363" s="153"/>
      <c r="BE2363" s="153"/>
      <c r="BF2363" s="153"/>
      <c r="BG2363" s="153"/>
      <c r="BH2363" s="153"/>
      <c r="BI2363" s="153"/>
      <c r="BJ2363" s="153"/>
      <c r="BK2363" s="153"/>
      <c r="BL2363" s="153"/>
      <c r="BM2363" s="153"/>
      <c r="BN2363" s="153"/>
      <c r="BO2363" s="153"/>
      <c r="BP2363" s="153"/>
      <c r="BQ2363" s="153"/>
      <c r="BR2363" s="153"/>
      <c r="BS2363" s="153"/>
      <c r="BT2363" s="153"/>
      <c r="BU2363" s="153"/>
      <c r="BV2363" s="153"/>
      <c r="BW2363" s="153"/>
      <c r="BX2363" s="153"/>
      <c r="BY2363" s="153"/>
      <c r="BZ2363" s="153"/>
      <c r="CA2363" s="153"/>
      <c r="CB2363" s="153"/>
      <c r="CC2363" s="153"/>
      <c r="CD2363" s="155"/>
      <c r="CE2363" s="156"/>
      <c r="CF2363" s="155"/>
      <c r="CG2363" s="156"/>
      <c r="CH2363" s="155"/>
      <c r="CI2363" s="156"/>
      <c r="CJ2363" s="157">
        <f t="shared" si="287"/>
        <v>0</v>
      </c>
      <c r="CK2363" s="158"/>
      <c r="CL2363" s="159"/>
      <c r="CM2363" s="160"/>
      <c r="CN2363" s="161"/>
      <c r="CO2363" s="162"/>
      <c r="CP2363" s="161"/>
      <c r="CQ2363" s="158"/>
      <c r="CR2363" s="159"/>
      <c r="CS2363" s="68"/>
      <c r="CT2363" s="163"/>
      <c r="EC2363" s="366" t="str">
        <f t="shared" si="288"/>
        <v>NARIÑO_PASTO</v>
      </c>
      <c r="ED2363" s="367"/>
      <c r="EE2363" s="367"/>
      <c r="EF2363" s="368"/>
      <c r="EG2363" s="367"/>
      <c r="EH2363" s="367"/>
      <c r="EI2363" s="367"/>
    </row>
    <row r="2364" spans="1:139" s="164" customFormat="1" ht="60">
      <c r="A2364" s="228">
        <v>40539</v>
      </c>
      <c r="B2364" s="205" t="s">
        <v>1824</v>
      </c>
      <c r="C2364" s="205" t="s">
        <v>1695</v>
      </c>
      <c r="D2364" s="207" t="s">
        <v>1878</v>
      </c>
      <c r="E2364" s="323" t="s">
        <v>3988</v>
      </c>
      <c r="F2364" s="323"/>
      <c r="G2364" s="204"/>
      <c r="H2364" s="151"/>
      <c r="I2364" s="151"/>
      <c r="J2364" s="151">
        <v>48</v>
      </c>
      <c r="K2364" s="151">
        <v>12</v>
      </c>
      <c r="L2364" s="1"/>
      <c r="M2364" s="73">
        <f t="shared" si="285"/>
        <v>0</v>
      </c>
      <c r="N2364" s="73">
        <f t="shared" si="290"/>
        <v>0</v>
      </c>
      <c r="O2364" s="73">
        <f t="shared" si="291"/>
        <v>0</v>
      </c>
      <c r="P2364" s="73">
        <f t="shared" si="286"/>
        <v>0</v>
      </c>
      <c r="Q2364" s="73"/>
      <c r="R2364" s="73">
        <v>0</v>
      </c>
      <c r="S2364" s="75">
        <f t="shared" si="289"/>
        <v>0</v>
      </c>
      <c r="T2364" s="77">
        <v>0</v>
      </c>
      <c r="U2364" s="66">
        <v>40539</v>
      </c>
      <c r="V2364" s="79"/>
      <c r="W2364" s="66" t="s">
        <v>1585</v>
      </c>
      <c r="X2364" s="24" t="s">
        <v>1586</v>
      </c>
      <c r="Y2364" s="62"/>
      <c r="Z2364" s="169" t="s">
        <v>894</v>
      </c>
      <c r="AA2364" s="166" t="s">
        <v>473</v>
      </c>
      <c r="AB2364" s="152"/>
      <c r="AC2364" s="153"/>
      <c r="AD2364" s="154"/>
      <c r="AE2364" s="153"/>
      <c r="AF2364" s="153"/>
      <c r="AG2364" s="153"/>
      <c r="AH2364" s="153"/>
      <c r="AI2364" s="153"/>
      <c r="AJ2364" s="153"/>
      <c r="AK2364" s="153"/>
      <c r="AL2364" s="153"/>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c r="BF2364" s="153"/>
      <c r="BG2364" s="153"/>
      <c r="BH2364" s="153"/>
      <c r="BI2364" s="153"/>
      <c r="BJ2364" s="153"/>
      <c r="BK2364" s="153"/>
      <c r="BL2364" s="153"/>
      <c r="BM2364" s="153"/>
      <c r="BN2364" s="153"/>
      <c r="BO2364" s="153"/>
      <c r="BP2364" s="153"/>
      <c r="BQ2364" s="153"/>
      <c r="BR2364" s="153"/>
      <c r="BS2364" s="153"/>
      <c r="BT2364" s="153"/>
      <c r="BU2364" s="153"/>
      <c r="BV2364" s="153"/>
      <c r="BW2364" s="153"/>
      <c r="BX2364" s="153"/>
      <c r="BY2364" s="153"/>
      <c r="BZ2364" s="153"/>
      <c r="CA2364" s="153"/>
      <c r="CB2364" s="153"/>
      <c r="CC2364" s="153"/>
      <c r="CD2364" s="155"/>
      <c r="CE2364" s="156"/>
      <c r="CF2364" s="155"/>
      <c r="CG2364" s="156"/>
      <c r="CH2364" s="155"/>
      <c r="CI2364" s="156"/>
      <c r="CJ2364" s="157">
        <f t="shared" si="287"/>
        <v>0</v>
      </c>
      <c r="CK2364" s="158"/>
      <c r="CL2364" s="159"/>
      <c r="CM2364" s="160"/>
      <c r="CN2364" s="161"/>
      <c r="CO2364" s="162"/>
      <c r="CP2364" s="161"/>
      <c r="CQ2364" s="158"/>
      <c r="CR2364" s="159"/>
      <c r="CS2364" s="68"/>
      <c r="CT2364" s="163"/>
      <c r="EC2364" s="366" t="str">
        <f t="shared" si="288"/>
        <v>NARIÑO_SAN PABLO</v>
      </c>
      <c r="ED2364" s="367"/>
      <c r="EE2364" s="367"/>
      <c r="EF2364" s="368"/>
      <c r="EG2364" s="367"/>
      <c r="EH2364" s="367"/>
      <c r="EI2364" s="367"/>
    </row>
    <row r="2365" spans="1:139" s="164" customFormat="1" ht="25.5">
      <c r="A2365" s="228">
        <v>40540</v>
      </c>
      <c r="B2365" s="205" t="s">
        <v>1192</v>
      </c>
      <c r="C2365" s="205" t="s">
        <v>2661</v>
      </c>
      <c r="D2365" s="207" t="s">
        <v>1878</v>
      </c>
      <c r="E2365" s="323" t="s">
        <v>3515</v>
      </c>
      <c r="F2365" s="323"/>
      <c r="G2365" s="204"/>
      <c r="H2365" s="151"/>
      <c r="I2365" s="151"/>
      <c r="J2365" s="151">
        <f>92*5</f>
        <v>460</v>
      </c>
      <c r="K2365" s="151">
        <v>92</v>
      </c>
      <c r="L2365" s="1"/>
      <c r="M2365" s="73">
        <f t="shared" si="285"/>
        <v>0</v>
      </c>
      <c r="N2365" s="73">
        <f t="shared" si="290"/>
        <v>0</v>
      </c>
      <c r="O2365" s="73">
        <f t="shared" si="291"/>
        <v>0</v>
      </c>
      <c r="P2365" s="73">
        <f t="shared" si="286"/>
        <v>0</v>
      </c>
      <c r="Q2365" s="73"/>
      <c r="R2365" s="73">
        <v>0</v>
      </c>
      <c r="S2365" s="75">
        <f t="shared" si="289"/>
        <v>0</v>
      </c>
      <c r="T2365" s="77">
        <v>0</v>
      </c>
      <c r="U2365" s="66">
        <v>40540</v>
      </c>
      <c r="V2365" s="79"/>
      <c r="W2365" s="66" t="s">
        <v>1585</v>
      </c>
      <c r="X2365" s="24" t="s">
        <v>1586</v>
      </c>
      <c r="Y2365" s="62"/>
      <c r="Z2365" s="169" t="s">
        <v>894</v>
      </c>
      <c r="AA2365" s="166" t="s">
        <v>453</v>
      </c>
      <c r="AB2365" s="152"/>
      <c r="AC2365" s="153"/>
      <c r="AD2365" s="154"/>
      <c r="AE2365" s="153"/>
      <c r="AF2365" s="153"/>
      <c r="AG2365" s="153"/>
      <c r="AH2365" s="153"/>
      <c r="AI2365" s="153"/>
      <c r="AJ2365" s="153"/>
      <c r="AK2365" s="153"/>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c r="BF2365" s="153"/>
      <c r="BG2365" s="153"/>
      <c r="BH2365" s="153"/>
      <c r="BI2365" s="153"/>
      <c r="BJ2365" s="153"/>
      <c r="BK2365" s="153"/>
      <c r="BL2365" s="153"/>
      <c r="BM2365" s="153"/>
      <c r="BN2365" s="153"/>
      <c r="BO2365" s="153"/>
      <c r="BP2365" s="153"/>
      <c r="BQ2365" s="153"/>
      <c r="BR2365" s="153"/>
      <c r="BS2365" s="153"/>
      <c r="BT2365" s="153"/>
      <c r="BU2365" s="153"/>
      <c r="BV2365" s="153"/>
      <c r="BW2365" s="153"/>
      <c r="BX2365" s="153"/>
      <c r="BY2365" s="153"/>
      <c r="BZ2365" s="153"/>
      <c r="CA2365" s="153"/>
      <c r="CB2365" s="153"/>
      <c r="CC2365" s="153"/>
      <c r="CD2365" s="155"/>
      <c r="CE2365" s="156"/>
      <c r="CF2365" s="155"/>
      <c r="CG2365" s="156"/>
      <c r="CH2365" s="155"/>
      <c r="CI2365" s="156"/>
      <c r="CJ2365" s="157">
        <f t="shared" si="287"/>
        <v>0</v>
      </c>
      <c r="CK2365" s="158"/>
      <c r="CL2365" s="159"/>
      <c r="CM2365" s="160"/>
      <c r="CN2365" s="161"/>
      <c r="CO2365" s="162"/>
      <c r="CP2365" s="161"/>
      <c r="CQ2365" s="158"/>
      <c r="CR2365" s="159"/>
      <c r="CS2365" s="68"/>
      <c r="CT2365" s="163"/>
      <c r="EC2365" s="366" t="str">
        <f t="shared" si="288"/>
        <v>BOYACA_SOATA</v>
      </c>
      <c r="ED2365" s="367"/>
      <c r="EE2365" s="367"/>
      <c r="EF2365" s="368"/>
      <c r="EG2365" s="367"/>
      <c r="EH2365" s="367"/>
      <c r="EI2365" s="367"/>
    </row>
    <row r="2366" spans="1:139" s="164" customFormat="1" ht="25.5">
      <c r="A2366" s="228">
        <v>40540</v>
      </c>
      <c r="B2366" s="205" t="s">
        <v>1192</v>
      </c>
      <c r="C2366" s="205" t="s">
        <v>1004</v>
      </c>
      <c r="D2366" s="207" t="s">
        <v>1878</v>
      </c>
      <c r="E2366" s="323" t="s">
        <v>3421</v>
      </c>
      <c r="F2366" s="323"/>
      <c r="G2366" s="204"/>
      <c r="H2366" s="151"/>
      <c r="I2366" s="151"/>
      <c r="J2366" s="151"/>
      <c r="K2366" s="151"/>
      <c r="L2366" s="1"/>
      <c r="M2366" s="73">
        <f t="shared" si="285"/>
        <v>0</v>
      </c>
      <c r="N2366" s="73">
        <f t="shared" si="290"/>
        <v>0</v>
      </c>
      <c r="O2366" s="73">
        <f t="shared" si="291"/>
        <v>0</v>
      </c>
      <c r="P2366" s="73">
        <f t="shared" si="286"/>
        <v>0</v>
      </c>
      <c r="Q2366" s="73"/>
      <c r="R2366" s="73">
        <v>0</v>
      </c>
      <c r="S2366" s="75">
        <f t="shared" si="289"/>
        <v>0</v>
      </c>
      <c r="T2366" s="77">
        <v>0</v>
      </c>
      <c r="U2366" s="66">
        <v>40540</v>
      </c>
      <c r="V2366" s="79"/>
      <c r="W2366" s="66" t="s">
        <v>1585</v>
      </c>
      <c r="X2366" s="24" t="s">
        <v>1586</v>
      </c>
      <c r="Y2366" s="62"/>
      <c r="Z2366" s="169" t="s">
        <v>894</v>
      </c>
      <c r="AA2366" s="166" t="s">
        <v>454</v>
      </c>
      <c r="AB2366" s="152"/>
      <c r="AC2366" s="153"/>
      <c r="AD2366" s="154"/>
      <c r="AE2366" s="153"/>
      <c r="AF2366" s="153"/>
      <c r="AG2366" s="153"/>
      <c r="AH2366" s="153"/>
      <c r="AI2366" s="153"/>
      <c r="AJ2366" s="153"/>
      <c r="AK2366" s="153"/>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c r="BF2366" s="153"/>
      <c r="BG2366" s="153"/>
      <c r="BH2366" s="153"/>
      <c r="BI2366" s="153"/>
      <c r="BJ2366" s="153"/>
      <c r="BK2366" s="153"/>
      <c r="BL2366" s="153"/>
      <c r="BM2366" s="153"/>
      <c r="BN2366" s="153"/>
      <c r="BO2366" s="153"/>
      <c r="BP2366" s="153"/>
      <c r="BQ2366" s="153"/>
      <c r="BR2366" s="153"/>
      <c r="BS2366" s="153"/>
      <c r="BT2366" s="153"/>
      <c r="BU2366" s="153"/>
      <c r="BV2366" s="153"/>
      <c r="BW2366" s="153"/>
      <c r="BX2366" s="153"/>
      <c r="BY2366" s="153"/>
      <c r="BZ2366" s="153"/>
      <c r="CA2366" s="153"/>
      <c r="CB2366" s="153"/>
      <c r="CC2366" s="153"/>
      <c r="CD2366" s="155"/>
      <c r="CE2366" s="156"/>
      <c r="CF2366" s="155"/>
      <c r="CG2366" s="156"/>
      <c r="CH2366" s="155"/>
      <c r="CI2366" s="156"/>
      <c r="CJ2366" s="157">
        <f t="shared" si="287"/>
        <v>0</v>
      </c>
      <c r="CK2366" s="158"/>
      <c r="CL2366" s="159"/>
      <c r="CM2366" s="160"/>
      <c r="CN2366" s="161"/>
      <c r="CO2366" s="162"/>
      <c r="CP2366" s="161"/>
      <c r="CQ2366" s="158"/>
      <c r="CR2366" s="159"/>
      <c r="CS2366" s="68"/>
      <c r="CT2366" s="163"/>
      <c r="EC2366" s="366" t="str">
        <f t="shared" si="288"/>
        <v>BOYACA_TUNJA</v>
      </c>
      <c r="ED2366" s="367"/>
      <c r="EE2366" s="367"/>
      <c r="EF2366" s="368"/>
      <c r="EG2366" s="367"/>
      <c r="EH2366" s="367"/>
      <c r="EI2366" s="367"/>
    </row>
    <row r="2367" spans="1:139" s="164" customFormat="1" ht="25.5">
      <c r="A2367" s="228">
        <v>40540</v>
      </c>
      <c r="B2367" s="205" t="s">
        <v>1996</v>
      </c>
      <c r="C2367" s="205" t="s">
        <v>940</v>
      </c>
      <c r="D2367" s="207" t="s">
        <v>1201</v>
      </c>
      <c r="E2367" s="323" t="s">
        <v>3796</v>
      </c>
      <c r="F2367" s="323"/>
      <c r="G2367" s="204">
        <v>3</v>
      </c>
      <c r="H2367" s="151"/>
      <c r="I2367" s="151"/>
      <c r="J2367" s="175">
        <f>2324-1943</f>
        <v>381</v>
      </c>
      <c r="K2367" s="151">
        <f>452-281</f>
        <v>171</v>
      </c>
      <c r="L2367" s="1"/>
      <c r="M2367" s="73">
        <f t="shared" si="285"/>
        <v>0</v>
      </c>
      <c r="N2367" s="73">
        <f t="shared" si="290"/>
        <v>0</v>
      </c>
      <c r="O2367" s="73">
        <f t="shared" si="291"/>
        <v>0</v>
      </c>
      <c r="P2367" s="73">
        <f t="shared" si="286"/>
        <v>0</v>
      </c>
      <c r="Q2367" s="73"/>
      <c r="R2367" s="73">
        <v>0</v>
      </c>
      <c r="S2367" s="75">
        <f t="shared" si="289"/>
        <v>0</v>
      </c>
      <c r="T2367" s="77">
        <v>0</v>
      </c>
      <c r="U2367" s="66">
        <v>40540</v>
      </c>
      <c r="V2367" s="79"/>
      <c r="W2367" s="66" t="s">
        <v>1585</v>
      </c>
      <c r="X2367" s="24" t="s">
        <v>1586</v>
      </c>
      <c r="Y2367" s="62"/>
      <c r="Z2367" s="169" t="s">
        <v>894</v>
      </c>
      <c r="AA2367" s="166" t="s">
        <v>459</v>
      </c>
      <c r="AB2367" s="152"/>
      <c r="AC2367" s="153"/>
      <c r="AD2367" s="154"/>
      <c r="AE2367" s="153"/>
      <c r="AF2367" s="153"/>
      <c r="AG2367" s="153"/>
      <c r="AH2367" s="153"/>
      <c r="AI2367" s="153"/>
      <c r="AJ2367" s="153"/>
      <c r="AK2367" s="153"/>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c r="BF2367" s="153"/>
      <c r="BG2367" s="153"/>
      <c r="BH2367" s="153"/>
      <c r="BI2367" s="153"/>
      <c r="BJ2367" s="153"/>
      <c r="BK2367" s="153"/>
      <c r="BL2367" s="153"/>
      <c r="BM2367" s="153"/>
      <c r="BN2367" s="153"/>
      <c r="BO2367" s="153"/>
      <c r="BP2367" s="153"/>
      <c r="BQ2367" s="153"/>
      <c r="BR2367" s="153"/>
      <c r="BS2367" s="153"/>
      <c r="BT2367" s="153"/>
      <c r="BU2367" s="153"/>
      <c r="BV2367" s="153"/>
      <c r="BW2367" s="153"/>
      <c r="BX2367" s="153"/>
      <c r="BY2367" s="153"/>
      <c r="BZ2367" s="153"/>
      <c r="CA2367" s="153"/>
      <c r="CB2367" s="153"/>
      <c r="CC2367" s="153"/>
      <c r="CD2367" s="155"/>
      <c r="CE2367" s="156"/>
      <c r="CF2367" s="155"/>
      <c r="CG2367" s="156"/>
      <c r="CH2367" s="155"/>
      <c r="CI2367" s="156"/>
      <c r="CJ2367" s="157">
        <f t="shared" si="287"/>
        <v>0</v>
      </c>
      <c r="CK2367" s="158"/>
      <c r="CL2367" s="159"/>
      <c r="CM2367" s="160"/>
      <c r="CN2367" s="161"/>
      <c r="CO2367" s="162"/>
      <c r="CP2367" s="161"/>
      <c r="CQ2367" s="158"/>
      <c r="CR2367" s="159"/>
      <c r="CS2367" s="68"/>
      <c r="CT2367" s="163"/>
      <c r="EC2367" s="366" t="str">
        <f t="shared" si="288"/>
        <v>CHOCO_ATRATO</v>
      </c>
      <c r="ED2367" s="367"/>
      <c r="EE2367" s="367"/>
      <c r="EF2367" s="368"/>
      <c r="EG2367" s="367"/>
      <c r="EH2367" s="367"/>
      <c r="EI2367" s="367"/>
    </row>
    <row r="2368" spans="1:139" s="164" customFormat="1" ht="84">
      <c r="A2368" s="228">
        <v>40540</v>
      </c>
      <c r="B2368" s="205" t="s">
        <v>1295</v>
      </c>
      <c r="C2368" s="205" t="s">
        <v>1724</v>
      </c>
      <c r="D2368" s="207" t="s">
        <v>1201</v>
      </c>
      <c r="E2368" s="323" t="s">
        <v>3653</v>
      </c>
      <c r="F2368" s="323"/>
      <c r="G2368" s="204"/>
      <c r="H2368" s="151"/>
      <c r="I2368" s="151"/>
      <c r="J2368" s="151">
        <f>14895-987-5675</f>
        <v>8233</v>
      </c>
      <c r="K2368" s="151">
        <f>2979-220-1135</f>
        <v>1624</v>
      </c>
      <c r="L2368" s="1"/>
      <c r="M2368" s="73">
        <f t="shared" si="285"/>
        <v>0</v>
      </c>
      <c r="N2368" s="73">
        <f t="shared" si="290"/>
        <v>0</v>
      </c>
      <c r="O2368" s="73">
        <f t="shared" si="291"/>
        <v>0</v>
      </c>
      <c r="P2368" s="73">
        <f t="shared" si="286"/>
        <v>0</v>
      </c>
      <c r="Q2368" s="73"/>
      <c r="R2368" s="73">
        <v>0</v>
      </c>
      <c r="S2368" s="75">
        <f t="shared" si="289"/>
        <v>0</v>
      </c>
      <c r="T2368" s="77">
        <v>0</v>
      </c>
      <c r="U2368" s="66">
        <v>40540</v>
      </c>
      <c r="V2368" s="79"/>
      <c r="W2368" s="66" t="s">
        <v>1606</v>
      </c>
      <c r="X2368" s="264" t="s">
        <v>1607</v>
      </c>
      <c r="Y2368" s="62"/>
      <c r="Z2368" s="260" t="s">
        <v>18</v>
      </c>
      <c r="AA2368" s="166" t="s">
        <v>464</v>
      </c>
      <c r="AB2368" s="152"/>
      <c r="AC2368" s="153"/>
      <c r="AD2368" s="154"/>
      <c r="AE2368" s="153"/>
      <c r="AF2368" s="153"/>
      <c r="AG2368" s="153"/>
      <c r="AH2368" s="153"/>
      <c r="AI2368" s="153"/>
      <c r="AJ2368" s="153"/>
      <c r="AK2368" s="153"/>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c r="BF2368" s="153"/>
      <c r="BG2368" s="153"/>
      <c r="BH2368" s="153"/>
      <c r="BI2368" s="153"/>
      <c r="BJ2368" s="153"/>
      <c r="BK2368" s="153"/>
      <c r="BL2368" s="153"/>
      <c r="BM2368" s="153"/>
      <c r="BN2368" s="153"/>
      <c r="BO2368" s="153"/>
      <c r="BP2368" s="153"/>
      <c r="BQ2368" s="153"/>
      <c r="BR2368" s="153"/>
      <c r="BS2368" s="153"/>
      <c r="BT2368" s="153"/>
      <c r="BU2368" s="153"/>
      <c r="BV2368" s="153"/>
      <c r="BW2368" s="153"/>
      <c r="BX2368" s="153"/>
      <c r="BY2368" s="153"/>
      <c r="BZ2368" s="153"/>
      <c r="CA2368" s="153"/>
      <c r="CB2368" s="153"/>
      <c r="CC2368" s="153"/>
      <c r="CD2368" s="155"/>
      <c r="CE2368" s="156"/>
      <c r="CF2368" s="155"/>
      <c r="CG2368" s="156"/>
      <c r="CH2368" s="155"/>
      <c r="CI2368" s="156"/>
      <c r="CJ2368" s="157">
        <f t="shared" si="287"/>
        <v>0</v>
      </c>
      <c r="CK2368" s="158"/>
      <c r="CL2368" s="159"/>
      <c r="CM2368" s="160"/>
      <c r="CN2368" s="161"/>
      <c r="CO2368" s="162"/>
      <c r="CP2368" s="161"/>
      <c r="CQ2368" s="158"/>
      <c r="CR2368" s="159"/>
      <c r="CS2368" s="68"/>
      <c r="CT2368" s="163"/>
      <c r="EC2368" s="366" t="str">
        <f t="shared" si="288"/>
        <v>CORDOBA_MONTERIA</v>
      </c>
      <c r="ED2368" s="367"/>
      <c r="EE2368" s="367"/>
      <c r="EF2368" s="368"/>
      <c r="EG2368" s="367"/>
      <c r="EH2368" s="367"/>
      <c r="EI2368" s="367"/>
    </row>
    <row r="2369" spans="1:139" s="164" customFormat="1" ht="36">
      <c r="A2369" s="228">
        <v>40540</v>
      </c>
      <c r="B2369" s="205" t="s">
        <v>1824</v>
      </c>
      <c r="C2369" s="205" t="s">
        <v>257</v>
      </c>
      <c r="D2369" s="207" t="s">
        <v>1878</v>
      </c>
      <c r="E2369" s="323" t="s">
        <v>3935</v>
      </c>
      <c r="F2369" s="323"/>
      <c r="G2369" s="204"/>
      <c r="H2369" s="151"/>
      <c r="I2369" s="151"/>
      <c r="J2369" s="151">
        <f>3542-280</f>
        <v>3262</v>
      </c>
      <c r="K2369" s="151">
        <f>1064-56</f>
        <v>1008</v>
      </c>
      <c r="L2369" s="1"/>
      <c r="M2369" s="73">
        <f t="shared" si="285"/>
        <v>0</v>
      </c>
      <c r="N2369" s="73">
        <f t="shared" si="290"/>
        <v>0</v>
      </c>
      <c r="O2369" s="73">
        <f t="shared" si="291"/>
        <v>0</v>
      </c>
      <c r="P2369" s="73">
        <f t="shared" si="286"/>
        <v>0</v>
      </c>
      <c r="Q2369" s="73"/>
      <c r="R2369" s="73">
        <v>0</v>
      </c>
      <c r="S2369" s="75">
        <f t="shared" si="289"/>
        <v>0</v>
      </c>
      <c r="T2369" s="77">
        <v>0</v>
      </c>
      <c r="U2369" s="66">
        <v>40540</v>
      </c>
      <c r="V2369" s="79"/>
      <c r="W2369" s="66" t="s">
        <v>1585</v>
      </c>
      <c r="X2369" s="24" t="s">
        <v>1586</v>
      </c>
      <c r="Y2369" s="62"/>
      <c r="Z2369" s="169" t="s">
        <v>894</v>
      </c>
      <c r="AA2369" s="166" t="s">
        <v>475</v>
      </c>
      <c r="AB2369" s="152"/>
      <c r="AC2369" s="153"/>
      <c r="AD2369" s="154"/>
      <c r="AE2369" s="153"/>
      <c r="AF2369" s="153"/>
      <c r="AG2369" s="153"/>
      <c r="AH2369" s="153"/>
      <c r="AI2369" s="153"/>
      <c r="AJ2369" s="153"/>
      <c r="AK2369" s="153"/>
      <c r="AL2369" s="153"/>
      <c r="AM2369" s="153"/>
      <c r="AN2369" s="153"/>
      <c r="AO2369" s="153"/>
      <c r="AP2369" s="153"/>
      <c r="AQ2369" s="153"/>
      <c r="AR2369" s="153"/>
      <c r="AS2369" s="153"/>
      <c r="AT2369" s="153"/>
      <c r="AU2369" s="153"/>
      <c r="AV2369" s="153"/>
      <c r="AW2369" s="153"/>
      <c r="AX2369" s="153"/>
      <c r="AY2369" s="153"/>
      <c r="AZ2369" s="153"/>
      <c r="BA2369" s="153"/>
      <c r="BB2369" s="153"/>
      <c r="BC2369" s="153"/>
      <c r="BD2369" s="153"/>
      <c r="BE2369" s="153"/>
      <c r="BF2369" s="153"/>
      <c r="BG2369" s="153"/>
      <c r="BH2369" s="153"/>
      <c r="BI2369" s="153"/>
      <c r="BJ2369" s="153"/>
      <c r="BK2369" s="153"/>
      <c r="BL2369" s="153"/>
      <c r="BM2369" s="153"/>
      <c r="BN2369" s="153"/>
      <c r="BO2369" s="153"/>
      <c r="BP2369" s="153"/>
      <c r="BQ2369" s="153"/>
      <c r="BR2369" s="153"/>
      <c r="BS2369" s="153"/>
      <c r="BT2369" s="153"/>
      <c r="BU2369" s="153"/>
      <c r="BV2369" s="153"/>
      <c r="BW2369" s="153"/>
      <c r="BX2369" s="153"/>
      <c r="BY2369" s="153"/>
      <c r="BZ2369" s="153"/>
      <c r="CA2369" s="153"/>
      <c r="CB2369" s="153"/>
      <c r="CC2369" s="153"/>
      <c r="CD2369" s="155"/>
      <c r="CE2369" s="156"/>
      <c r="CF2369" s="155"/>
      <c r="CG2369" s="156"/>
      <c r="CH2369" s="155"/>
      <c r="CI2369" s="156"/>
      <c r="CJ2369" s="157">
        <f t="shared" si="287"/>
        <v>0</v>
      </c>
      <c r="CK2369" s="158"/>
      <c r="CL2369" s="159"/>
      <c r="CM2369" s="160"/>
      <c r="CN2369" s="161"/>
      <c r="CO2369" s="162"/>
      <c r="CP2369" s="161"/>
      <c r="CQ2369" s="158"/>
      <c r="CR2369" s="159"/>
      <c r="CS2369" s="68"/>
      <c r="CT2369" s="163"/>
      <c r="EC2369" s="366" t="str">
        <f t="shared" ref="EC2369:EC2398" si="292">B2369&amp;"_"&amp;C2369</f>
        <v>NARIÑO_ALBAN</v>
      </c>
      <c r="ED2369" s="367"/>
      <c r="EE2369" s="367"/>
      <c r="EF2369" s="368"/>
      <c r="EG2369" s="367"/>
      <c r="EH2369" s="367"/>
      <c r="EI2369" s="367"/>
    </row>
    <row r="2370" spans="1:139" s="164" customFormat="1" ht="25.5">
      <c r="A2370" s="228">
        <v>40540</v>
      </c>
      <c r="B2370" s="205" t="s">
        <v>1612</v>
      </c>
      <c r="C2370" s="205" t="s">
        <v>1613</v>
      </c>
      <c r="D2370" s="207" t="s">
        <v>1316</v>
      </c>
      <c r="E2370" s="323" t="s">
        <v>4038</v>
      </c>
      <c r="F2370" s="323"/>
      <c r="G2370" s="204"/>
      <c r="H2370" s="151"/>
      <c r="I2370" s="151"/>
      <c r="J2370" s="151">
        <v>5</v>
      </c>
      <c r="K2370" s="151">
        <v>1</v>
      </c>
      <c r="L2370" s="1"/>
      <c r="M2370" s="73">
        <f t="shared" si="285"/>
        <v>0</v>
      </c>
      <c r="N2370" s="73">
        <f t="shared" si="290"/>
        <v>0</v>
      </c>
      <c r="O2370" s="73">
        <f t="shared" si="291"/>
        <v>0</v>
      </c>
      <c r="P2370" s="73">
        <f t="shared" si="286"/>
        <v>0</v>
      </c>
      <c r="Q2370" s="73"/>
      <c r="R2370" s="73">
        <v>0</v>
      </c>
      <c r="S2370" s="75">
        <f t="shared" si="289"/>
        <v>0</v>
      </c>
      <c r="T2370" s="77">
        <v>0</v>
      </c>
      <c r="U2370" s="66">
        <v>40540</v>
      </c>
      <c r="V2370" s="79"/>
      <c r="W2370" s="66" t="s">
        <v>1585</v>
      </c>
      <c r="X2370" s="24" t="s">
        <v>1586</v>
      </c>
      <c r="Y2370" s="62"/>
      <c r="Z2370" s="169" t="s">
        <v>894</v>
      </c>
      <c r="AA2370" s="166" t="s">
        <v>455</v>
      </c>
      <c r="AB2370" s="152"/>
      <c r="AC2370" s="153"/>
      <c r="AD2370" s="154"/>
      <c r="AE2370" s="153"/>
      <c r="AF2370" s="153"/>
      <c r="AG2370" s="153"/>
      <c r="AH2370" s="153"/>
      <c r="AI2370" s="153"/>
      <c r="AJ2370" s="153"/>
      <c r="AK2370" s="153"/>
      <c r="AL2370" s="153"/>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c r="BF2370" s="153"/>
      <c r="BG2370" s="153"/>
      <c r="BH2370" s="153"/>
      <c r="BI2370" s="153"/>
      <c r="BJ2370" s="153"/>
      <c r="BK2370" s="153"/>
      <c r="BL2370" s="153"/>
      <c r="BM2370" s="153"/>
      <c r="BN2370" s="153"/>
      <c r="BO2370" s="153"/>
      <c r="BP2370" s="153"/>
      <c r="BQ2370" s="153"/>
      <c r="BR2370" s="153"/>
      <c r="BS2370" s="153"/>
      <c r="BT2370" s="153"/>
      <c r="BU2370" s="153"/>
      <c r="BV2370" s="153"/>
      <c r="BW2370" s="153"/>
      <c r="BX2370" s="153"/>
      <c r="BY2370" s="153"/>
      <c r="BZ2370" s="153"/>
      <c r="CA2370" s="153"/>
      <c r="CB2370" s="153"/>
      <c r="CC2370" s="153"/>
      <c r="CD2370" s="155"/>
      <c r="CE2370" s="156"/>
      <c r="CF2370" s="155"/>
      <c r="CG2370" s="156"/>
      <c r="CH2370" s="155"/>
      <c r="CI2370" s="156"/>
      <c r="CJ2370" s="157">
        <f t="shared" si="287"/>
        <v>0</v>
      </c>
      <c r="CK2370" s="158"/>
      <c r="CL2370" s="159"/>
      <c r="CM2370" s="160"/>
      <c r="CN2370" s="161"/>
      <c r="CO2370" s="162"/>
      <c r="CP2370" s="161"/>
      <c r="CQ2370" s="158"/>
      <c r="CR2370" s="159"/>
      <c r="CS2370" s="68"/>
      <c r="CT2370" s="163"/>
      <c r="EC2370" s="366" t="str">
        <f t="shared" si="292"/>
        <v>QUINDIO_ARMENIA</v>
      </c>
      <c r="ED2370" s="367"/>
      <c r="EE2370" s="367"/>
      <c r="EF2370" s="368"/>
      <c r="EG2370" s="367"/>
      <c r="EH2370" s="367"/>
      <c r="EI2370" s="367"/>
    </row>
    <row r="2371" spans="1:139" s="164" customFormat="1" ht="51">
      <c r="A2371" s="228">
        <v>40540</v>
      </c>
      <c r="B2371" s="205" t="s">
        <v>1088</v>
      </c>
      <c r="C2371" s="205" t="s">
        <v>1544</v>
      </c>
      <c r="D2371" s="207" t="s">
        <v>1316</v>
      </c>
      <c r="E2371" s="323" t="s">
        <v>4230</v>
      </c>
      <c r="F2371" s="323"/>
      <c r="G2371" s="204"/>
      <c r="H2371" s="151"/>
      <c r="I2371" s="151"/>
      <c r="J2371" s="151">
        <v>68</v>
      </c>
      <c r="K2371" s="151">
        <v>14</v>
      </c>
      <c r="L2371" s="1"/>
      <c r="M2371" s="73">
        <f t="shared" ref="M2371:M2398" si="293">CJ2371</f>
        <v>0</v>
      </c>
      <c r="N2371" s="73">
        <f t="shared" si="290"/>
        <v>0</v>
      </c>
      <c r="O2371" s="73">
        <f t="shared" si="291"/>
        <v>0</v>
      </c>
      <c r="P2371" s="73">
        <f t="shared" ref="P2371:P2398" si="294">CL2371</f>
        <v>0</v>
      </c>
      <c r="Q2371" s="73"/>
      <c r="R2371" s="73">
        <v>0</v>
      </c>
      <c r="S2371" s="75">
        <f t="shared" si="289"/>
        <v>0</v>
      </c>
      <c r="T2371" s="77">
        <v>0</v>
      </c>
      <c r="U2371" s="66">
        <v>40540</v>
      </c>
      <c r="V2371" s="79"/>
      <c r="W2371" s="66" t="s">
        <v>1585</v>
      </c>
      <c r="X2371" s="24" t="s">
        <v>1586</v>
      </c>
      <c r="Y2371" s="62"/>
      <c r="Z2371" s="169" t="s">
        <v>894</v>
      </c>
      <c r="AA2371" s="166" t="s">
        <v>463</v>
      </c>
      <c r="AB2371" s="152"/>
      <c r="AC2371" s="153"/>
      <c r="AD2371" s="154"/>
      <c r="AE2371" s="153"/>
      <c r="AF2371" s="153"/>
      <c r="AG2371" s="153"/>
      <c r="AH2371" s="153"/>
      <c r="AI2371" s="153"/>
      <c r="AJ2371" s="153"/>
      <c r="AK2371" s="153"/>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c r="BF2371" s="153"/>
      <c r="BG2371" s="153"/>
      <c r="BH2371" s="153"/>
      <c r="BI2371" s="153"/>
      <c r="BJ2371" s="153"/>
      <c r="BK2371" s="153"/>
      <c r="BL2371" s="153"/>
      <c r="BM2371" s="153"/>
      <c r="BN2371" s="153"/>
      <c r="BO2371" s="153"/>
      <c r="BP2371" s="153"/>
      <c r="BQ2371" s="153"/>
      <c r="BR2371" s="153"/>
      <c r="BS2371" s="153"/>
      <c r="BT2371" s="153"/>
      <c r="BU2371" s="153"/>
      <c r="BV2371" s="153"/>
      <c r="BW2371" s="153"/>
      <c r="BX2371" s="153"/>
      <c r="BY2371" s="153"/>
      <c r="BZ2371" s="153"/>
      <c r="CA2371" s="153"/>
      <c r="CB2371" s="153"/>
      <c r="CC2371" s="153"/>
      <c r="CD2371" s="155"/>
      <c r="CE2371" s="156"/>
      <c r="CF2371" s="155"/>
      <c r="CG2371" s="156"/>
      <c r="CH2371" s="155"/>
      <c r="CI2371" s="156"/>
      <c r="CJ2371" s="157">
        <f t="shared" ref="CJ2371:CJ2398" si="295">AC2371+AE2371+AG2371+AI2371+AK2371+AM2371+AO2371+AQ2371+AS2371+AU2371+AW2371+AY2371+BA2371+BC2371+BE2371+BG2371+BI2371+BK2371+BM2371+BO2371+BQ2371+BS2371+BU2371+BW2371+BY2371+CA2371+CC2371+CE2371+CG2371+CI2371</f>
        <v>0</v>
      </c>
      <c r="CK2371" s="158"/>
      <c r="CL2371" s="159"/>
      <c r="CM2371" s="160"/>
      <c r="CN2371" s="161"/>
      <c r="CO2371" s="162"/>
      <c r="CP2371" s="161"/>
      <c r="CQ2371" s="158"/>
      <c r="CR2371" s="159"/>
      <c r="CS2371" s="68"/>
      <c r="CT2371" s="163"/>
      <c r="EC2371" s="366" t="str">
        <f t="shared" si="292"/>
        <v>VALLE DEL CAUCA_BUENAVENTURA</v>
      </c>
      <c r="ED2371" s="367"/>
      <c r="EE2371" s="367"/>
      <c r="EF2371" s="368"/>
      <c r="EG2371" s="367"/>
      <c r="EH2371" s="367"/>
      <c r="EI2371" s="367"/>
    </row>
    <row r="2372" spans="1:139" s="164" customFormat="1" ht="25.5">
      <c r="A2372" s="228">
        <v>40542</v>
      </c>
      <c r="B2372" s="205" t="s">
        <v>1996</v>
      </c>
      <c r="C2372" s="205" t="s">
        <v>153</v>
      </c>
      <c r="D2372" s="207" t="s">
        <v>1201</v>
      </c>
      <c r="E2372" s="323" t="s">
        <v>3816</v>
      </c>
      <c r="F2372" s="323"/>
      <c r="G2372" s="204"/>
      <c r="H2372" s="151"/>
      <c r="I2372" s="151"/>
      <c r="J2372" s="151">
        <v>4086</v>
      </c>
      <c r="K2372" s="151">
        <v>681</v>
      </c>
      <c r="L2372" s="1"/>
      <c r="M2372" s="73">
        <f t="shared" si="293"/>
        <v>0</v>
      </c>
      <c r="N2372" s="73">
        <f t="shared" si="290"/>
        <v>0</v>
      </c>
      <c r="O2372" s="73">
        <f t="shared" si="291"/>
        <v>0</v>
      </c>
      <c r="P2372" s="73">
        <f t="shared" si="294"/>
        <v>0</v>
      </c>
      <c r="Q2372" s="73"/>
      <c r="R2372" s="73">
        <v>0</v>
      </c>
      <c r="S2372" s="75">
        <f t="shared" si="289"/>
        <v>0</v>
      </c>
      <c r="T2372" s="77">
        <v>0</v>
      </c>
      <c r="U2372" s="66">
        <v>40602</v>
      </c>
      <c r="V2372" s="79"/>
      <c r="W2372" s="66" t="s">
        <v>1585</v>
      </c>
      <c r="X2372" s="24" t="s">
        <v>1586</v>
      </c>
      <c r="Y2372" s="62"/>
      <c r="Z2372" s="169" t="s">
        <v>894</v>
      </c>
      <c r="AA2372" s="166" t="s">
        <v>154</v>
      </c>
      <c r="AB2372" s="152"/>
      <c r="AC2372" s="153"/>
      <c r="AD2372" s="154"/>
      <c r="AE2372" s="153"/>
      <c r="AF2372" s="153"/>
      <c r="AG2372" s="153"/>
      <c r="AH2372" s="153"/>
      <c r="AI2372" s="153"/>
      <c r="AJ2372" s="153"/>
      <c r="AK2372" s="153"/>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c r="BF2372" s="153"/>
      <c r="BG2372" s="153"/>
      <c r="BH2372" s="153"/>
      <c r="BI2372" s="153"/>
      <c r="BJ2372" s="153"/>
      <c r="BK2372" s="153"/>
      <c r="BL2372" s="153"/>
      <c r="BM2372" s="153"/>
      <c r="BN2372" s="153"/>
      <c r="BO2372" s="153"/>
      <c r="BP2372" s="153"/>
      <c r="BQ2372" s="153"/>
      <c r="BR2372" s="153"/>
      <c r="BS2372" s="153"/>
      <c r="BT2372" s="153"/>
      <c r="BU2372" s="153"/>
      <c r="BV2372" s="153"/>
      <c r="BW2372" s="153"/>
      <c r="BX2372" s="153"/>
      <c r="BY2372" s="153"/>
      <c r="BZ2372" s="153"/>
      <c r="CA2372" s="153"/>
      <c r="CB2372" s="153"/>
      <c r="CC2372" s="153"/>
      <c r="CD2372" s="155"/>
      <c r="CE2372" s="156"/>
      <c r="CF2372" s="155"/>
      <c r="CG2372" s="156"/>
      <c r="CH2372" s="155"/>
      <c r="CI2372" s="156"/>
      <c r="CJ2372" s="157">
        <f t="shared" si="295"/>
        <v>0</v>
      </c>
      <c r="CK2372" s="158"/>
      <c r="CL2372" s="159"/>
      <c r="CM2372" s="160"/>
      <c r="CN2372" s="161"/>
      <c r="CO2372" s="162"/>
      <c r="CP2372" s="161"/>
      <c r="CQ2372" s="158"/>
      <c r="CR2372" s="159"/>
      <c r="CS2372" s="68"/>
      <c r="CT2372" s="163"/>
      <c r="EC2372" s="366" t="str">
        <f t="shared" si="292"/>
        <v>CHOCO_RIO QUITO</v>
      </c>
      <c r="ED2372" s="367"/>
      <c r="EE2372" s="367"/>
      <c r="EF2372" s="368"/>
      <c r="EG2372" s="367"/>
      <c r="EH2372" s="367"/>
      <c r="EI2372" s="367"/>
    </row>
    <row r="2373" spans="1:139" s="164" customFormat="1" ht="25.5">
      <c r="A2373" s="228">
        <v>40543</v>
      </c>
      <c r="B2373" s="205" t="s">
        <v>1972</v>
      </c>
      <c r="C2373" s="205" t="s">
        <v>168</v>
      </c>
      <c r="D2373" s="207" t="s">
        <v>1201</v>
      </c>
      <c r="E2373" s="323" t="s">
        <v>3229</v>
      </c>
      <c r="F2373" s="323"/>
      <c r="G2373" s="204"/>
      <c r="H2373" s="151"/>
      <c r="I2373" s="151"/>
      <c r="J2373" s="151">
        <f>170*4</f>
        <v>680</v>
      </c>
      <c r="K2373" s="151">
        <v>170</v>
      </c>
      <c r="L2373" s="1"/>
      <c r="M2373" s="73">
        <f t="shared" si="293"/>
        <v>0</v>
      </c>
      <c r="N2373" s="73">
        <f t="shared" si="290"/>
        <v>0</v>
      </c>
      <c r="O2373" s="73">
        <f t="shared" si="291"/>
        <v>0</v>
      </c>
      <c r="P2373" s="73">
        <f t="shared" si="294"/>
        <v>0</v>
      </c>
      <c r="Q2373" s="73"/>
      <c r="R2373" s="73">
        <v>0</v>
      </c>
      <c r="S2373" s="75">
        <f t="shared" si="289"/>
        <v>0</v>
      </c>
      <c r="T2373" s="77">
        <v>0</v>
      </c>
      <c r="U2373" s="66">
        <v>40612</v>
      </c>
      <c r="V2373" s="79"/>
      <c r="W2373" s="66" t="s">
        <v>1585</v>
      </c>
      <c r="X2373" s="24" t="s">
        <v>1586</v>
      </c>
      <c r="Y2373" s="62"/>
      <c r="Z2373" s="169" t="s">
        <v>894</v>
      </c>
      <c r="AA2373" s="166" t="s">
        <v>155</v>
      </c>
      <c r="AB2373" s="152"/>
      <c r="AC2373" s="153"/>
      <c r="AD2373" s="154"/>
      <c r="AE2373" s="153"/>
      <c r="AF2373" s="153"/>
      <c r="AG2373" s="153"/>
      <c r="AH2373" s="153"/>
      <c r="AI2373" s="153"/>
      <c r="AJ2373" s="153"/>
      <c r="AK2373" s="153"/>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c r="BF2373" s="153"/>
      <c r="BG2373" s="153"/>
      <c r="BH2373" s="153"/>
      <c r="BI2373" s="153"/>
      <c r="BJ2373" s="153"/>
      <c r="BK2373" s="153"/>
      <c r="BL2373" s="153"/>
      <c r="BM2373" s="153"/>
      <c r="BN2373" s="153"/>
      <c r="BO2373" s="153"/>
      <c r="BP2373" s="153"/>
      <c r="BQ2373" s="153"/>
      <c r="BR2373" s="153"/>
      <c r="BS2373" s="153"/>
      <c r="BT2373" s="153"/>
      <c r="BU2373" s="153"/>
      <c r="BV2373" s="153"/>
      <c r="BW2373" s="153"/>
      <c r="BX2373" s="153"/>
      <c r="BY2373" s="153"/>
      <c r="BZ2373" s="153"/>
      <c r="CA2373" s="153"/>
      <c r="CB2373" s="153"/>
      <c r="CC2373" s="153"/>
      <c r="CD2373" s="155"/>
      <c r="CE2373" s="156"/>
      <c r="CF2373" s="155"/>
      <c r="CG2373" s="156"/>
      <c r="CH2373" s="155"/>
      <c r="CI2373" s="156"/>
      <c r="CJ2373" s="157">
        <f t="shared" si="295"/>
        <v>0</v>
      </c>
      <c r="CK2373" s="158"/>
      <c r="CL2373" s="159"/>
      <c r="CM2373" s="160"/>
      <c r="CN2373" s="161"/>
      <c r="CO2373" s="162"/>
      <c r="CP2373" s="161"/>
      <c r="CQ2373" s="158"/>
      <c r="CR2373" s="159"/>
      <c r="CS2373" s="68"/>
      <c r="CT2373" s="163">
        <v>1632</v>
      </c>
      <c r="EC2373" s="366" t="str">
        <f t="shared" si="292"/>
        <v>ANTIOQUIA_ABRIAQUI</v>
      </c>
      <c r="ED2373" s="367"/>
      <c r="EE2373" s="367"/>
      <c r="EF2373" s="368"/>
      <c r="EG2373" s="367"/>
      <c r="EH2373" s="367"/>
      <c r="EI2373" s="367"/>
    </row>
    <row r="2374" spans="1:139" s="164" customFormat="1" ht="38.25">
      <c r="A2374" s="228">
        <v>40543</v>
      </c>
      <c r="B2374" s="205" t="s">
        <v>1972</v>
      </c>
      <c r="C2374" s="205" t="s">
        <v>169</v>
      </c>
      <c r="D2374" s="207" t="s">
        <v>1201</v>
      </c>
      <c r="E2374" s="323" t="s">
        <v>3230</v>
      </c>
      <c r="F2374" s="323"/>
      <c r="G2374" s="204"/>
      <c r="H2374" s="151"/>
      <c r="I2374" s="151"/>
      <c r="J2374" s="151">
        <f>93*4</f>
        <v>372</v>
      </c>
      <c r="K2374" s="151">
        <v>93</v>
      </c>
      <c r="L2374" s="1"/>
      <c r="M2374" s="73">
        <f t="shared" si="293"/>
        <v>0</v>
      </c>
      <c r="N2374" s="73">
        <f t="shared" si="290"/>
        <v>0</v>
      </c>
      <c r="O2374" s="73">
        <f t="shared" si="291"/>
        <v>0</v>
      </c>
      <c r="P2374" s="73">
        <f t="shared" si="294"/>
        <v>0</v>
      </c>
      <c r="Q2374" s="73"/>
      <c r="R2374" s="73">
        <v>0</v>
      </c>
      <c r="S2374" s="75">
        <f t="shared" si="289"/>
        <v>0</v>
      </c>
      <c r="T2374" s="77">
        <v>0</v>
      </c>
      <c r="U2374" s="66">
        <v>40612</v>
      </c>
      <c r="V2374" s="79"/>
      <c r="W2374" s="66" t="s">
        <v>1585</v>
      </c>
      <c r="X2374" s="24" t="s">
        <v>1586</v>
      </c>
      <c r="Y2374" s="62"/>
      <c r="Z2374" s="169" t="s">
        <v>894</v>
      </c>
      <c r="AA2374" s="166" t="s">
        <v>155</v>
      </c>
      <c r="AB2374" s="152"/>
      <c r="AC2374" s="153"/>
      <c r="AD2374" s="154"/>
      <c r="AE2374" s="153"/>
      <c r="AF2374" s="153"/>
      <c r="AG2374" s="153"/>
      <c r="AH2374" s="153"/>
      <c r="AI2374" s="153"/>
      <c r="AJ2374" s="153"/>
      <c r="AK2374" s="153"/>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c r="BF2374" s="153"/>
      <c r="BG2374" s="153"/>
      <c r="BH2374" s="153"/>
      <c r="BI2374" s="153"/>
      <c r="BJ2374" s="153"/>
      <c r="BK2374" s="153"/>
      <c r="BL2374" s="153"/>
      <c r="BM2374" s="153"/>
      <c r="BN2374" s="153"/>
      <c r="BO2374" s="153"/>
      <c r="BP2374" s="153"/>
      <c r="BQ2374" s="153"/>
      <c r="BR2374" s="153"/>
      <c r="BS2374" s="153"/>
      <c r="BT2374" s="153"/>
      <c r="BU2374" s="153"/>
      <c r="BV2374" s="153"/>
      <c r="BW2374" s="153"/>
      <c r="BX2374" s="153"/>
      <c r="BY2374" s="153"/>
      <c r="BZ2374" s="153"/>
      <c r="CA2374" s="153"/>
      <c r="CB2374" s="153"/>
      <c r="CC2374" s="153"/>
      <c r="CD2374" s="155"/>
      <c r="CE2374" s="156"/>
      <c r="CF2374" s="155"/>
      <c r="CG2374" s="156"/>
      <c r="CH2374" s="155"/>
      <c r="CI2374" s="156"/>
      <c r="CJ2374" s="157">
        <f t="shared" si="295"/>
        <v>0</v>
      </c>
      <c r="CK2374" s="158"/>
      <c r="CL2374" s="159"/>
      <c r="CM2374" s="160"/>
      <c r="CN2374" s="161"/>
      <c r="CO2374" s="162"/>
      <c r="CP2374" s="161"/>
      <c r="CQ2374" s="158"/>
      <c r="CR2374" s="159"/>
      <c r="CS2374" s="68"/>
      <c r="CT2374" s="163"/>
      <c r="EC2374" s="366" t="str">
        <f t="shared" si="292"/>
        <v>ANTIOQUIA_ALEJANDRIA</v>
      </c>
      <c r="ED2374" s="367"/>
      <c r="EE2374" s="367"/>
      <c r="EF2374" s="368"/>
      <c r="EG2374" s="367"/>
      <c r="EH2374" s="367"/>
      <c r="EI2374" s="367"/>
    </row>
    <row r="2375" spans="1:139" s="164" customFormat="1" ht="25.5">
      <c r="A2375" s="228">
        <v>40543</v>
      </c>
      <c r="B2375" s="205" t="s">
        <v>1972</v>
      </c>
      <c r="C2375" s="205" t="s">
        <v>170</v>
      </c>
      <c r="D2375" s="207" t="s">
        <v>1201</v>
      </c>
      <c r="E2375" s="323" t="s">
        <v>3250</v>
      </c>
      <c r="F2375" s="323"/>
      <c r="G2375" s="204"/>
      <c r="H2375" s="151"/>
      <c r="I2375" s="151"/>
      <c r="J2375" s="151">
        <v>87</v>
      </c>
      <c r="K2375" s="151">
        <v>17</v>
      </c>
      <c r="L2375" s="1"/>
      <c r="M2375" s="73">
        <f t="shared" si="293"/>
        <v>0</v>
      </c>
      <c r="N2375" s="73">
        <f t="shared" si="290"/>
        <v>0</v>
      </c>
      <c r="O2375" s="73">
        <f t="shared" si="291"/>
        <v>0</v>
      </c>
      <c r="P2375" s="73">
        <f t="shared" si="294"/>
        <v>0</v>
      </c>
      <c r="Q2375" s="73"/>
      <c r="R2375" s="73">
        <v>0</v>
      </c>
      <c r="S2375" s="75">
        <f t="shared" si="289"/>
        <v>0</v>
      </c>
      <c r="T2375" s="77">
        <v>0</v>
      </c>
      <c r="U2375" s="66">
        <v>40612</v>
      </c>
      <c r="V2375" s="79"/>
      <c r="W2375" s="66" t="s">
        <v>1585</v>
      </c>
      <c r="X2375" s="24" t="s">
        <v>1586</v>
      </c>
      <c r="Y2375" s="62"/>
      <c r="Z2375" s="169" t="s">
        <v>894</v>
      </c>
      <c r="AA2375" s="166" t="s">
        <v>155</v>
      </c>
      <c r="AB2375" s="152"/>
      <c r="AC2375" s="153"/>
      <c r="AD2375" s="154"/>
      <c r="AE2375" s="153"/>
      <c r="AF2375" s="153"/>
      <c r="AG2375" s="153"/>
      <c r="AH2375" s="153"/>
      <c r="AI2375" s="153"/>
      <c r="AJ2375" s="153"/>
      <c r="AK2375" s="153"/>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c r="BF2375" s="153"/>
      <c r="BG2375" s="153"/>
      <c r="BH2375" s="153"/>
      <c r="BI2375" s="153"/>
      <c r="BJ2375" s="153"/>
      <c r="BK2375" s="153"/>
      <c r="BL2375" s="153"/>
      <c r="BM2375" s="153"/>
      <c r="BN2375" s="153"/>
      <c r="BO2375" s="153"/>
      <c r="BP2375" s="153"/>
      <c r="BQ2375" s="153"/>
      <c r="BR2375" s="153"/>
      <c r="BS2375" s="153"/>
      <c r="BT2375" s="153"/>
      <c r="BU2375" s="153"/>
      <c r="BV2375" s="153"/>
      <c r="BW2375" s="153"/>
      <c r="BX2375" s="153"/>
      <c r="BY2375" s="153"/>
      <c r="BZ2375" s="153"/>
      <c r="CA2375" s="153"/>
      <c r="CB2375" s="153"/>
      <c r="CC2375" s="153"/>
      <c r="CD2375" s="155"/>
      <c r="CE2375" s="156"/>
      <c r="CF2375" s="155"/>
      <c r="CG2375" s="156"/>
      <c r="CH2375" s="155"/>
      <c r="CI2375" s="156"/>
      <c r="CJ2375" s="157">
        <f t="shared" si="295"/>
        <v>0</v>
      </c>
      <c r="CK2375" s="158"/>
      <c r="CL2375" s="159"/>
      <c r="CM2375" s="160"/>
      <c r="CN2375" s="161"/>
      <c r="CO2375" s="162"/>
      <c r="CP2375" s="161"/>
      <c r="CQ2375" s="158"/>
      <c r="CR2375" s="159"/>
      <c r="CS2375" s="68"/>
      <c r="CT2375" s="163"/>
      <c r="EC2375" s="366" t="str">
        <f t="shared" si="292"/>
        <v>ANTIOQUIA_BURITICA</v>
      </c>
      <c r="ED2375" s="367"/>
      <c r="EE2375" s="367"/>
      <c r="EF2375" s="368"/>
      <c r="EG2375" s="367"/>
      <c r="EH2375" s="367"/>
      <c r="EI2375" s="367"/>
    </row>
    <row r="2376" spans="1:139" s="164" customFormat="1" ht="38.25">
      <c r="A2376" s="228">
        <v>40543</v>
      </c>
      <c r="B2376" s="205" t="s">
        <v>1972</v>
      </c>
      <c r="C2376" s="205" t="s">
        <v>171</v>
      </c>
      <c r="D2376" s="207" t="s">
        <v>1201</v>
      </c>
      <c r="E2376" s="323" t="s">
        <v>3254</v>
      </c>
      <c r="F2376" s="323"/>
      <c r="G2376" s="204"/>
      <c r="H2376" s="151"/>
      <c r="I2376" s="151"/>
      <c r="J2376" s="151">
        <v>1499</v>
      </c>
      <c r="K2376" s="151">
        <v>324</v>
      </c>
      <c r="L2376" s="1"/>
      <c r="M2376" s="73">
        <f t="shared" si="293"/>
        <v>0</v>
      </c>
      <c r="N2376" s="73">
        <f t="shared" si="290"/>
        <v>0</v>
      </c>
      <c r="O2376" s="73">
        <f t="shared" si="291"/>
        <v>0</v>
      </c>
      <c r="P2376" s="73">
        <f t="shared" si="294"/>
        <v>0</v>
      </c>
      <c r="Q2376" s="73"/>
      <c r="R2376" s="73">
        <v>0</v>
      </c>
      <c r="S2376" s="75">
        <f t="shared" si="289"/>
        <v>0</v>
      </c>
      <c r="T2376" s="77">
        <v>0</v>
      </c>
      <c r="U2376" s="66">
        <v>40612</v>
      </c>
      <c r="V2376" s="79"/>
      <c r="W2376" s="66" t="s">
        <v>1585</v>
      </c>
      <c r="X2376" s="24" t="s">
        <v>1586</v>
      </c>
      <c r="Y2376" s="62"/>
      <c r="Z2376" s="169" t="s">
        <v>894</v>
      </c>
      <c r="AA2376" s="166" t="s">
        <v>155</v>
      </c>
      <c r="AB2376" s="152"/>
      <c r="AC2376" s="153"/>
      <c r="AD2376" s="154"/>
      <c r="AE2376" s="153"/>
      <c r="AF2376" s="153"/>
      <c r="AG2376" s="153"/>
      <c r="AH2376" s="153"/>
      <c r="AI2376" s="153"/>
      <c r="AJ2376" s="153"/>
      <c r="AK2376" s="153"/>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c r="BF2376" s="153"/>
      <c r="BG2376" s="153"/>
      <c r="BH2376" s="153"/>
      <c r="BI2376" s="153"/>
      <c r="BJ2376" s="153"/>
      <c r="BK2376" s="153"/>
      <c r="BL2376" s="153"/>
      <c r="BM2376" s="153"/>
      <c r="BN2376" s="153"/>
      <c r="BO2376" s="153"/>
      <c r="BP2376" s="153"/>
      <c r="BQ2376" s="153"/>
      <c r="BR2376" s="153"/>
      <c r="BS2376" s="153"/>
      <c r="BT2376" s="153"/>
      <c r="BU2376" s="153"/>
      <c r="BV2376" s="153"/>
      <c r="BW2376" s="153"/>
      <c r="BX2376" s="153"/>
      <c r="BY2376" s="153"/>
      <c r="BZ2376" s="153"/>
      <c r="CA2376" s="153"/>
      <c r="CB2376" s="153"/>
      <c r="CC2376" s="153"/>
      <c r="CD2376" s="155"/>
      <c r="CE2376" s="156"/>
      <c r="CF2376" s="155"/>
      <c r="CG2376" s="156"/>
      <c r="CH2376" s="155"/>
      <c r="CI2376" s="156"/>
      <c r="CJ2376" s="157">
        <f t="shared" si="295"/>
        <v>0</v>
      </c>
      <c r="CK2376" s="158"/>
      <c r="CL2376" s="159"/>
      <c r="CM2376" s="160"/>
      <c r="CN2376" s="161"/>
      <c r="CO2376" s="162"/>
      <c r="CP2376" s="161"/>
      <c r="CQ2376" s="158"/>
      <c r="CR2376" s="159"/>
      <c r="CS2376" s="68"/>
      <c r="CT2376" s="163"/>
      <c r="EC2376" s="366" t="str">
        <f t="shared" si="292"/>
        <v>ANTIOQUIA_CAMPAMENTO</v>
      </c>
      <c r="ED2376" s="367"/>
      <c r="EE2376" s="367"/>
      <c r="EF2376" s="368"/>
      <c r="EG2376" s="367"/>
      <c r="EH2376" s="367"/>
      <c r="EI2376" s="367"/>
    </row>
    <row r="2377" spans="1:139" s="164" customFormat="1" ht="51">
      <c r="A2377" s="228">
        <v>40543</v>
      </c>
      <c r="B2377" s="205" t="s">
        <v>1972</v>
      </c>
      <c r="C2377" s="205" t="s">
        <v>172</v>
      </c>
      <c r="D2377" s="207" t="s">
        <v>1201</v>
      </c>
      <c r="E2377" s="323" t="s">
        <v>3323</v>
      </c>
      <c r="F2377" s="323"/>
      <c r="G2377" s="204"/>
      <c r="H2377" s="151"/>
      <c r="I2377" s="151"/>
      <c r="J2377" s="151">
        <v>932</v>
      </c>
      <c r="K2377" s="151">
        <v>256</v>
      </c>
      <c r="L2377" s="1"/>
      <c r="M2377" s="73">
        <f t="shared" si="293"/>
        <v>0</v>
      </c>
      <c r="N2377" s="73">
        <f t="shared" si="290"/>
        <v>0</v>
      </c>
      <c r="O2377" s="73">
        <f t="shared" si="291"/>
        <v>0</v>
      </c>
      <c r="P2377" s="73">
        <f t="shared" si="294"/>
        <v>0</v>
      </c>
      <c r="Q2377" s="73"/>
      <c r="R2377" s="73">
        <v>0</v>
      </c>
      <c r="S2377" s="75">
        <f t="shared" ref="S2377:S2398" si="296">M2377+N2377+O2377+P2377+Q2377+R2377</f>
        <v>0</v>
      </c>
      <c r="T2377" s="77">
        <v>0</v>
      </c>
      <c r="U2377" s="66">
        <v>40612</v>
      </c>
      <c r="V2377" s="79"/>
      <c r="W2377" s="66" t="s">
        <v>1585</v>
      </c>
      <c r="X2377" s="24" t="s">
        <v>1586</v>
      </c>
      <c r="Y2377" s="62"/>
      <c r="Z2377" s="169" t="s">
        <v>894</v>
      </c>
      <c r="AA2377" s="166" t="s">
        <v>155</v>
      </c>
      <c r="AB2377" s="152"/>
      <c r="AC2377" s="153"/>
      <c r="AD2377" s="154"/>
      <c r="AE2377" s="153"/>
      <c r="AF2377" s="153"/>
      <c r="AG2377" s="153"/>
      <c r="AH2377" s="153"/>
      <c r="AI2377" s="153"/>
      <c r="AJ2377" s="153"/>
      <c r="AK2377" s="153"/>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c r="BF2377" s="153"/>
      <c r="BG2377" s="153"/>
      <c r="BH2377" s="153"/>
      <c r="BI2377" s="153"/>
      <c r="BJ2377" s="153"/>
      <c r="BK2377" s="153"/>
      <c r="BL2377" s="153"/>
      <c r="BM2377" s="153"/>
      <c r="BN2377" s="153"/>
      <c r="BO2377" s="153"/>
      <c r="BP2377" s="153"/>
      <c r="BQ2377" s="153"/>
      <c r="BR2377" s="153"/>
      <c r="BS2377" s="153"/>
      <c r="BT2377" s="153"/>
      <c r="BU2377" s="153"/>
      <c r="BV2377" s="153"/>
      <c r="BW2377" s="153"/>
      <c r="BX2377" s="153"/>
      <c r="BY2377" s="153"/>
      <c r="BZ2377" s="153"/>
      <c r="CA2377" s="153"/>
      <c r="CB2377" s="153"/>
      <c r="CC2377" s="153"/>
      <c r="CD2377" s="155"/>
      <c r="CE2377" s="156"/>
      <c r="CF2377" s="155"/>
      <c r="CG2377" s="156"/>
      <c r="CH2377" s="155"/>
      <c r="CI2377" s="156"/>
      <c r="CJ2377" s="157">
        <f t="shared" si="295"/>
        <v>0</v>
      </c>
      <c r="CK2377" s="158"/>
      <c r="CL2377" s="159"/>
      <c r="CM2377" s="160"/>
      <c r="CN2377" s="161"/>
      <c r="CO2377" s="162"/>
      <c r="CP2377" s="161"/>
      <c r="CQ2377" s="158"/>
      <c r="CR2377" s="159"/>
      <c r="CS2377" s="68"/>
      <c r="CT2377" s="163"/>
      <c r="EC2377" s="366" t="str">
        <f t="shared" si="292"/>
        <v>ANTIOQUIA_SAN PEDRO DE URABA</v>
      </c>
      <c r="ED2377" s="367"/>
      <c r="EE2377" s="367"/>
      <c r="EF2377" s="368"/>
      <c r="EG2377" s="367"/>
      <c r="EH2377" s="367"/>
      <c r="EI2377" s="367"/>
    </row>
    <row r="2378" spans="1:139" s="164" customFormat="1" ht="25.5">
      <c r="A2378" s="228">
        <v>40543</v>
      </c>
      <c r="B2378" s="205" t="s">
        <v>1192</v>
      </c>
      <c r="C2378" s="205" t="s">
        <v>178</v>
      </c>
      <c r="D2378" s="207" t="s">
        <v>1878</v>
      </c>
      <c r="E2378" s="323" t="s">
        <v>3453</v>
      </c>
      <c r="F2378" s="323"/>
      <c r="G2378" s="204"/>
      <c r="H2378" s="151"/>
      <c r="I2378" s="151"/>
      <c r="J2378" s="151">
        <v>40</v>
      </c>
      <c r="K2378" s="151">
        <v>8</v>
      </c>
      <c r="L2378" s="1"/>
      <c r="M2378" s="73">
        <f t="shared" si="293"/>
        <v>0</v>
      </c>
      <c r="N2378" s="73">
        <f t="shared" si="290"/>
        <v>0</v>
      </c>
      <c r="O2378" s="73">
        <f t="shared" si="291"/>
        <v>0</v>
      </c>
      <c r="P2378" s="73">
        <f t="shared" si="294"/>
        <v>0</v>
      </c>
      <c r="Q2378" s="73"/>
      <c r="R2378" s="73">
        <v>0</v>
      </c>
      <c r="S2378" s="75">
        <f t="shared" si="296"/>
        <v>0</v>
      </c>
      <c r="T2378" s="77">
        <v>0</v>
      </c>
      <c r="U2378" s="66">
        <v>40612</v>
      </c>
      <c r="V2378" s="79"/>
      <c r="W2378" s="66" t="s">
        <v>1585</v>
      </c>
      <c r="X2378" s="24" t="s">
        <v>1586</v>
      </c>
      <c r="Y2378" s="62"/>
      <c r="Z2378" s="169" t="s">
        <v>894</v>
      </c>
      <c r="AA2378" s="166" t="s">
        <v>155</v>
      </c>
      <c r="AB2378" s="152"/>
      <c r="AC2378" s="153"/>
      <c r="AD2378" s="154"/>
      <c r="AE2378" s="153"/>
      <c r="AF2378" s="153"/>
      <c r="AG2378" s="153"/>
      <c r="AH2378" s="153"/>
      <c r="AI2378" s="153"/>
      <c r="AJ2378" s="153"/>
      <c r="AK2378" s="153"/>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c r="BF2378" s="153"/>
      <c r="BG2378" s="153"/>
      <c r="BH2378" s="153"/>
      <c r="BI2378" s="153"/>
      <c r="BJ2378" s="153"/>
      <c r="BK2378" s="153"/>
      <c r="BL2378" s="153"/>
      <c r="BM2378" s="153"/>
      <c r="BN2378" s="153"/>
      <c r="BO2378" s="153"/>
      <c r="BP2378" s="153"/>
      <c r="BQ2378" s="153"/>
      <c r="BR2378" s="153"/>
      <c r="BS2378" s="153"/>
      <c r="BT2378" s="153"/>
      <c r="BU2378" s="153"/>
      <c r="BV2378" s="153"/>
      <c r="BW2378" s="153"/>
      <c r="BX2378" s="153"/>
      <c r="BY2378" s="153"/>
      <c r="BZ2378" s="153"/>
      <c r="CA2378" s="153"/>
      <c r="CB2378" s="153"/>
      <c r="CC2378" s="153"/>
      <c r="CD2378" s="155"/>
      <c r="CE2378" s="156"/>
      <c r="CF2378" s="155"/>
      <c r="CG2378" s="156"/>
      <c r="CH2378" s="155"/>
      <c r="CI2378" s="156"/>
      <c r="CJ2378" s="157">
        <f t="shared" si="295"/>
        <v>0</v>
      </c>
      <c r="CK2378" s="158"/>
      <c r="CL2378" s="159"/>
      <c r="CM2378" s="160"/>
      <c r="CN2378" s="161"/>
      <c r="CO2378" s="162"/>
      <c r="CP2378" s="161"/>
      <c r="CQ2378" s="158"/>
      <c r="CR2378" s="159"/>
      <c r="CS2378" s="68"/>
      <c r="CT2378" s="163"/>
      <c r="EC2378" s="366" t="str">
        <f t="shared" si="292"/>
        <v>BOYACA_EL COCUY</v>
      </c>
      <c r="ED2378" s="367"/>
      <c r="EE2378" s="367"/>
      <c r="EF2378" s="368"/>
      <c r="EG2378" s="367"/>
      <c r="EH2378" s="367"/>
      <c r="EI2378" s="367"/>
    </row>
    <row r="2379" spans="1:139" s="164" customFormat="1" ht="25.5">
      <c r="A2379" s="228">
        <v>40543</v>
      </c>
      <c r="B2379" s="205" t="s">
        <v>1192</v>
      </c>
      <c r="C2379" s="205" t="s">
        <v>180</v>
      </c>
      <c r="D2379" s="207" t="s">
        <v>1201</v>
      </c>
      <c r="E2379" s="323" t="s">
        <v>3498</v>
      </c>
      <c r="F2379" s="323"/>
      <c r="G2379" s="204"/>
      <c r="H2379" s="151"/>
      <c r="I2379" s="151"/>
      <c r="J2379" s="151">
        <f>135*5</f>
        <v>675</v>
      </c>
      <c r="K2379" s="151">
        <v>135</v>
      </c>
      <c r="L2379" s="1"/>
      <c r="M2379" s="73">
        <f t="shared" si="293"/>
        <v>0</v>
      </c>
      <c r="N2379" s="73">
        <f t="shared" si="290"/>
        <v>0</v>
      </c>
      <c r="O2379" s="73">
        <f t="shared" si="291"/>
        <v>0</v>
      </c>
      <c r="P2379" s="73">
        <f t="shared" si="294"/>
        <v>0</v>
      </c>
      <c r="Q2379" s="73"/>
      <c r="R2379" s="73">
        <v>0</v>
      </c>
      <c r="S2379" s="75">
        <f t="shared" si="296"/>
        <v>0</v>
      </c>
      <c r="T2379" s="77">
        <v>0</v>
      </c>
      <c r="U2379" s="66">
        <v>40612</v>
      </c>
      <c r="V2379" s="79"/>
      <c r="W2379" s="66" t="s">
        <v>1585</v>
      </c>
      <c r="X2379" s="24" t="s">
        <v>1586</v>
      </c>
      <c r="Y2379" s="62"/>
      <c r="Z2379" s="169" t="s">
        <v>894</v>
      </c>
      <c r="AA2379" s="166" t="s">
        <v>155</v>
      </c>
      <c r="AB2379" s="152"/>
      <c r="AC2379" s="153"/>
      <c r="AD2379" s="154"/>
      <c r="AE2379" s="153"/>
      <c r="AF2379" s="153"/>
      <c r="AG2379" s="153"/>
      <c r="AH2379" s="153"/>
      <c r="AI2379" s="153"/>
      <c r="AJ2379" s="153"/>
      <c r="AK2379" s="153"/>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c r="BF2379" s="153"/>
      <c r="BG2379" s="153"/>
      <c r="BH2379" s="153"/>
      <c r="BI2379" s="153"/>
      <c r="BJ2379" s="153"/>
      <c r="BK2379" s="153"/>
      <c r="BL2379" s="153"/>
      <c r="BM2379" s="153"/>
      <c r="BN2379" s="153"/>
      <c r="BO2379" s="153"/>
      <c r="BP2379" s="153"/>
      <c r="BQ2379" s="153"/>
      <c r="BR2379" s="153"/>
      <c r="BS2379" s="153"/>
      <c r="BT2379" s="153"/>
      <c r="BU2379" s="153"/>
      <c r="BV2379" s="153"/>
      <c r="BW2379" s="153"/>
      <c r="BX2379" s="153"/>
      <c r="BY2379" s="153"/>
      <c r="BZ2379" s="153"/>
      <c r="CA2379" s="153"/>
      <c r="CB2379" s="153"/>
      <c r="CC2379" s="153"/>
      <c r="CD2379" s="155"/>
      <c r="CE2379" s="156"/>
      <c r="CF2379" s="155"/>
      <c r="CG2379" s="156"/>
      <c r="CH2379" s="155"/>
      <c r="CI2379" s="156"/>
      <c r="CJ2379" s="157">
        <f t="shared" si="295"/>
        <v>0</v>
      </c>
      <c r="CK2379" s="158"/>
      <c r="CL2379" s="159"/>
      <c r="CM2379" s="160"/>
      <c r="CN2379" s="161"/>
      <c r="CO2379" s="162"/>
      <c r="CP2379" s="161"/>
      <c r="CQ2379" s="158"/>
      <c r="CR2379" s="159"/>
      <c r="CS2379" s="68"/>
      <c r="CT2379" s="163"/>
      <c r="EC2379" s="366" t="str">
        <f t="shared" si="292"/>
        <v>BOYACA_RONDON</v>
      </c>
      <c r="ED2379" s="367"/>
      <c r="EE2379" s="367"/>
      <c r="EF2379" s="368"/>
      <c r="EG2379" s="367"/>
      <c r="EH2379" s="367"/>
      <c r="EI2379" s="367"/>
    </row>
    <row r="2380" spans="1:139" s="164" customFormat="1" ht="25.5">
      <c r="A2380" s="228">
        <v>40543</v>
      </c>
      <c r="B2380" s="205" t="s">
        <v>1192</v>
      </c>
      <c r="C2380" s="205" t="s">
        <v>1189</v>
      </c>
      <c r="D2380" s="207" t="s">
        <v>1201</v>
      </c>
      <c r="E2380" s="323" t="s">
        <v>3505</v>
      </c>
      <c r="F2380" s="323"/>
      <c r="G2380" s="204"/>
      <c r="H2380" s="151"/>
      <c r="I2380" s="151"/>
      <c r="J2380" s="151">
        <f>33*5</f>
        <v>165</v>
      </c>
      <c r="K2380" s="151">
        <v>33</v>
      </c>
      <c r="L2380" s="1"/>
      <c r="M2380" s="73">
        <f t="shared" si="293"/>
        <v>0</v>
      </c>
      <c r="N2380" s="73">
        <f t="shared" si="290"/>
        <v>0</v>
      </c>
      <c r="O2380" s="73">
        <f t="shared" si="291"/>
        <v>0</v>
      </c>
      <c r="P2380" s="73">
        <f t="shared" si="294"/>
        <v>0</v>
      </c>
      <c r="Q2380" s="73"/>
      <c r="R2380" s="73">
        <v>0</v>
      </c>
      <c r="S2380" s="75">
        <f t="shared" si="296"/>
        <v>0</v>
      </c>
      <c r="T2380" s="77">
        <v>0</v>
      </c>
      <c r="U2380" s="66">
        <v>40612</v>
      </c>
      <c r="V2380" s="79"/>
      <c r="W2380" s="66" t="s">
        <v>1585</v>
      </c>
      <c r="X2380" s="24" t="s">
        <v>1586</v>
      </c>
      <c r="Y2380" s="62"/>
      <c r="Z2380" s="169" t="s">
        <v>894</v>
      </c>
      <c r="AA2380" s="166" t="s">
        <v>155</v>
      </c>
      <c r="AB2380" s="152"/>
      <c r="AC2380" s="153"/>
      <c r="AD2380" s="154"/>
      <c r="AE2380" s="153"/>
      <c r="AF2380" s="153"/>
      <c r="AG2380" s="153"/>
      <c r="AH2380" s="153"/>
      <c r="AI2380" s="153"/>
      <c r="AJ2380" s="153"/>
      <c r="AK2380" s="153"/>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c r="BF2380" s="153"/>
      <c r="BG2380" s="153"/>
      <c r="BH2380" s="153"/>
      <c r="BI2380" s="153"/>
      <c r="BJ2380" s="153"/>
      <c r="BK2380" s="153"/>
      <c r="BL2380" s="153"/>
      <c r="BM2380" s="153"/>
      <c r="BN2380" s="153"/>
      <c r="BO2380" s="153"/>
      <c r="BP2380" s="153"/>
      <c r="BQ2380" s="153"/>
      <c r="BR2380" s="153"/>
      <c r="BS2380" s="153"/>
      <c r="BT2380" s="153"/>
      <c r="BU2380" s="153"/>
      <c r="BV2380" s="153"/>
      <c r="BW2380" s="153"/>
      <c r="BX2380" s="153"/>
      <c r="BY2380" s="153"/>
      <c r="BZ2380" s="153"/>
      <c r="CA2380" s="153"/>
      <c r="CB2380" s="153"/>
      <c r="CC2380" s="153"/>
      <c r="CD2380" s="155"/>
      <c r="CE2380" s="156"/>
      <c r="CF2380" s="155"/>
      <c r="CG2380" s="156"/>
      <c r="CH2380" s="155"/>
      <c r="CI2380" s="156"/>
      <c r="CJ2380" s="157">
        <f t="shared" si="295"/>
        <v>0</v>
      </c>
      <c r="CK2380" s="158"/>
      <c r="CL2380" s="159"/>
      <c r="CM2380" s="160"/>
      <c r="CN2380" s="161"/>
      <c r="CO2380" s="162"/>
      <c r="CP2380" s="161"/>
      <c r="CQ2380" s="158"/>
      <c r="CR2380" s="159"/>
      <c r="CS2380" s="68"/>
      <c r="CT2380" s="163"/>
      <c r="EC2380" s="366" t="str">
        <f t="shared" si="292"/>
        <v>BOYACA_SAN MATEO</v>
      </c>
      <c r="ED2380" s="367"/>
      <c r="EE2380" s="367"/>
      <c r="EF2380" s="368"/>
      <c r="EG2380" s="367"/>
      <c r="EH2380" s="367"/>
      <c r="EI2380" s="367"/>
    </row>
    <row r="2381" spans="1:139" s="164" customFormat="1" ht="38.25">
      <c r="A2381" s="228">
        <v>40543</v>
      </c>
      <c r="B2381" s="205" t="s">
        <v>653</v>
      </c>
      <c r="C2381" s="205" t="s">
        <v>163</v>
      </c>
      <c r="D2381" s="207" t="s">
        <v>1201</v>
      </c>
      <c r="E2381" s="323" t="s">
        <v>3547</v>
      </c>
      <c r="F2381" s="323"/>
      <c r="G2381" s="204"/>
      <c r="H2381" s="151"/>
      <c r="I2381" s="151"/>
      <c r="J2381" s="151">
        <f>253*5</f>
        <v>1265</v>
      </c>
      <c r="K2381" s="151">
        <v>253</v>
      </c>
      <c r="L2381" s="1"/>
      <c r="M2381" s="73">
        <f t="shared" si="293"/>
        <v>0</v>
      </c>
      <c r="N2381" s="73">
        <f t="shared" si="290"/>
        <v>0</v>
      </c>
      <c r="O2381" s="73">
        <f t="shared" si="291"/>
        <v>0</v>
      </c>
      <c r="P2381" s="73">
        <f t="shared" si="294"/>
        <v>0</v>
      </c>
      <c r="Q2381" s="73"/>
      <c r="R2381" s="73">
        <v>0</v>
      </c>
      <c r="S2381" s="75">
        <f t="shared" si="296"/>
        <v>0</v>
      </c>
      <c r="T2381" s="77">
        <v>0</v>
      </c>
      <c r="U2381" s="66"/>
      <c r="V2381" s="79"/>
      <c r="W2381" s="66" t="s">
        <v>1585</v>
      </c>
      <c r="X2381" s="24" t="s">
        <v>1586</v>
      </c>
      <c r="Y2381" s="62"/>
      <c r="Z2381" s="169" t="s">
        <v>894</v>
      </c>
      <c r="AA2381" s="166" t="s">
        <v>155</v>
      </c>
      <c r="AB2381" s="152"/>
      <c r="AC2381" s="153"/>
      <c r="AD2381" s="154"/>
      <c r="AE2381" s="153"/>
      <c r="AF2381" s="153"/>
      <c r="AG2381" s="153"/>
      <c r="AH2381" s="153"/>
      <c r="AI2381" s="153"/>
      <c r="AJ2381" s="153"/>
      <c r="AK2381" s="153"/>
      <c r="AL2381" s="153"/>
      <c r="AM2381" s="153"/>
      <c r="AN2381" s="153"/>
      <c r="AO2381" s="153"/>
      <c r="AP2381" s="153"/>
      <c r="AQ2381" s="153"/>
      <c r="AR2381" s="153"/>
      <c r="AS2381" s="153"/>
      <c r="AT2381" s="153"/>
      <c r="AU2381" s="153"/>
      <c r="AV2381" s="153"/>
      <c r="AW2381" s="153"/>
      <c r="AX2381" s="153"/>
      <c r="AY2381" s="153"/>
      <c r="AZ2381" s="153"/>
      <c r="BA2381" s="153"/>
      <c r="BB2381" s="153"/>
      <c r="BC2381" s="153"/>
      <c r="BD2381" s="153"/>
      <c r="BE2381" s="153"/>
      <c r="BF2381" s="153"/>
      <c r="BG2381" s="153"/>
      <c r="BH2381" s="153"/>
      <c r="BI2381" s="153"/>
      <c r="BJ2381" s="153"/>
      <c r="BK2381" s="153"/>
      <c r="BL2381" s="153"/>
      <c r="BM2381" s="153"/>
      <c r="BN2381" s="153"/>
      <c r="BO2381" s="153"/>
      <c r="BP2381" s="153"/>
      <c r="BQ2381" s="153"/>
      <c r="BR2381" s="153"/>
      <c r="BS2381" s="153"/>
      <c r="BT2381" s="153"/>
      <c r="BU2381" s="153"/>
      <c r="BV2381" s="153"/>
      <c r="BW2381" s="153"/>
      <c r="BX2381" s="153"/>
      <c r="BY2381" s="153"/>
      <c r="BZ2381" s="153"/>
      <c r="CA2381" s="153"/>
      <c r="CB2381" s="153"/>
      <c r="CC2381" s="153"/>
      <c r="CD2381" s="155"/>
      <c r="CE2381" s="156"/>
      <c r="CF2381" s="155"/>
      <c r="CG2381" s="156"/>
      <c r="CH2381" s="155"/>
      <c r="CI2381" s="156"/>
      <c r="CJ2381" s="157">
        <f t="shared" si="295"/>
        <v>0</v>
      </c>
      <c r="CK2381" s="158"/>
      <c r="CL2381" s="159"/>
      <c r="CM2381" s="160"/>
      <c r="CN2381" s="161"/>
      <c r="CO2381" s="162"/>
      <c r="CP2381" s="161"/>
      <c r="CQ2381" s="158"/>
      <c r="CR2381" s="159"/>
      <c r="CS2381" s="68"/>
      <c r="CT2381" s="163"/>
      <c r="EC2381" s="366" t="str">
        <f t="shared" si="292"/>
        <v>CALDAS_BELALCAZAR</v>
      </c>
      <c r="ED2381" s="367"/>
      <c r="EE2381" s="367"/>
      <c r="EF2381" s="368"/>
      <c r="EG2381" s="367"/>
      <c r="EH2381" s="367"/>
      <c r="EI2381" s="367"/>
    </row>
    <row r="2382" spans="1:139" s="164" customFormat="1" ht="25.5">
      <c r="A2382" s="228">
        <v>40543</v>
      </c>
      <c r="B2382" s="205" t="s">
        <v>653</v>
      </c>
      <c r="C2382" s="205" t="s">
        <v>164</v>
      </c>
      <c r="D2382" s="207" t="s">
        <v>1201</v>
      </c>
      <c r="E2382" s="323" t="s">
        <v>3549</v>
      </c>
      <c r="F2382" s="323"/>
      <c r="G2382" s="204"/>
      <c r="H2382" s="151"/>
      <c r="I2382" s="151"/>
      <c r="J2382" s="151">
        <f>87*5</f>
        <v>435</v>
      </c>
      <c r="K2382" s="151">
        <v>87</v>
      </c>
      <c r="L2382" s="1"/>
      <c r="M2382" s="73">
        <f t="shared" si="293"/>
        <v>0</v>
      </c>
      <c r="N2382" s="73">
        <f t="shared" ref="N2382:N2398" si="297">CN2382</f>
        <v>0</v>
      </c>
      <c r="O2382" s="73">
        <f t="shared" si="291"/>
        <v>0</v>
      </c>
      <c r="P2382" s="73">
        <f t="shared" si="294"/>
        <v>0</v>
      </c>
      <c r="Q2382" s="73"/>
      <c r="R2382" s="73">
        <v>0</v>
      </c>
      <c r="S2382" s="75">
        <f t="shared" si="296"/>
        <v>0</v>
      </c>
      <c r="T2382" s="77">
        <v>0</v>
      </c>
      <c r="U2382" s="66"/>
      <c r="V2382" s="79"/>
      <c r="W2382" s="66" t="s">
        <v>1585</v>
      </c>
      <c r="X2382" s="24" t="s">
        <v>1586</v>
      </c>
      <c r="Y2382" s="62"/>
      <c r="Z2382" s="169" t="s">
        <v>894</v>
      </c>
      <c r="AA2382" s="166" t="s">
        <v>155</v>
      </c>
      <c r="AB2382" s="152"/>
      <c r="AC2382" s="153"/>
      <c r="AD2382" s="154"/>
      <c r="AE2382" s="153"/>
      <c r="AF2382" s="153"/>
      <c r="AG2382" s="153"/>
      <c r="AH2382" s="153"/>
      <c r="AI2382" s="153"/>
      <c r="AJ2382" s="153"/>
      <c r="AK2382" s="153"/>
      <c r="AL2382" s="153"/>
      <c r="AM2382" s="153"/>
      <c r="AN2382" s="153"/>
      <c r="AO2382" s="153"/>
      <c r="AP2382" s="153"/>
      <c r="AQ2382" s="153"/>
      <c r="AR2382" s="153"/>
      <c r="AS2382" s="153"/>
      <c r="AT2382" s="153"/>
      <c r="AU2382" s="153"/>
      <c r="AV2382" s="153"/>
      <c r="AW2382" s="153"/>
      <c r="AX2382" s="153"/>
      <c r="AY2382" s="153"/>
      <c r="AZ2382" s="153"/>
      <c r="BA2382" s="153"/>
      <c r="BB2382" s="153"/>
      <c r="BC2382" s="153"/>
      <c r="BD2382" s="153"/>
      <c r="BE2382" s="153"/>
      <c r="BF2382" s="153"/>
      <c r="BG2382" s="153"/>
      <c r="BH2382" s="153"/>
      <c r="BI2382" s="153"/>
      <c r="BJ2382" s="153"/>
      <c r="BK2382" s="153"/>
      <c r="BL2382" s="153"/>
      <c r="BM2382" s="153"/>
      <c r="BN2382" s="153"/>
      <c r="BO2382" s="153"/>
      <c r="BP2382" s="153"/>
      <c r="BQ2382" s="153"/>
      <c r="BR2382" s="153"/>
      <c r="BS2382" s="153"/>
      <c r="BT2382" s="153"/>
      <c r="BU2382" s="153"/>
      <c r="BV2382" s="153"/>
      <c r="BW2382" s="153"/>
      <c r="BX2382" s="153"/>
      <c r="BY2382" s="153"/>
      <c r="BZ2382" s="153"/>
      <c r="CA2382" s="153"/>
      <c r="CB2382" s="153"/>
      <c r="CC2382" s="153"/>
      <c r="CD2382" s="155"/>
      <c r="CE2382" s="156"/>
      <c r="CF2382" s="155"/>
      <c r="CG2382" s="156"/>
      <c r="CH2382" s="155"/>
      <c r="CI2382" s="156"/>
      <c r="CJ2382" s="157">
        <f t="shared" si="295"/>
        <v>0</v>
      </c>
      <c r="CK2382" s="158"/>
      <c r="CL2382" s="159"/>
      <c r="CM2382" s="160"/>
      <c r="CN2382" s="161"/>
      <c r="CO2382" s="162"/>
      <c r="CP2382" s="161"/>
      <c r="CQ2382" s="158"/>
      <c r="CR2382" s="159"/>
      <c r="CS2382" s="68"/>
      <c r="CT2382" s="163"/>
      <c r="EC2382" s="366" t="str">
        <f t="shared" si="292"/>
        <v>CALDAS_FILADELFIA</v>
      </c>
      <c r="ED2382" s="367"/>
      <c r="EE2382" s="367"/>
      <c r="EF2382" s="368"/>
      <c r="EG2382" s="367"/>
      <c r="EH2382" s="367"/>
      <c r="EI2382" s="367"/>
    </row>
    <row r="2383" spans="1:139" s="164" customFormat="1" ht="25.5">
      <c r="A2383" s="228">
        <v>40543</v>
      </c>
      <c r="B2383" s="205" t="s">
        <v>1996</v>
      </c>
      <c r="C2383" s="205" t="s">
        <v>2428</v>
      </c>
      <c r="D2383" s="207" t="s">
        <v>1201</v>
      </c>
      <c r="E2383" s="323" t="s">
        <v>3814</v>
      </c>
      <c r="F2383" s="323"/>
      <c r="G2383" s="204"/>
      <c r="H2383" s="151"/>
      <c r="I2383" s="151"/>
      <c r="J2383" s="151">
        <v>1403</v>
      </c>
      <c r="K2383" s="151">
        <v>325</v>
      </c>
      <c r="L2383" s="1"/>
      <c r="M2383" s="73">
        <f t="shared" si="293"/>
        <v>0</v>
      </c>
      <c r="N2383" s="73">
        <f t="shared" si="297"/>
        <v>0</v>
      </c>
      <c r="O2383" s="73">
        <f t="shared" si="291"/>
        <v>0</v>
      </c>
      <c r="P2383" s="73">
        <f t="shared" si="294"/>
        <v>0</v>
      </c>
      <c r="Q2383" s="73"/>
      <c r="R2383" s="73">
        <v>0</v>
      </c>
      <c r="S2383" s="75">
        <f t="shared" si="296"/>
        <v>0</v>
      </c>
      <c r="T2383" s="77">
        <v>0</v>
      </c>
      <c r="U2383" s="66">
        <v>40612</v>
      </c>
      <c r="V2383" s="79"/>
      <c r="W2383" s="66" t="s">
        <v>1585</v>
      </c>
      <c r="X2383" s="24" t="s">
        <v>1586</v>
      </c>
      <c r="Y2383" s="62"/>
      <c r="Z2383" s="169" t="s">
        <v>894</v>
      </c>
      <c r="AA2383" s="166" t="s">
        <v>155</v>
      </c>
      <c r="AB2383" s="152"/>
      <c r="AC2383" s="153"/>
      <c r="AD2383" s="154"/>
      <c r="AE2383" s="153"/>
      <c r="AF2383" s="153"/>
      <c r="AG2383" s="153"/>
      <c r="AH2383" s="153"/>
      <c r="AI2383" s="153"/>
      <c r="AJ2383" s="153"/>
      <c r="AK2383" s="153"/>
      <c r="AL2383" s="153"/>
      <c r="AM2383" s="153"/>
      <c r="AN2383" s="153"/>
      <c r="AO2383" s="153"/>
      <c r="AP2383" s="153"/>
      <c r="AQ2383" s="153"/>
      <c r="AR2383" s="153"/>
      <c r="AS2383" s="153"/>
      <c r="AT2383" s="153"/>
      <c r="AU2383" s="153"/>
      <c r="AV2383" s="153"/>
      <c r="AW2383" s="153"/>
      <c r="AX2383" s="153"/>
      <c r="AY2383" s="153"/>
      <c r="AZ2383" s="153"/>
      <c r="BA2383" s="153"/>
      <c r="BB2383" s="153"/>
      <c r="BC2383" s="153"/>
      <c r="BD2383" s="153"/>
      <c r="BE2383" s="153"/>
      <c r="BF2383" s="153"/>
      <c r="BG2383" s="153"/>
      <c r="BH2383" s="153"/>
      <c r="BI2383" s="153"/>
      <c r="BJ2383" s="153"/>
      <c r="BK2383" s="153"/>
      <c r="BL2383" s="153"/>
      <c r="BM2383" s="153"/>
      <c r="BN2383" s="153"/>
      <c r="BO2383" s="153"/>
      <c r="BP2383" s="153"/>
      <c r="BQ2383" s="153"/>
      <c r="BR2383" s="153"/>
      <c r="BS2383" s="153"/>
      <c r="BT2383" s="153"/>
      <c r="BU2383" s="153"/>
      <c r="BV2383" s="153"/>
      <c r="BW2383" s="153"/>
      <c r="BX2383" s="153"/>
      <c r="BY2383" s="153"/>
      <c r="BZ2383" s="153"/>
      <c r="CA2383" s="153"/>
      <c r="CB2383" s="153"/>
      <c r="CC2383" s="153"/>
      <c r="CD2383" s="155"/>
      <c r="CE2383" s="156"/>
      <c r="CF2383" s="155"/>
      <c r="CG2383" s="156"/>
      <c r="CH2383" s="155"/>
      <c r="CI2383" s="156"/>
      <c r="CJ2383" s="157">
        <f t="shared" si="295"/>
        <v>0</v>
      </c>
      <c r="CK2383" s="158"/>
      <c r="CL2383" s="159"/>
      <c r="CM2383" s="160"/>
      <c r="CN2383" s="161"/>
      <c r="CO2383" s="162"/>
      <c r="CP2383" s="161"/>
      <c r="CQ2383" s="158"/>
      <c r="CR2383" s="159"/>
      <c r="CS2383" s="68"/>
      <c r="CT2383" s="163"/>
      <c r="EC2383" s="366" t="str">
        <f t="shared" si="292"/>
        <v>CHOCO_NUQUI</v>
      </c>
      <c r="ED2383" s="367"/>
      <c r="EE2383" s="367"/>
      <c r="EF2383" s="368"/>
      <c r="EG2383" s="367"/>
      <c r="EH2383" s="367"/>
      <c r="EI2383" s="367"/>
    </row>
    <row r="2384" spans="1:139" s="164" customFormat="1" ht="51">
      <c r="A2384" s="228">
        <v>40543</v>
      </c>
      <c r="B2384" s="205" t="s">
        <v>1996</v>
      </c>
      <c r="C2384" s="205" t="s">
        <v>166</v>
      </c>
      <c r="D2384" s="207" t="s">
        <v>1201</v>
      </c>
      <c r="E2384" s="323" t="s">
        <v>3822</v>
      </c>
      <c r="F2384" s="323"/>
      <c r="G2384" s="204"/>
      <c r="H2384" s="151"/>
      <c r="I2384" s="151"/>
      <c r="J2384" s="151">
        <v>1825</v>
      </c>
      <c r="K2384" s="151">
        <v>400</v>
      </c>
      <c r="L2384" s="1"/>
      <c r="M2384" s="73">
        <f t="shared" si="293"/>
        <v>0</v>
      </c>
      <c r="N2384" s="73">
        <f t="shared" si="297"/>
        <v>0</v>
      </c>
      <c r="O2384" s="73">
        <f t="shared" si="291"/>
        <v>0</v>
      </c>
      <c r="P2384" s="73">
        <f t="shared" si="294"/>
        <v>0</v>
      </c>
      <c r="Q2384" s="73"/>
      <c r="R2384" s="73">
        <v>0</v>
      </c>
      <c r="S2384" s="75">
        <f t="shared" si="296"/>
        <v>0</v>
      </c>
      <c r="T2384" s="77">
        <v>0</v>
      </c>
      <c r="U2384" s="66"/>
      <c r="V2384" s="79"/>
      <c r="W2384" s="66" t="s">
        <v>1585</v>
      </c>
      <c r="X2384" s="24" t="s">
        <v>1586</v>
      </c>
      <c r="Y2384" s="62"/>
      <c r="Z2384" s="169" t="s">
        <v>894</v>
      </c>
      <c r="AA2384" s="166" t="s">
        <v>155</v>
      </c>
      <c r="AB2384" s="152"/>
      <c r="AC2384" s="153"/>
      <c r="AD2384" s="154"/>
      <c r="AE2384" s="153"/>
      <c r="AF2384" s="153"/>
      <c r="AG2384" s="153"/>
      <c r="AH2384" s="153"/>
      <c r="AI2384" s="153"/>
      <c r="AJ2384" s="153"/>
      <c r="AK2384" s="153"/>
      <c r="AL2384" s="153"/>
      <c r="AM2384" s="153"/>
      <c r="AN2384" s="153"/>
      <c r="AO2384" s="153"/>
      <c r="AP2384" s="153"/>
      <c r="AQ2384" s="153"/>
      <c r="AR2384" s="153"/>
      <c r="AS2384" s="153"/>
      <c r="AT2384" s="153"/>
      <c r="AU2384" s="153"/>
      <c r="AV2384" s="153"/>
      <c r="AW2384" s="153"/>
      <c r="AX2384" s="153"/>
      <c r="AY2384" s="153"/>
      <c r="AZ2384" s="153"/>
      <c r="BA2384" s="153"/>
      <c r="BB2384" s="153"/>
      <c r="BC2384" s="153"/>
      <c r="BD2384" s="153"/>
      <c r="BE2384" s="153"/>
      <c r="BF2384" s="153"/>
      <c r="BG2384" s="153"/>
      <c r="BH2384" s="153"/>
      <c r="BI2384" s="153"/>
      <c r="BJ2384" s="153"/>
      <c r="BK2384" s="153"/>
      <c r="BL2384" s="153"/>
      <c r="BM2384" s="153"/>
      <c r="BN2384" s="153"/>
      <c r="BO2384" s="153"/>
      <c r="BP2384" s="153"/>
      <c r="BQ2384" s="153"/>
      <c r="BR2384" s="153"/>
      <c r="BS2384" s="153"/>
      <c r="BT2384" s="153"/>
      <c r="BU2384" s="153"/>
      <c r="BV2384" s="153"/>
      <c r="BW2384" s="153"/>
      <c r="BX2384" s="153"/>
      <c r="BY2384" s="153"/>
      <c r="BZ2384" s="153"/>
      <c r="CA2384" s="153"/>
      <c r="CB2384" s="153"/>
      <c r="CC2384" s="153"/>
      <c r="CD2384" s="155"/>
      <c r="CE2384" s="156"/>
      <c r="CF2384" s="155"/>
      <c r="CG2384" s="156"/>
      <c r="CH2384" s="155"/>
      <c r="CI2384" s="156"/>
      <c r="CJ2384" s="157">
        <f t="shared" si="295"/>
        <v>0</v>
      </c>
      <c r="CK2384" s="158"/>
      <c r="CL2384" s="159"/>
      <c r="CM2384" s="160"/>
      <c r="CN2384" s="161"/>
      <c r="CO2384" s="162"/>
      <c r="CP2384" s="161"/>
      <c r="CQ2384" s="158"/>
      <c r="CR2384" s="159"/>
      <c r="CS2384" s="68"/>
      <c r="CT2384" s="163">
        <v>1629</v>
      </c>
      <c r="EC2384" s="366" t="str">
        <f t="shared" si="292"/>
        <v>CHOCO_UNION PANAMERICANA</v>
      </c>
      <c r="ED2384" s="367"/>
      <c r="EE2384" s="367"/>
      <c r="EF2384" s="368"/>
      <c r="EG2384" s="367"/>
      <c r="EH2384" s="367"/>
      <c r="EI2384" s="367"/>
    </row>
    <row r="2385" spans="1:139" s="164" customFormat="1" ht="25.5">
      <c r="A2385" s="228">
        <v>40543</v>
      </c>
      <c r="B2385" s="205" t="s">
        <v>962</v>
      </c>
      <c r="C2385" s="205" t="s">
        <v>2947</v>
      </c>
      <c r="D2385" s="207" t="s">
        <v>1878</v>
      </c>
      <c r="E2385" s="323" t="s">
        <v>3827</v>
      </c>
      <c r="F2385" s="323"/>
      <c r="G2385" s="204"/>
      <c r="H2385" s="151"/>
      <c r="I2385" s="151"/>
      <c r="J2385" s="151">
        <f>17*5</f>
        <v>85</v>
      </c>
      <c r="K2385" s="151">
        <v>17</v>
      </c>
      <c r="L2385" s="1"/>
      <c r="M2385" s="73">
        <f t="shared" si="293"/>
        <v>0</v>
      </c>
      <c r="N2385" s="73">
        <f t="shared" si="297"/>
        <v>0</v>
      </c>
      <c r="O2385" s="73">
        <f t="shared" si="291"/>
        <v>0</v>
      </c>
      <c r="P2385" s="73">
        <f t="shared" si="294"/>
        <v>0</v>
      </c>
      <c r="Q2385" s="73"/>
      <c r="R2385" s="73">
        <v>0</v>
      </c>
      <c r="S2385" s="75">
        <f t="shared" si="296"/>
        <v>0</v>
      </c>
      <c r="T2385" s="77">
        <v>0</v>
      </c>
      <c r="U2385" s="66">
        <v>40605</v>
      </c>
      <c r="V2385" s="79"/>
      <c r="W2385" s="66" t="s">
        <v>1585</v>
      </c>
      <c r="X2385" s="24" t="s">
        <v>1586</v>
      </c>
      <c r="Y2385" s="62"/>
      <c r="Z2385" s="169" t="s">
        <v>894</v>
      </c>
      <c r="AA2385" s="166" t="s">
        <v>155</v>
      </c>
      <c r="AB2385" s="152"/>
      <c r="AC2385" s="153"/>
      <c r="AD2385" s="154"/>
      <c r="AE2385" s="153"/>
      <c r="AF2385" s="153"/>
      <c r="AG2385" s="153"/>
      <c r="AH2385" s="153"/>
      <c r="AI2385" s="153"/>
      <c r="AJ2385" s="153"/>
      <c r="AK2385" s="153"/>
      <c r="AL2385" s="153"/>
      <c r="AM2385" s="153"/>
      <c r="AN2385" s="153"/>
      <c r="AO2385" s="153"/>
      <c r="AP2385" s="153"/>
      <c r="AQ2385" s="153"/>
      <c r="AR2385" s="153"/>
      <c r="AS2385" s="153"/>
      <c r="AT2385" s="153"/>
      <c r="AU2385" s="153"/>
      <c r="AV2385" s="153"/>
      <c r="AW2385" s="153"/>
      <c r="AX2385" s="153"/>
      <c r="AY2385" s="153"/>
      <c r="AZ2385" s="153"/>
      <c r="BA2385" s="153"/>
      <c r="BB2385" s="153"/>
      <c r="BC2385" s="153"/>
      <c r="BD2385" s="153"/>
      <c r="BE2385" s="153"/>
      <c r="BF2385" s="153"/>
      <c r="BG2385" s="153"/>
      <c r="BH2385" s="153"/>
      <c r="BI2385" s="153"/>
      <c r="BJ2385" s="153"/>
      <c r="BK2385" s="153"/>
      <c r="BL2385" s="153"/>
      <c r="BM2385" s="153"/>
      <c r="BN2385" s="153"/>
      <c r="BO2385" s="153"/>
      <c r="BP2385" s="153"/>
      <c r="BQ2385" s="153"/>
      <c r="BR2385" s="153"/>
      <c r="BS2385" s="153"/>
      <c r="BT2385" s="153"/>
      <c r="BU2385" s="153"/>
      <c r="BV2385" s="153"/>
      <c r="BW2385" s="153"/>
      <c r="BX2385" s="153"/>
      <c r="BY2385" s="153"/>
      <c r="BZ2385" s="153"/>
      <c r="CA2385" s="153"/>
      <c r="CB2385" s="153"/>
      <c r="CC2385" s="153"/>
      <c r="CD2385" s="155"/>
      <c r="CE2385" s="156"/>
      <c r="CF2385" s="155"/>
      <c r="CG2385" s="156"/>
      <c r="CH2385" s="155"/>
      <c r="CI2385" s="156"/>
      <c r="CJ2385" s="157">
        <f t="shared" si="295"/>
        <v>0</v>
      </c>
      <c r="CK2385" s="158"/>
      <c r="CL2385" s="159"/>
      <c r="CM2385" s="160"/>
      <c r="CN2385" s="161"/>
      <c r="CO2385" s="162"/>
      <c r="CP2385" s="161"/>
      <c r="CQ2385" s="158"/>
      <c r="CR2385" s="159"/>
      <c r="CS2385" s="68"/>
      <c r="CT2385" s="163"/>
      <c r="EC2385" s="366" t="str">
        <f t="shared" si="292"/>
        <v>HUILA_ALGECIRAS</v>
      </c>
      <c r="ED2385" s="367"/>
      <c r="EE2385" s="367"/>
      <c r="EF2385" s="368"/>
      <c r="EG2385" s="367"/>
      <c r="EH2385" s="367"/>
      <c r="EI2385" s="367"/>
    </row>
    <row r="2386" spans="1:139" s="164" customFormat="1" ht="25.5">
      <c r="A2386" s="228">
        <v>40543</v>
      </c>
      <c r="B2386" s="205" t="s">
        <v>962</v>
      </c>
      <c r="C2386" s="205" t="s">
        <v>2380</v>
      </c>
      <c r="D2386" s="207" t="s">
        <v>1201</v>
      </c>
      <c r="E2386" s="323" t="s">
        <v>3831</v>
      </c>
      <c r="F2386" s="323"/>
      <c r="G2386" s="204"/>
      <c r="H2386" s="151"/>
      <c r="I2386" s="151"/>
      <c r="J2386" s="151">
        <f>520-20-20-8</f>
        <v>472</v>
      </c>
      <c r="K2386" s="151">
        <f>104-4-4-1</f>
        <v>95</v>
      </c>
      <c r="L2386" s="1"/>
      <c r="M2386" s="73">
        <f t="shared" si="293"/>
        <v>0</v>
      </c>
      <c r="N2386" s="73">
        <f t="shared" si="297"/>
        <v>0</v>
      </c>
      <c r="O2386" s="73">
        <f t="shared" si="291"/>
        <v>0</v>
      </c>
      <c r="P2386" s="73">
        <f t="shared" si="294"/>
        <v>0</v>
      </c>
      <c r="Q2386" s="73"/>
      <c r="R2386" s="73">
        <v>0</v>
      </c>
      <c r="S2386" s="75">
        <f t="shared" si="296"/>
        <v>0</v>
      </c>
      <c r="T2386" s="77">
        <v>0</v>
      </c>
      <c r="U2386" s="66">
        <v>40605</v>
      </c>
      <c r="V2386" s="79"/>
      <c r="W2386" s="66" t="s">
        <v>1585</v>
      </c>
      <c r="X2386" s="24" t="s">
        <v>1586</v>
      </c>
      <c r="Y2386" s="62"/>
      <c r="Z2386" s="169" t="s">
        <v>894</v>
      </c>
      <c r="AA2386" s="166" t="s">
        <v>155</v>
      </c>
      <c r="AB2386" s="152"/>
      <c r="AC2386" s="153"/>
      <c r="AD2386" s="154"/>
      <c r="AE2386" s="153"/>
      <c r="AF2386" s="153"/>
      <c r="AG2386" s="153"/>
      <c r="AH2386" s="153"/>
      <c r="AI2386" s="153"/>
      <c r="AJ2386" s="153"/>
      <c r="AK2386" s="153"/>
      <c r="AL2386" s="153"/>
      <c r="AM2386" s="153"/>
      <c r="AN2386" s="153"/>
      <c r="AO2386" s="153"/>
      <c r="AP2386" s="153"/>
      <c r="AQ2386" s="153"/>
      <c r="AR2386" s="153"/>
      <c r="AS2386" s="153"/>
      <c r="AT2386" s="153"/>
      <c r="AU2386" s="153"/>
      <c r="AV2386" s="153"/>
      <c r="AW2386" s="153"/>
      <c r="AX2386" s="153"/>
      <c r="AY2386" s="153"/>
      <c r="AZ2386" s="153"/>
      <c r="BA2386" s="153"/>
      <c r="BB2386" s="153"/>
      <c r="BC2386" s="153"/>
      <c r="BD2386" s="153"/>
      <c r="BE2386" s="153"/>
      <c r="BF2386" s="153"/>
      <c r="BG2386" s="153"/>
      <c r="BH2386" s="153"/>
      <c r="BI2386" s="153"/>
      <c r="BJ2386" s="153"/>
      <c r="BK2386" s="153"/>
      <c r="BL2386" s="153"/>
      <c r="BM2386" s="153"/>
      <c r="BN2386" s="153"/>
      <c r="BO2386" s="153"/>
      <c r="BP2386" s="153"/>
      <c r="BQ2386" s="153"/>
      <c r="BR2386" s="153"/>
      <c r="BS2386" s="153"/>
      <c r="BT2386" s="153"/>
      <c r="BU2386" s="153"/>
      <c r="BV2386" s="153"/>
      <c r="BW2386" s="153"/>
      <c r="BX2386" s="153"/>
      <c r="BY2386" s="153"/>
      <c r="BZ2386" s="153"/>
      <c r="CA2386" s="153"/>
      <c r="CB2386" s="153"/>
      <c r="CC2386" s="153"/>
      <c r="CD2386" s="155"/>
      <c r="CE2386" s="156"/>
      <c r="CF2386" s="155"/>
      <c r="CG2386" s="156"/>
      <c r="CH2386" s="155"/>
      <c r="CI2386" s="156"/>
      <c r="CJ2386" s="157">
        <f t="shared" si="295"/>
        <v>0</v>
      </c>
      <c r="CK2386" s="158"/>
      <c r="CL2386" s="159"/>
      <c r="CM2386" s="160"/>
      <c r="CN2386" s="161"/>
      <c r="CO2386" s="162"/>
      <c r="CP2386" s="161"/>
      <c r="CQ2386" s="158"/>
      <c r="CR2386" s="159"/>
      <c r="CS2386" s="68"/>
      <c r="CT2386" s="163"/>
      <c r="EC2386" s="366" t="str">
        <f t="shared" si="292"/>
        <v>HUILA_COLOMBIA</v>
      </c>
      <c r="ED2386" s="367"/>
      <c r="EE2386" s="367"/>
      <c r="EF2386" s="368"/>
      <c r="EG2386" s="367"/>
      <c r="EH2386" s="367"/>
      <c r="EI2386" s="367"/>
    </row>
    <row r="2387" spans="1:139" s="164" customFormat="1" ht="25.5">
      <c r="A2387" s="228">
        <v>40543</v>
      </c>
      <c r="B2387" s="205" t="s">
        <v>962</v>
      </c>
      <c r="C2387" s="205" t="s">
        <v>2645</v>
      </c>
      <c r="D2387" s="207" t="s">
        <v>1201</v>
      </c>
      <c r="E2387" s="323" t="s">
        <v>3837</v>
      </c>
      <c r="F2387" s="323"/>
      <c r="G2387" s="204"/>
      <c r="H2387" s="151"/>
      <c r="I2387" s="151"/>
      <c r="J2387" s="151">
        <v>80</v>
      </c>
      <c r="K2387" s="151">
        <v>27</v>
      </c>
      <c r="L2387" s="1"/>
      <c r="M2387" s="73">
        <f t="shared" si="293"/>
        <v>0</v>
      </c>
      <c r="N2387" s="73">
        <f t="shared" si="297"/>
        <v>0</v>
      </c>
      <c r="O2387" s="73">
        <f t="shared" si="291"/>
        <v>0</v>
      </c>
      <c r="P2387" s="73">
        <f t="shared" si="294"/>
        <v>0</v>
      </c>
      <c r="Q2387" s="73"/>
      <c r="R2387" s="73">
        <v>0</v>
      </c>
      <c r="S2387" s="75">
        <f t="shared" si="296"/>
        <v>0</v>
      </c>
      <c r="T2387" s="77">
        <v>0</v>
      </c>
      <c r="U2387" s="66">
        <v>40605</v>
      </c>
      <c r="V2387" s="79"/>
      <c r="W2387" s="66" t="s">
        <v>1585</v>
      </c>
      <c r="X2387" s="24" t="s">
        <v>1586</v>
      </c>
      <c r="Y2387" s="62"/>
      <c r="Z2387" s="169" t="s">
        <v>894</v>
      </c>
      <c r="AA2387" s="166" t="s">
        <v>155</v>
      </c>
      <c r="AB2387" s="152"/>
      <c r="AC2387" s="153"/>
      <c r="AD2387" s="154"/>
      <c r="AE2387" s="153"/>
      <c r="AF2387" s="153"/>
      <c r="AG2387" s="153"/>
      <c r="AH2387" s="153"/>
      <c r="AI2387" s="153"/>
      <c r="AJ2387" s="153"/>
      <c r="AK2387" s="153"/>
      <c r="AL2387" s="153"/>
      <c r="AM2387" s="153"/>
      <c r="AN2387" s="153"/>
      <c r="AO2387" s="153"/>
      <c r="AP2387" s="153"/>
      <c r="AQ2387" s="153"/>
      <c r="AR2387" s="153"/>
      <c r="AS2387" s="153"/>
      <c r="AT2387" s="153"/>
      <c r="AU2387" s="153"/>
      <c r="AV2387" s="153"/>
      <c r="AW2387" s="153"/>
      <c r="AX2387" s="153"/>
      <c r="AY2387" s="153"/>
      <c r="AZ2387" s="153"/>
      <c r="BA2387" s="153"/>
      <c r="BB2387" s="153"/>
      <c r="BC2387" s="153"/>
      <c r="BD2387" s="153"/>
      <c r="BE2387" s="153"/>
      <c r="BF2387" s="153"/>
      <c r="BG2387" s="153"/>
      <c r="BH2387" s="153"/>
      <c r="BI2387" s="153"/>
      <c r="BJ2387" s="153"/>
      <c r="BK2387" s="153"/>
      <c r="BL2387" s="153"/>
      <c r="BM2387" s="153"/>
      <c r="BN2387" s="153"/>
      <c r="BO2387" s="153"/>
      <c r="BP2387" s="153"/>
      <c r="BQ2387" s="153"/>
      <c r="BR2387" s="153"/>
      <c r="BS2387" s="153"/>
      <c r="BT2387" s="153"/>
      <c r="BU2387" s="153"/>
      <c r="BV2387" s="153"/>
      <c r="BW2387" s="153"/>
      <c r="BX2387" s="153"/>
      <c r="BY2387" s="153"/>
      <c r="BZ2387" s="153"/>
      <c r="CA2387" s="153"/>
      <c r="CB2387" s="153"/>
      <c r="CC2387" s="153"/>
      <c r="CD2387" s="155"/>
      <c r="CE2387" s="156"/>
      <c r="CF2387" s="155"/>
      <c r="CG2387" s="156"/>
      <c r="CH2387" s="155"/>
      <c r="CI2387" s="156"/>
      <c r="CJ2387" s="157">
        <f t="shared" si="295"/>
        <v>0</v>
      </c>
      <c r="CK2387" s="158"/>
      <c r="CL2387" s="159"/>
      <c r="CM2387" s="160"/>
      <c r="CN2387" s="161"/>
      <c r="CO2387" s="162"/>
      <c r="CP2387" s="161"/>
      <c r="CQ2387" s="158"/>
      <c r="CR2387" s="159"/>
      <c r="CS2387" s="68"/>
      <c r="CT2387" s="163"/>
      <c r="EC2387" s="366" t="str">
        <f t="shared" si="292"/>
        <v>HUILA_IQUIRA</v>
      </c>
      <c r="ED2387" s="367"/>
      <c r="EE2387" s="367"/>
      <c r="EF2387" s="368"/>
      <c r="EG2387" s="367"/>
      <c r="EH2387" s="367"/>
      <c r="EI2387" s="367"/>
    </row>
    <row r="2388" spans="1:139" s="164" customFormat="1" ht="45">
      <c r="A2388" s="228">
        <v>40543</v>
      </c>
      <c r="B2388" s="205" t="s">
        <v>962</v>
      </c>
      <c r="C2388" s="205" t="s">
        <v>2756</v>
      </c>
      <c r="D2388" s="207" t="s">
        <v>1902</v>
      </c>
      <c r="E2388" s="323" t="s">
        <v>3848</v>
      </c>
      <c r="F2388" s="323"/>
      <c r="G2388" s="204"/>
      <c r="H2388" s="151"/>
      <c r="I2388" s="151"/>
      <c r="J2388" s="151">
        <v>15</v>
      </c>
      <c r="K2388" s="151">
        <v>3</v>
      </c>
      <c r="L2388" s="1"/>
      <c r="M2388" s="73">
        <f t="shared" si="293"/>
        <v>0</v>
      </c>
      <c r="N2388" s="73">
        <f t="shared" si="297"/>
        <v>0</v>
      </c>
      <c r="O2388" s="73">
        <f t="shared" si="291"/>
        <v>0</v>
      </c>
      <c r="P2388" s="73">
        <f t="shared" si="294"/>
        <v>0</v>
      </c>
      <c r="Q2388" s="73"/>
      <c r="R2388" s="73">
        <v>0</v>
      </c>
      <c r="S2388" s="75">
        <f t="shared" si="296"/>
        <v>0</v>
      </c>
      <c r="T2388" s="77">
        <v>0</v>
      </c>
      <c r="U2388" s="66">
        <v>40543</v>
      </c>
      <c r="V2388" s="79"/>
      <c r="W2388" s="66" t="s">
        <v>1606</v>
      </c>
      <c r="X2388" s="264" t="s">
        <v>1607</v>
      </c>
      <c r="Y2388" s="62"/>
      <c r="Z2388" s="260" t="s">
        <v>18</v>
      </c>
      <c r="AA2388" s="166" t="s">
        <v>470</v>
      </c>
      <c r="AB2388" s="152"/>
      <c r="AC2388" s="153"/>
      <c r="AD2388" s="154"/>
      <c r="AE2388" s="153"/>
      <c r="AF2388" s="153"/>
      <c r="AG2388" s="153"/>
      <c r="AH2388" s="153"/>
      <c r="AI2388" s="153"/>
      <c r="AJ2388" s="153"/>
      <c r="AK2388" s="153"/>
      <c r="AL2388" s="153"/>
      <c r="AM2388" s="153"/>
      <c r="AN2388" s="153"/>
      <c r="AO2388" s="153"/>
      <c r="AP2388" s="153"/>
      <c r="AQ2388" s="153"/>
      <c r="AR2388" s="153"/>
      <c r="AS2388" s="153"/>
      <c r="AT2388" s="153"/>
      <c r="AU2388" s="153"/>
      <c r="AV2388" s="153"/>
      <c r="AW2388" s="153"/>
      <c r="AX2388" s="153"/>
      <c r="AY2388" s="153"/>
      <c r="AZ2388" s="153"/>
      <c r="BA2388" s="153"/>
      <c r="BB2388" s="153"/>
      <c r="BC2388" s="153"/>
      <c r="BD2388" s="153"/>
      <c r="BE2388" s="153"/>
      <c r="BF2388" s="153"/>
      <c r="BG2388" s="153"/>
      <c r="BH2388" s="153"/>
      <c r="BI2388" s="153"/>
      <c r="BJ2388" s="153"/>
      <c r="BK2388" s="153"/>
      <c r="BL2388" s="153"/>
      <c r="BM2388" s="153"/>
      <c r="BN2388" s="153"/>
      <c r="BO2388" s="153"/>
      <c r="BP2388" s="153"/>
      <c r="BQ2388" s="153"/>
      <c r="BR2388" s="153"/>
      <c r="BS2388" s="153"/>
      <c r="BT2388" s="153"/>
      <c r="BU2388" s="153"/>
      <c r="BV2388" s="153"/>
      <c r="BW2388" s="153"/>
      <c r="BX2388" s="153"/>
      <c r="BY2388" s="153"/>
      <c r="BZ2388" s="153"/>
      <c r="CA2388" s="153"/>
      <c r="CB2388" s="153"/>
      <c r="CC2388" s="153"/>
      <c r="CD2388" s="155"/>
      <c r="CE2388" s="156"/>
      <c r="CF2388" s="155"/>
      <c r="CG2388" s="156"/>
      <c r="CH2388" s="155"/>
      <c r="CI2388" s="156"/>
      <c r="CJ2388" s="157">
        <f t="shared" si="295"/>
        <v>0</v>
      </c>
      <c r="CK2388" s="158"/>
      <c r="CL2388" s="159"/>
      <c r="CM2388" s="160"/>
      <c r="CN2388" s="161"/>
      <c r="CO2388" s="162"/>
      <c r="CP2388" s="161"/>
      <c r="CQ2388" s="158"/>
      <c r="CR2388" s="159"/>
      <c r="CS2388" s="68"/>
      <c r="CT2388" s="163"/>
      <c r="EC2388" s="366" t="str">
        <f t="shared" si="292"/>
        <v>HUILA_RIVERA</v>
      </c>
      <c r="ED2388" s="367"/>
      <c r="EE2388" s="367"/>
      <c r="EF2388" s="368"/>
      <c r="EG2388" s="367"/>
      <c r="EH2388" s="367"/>
      <c r="EI2388" s="367"/>
    </row>
    <row r="2389" spans="1:139" s="164" customFormat="1" ht="25.5">
      <c r="A2389" s="228">
        <v>40543</v>
      </c>
      <c r="B2389" s="205" t="s">
        <v>962</v>
      </c>
      <c r="C2389" s="205" t="s">
        <v>2191</v>
      </c>
      <c r="D2389" s="207" t="s">
        <v>1201</v>
      </c>
      <c r="E2389" s="323" t="s">
        <v>3854</v>
      </c>
      <c r="F2389" s="323"/>
      <c r="G2389" s="204"/>
      <c r="H2389" s="151"/>
      <c r="I2389" s="151"/>
      <c r="J2389" s="151">
        <f>961-75</f>
        <v>886</v>
      </c>
      <c r="K2389" s="151">
        <f>192-15</f>
        <v>177</v>
      </c>
      <c r="L2389" s="1"/>
      <c r="M2389" s="73">
        <f t="shared" si="293"/>
        <v>0</v>
      </c>
      <c r="N2389" s="73">
        <f t="shared" si="297"/>
        <v>0</v>
      </c>
      <c r="O2389" s="73">
        <f t="shared" si="291"/>
        <v>0</v>
      </c>
      <c r="P2389" s="73">
        <f t="shared" si="294"/>
        <v>0</v>
      </c>
      <c r="Q2389" s="73"/>
      <c r="R2389" s="73">
        <v>0</v>
      </c>
      <c r="S2389" s="75">
        <f t="shared" si="296"/>
        <v>0</v>
      </c>
      <c r="T2389" s="77">
        <v>0</v>
      </c>
      <c r="U2389" s="66">
        <v>40605</v>
      </c>
      <c r="V2389" s="79"/>
      <c r="W2389" s="66" t="s">
        <v>1585</v>
      </c>
      <c r="X2389" s="24" t="s">
        <v>1586</v>
      </c>
      <c r="Y2389" s="62"/>
      <c r="Z2389" s="169" t="s">
        <v>894</v>
      </c>
      <c r="AA2389" s="166" t="s">
        <v>155</v>
      </c>
      <c r="AB2389" s="152"/>
      <c r="AC2389" s="153"/>
      <c r="AD2389" s="154"/>
      <c r="AE2389" s="153"/>
      <c r="AF2389" s="153"/>
      <c r="AG2389" s="153"/>
      <c r="AH2389" s="153"/>
      <c r="AI2389" s="153"/>
      <c r="AJ2389" s="153"/>
      <c r="AK2389" s="153"/>
      <c r="AL2389" s="153"/>
      <c r="AM2389" s="153"/>
      <c r="AN2389" s="153"/>
      <c r="AO2389" s="153"/>
      <c r="AP2389" s="153"/>
      <c r="AQ2389" s="153"/>
      <c r="AR2389" s="153"/>
      <c r="AS2389" s="153"/>
      <c r="AT2389" s="153"/>
      <c r="AU2389" s="153"/>
      <c r="AV2389" s="153"/>
      <c r="AW2389" s="153"/>
      <c r="AX2389" s="153"/>
      <c r="AY2389" s="153"/>
      <c r="AZ2389" s="153"/>
      <c r="BA2389" s="153"/>
      <c r="BB2389" s="153"/>
      <c r="BC2389" s="153"/>
      <c r="BD2389" s="153"/>
      <c r="BE2389" s="153"/>
      <c r="BF2389" s="153"/>
      <c r="BG2389" s="153"/>
      <c r="BH2389" s="153"/>
      <c r="BI2389" s="153"/>
      <c r="BJ2389" s="153"/>
      <c r="BK2389" s="153"/>
      <c r="BL2389" s="153"/>
      <c r="BM2389" s="153"/>
      <c r="BN2389" s="153"/>
      <c r="BO2389" s="153"/>
      <c r="BP2389" s="153"/>
      <c r="BQ2389" s="153"/>
      <c r="BR2389" s="153"/>
      <c r="BS2389" s="153"/>
      <c r="BT2389" s="153"/>
      <c r="BU2389" s="153"/>
      <c r="BV2389" s="153"/>
      <c r="BW2389" s="153"/>
      <c r="BX2389" s="153"/>
      <c r="BY2389" s="153"/>
      <c r="BZ2389" s="153"/>
      <c r="CA2389" s="153"/>
      <c r="CB2389" s="153"/>
      <c r="CC2389" s="153"/>
      <c r="CD2389" s="155"/>
      <c r="CE2389" s="156"/>
      <c r="CF2389" s="155"/>
      <c r="CG2389" s="156"/>
      <c r="CH2389" s="155"/>
      <c r="CI2389" s="156"/>
      <c r="CJ2389" s="157">
        <f t="shared" si="295"/>
        <v>0</v>
      </c>
      <c r="CK2389" s="158"/>
      <c r="CL2389" s="159"/>
      <c r="CM2389" s="160"/>
      <c r="CN2389" s="161"/>
      <c r="CO2389" s="162"/>
      <c r="CP2389" s="161"/>
      <c r="CQ2389" s="158"/>
      <c r="CR2389" s="159"/>
      <c r="CS2389" s="68"/>
      <c r="CT2389" s="163"/>
      <c r="EC2389" s="366" t="str">
        <f t="shared" si="292"/>
        <v>HUILA_TESALIA</v>
      </c>
      <c r="ED2389" s="367"/>
      <c r="EE2389" s="367"/>
      <c r="EF2389" s="368"/>
      <c r="EG2389" s="367"/>
      <c r="EH2389" s="367"/>
      <c r="EI2389" s="367"/>
    </row>
    <row r="2390" spans="1:139" s="164" customFormat="1" ht="25.5">
      <c r="A2390" s="228">
        <v>40543</v>
      </c>
      <c r="B2390" s="205" t="s">
        <v>962</v>
      </c>
      <c r="C2390" s="205" t="s">
        <v>997</v>
      </c>
      <c r="D2390" s="207" t="s">
        <v>1878</v>
      </c>
      <c r="E2390" s="323" t="s">
        <v>3859</v>
      </c>
      <c r="F2390" s="323"/>
      <c r="G2390" s="204"/>
      <c r="H2390" s="151"/>
      <c r="I2390" s="151"/>
      <c r="J2390" s="151">
        <v>25</v>
      </c>
      <c r="K2390" s="151">
        <v>5</v>
      </c>
      <c r="L2390" s="1"/>
      <c r="M2390" s="73">
        <f t="shared" si="293"/>
        <v>0</v>
      </c>
      <c r="N2390" s="73">
        <f t="shared" si="297"/>
        <v>0</v>
      </c>
      <c r="O2390" s="73">
        <f t="shared" si="291"/>
        <v>0</v>
      </c>
      <c r="P2390" s="73">
        <f t="shared" si="294"/>
        <v>0</v>
      </c>
      <c r="Q2390" s="73"/>
      <c r="R2390" s="73">
        <v>0</v>
      </c>
      <c r="S2390" s="75">
        <f t="shared" si="296"/>
        <v>0</v>
      </c>
      <c r="T2390" s="77">
        <v>0</v>
      </c>
      <c r="U2390" s="66">
        <v>40605</v>
      </c>
      <c r="V2390" s="79"/>
      <c r="W2390" s="66" t="s">
        <v>1585</v>
      </c>
      <c r="X2390" s="24" t="s">
        <v>1586</v>
      </c>
      <c r="Y2390" s="62"/>
      <c r="Z2390" s="169" t="s">
        <v>894</v>
      </c>
      <c r="AA2390" s="166" t="s">
        <v>155</v>
      </c>
      <c r="AB2390" s="152"/>
      <c r="AC2390" s="153"/>
      <c r="AD2390" s="154"/>
      <c r="AE2390" s="153"/>
      <c r="AF2390" s="153"/>
      <c r="AG2390" s="153"/>
      <c r="AH2390" s="153"/>
      <c r="AI2390" s="153"/>
      <c r="AJ2390" s="153"/>
      <c r="AK2390" s="153"/>
      <c r="AL2390" s="153"/>
      <c r="AM2390" s="153"/>
      <c r="AN2390" s="153"/>
      <c r="AO2390" s="153"/>
      <c r="AP2390" s="153"/>
      <c r="AQ2390" s="153"/>
      <c r="AR2390" s="153"/>
      <c r="AS2390" s="153"/>
      <c r="AT2390" s="153"/>
      <c r="AU2390" s="153"/>
      <c r="AV2390" s="153"/>
      <c r="AW2390" s="153"/>
      <c r="AX2390" s="153"/>
      <c r="AY2390" s="153"/>
      <c r="AZ2390" s="153"/>
      <c r="BA2390" s="153"/>
      <c r="BB2390" s="153"/>
      <c r="BC2390" s="153"/>
      <c r="BD2390" s="153"/>
      <c r="BE2390" s="153"/>
      <c r="BF2390" s="153"/>
      <c r="BG2390" s="153"/>
      <c r="BH2390" s="153"/>
      <c r="BI2390" s="153"/>
      <c r="BJ2390" s="153"/>
      <c r="BK2390" s="153"/>
      <c r="BL2390" s="153"/>
      <c r="BM2390" s="153"/>
      <c r="BN2390" s="153"/>
      <c r="BO2390" s="153"/>
      <c r="BP2390" s="153"/>
      <c r="BQ2390" s="153"/>
      <c r="BR2390" s="153"/>
      <c r="BS2390" s="153"/>
      <c r="BT2390" s="153"/>
      <c r="BU2390" s="153"/>
      <c r="BV2390" s="153"/>
      <c r="BW2390" s="153"/>
      <c r="BX2390" s="153"/>
      <c r="BY2390" s="153"/>
      <c r="BZ2390" s="153"/>
      <c r="CA2390" s="153"/>
      <c r="CB2390" s="153"/>
      <c r="CC2390" s="153"/>
      <c r="CD2390" s="155"/>
      <c r="CE2390" s="156"/>
      <c r="CF2390" s="155"/>
      <c r="CG2390" s="156"/>
      <c r="CH2390" s="155"/>
      <c r="CI2390" s="156"/>
      <c r="CJ2390" s="157">
        <f t="shared" si="295"/>
        <v>0</v>
      </c>
      <c r="CK2390" s="158"/>
      <c r="CL2390" s="159"/>
      <c r="CM2390" s="160"/>
      <c r="CN2390" s="161"/>
      <c r="CO2390" s="162"/>
      <c r="CP2390" s="161"/>
      <c r="CQ2390" s="158"/>
      <c r="CR2390" s="159"/>
      <c r="CS2390" s="68"/>
      <c r="CT2390" s="163"/>
      <c r="EC2390" s="366" t="str">
        <f t="shared" si="292"/>
        <v>HUILA_YAGUARA</v>
      </c>
      <c r="ED2390" s="367"/>
      <c r="EE2390" s="367"/>
      <c r="EF2390" s="368"/>
      <c r="EG2390" s="367"/>
      <c r="EH2390" s="367"/>
      <c r="EI2390" s="367"/>
    </row>
    <row r="2391" spans="1:139" s="164" customFormat="1" ht="25.5">
      <c r="A2391" s="228">
        <v>40543</v>
      </c>
      <c r="B2391" s="205" t="s">
        <v>1824</v>
      </c>
      <c r="C2391" s="205" t="s">
        <v>92</v>
      </c>
      <c r="D2391" s="207" t="s">
        <v>1201</v>
      </c>
      <c r="E2391" s="323" t="s">
        <v>3942</v>
      </c>
      <c r="F2391" s="323"/>
      <c r="G2391" s="204"/>
      <c r="H2391" s="151"/>
      <c r="I2391" s="151"/>
      <c r="J2391" s="151">
        <v>257</v>
      </c>
      <c r="K2391" s="151">
        <v>76</v>
      </c>
      <c r="L2391" s="1"/>
      <c r="M2391" s="73">
        <f t="shared" si="293"/>
        <v>0</v>
      </c>
      <c r="N2391" s="73">
        <f t="shared" si="297"/>
        <v>0</v>
      </c>
      <c r="O2391" s="73">
        <f t="shared" si="291"/>
        <v>0</v>
      </c>
      <c r="P2391" s="73">
        <f t="shared" si="294"/>
        <v>0</v>
      </c>
      <c r="Q2391" s="73"/>
      <c r="R2391" s="73">
        <v>0</v>
      </c>
      <c r="S2391" s="75">
        <f t="shared" si="296"/>
        <v>0</v>
      </c>
      <c r="T2391" s="77">
        <v>0</v>
      </c>
      <c r="U2391" s="66">
        <v>40589</v>
      </c>
      <c r="V2391" s="79"/>
      <c r="W2391" s="66" t="s">
        <v>1585</v>
      </c>
      <c r="X2391" s="24" t="s">
        <v>1586</v>
      </c>
      <c r="Y2391" s="62"/>
      <c r="Z2391" s="169" t="s">
        <v>894</v>
      </c>
      <c r="AA2391" s="166" t="s">
        <v>95</v>
      </c>
      <c r="AB2391" s="152"/>
      <c r="AC2391" s="153"/>
      <c r="AD2391" s="154"/>
      <c r="AE2391" s="153"/>
      <c r="AF2391" s="153"/>
      <c r="AG2391" s="153"/>
      <c r="AH2391" s="153"/>
      <c r="AI2391" s="153"/>
      <c r="AJ2391" s="153"/>
      <c r="AK2391" s="153"/>
      <c r="AL2391" s="153"/>
      <c r="AM2391" s="153"/>
      <c r="AN2391" s="153"/>
      <c r="AO2391" s="153"/>
      <c r="AP2391" s="153"/>
      <c r="AQ2391" s="153"/>
      <c r="AR2391" s="153"/>
      <c r="AS2391" s="153"/>
      <c r="AT2391" s="153"/>
      <c r="AU2391" s="153"/>
      <c r="AV2391" s="153"/>
      <c r="AW2391" s="153"/>
      <c r="AX2391" s="153"/>
      <c r="AY2391" s="153"/>
      <c r="AZ2391" s="153"/>
      <c r="BA2391" s="153"/>
      <c r="BB2391" s="153"/>
      <c r="BC2391" s="153"/>
      <c r="BD2391" s="153"/>
      <c r="BE2391" s="153"/>
      <c r="BF2391" s="153"/>
      <c r="BG2391" s="153"/>
      <c r="BH2391" s="153"/>
      <c r="BI2391" s="153"/>
      <c r="BJ2391" s="153"/>
      <c r="BK2391" s="153"/>
      <c r="BL2391" s="153"/>
      <c r="BM2391" s="153"/>
      <c r="BN2391" s="153"/>
      <c r="BO2391" s="153"/>
      <c r="BP2391" s="153"/>
      <c r="BQ2391" s="153"/>
      <c r="BR2391" s="153"/>
      <c r="BS2391" s="153"/>
      <c r="BT2391" s="153"/>
      <c r="BU2391" s="153"/>
      <c r="BV2391" s="153"/>
      <c r="BW2391" s="153"/>
      <c r="BX2391" s="153"/>
      <c r="BY2391" s="153"/>
      <c r="BZ2391" s="153"/>
      <c r="CA2391" s="153"/>
      <c r="CB2391" s="153"/>
      <c r="CC2391" s="153"/>
      <c r="CD2391" s="155"/>
      <c r="CE2391" s="156"/>
      <c r="CF2391" s="155"/>
      <c r="CG2391" s="156"/>
      <c r="CH2391" s="155"/>
      <c r="CI2391" s="156"/>
      <c r="CJ2391" s="157">
        <f t="shared" si="295"/>
        <v>0</v>
      </c>
      <c r="CK2391" s="158"/>
      <c r="CL2391" s="159"/>
      <c r="CM2391" s="160"/>
      <c r="CN2391" s="161"/>
      <c r="CO2391" s="162"/>
      <c r="CP2391" s="161"/>
      <c r="CQ2391" s="158"/>
      <c r="CR2391" s="159"/>
      <c r="CS2391" s="68"/>
      <c r="CT2391" s="163"/>
      <c r="EC2391" s="366" t="str">
        <f t="shared" si="292"/>
        <v>NARIÑO_COLON</v>
      </c>
      <c r="ED2391" s="367"/>
      <c r="EE2391" s="367"/>
      <c r="EF2391" s="368"/>
      <c r="EG2391" s="367"/>
      <c r="EH2391" s="367"/>
      <c r="EI2391" s="367"/>
    </row>
    <row r="2392" spans="1:139" s="164" customFormat="1" ht="25.5">
      <c r="A2392" s="228">
        <v>40543</v>
      </c>
      <c r="B2392" s="205" t="s">
        <v>1824</v>
      </c>
      <c r="C2392" s="205" t="s">
        <v>93</v>
      </c>
      <c r="D2392" s="207" t="s">
        <v>1201</v>
      </c>
      <c r="E2392" s="323" t="s">
        <v>3943</v>
      </c>
      <c r="F2392" s="323"/>
      <c r="G2392" s="204"/>
      <c r="H2392" s="151"/>
      <c r="I2392" s="151"/>
      <c r="J2392" s="151">
        <v>3908</v>
      </c>
      <c r="K2392" s="151">
        <v>977</v>
      </c>
      <c r="L2392" s="1"/>
      <c r="M2392" s="73">
        <f t="shared" si="293"/>
        <v>0</v>
      </c>
      <c r="N2392" s="73">
        <f t="shared" si="297"/>
        <v>0</v>
      </c>
      <c r="O2392" s="73">
        <f t="shared" si="291"/>
        <v>0</v>
      </c>
      <c r="P2392" s="73">
        <f t="shared" si="294"/>
        <v>0</v>
      </c>
      <c r="Q2392" s="73"/>
      <c r="R2392" s="73">
        <v>0</v>
      </c>
      <c r="S2392" s="75">
        <f t="shared" si="296"/>
        <v>0</v>
      </c>
      <c r="T2392" s="77">
        <v>0</v>
      </c>
      <c r="U2392" s="66">
        <v>40589</v>
      </c>
      <c r="V2392" s="79"/>
      <c r="W2392" s="66" t="s">
        <v>1585</v>
      </c>
      <c r="X2392" s="24" t="s">
        <v>1586</v>
      </c>
      <c r="Y2392" s="62"/>
      <c r="Z2392" s="169" t="s">
        <v>894</v>
      </c>
      <c r="AA2392" s="166" t="s">
        <v>95</v>
      </c>
      <c r="AB2392" s="152"/>
      <c r="AC2392" s="153"/>
      <c r="AD2392" s="154"/>
      <c r="AE2392" s="153"/>
      <c r="AF2392" s="153"/>
      <c r="AG2392" s="153"/>
      <c r="AH2392" s="153"/>
      <c r="AI2392" s="153"/>
      <c r="AJ2392" s="153"/>
      <c r="AK2392" s="153"/>
      <c r="AL2392" s="153"/>
      <c r="AM2392" s="153"/>
      <c r="AN2392" s="153"/>
      <c r="AO2392" s="153"/>
      <c r="AP2392" s="153"/>
      <c r="AQ2392" s="153"/>
      <c r="AR2392" s="153"/>
      <c r="AS2392" s="153"/>
      <c r="AT2392" s="153"/>
      <c r="AU2392" s="153"/>
      <c r="AV2392" s="153"/>
      <c r="AW2392" s="153"/>
      <c r="AX2392" s="153"/>
      <c r="AY2392" s="153"/>
      <c r="AZ2392" s="153"/>
      <c r="BA2392" s="153"/>
      <c r="BB2392" s="153"/>
      <c r="BC2392" s="153"/>
      <c r="BD2392" s="153"/>
      <c r="BE2392" s="153"/>
      <c r="BF2392" s="153"/>
      <c r="BG2392" s="153"/>
      <c r="BH2392" s="153"/>
      <c r="BI2392" s="153"/>
      <c r="BJ2392" s="153"/>
      <c r="BK2392" s="153"/>
      <c r="BL2392" s="153"/>
      <c r="BM2392" s="153"/>
      <c r="BN2392" s="153"/>
      <c r="BO2392" s="153"/>
      <c r="BP2392" s="153"/>
      <c r="BQ2392" s="153"/>
      <c r="BR2392" s="153"/>
      <c r="BS2392" s="153"/>
      <c r="BT2392" s="153"/>
      <c r="BU2392" s="153"/>
      <c r="BV2392" s="153"/>
      <c r="BW2392" s="153"/>
      <c r="BX2392" s="153"/>
      <c r="BY2392" s="153"/>
      <c r="BZ2392" s="153"/>
      <c r="CA2392" s="153"/>
      <c r="CB2392" s="153"/>
      <c r="CC2392" s="153"/>
      <c r="CD2392" s="155"/>
      <c r="CE2392" s="156"/>
      <c r="CF2392" s="155"/>
      <c r="CG2392" s="156"/>
      <c r="CH2392" s="155"/>
      <c r="CI2392" s="156"/>
      <c r="CJ2392" s="157">
        <f t="shared" si="295"/>
        <v>0</v>
      </c>
      <c r="CK2392" s="158"/>
      <c r="CL2392" s="159"/>
      <c r="CM2392" s="160"/>
      <c r="CN2392" s="161"/>
      <c r="CO2392" s="162"/>
      <c r="CP2392" s="161"/>
      <c r="CQ2392" s="158"/>
      <c r="CR2392" s="159"/>
      <c r="CS2392" s="68"/>
      <c r="CT2392" s="163"/>
      <c r="EC2392" s="366" t="str">
        <f t="shared" si="292"/>
        <v>NARIÑO_CONSACA</v>
      </c>
      <c r="ED2392" s="367"/>
      <c r="EE2392" s="367"/>
      <c r="EF2392" s="368"/>
      <c r="EG2392" s="367"/>
      <c r="EH2392" s="367"/>
      <c r="EI2392" s="367"/>
    </row>
    <row r="2393" spans="1:139" s="164" customFormat="1" ht="25.5">
      <c r="A2393" s="228">
        <v>40543</v>
      </c>
      <c r="B2393" s="205" t="s">
        <v>1824</v>
      </c>
      <c r="C2393" s="205" t="s">
        <v>3173</v>
      </c>
      <c r="D2393" s="207" t="s">
        <v>1201</v>
      </c>
      <c r="E2393" s="323" t="s">
        <v>3944</v>
      </c>
      <c r="F2393" s="323"/>
      <c r="G2393" s="204"/>
      <c r="H2393" s="151"/>
      <c r="I2393" s="151"/>
      <c r="J2393" s="151">
        <v>268</v>
      </c>
      <c r="K2393" s="151">
        <v>72</v>
      </c>
      <c r="L2393" s="1"/>
      <c r="M2393" s="73">
        <f t="shared" si="293"/>
        <v>0</v>
      </c>
      <c r="N2393" s="73">
        <f t="shared" si="297"/>
        <v>0</v>
      </c>
      <c r="O2393" s="73">
        <f t="shared" si="291"/>
        <v>0</v>
      </c>
      <c r="P2393" s="73">
        <f t="shared" si="294"/>
        <v>0</v>
      </c>
      <c r="Q2393" s="73"/>
      <c r="R2393" s="73">
        <v>0</v>
      </c>
      <c r="S2393" s="75">
        <f t="shared" si="296"/>
        <v>0</v>
      </c>
      <c r="T2393" s="77">
        <v>0</v>
      </c>
      <c r="U2393" s="66">
        <v>40589</v>
      </c>
      <c r="V2393" s="79"/>
      <c r="W2393" s="66" t="s">
        <v>1585</v>
      </c>
      <c r="X2393" s="24" t="s">
        <v>1586</v>
      </c>
      <c r="Y2393" s="62"/>
      <c r="Z2393" s="169" t="s">
        <v>894</v>
      </c>
      <c r="AA2393" s="166" t="s">
        <v>95</v>
      </c>
      <c r="AB2393" s="152"/>
      <c r="AC2393" s="153"/>
      <c r="AD2393" s="154"/>
      <c r="AE2393" s="153"/>
      <c r="AF2393" s="153"/>
      <c r="AG2393" s="153"/>
      <c r="AH2393" s="153"/>
      <c r="AI2393" s="153"/>
      <c r="AJ2393" s="153"/>
      <c r="AK2393" s="153"/>
      <c r="AL2393" s="153"/>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c r="BF2393" s="153"/>
      <c r="BG2393" s="153"/>
      <c r="BH2393" s="153"/>
      <c r="BI2393" s="153"/>
      <c r="BJ2393" s="153"/>
      <c r="BK2393" s="153"/>
      <c r="BL2393" s="153"/>
      <c r="BM2393" s="153"/>
      <c r="BN2393" s="153"/>
      <c r="BO2393" s="153"/>
      <c r="BP2393" s="153"/>
      <c r="BQ2393" s="153"/>
      <c r="BR2393" s="153"/>
      <c r="BS2393" s="153"/>
      <c r="BT2393" s="153"/>
      <c r="BU2393" s="153"/>
      <c r="BV2393" s="153"/>
      <c r="BW2393" s="153"/>
      <c r="BX2393" s="153"/>
      <c r="BY2393" s="153"/>
      <c r="BZ2393" s="153"/>
      <c r="CA2393" s="153"/>
      <c r="CB2393" s="153"/>
      <c r="CC2393" s="153"/>
      <c r="CD2393" s="155"/>
      <c r="CE2393" s="156"/>
      <c r="CF2393" s="155"/>
      <c r="CG2393" s="156"/>
      <c r="CH2393" s="155"/>
      <c r="CI2393" s="156"/>
      <c r="CJ2393" s="157">
        <f t="shared" si="295"/>
        <v>0</v>
      </c>
      <c r="CK2393" s="158"/>
      <c r="CL2393" s="159"/>
      <c r="CM2393" s="160"/>
      <c r="CN2393" s="161"/>
      <c r="CO2393" s="162"/>
      <c r="CP2393" s="161"/>
      <c r="CQ2393" s="158"/>
      <c r="CR2393" s="159"/>
      <c r="CS2393" s="68"/>
      <c r="CT2393" s="163"/>
      <c r="EC2393" s="366" t="str">
        <f t="shared" si="292"/>
        <v>NARIÑO_CONTADERO</v>
      </c>
      <c r="ED2393" s="367"/>
      <c r="EE2393" s="367"/>
      <c r="EF2393" s="368"/>
      <c r="EG2393" s="367"/>
      <c r="EH2393" s="367"/>
      <c r="EI2393" s="367"/>
    </row>
    <row r="2394" spans="1:139" s="164" customFormat="1" ht="50.25" customHeight="1">
      <c r="A2394" s="228">
        <v>40543</v>
      </c>
      <c r="B2394" s="205" t="s">
        <v>1824</v>
      </c>
      <c r="C2394" s="205" t="s">
        <v>1295</v>
      </c>
      <c r="D2394" s="207" t="s">
        <v>1878</v>
      </c>
      <c r="E2394" s="323" t="s">
        <v>3945</v>
      </c>
      <c r="F2394" s="323"/>
      <c r="G2394" s="204"/>
      <c r="H2394" s="151"/>
      <c r="I2394" s="151"/>
      <c r="J2394" s="151">
        <v>30</v>
      </c>
      <c r="K2394" s="151">
        <v>6</v>
      </c>
      <c r="L2394" s="1"/>
      <c r="M2394" s="73">
        <f t="shared" si="293"/>
        <v>0</v>
      </c>
      <c r="N2394" s="73">
        <f t="shared" si="297"/>
        <v>0</v>
      </c>
      <c r="O2394" s="73">
        <f t="shared" si="291"/>
        <v>0</v>
      </c>
      <c r="P2394" s="73">
        <f t="shared" si="294"/>
        <v>0</v>
      </c>
      <c r="Q2394" s="73"/>
      <c r="R2394" s="73">
        <v>0</v>
      </c>
      <c r="S2394" s="75">
        <f t="shared" si="296"/>
        <v>0</v>
      </c>
      <c r="T2394" s="77">
        <v>0</v>
      </c>
      <c r="U2394" s="66">
        <v>40606</v>
      </c>
      <c r="V2394" s="79"/>
      <c r="W2394" s="66" t="s">
        <v>1585</v>
      </c>
      <c r="X2394" s="24" t="s">
        <v>1586</v>
      </c>
      <c r="Y2394" s="62"/>
      <c r="Z2394" s="169" t="s">
        <v>894</v>
      </c>
      <c r="AA2394" s="166" t="s">
        <v>161</v>
      </c>
      <c r="AB2394" s="152"/>
      <c r="AC2394" s="153"/>
      <c r="AD2394" s="154"/>
      <c r="AE2394" s="153"/>
      <c r="AF2394" s="153"/>
      <c r="AG2394" s="153"/>
      <c r="AH2394" s="153"/>
      <c r="AI2394" s="153"/>
      <c r="AJ2394" s="153"/>
      <c r="AK2394" s="153"/>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c r="BF2394" s="153"/>
      <c r="BG2394" s="153"/>
      <c r="BH2394" s="153"/>
      <c r="BI2394" s="153"/>
      <c r="BJ2394" s="153"/>
      <c r="BK2394" s="153"/>
      <c r="BL2394" s="153"/>
      <c r="BM2394" s="153"/>
      <c r="BN2394" s="153"/>
      <c r="BO2394" s="153"/>
      <c r="BP2394" s="153"/>
      <c r="BQ2394" s="153"/>
      <c r="BR2394" s="153"/>
      <c r="BS2394" s="153"/>
      <c r="BT2394" s="153"/>
      <c r="BU2394" s="153"/>
      <c r="BV2394" s="153"/>
      <c r="BW2394" s="153"/>
      <c r="BX2394" s="153"/>
      <c r="BY2394" s="153"/>
      <c r="BZ2394" s="153"/>
      <c r="CA2394" s="153"/>
      <c r="CB2394" s="153"/>
      <c r="CC2394" s="153"/>
      <c r="CD2394" s="155"/>
      <c r="CE2394" s="156"/>
      <c r="CF2394" s="155"/>
      <c r="CG2394" s="156"/>
      <c r="CH2394" s="155"/>
      <c r="CI2394" s="156"/>
      <c r="CJ2394" s="157">
        <f t="shared" si="295"/>
        <v>0</v>
      </c>
      <c r="CK2394" s="158"/>
      <c r="CL2394" s="159"/>
      <c r="CM2394" s="160"/>
      <c r="CN2394" s="161"/>
      <c r="CO2394" s="162"/>
      <c r="CP2394" s="161"/>
      <c r="CQ2394" s="158"/>
      <c r="CR2394" s="159"/>
      <c r="CS2394" s="68"/>
      <c r="CT2394" s="163"/>
      <c r="EC2394" s="366" t="str">
        <f t="shared" si="292"/>
        <v>NARIÑO_CORDOBA</v>
      </c>
      <c r="ED2394" s="367"/>
      <c r="EE2394" s="367"/>
      <c r="EF2394" s="368"/>
      <c r="EG2394" s="367"/>
      <c r="EH2394" s="367"/>
      <c r="EI2394" s="367"/>
    </row>
    <row r="2395" spans="1:139" s="164" customFormat="1" ht="25.5">
      <c r="A2395" s="228">
        <v>40543</v>
      </c>
      <c r="B2395" s="205" t="s">
        <v>1824</v>
      </c>
      <c r="C2395" s="205" t="s">
        <v>158</v>
      </c>
      <c r="D2395" s="207" t="s">
        <v>1878</v>
      </c>
      <c r="E2395" s="323" t="s">
        <v>3952</v>
      </c>
      <c r="F2395" s="323"/>
      <c r="G2395" s="204"/>
      <c r="H2395" s="151"/>
      <c r="I2395" s="151"/>
      <c r="J2395" s="151">
        <v>295</v>
      </c>
      <c r="K2395" s="151">
        <v>59</v>
      </c>
      <c r="L2395" s="1"/>
      <c r="M2395" s="73">
        <f t="shared" si="293"/>
        <v>0</v>
      </c>
      <c r="N2395" s="73">
        <f t="shared" si="297"/>
        <v>0</v>
      </c>
      <c r="O2395" s="73">
        <f t="shared" si="291"/>
        <v>0</v>
      </c>
      <c r="P2395" s="73">
        <f t="shared" si="294"/>
        <v>0</v>
      </c>
      <c r="Q2395" s="73"/>
      <c r="R2395" s="73">
        <v>0</v>
      </c>
      <c r="S2395" s="75">
        <f t="shared" si="296"/>
        <v>0</v>
      </c>
      <c r="T2395" s="77">
        <v>0</v>
      </c>
      <c r="U2395" s="66">
        <v>40606</v>
      </c>
      <c r="V2395" s="79"/>
      <c r="W2395" s="66" t="s">
        <v>1585</v>
      </c>
      <c r="X2395" s="24" t="s">
        <v>1586</v>
      </c>
      <c r="Y2395" s="62"/>
      <c r="Z2395" s="169" t="s">
        <v>894</v>
      </c>
      <c r="AA2395" s="166" t="s">
        <v>161</v>
      </c>
      <c r="AB2395" s="152"/>
      <c r="AC2395" s="153"/>
      <c r="AD2395" s="154"/>
      <c r="AE2395" s="153"/>
      <c r="AF2395" s="153"/>
      <c r="AG2395" s="153"/>
      <c r="AH2395" s="153"/>
      <c r="AI2395" s="153"/>
      <c r="AJ2395" s="153"/>
      <c r="AK2395" s="153"/>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c r="BF2395" s="153"/>
      <c r="BG2395" s="153"/>
      <c r="BH2395" s="153"/>
      <c r="BI2395" s="153"/>
      <c r="BJ2395" s="153"/>
      <c r="BK2395" s="153"/>
      <c r="BL2395" s="153"/>
      <c r="BM2395" s="153"/>
      <c r="BN2395" s="153"/>
      <c r="BO2395" s="153"/>
      <c r="BP2395" s="153"/>
      <c r="BQ2395" s="153"/>
      <c r="BR2395" s="153"/>
      <c r="BS2395" s="153"/>
      <c r="BT2395" s="153"/>
      <c r="BU2395" s="153"/>
      <c r="BV2395" s="153"/>
      <c r="BW2395" s="153"/>
      <c r="BX2395" s="153"/>
      <c r="BY2395" s="153"/>
      <c r="BZ2395" s="153"/>
      <c r="CA2395" s="153"/>
      <c r="CB2395" s="153"/>
      <c r="CC2395" s="153"/>
      <c r="CD2395" s="155"/>
      <c r="CE2395" s="156"/>
      <c r="CF2395" s="155"/>
      <c r="CG2395" s="156"/>
      <c r="CH2395" s="155"/>
      <c r="CI2395" s="156"/>
      <c r="CJ2395" s="157">
        <f t="shared" si="295"/>
        <v>0</v>
      </c>
      <c r="CK2395" s="158"/>
      <c r="CL2395" s="159"/>
      <c r="CM2395" s="160"/>
      <c r="CN2395" s="161"/>
      <c r="CO2395" s="162"/>
      <c r="CP2395" s="161"/>
      <c r="CQ2395" s="158"/>
      <c r="CR2395" s="159"/>
      <c r="CS2395" s="68"/>
      <c r="CT2395" s="163"/>
      <c r="EC2395" s="366" t="str">
        <f t="shared" si="292"/>
        <v>NARIÑO_EL ROSARIO</v>
      </c>
      <c r="ED2395" s="367"/>
      <c r="EE2395" s="367"/>
      <c r="EF2395" s="368"/>
      <c r="EG2395" s="367"/>
      <c r="EH2395" s="367"/>
      <c r="EI2395" s="367"/>
    </row>
    <row r="2396" spans="1:139" s="164" customFormat="1" ht="25.5">
      <c r="A2396" s="228">
        <v>40543</v>
      </c>
      <c r="B2396" s="205" t="s">
        <v>1824</v>
      </c>
      <c r="C2396" s="205" t="s">
        <v>159</v>
      </c>
      <c r="D2396" s="207" t="s">
        <v>1878</v>
      </c>
      <c r="E2396" s="323" t="s">
        <v>3963</v>
      </c>
      <c r="F2396" s="323"/>
      <c r="G2396" s="204"/>
      <c r="H2396" s="151"/>
      <c r="I2396" s="151"/>
      <c r="J2396" s="151">
        <v>7</v>
      </c>
      <c r="K2396" s="151">
        <v>2</v>
      </c>
      <c r="L2396" s="1"/>
      <c r="M2396" s="73">
        <f t="shared" si="293"/>
        <v>0</v>
      </c>
      <c r="N2396" s="73">
        <f t="shared" si="297"/>
        <v>0</v>
      </c>
      <c r="O2396" s="73">
        <f t="shared" si="291"/>
        <v>0</v>
      </c>
      <c r="P2396" s="73">
        <f t="shared" si="294"/>
        <v>0</v>
      </c>
      <c r="Q2396" s="73"/>
      <c r="R2396" s="73">
        <v>0</v>
      </c>
      <c r="S2396" s="75">
        <f t="shared" si="296"/>
        <v>0</v>
      </c>
      <c r="T2396" s="77">
        <v>0</v>
      </c>
      <c r="U2396" s="66">
        <v>40606</v>
      </c>
      <c r="V2396" s="79"/>
      <c r="W2396" s="66" t="s">
        <v>1585</v>
      </c>
      <c r="X2396" s="24" t="s">
        <v>1586</v>
      </c>
      <c r="Y2396" s="62"/>
      <c r="Z2396" s="169" t="s">
        <v>894</v>
      </c>
      <c r="AA2396" s="166" t="s">
        <v>161</v>
      </c>
      <c r="AB2396" s="152"/>
      <c r="AC2396" s="153"/>
      <c r="AD2396" s="154"/>
      <c r="AE2396" s="153"/>
      <c r="AF2396" s="153"/>
      <c r="AG2396" s="153"/>
      <c r="AH2396" s="153"/>
      <c r="AI2396" s="153"/>
      <c r="AJ2396" s="153"/>
      <c r="AK2396" s="153"/>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c r="BF2396" s="153"/>
      <c r="BG2396" s="153"/>
      <c r="BH2396" s="153"/>
      <c r="BI2396" s="153"/>
      <c r="BJ2396" s="153"/>
      <c r="BK2396" s="153"/>
      <c r="BL2396" s="153"/>
      <c r="BM2396" s="153"/>
      <c r="BN2396" s="153"/>
      <c r="BO2396" s="153"/>
      <c r="BP2396" s="153"/>
      <c r="BQ2396" s="153"/>
      <c r="BR2396" s="153"/>
      <c r="BS2396" s="153"/>
      <c r="BT2396" s="153"/>
      <c r="BU2396" s="153"/>
      <c r="BV2396" s="153"/>
      <c r="BW2396" s="153"/>
      <c r="BX2396" s="153"/>
      <c r="BY2396" s="153"/>
      <c r="BZ2396" s="153"/>
      <c r="CA2396" s="153"/>
      <c r="CB2396" s="153"/>
      <c r="CC2396" s="153"/>
      <c r="CD2396" s="155"/>
      <c r="CE2396" s="156"/>
      <c r="CF2396" s="155"/>
      <c r="CG2396" s="156"/>
      <c r="CH2396" s="155"/>
      <c r="CI2396" s="156"/>
      <c r="CJ2396" s="157">
        <f t="shared" si="295"/>
        <v>0</v>
      </c>
      <c r="CK2396" s="158"/>
      <c r="CL2396" s="159"/>
      <c r="CM2396" s="160"/>
      <c r="CN2396" s="161"/>
      <c r="CO2396" s="162"/>
      <c r="CP2396" s="161"/>
      <c r="CQ2396" s="158"/>
      <c r="CR2396" s="159"/>
      <c r="CS2396" s="68"/>
      <c r="CT2396" s="163"/>
      <c r="EC2396" s="366" t="str">
        <f t="shared" si="292"/>
        <v>NARIÑO_LA FLORIDA</v>
      </c>
      <c r="ED2396" s="367"/>
      <c r="EE2396" s="367"/>
      <c r="EF2396" s="368"/>
      <c r="EG2396" s="367"/>
      <c r="EH2396" s="367"/>
      <c r="EI2396" s="367"/>
    </row>
    <row r="2397" spans="1:139" s="164" customFormat="1" ht="38.25">
      <c r="A2397" s="228">
        <v>40543</v>
      </c>
      <c r="B2397" s="205" t="s">
        <v>1824</v>
      </c>
      <c r="C2397" s="205" t="s">
        <v>1990</v>
      </c>
      <c r="D2397" s="207" t="s">
        <v>1201</v>
      </c>
      <c r="E2397" s="323" t="s">
        <v>3979</v>
      </c>
      <c r="F2397" s="323"/>
      <c r="G2397" s="204"/>
      <c r="H2397" s="151"/>
      <c r="I2397" s="151"/>
      <c r="J2397" s="151">
        <v>1039</v>
      </c>
      <c r="K2397" s="151">
        <v>371</v>
      </c>
      <c r="L2397" s="1"/>
      <c r="M2397" s="73">
        <f t="shared" si="293"/>
        <v>0</v>
      </c>
      <c r="N2397" s="73">
        <f t="shared" si="297"/>
        <v>0</v>
      </c>
      <c r="O2397" s="73">
        <f t="shared" si="291"/>
        <v>0</v>
      </c>
      <c r="P2397" s="73">
        <f t="shared" si="294"/>
        <v>0</v>
      </c>
      <c r="Q2397" s="73"/>
      <c r="R2397" s="73">
        <v>0</v>
      </c>
      <c r="S2397" s="75">
        <f t="shared" si="296"/>
        <v>0</v>
      </c>
      <c r="T2397" s="77">
        <v>0</v>
      </c>
      <c r="U2397" s="66">
        <v>40589</v>
      </c>
      <c r="V2397" s="79"/>
      <c r="W2397" s="66" t="s">
        <v>1585</v>
      </c>
      <c r="X2397" s="24" t="s">
        <v>1586</v>
      </c>
      <c r="Y2397" s="62"/>
      <c r="Z2397" s="169" t="s">
        <v>894</v>
      </c>
      <c r="AA2397" s="166" t="s">
        <v>95</v>
      </c>
      <c r="AB2397" s="152"/>
      <c r="AC2397" s="153"/>
      <c r="AD2397" s="154"/>
      <c r="AE2397" s="153"/>
      <c r="AF2397" s="153"/>
      <c r="AG2397" s="153"/>
      <c r="AH2397" s="153"/>
      <c r="AI2397" s="153"/>
      <c r="AJ2397" s="153"/>
      <c r="AK2397" s="153"/>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c r="BF2397" s="153"/>
      <c r="BG2397" s="153"/>
      <c r="BH2397" s="153"/>
      <c r="BI2397" s="153"/>
      <c r="BJ2397" s="153"/>
      <c r="BK2397" s="153"/>
      <c r="BL2397" s="153"/>
      <c r="BM2397" s="153"/>
      <c r="BN2397" s="153"/>
      <c r="BO2397" s="153"/>
      <c r="BP2397" s="153"/>
      <c r="BQ2397" s="153"/>
      <c r="BR2397" s="153"/>
      <c r="BS2397" s="153"/>
      <c r="BT2397" s="153"/>
      <c r="BU2397" s="153"/>
      <c r="BV2397" s="153"/>
      <c r="BW2397" s="153"/>
      <c r="BX2397" s="153"/>
      <c r="BY2397" s="153"/>
      <c r="BZ2397" s="153"/>
      <c r="CA2397" s="153"/>
      <c r="CB2397" s="153"/>
      <c r="CC2397" s="153"/>
      <c r="CD2397" s="155"/>
      <c r="CE2397" s="156"/>
      <c r="CF2397" s="155"/>
      <c r="CG2397" s="156"/>
      <c r="CH2397" s="155"/>
      <c r="CI2397" s="156"/>
      <c r="CJ2397" s="157">
        <f t="shared" si="295"/>
        <v>0</v>
      </c>
      <c r="CK2397" s="158"/>
      <c r="CL2397" s="159"/>
      <c r="CM2397" s="160"/>
      <c r="CN2397" s="161"/>
      <c r="CO2397" s="162"/>
      <c r="CP2397" s="161"/>
      <c r="CQ2397" s="158"/>
      <c r="CR2397" s="159"/>
      <c r="CS2397" s="68"/>
      <c r="CT2397" s="163"/>
      <c r="EC2397" s="366" t="str">
        <f t="shared" si="292"/>
        <v>NARIÑO_PROVIDENCIA</v>
      </c>
      <c r="ED2397" s="367"/>
      <c r="EE2397" s="367"/>
      <c r="EF2397" s="368"/>
      <c r="EG2397" s="367"/>
      <c r="EH2397" s="367"/>
      <c r="EI2397" s="367"/>
    </row>
    <row r="2398" spans="1:139" s="164" customFormat="1" ht="38.25">
      <c r="A2398" s="228">
        <v>40543</v>
      </c>
      <c r="B2398" s="205" t="s">
        <v>1824</v>
      </c>
      <c r="C2398" s="205" t="s">
        <v>160</v>
      </c>
      <c r="D2398" s="207" t="s">
        <v>1878</v>
      </c>
      <c r="E2398" s="323" t="s">
        <v>3997</v>
      </c>
      <c r="F2398" s="323"/>
      <c r="G2398" s="204"/>
      <c r="H2398" s="151"/>
      <c r="I2398" s="151"/>
      <c r="J2398" s="151">
        <v>140</v>
      </c>
      <c r="K2398" s="151">
        <v>35</v>
      </c>
      <c r="L2398" s="1"/>
      <c r="M2398" s="73">
        <f t="shared" si="293"/>
        <v>0</v>
      </c>
      <c r="N2398" s="73">
        <f t="shared" si="297"/>
        <v>0</v>
      </c>
      <c r="O2398" s="73">
        <f t="shared" si="291"/>
        <v>0</v>
      </c>
      <c r="P2398" s="73">
        <f t="shared" si="294"/>
        <v>0</v>
      </c>
      <c r="Q2398" s="73"/>
      <c r="R2398" s="73">
        <v>0</v>
      </c>
      <c r="S2398" s="75">
        <f t="shared" si="296"/>
        <v>0</v>
      </c>
      <c r="T2398" s="77">
        <v>0</v>
      </c>
      <c r="U2398" s="66">
        <v>40606</v>
      </c>
      <c r="V2398" s="79"/>
      <c r="W2398" s="66" t="s">
        <v>1585</v>
      </c>
      <c r="X2398" s="24" t="s">
        <v>1586</v>
      </c>
      <c r="Y2398" s="62"/>
      <c r="Z2398" s="169" t="s">
        <v>894</v>
      </c>
      <c r="AA2398" s="166" t="s">
        <v>161</v>
      </c>
      <c r="AB2398" s="152"/>
      <c r="AC2398" s="153"/>
      <c r="AD2398" s="154"/>
      <c r="AE2398" s="153"/>
      <c r="AF2398" s="153"/>
      <c r="AG2398" s="153"/>
      <c r="AH2398" s="153"/>
      <c r="AI2398" s="153"/>
      <c r="AJ2398" s="153"/>
      <c r="AK2398" s="153"/>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c r="BF2398" s="153"/>
      <c r="BG2398" s="153"/>
      <c r="BH2398" s="153"/>
      <c r="BI2398" s="153"/>
      <c r="BJ2398" s="153"/>
      <c r="BK2398" s="153"/>
      <c r="BL2398" s="153"/>
      <c r="BM2398" s="153"/>
      <c r="BN2398" s="153"/>
      <c r="BO2398" s="153"/>
      <c r="BP2398" s="153"/>
      <c r="BQ2398" s="153"/>
      <c r="BR2398" s="153"/>
      <c r="BS2398" s="153"/>
      <c r="BT2398" s="153"/>
      <c r="BU2398" s="153"/>
      <c r="BV2398" s="153"/>
      <c r="BW2398" s="153"/>
      <c r="BX2398" s="153"/>
      <c r="BY2398" s="153"/>
      <c r="BZ2398" s="153"/>
      <c r="CA2398" s="153"/>
      <c r="CB2398" s="153"/>
      <c r="CC2398" s="153"/>
      <c r="CD2398" s="155"/>
      <c r="CE2398" s="156"/>
      <c r="CF2398" s="155"/>
      <c r="CG2398" s="156"/>
      <c r="CH2398" s="155"/>
      <c r="CI2398" s="156"/>
      <c r="CJ2398" s="157">
        <f t="shared" si="295"/>
        <v>0</v>
      </c>
      <c r="CK2398" s="158"/>
      <c r="CL2398" s="159"/>
      <c r="CM2398" s="160"/>
      <c r="CN2398" s="161"/>
      <c r="CO2398" s="162"/>
      <c r="CP2398" s="161"/>
      <c r="CQ2398" s="158"/>
      <c r="CR2398" s="159"/>
      <c r="CS2398" s="68"/>
      <c r="CT2398" s="163"/>
      <c r="EC2398" s="366" t="str">
        <f t="shared" si="292"/>
        <v>NARIÑO_YACUANQUER</v>
      </c>
      <c r="ED2398" s="367"/>
      <c r="EE2398" s="367"/>
      <c r="EF2398" s="368"/>
      <c r="EG2398" s="367"/>
      <c r="EH2398" s="367"/>
      <c r="EI2398" s="367"/>
    </row>
    <row r="2399" spans="1:139" s="164" customFormat="1">
      <c r="A2399" s="228"/>
      <c r="B2399" s="205"/>
      <c r="C2399" s="205"/>
      <c r="D2399" s="207"/>
      <c r="E2399" s="323"/>
      <c r="F2399" s="323"/>
      <c r="G2399" s="204"/>
      <c r="H2399" s="151"/>
      <c r="I2399" s="151"/>
      <c r="J2399" s="151"/>
      <c r="K2399" s="151"/>
      <c r="L2399" s="1"/>
      <c r="M2399" s="73">
        <f>CJ2399</f>
        <v>0</v>
      </c>
      <c r="N2399" s="73">
        <f>CN2399</f>
        <v>0</v>
      </c>
      <c r="O2399" s="73">
        <f>CP2399+CR2399</f>
        <v>0</v>
      </c>
      <c r="P2399" s="73">
        <f>CL2399</f>
        <v>0</v>
      </c>
      <c r="Q2399" s="73"/>
      <c r="R2399" s="73">
        <v>0</v>
      </c>
      <c r="S2399" s="75">
        <f>M2399+N2399+O2399+P2399+Q2399+R2399</f>
        <v>0</v>
      </c>
      <c r="T2399" s="77">
        <v>0</v>
      </c>
      <c r="U2399" s="66"/>
      <c r="V2399" s="79"/>
      <c r="W2399" s="66"/>
      <c r="X2399" s="24"/>
      <c r="Y2399" s="62"/>
      <c r="Z2399" s="169"/>
      <c r="AA2399" s="166"/>
      <c r="AB2399" s="152"/>
      <c r="AC2399" s="153"/>
      <c r="AD2399" s="154"/>
      <c r="AE2399" s="153"/>
      <c r="AF2399" s="153"/>
      <c r="AG2399" s="153"/>
      <c r="AH2399" s="153"/>
      <c r="AI2399" s="153"/>
      <c r="AJ2399" s="153"/>
      <c r="AK2399" s="153"/>
      <c r="AL2399" s="153"/>
      <c r="AM2399" s="153"/>
      <c r="AN2399" s="153"/>
      <c r="AO2399" s="153"/>
      <c r="AP2399" s="153"/>
      <c r="AQ2399" s="153"/>
      <c r="AR2399" s="153"/>
      <c r="AS2399" s="153"/>
      <c r="AT2399" s="153"/>
      <c r="AU2399" s="153"/>
      <c r="AV2399" s="153"/>
      <c r="AW2399" s="153"/>
      <c r="AX2399" s="153"/>
      <c r="AY2399" s="153"/>
      <c r="AZ2399" s="153"/>
      <c r="BA2399" s="153"/>
      <c r="BB2399" s="153"/>
      <c r="BC2399" s="153"/>
      <c r="BD2399" s="153"/>
      <c r="BE2399" s="153"/>
      <c r="BF2399" s="153"/>
      <c r="BG2399" s="153"/>
      <c r="BH2399" s="153"/>
      <c r="BI2399" s="153"/>
      <c r="BJ2399" s="153"/>
      <c r="BK2399" s="153"/>
      <c r="BL2399" s="153"/>
      <c r="BM2399" s="153"/>
      <c r="BN2399" s="153"/>
      <c r="BO2399" s="153"/>
      <c r="BP2399" s="153"/>
      <c r="BQ2399" s="153"/>
      <c r="BR2399" s="153"/>
      <c r="BS2399" s="153"/>
      <c r="BT2399" s="153"/>
      <c r="BU2399" s="153"/>
      <c r="BV2399" s="153"/>
      <c r="BW2399" s="153"/>
      <c r="BX2399" s="153"/>
      <c r="BY2399" s="153"/>
      <c r="BZ2399" s="153"/>
      <c r="CA2399" s="153"/>
      <c r="CB2399" s="153"/>
      <c r="CC2399" s="153"/>
      <c r="CD2399" s="155"/>
      <c r="CE2399" s="156"/>
      <c r="CF2399" s="155"/>
      <c r="CG2399" s="156"/>
      <c r="CH2399" s="155"/>
      <c r="CI2399" s="156"/>
      <c r="CJ2399" s="157">
        <f>AC2399+AE2399+AG2399+AI2399+AK2399+AM2399+AO2399+AQ2399+AS2399+AU2399+AW2399+AY2399+BA2399+BC2399+BE2399+BG2399+BI2399+BK2399+BM2399+BO2399+BQ2399+BS2399+BU2399+BW2399+BY2399+CA2399+CC2399+CE2399+CG2399+CI2399</f>
        <v>0</v>
      </c>
      <c r="CK2399" s="158"/>
      <c r="CL2399" s="159"/>
      <c r="CM2399" s="160"/>
      <c r="CN2399" s="161"/>
      <c r="CO2399" s="162"/>
      <c r="CP2399" s="161"/>
      <c r="CQ2399" s="158"/>
      <c r="CR2399" s="159"/>
      <c r="CS2399" s="68"/>
      <c r="CT2399" s="163">
        <v>1650</v>
      </c>
      <c r="EC2399" s="366"/>
      <c r="ED2399" s="367"/>
      <c r="EE2399" s="367"/>
      <c r="EF2399" s="368"/>
      <c r="EG2399" s="367"/>
      <c r="EH2399" s="367"/>
      <c r="EI2399" s="367"/>
    </row>
    <row r="2400" spans="1:139" s="164" customFormat="1">
      <c r="A2400" s="228"/>
      <c r="B2400" s="205"/>
      <c r="C2400" s="205"/>
      <c r="D2400" s="207"/>
      <c r="E2400" s="323"/>
      <c r="F2400" s="323"/>
      <c r="G2400" s="204"/>
      <c r="H2400" s="151"/>
      <c r="I2400" s="151"/>
      <c r="J2400" s="175"/>
      <c r="K2400" s="151"/>
      <c r="L2400" s="1"/>
      <c r="M2400" s="73">
        <f>CJ2400</f>
        <v>0</v>
      </c>
      <c r="N2400" s="73">
        <f>CN2400</f>
        <v>0</v>
      </c>
      <c r="O2400" s="73">
        <f>CP2400+CR2400</f>
        <v>0</v>
      </c>
      <c r="P2400" s="73">
        <f>CL2400</f>
        <v>0</v>
      </c>
      <c r="Q2400" s="73"/>
      <c r="R2400" s="73">
        <v>0</v>
      </c>
      <c r="S2400" s="75">
        <f>M2400+N2400+O2400+P2400+Q2400+R2400</f>
        <v>0</v>
      </c>
      <c r="T2400" s="77">
        <v>0</v>
      </c>
      <c r="U2400" s="66"/>
      <c r="V2400" s="79"/>
      <c r="W2400" s="66"/>
      <c r="X2400" s="24"/>
      <c r="Y2400" s="62"/>
      <c r="Z2400" s="169"/>
      <c r="AA2400" s="166"/>
      <c r="AB2400" s="152"/>
      <c r="AC2400" s="153"/>
      <c r="AD2400" s="154"/>
      <c r="AE2400" s="153"/>
      <c r="AF2400" s="153"/>
      <c r="AG2400" s="153"/>
      <c r="AH2400" s="153"/>
      <c r="AI2400" s="153"/>
      <c r="AJ2400" s="153"/>
      <c r="AK2400" s="153"/>
      <c r="AL2400" s="153"/>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c r="BF2400" s="153"/>
      <c r="BG2400" s="153"/>
      <c r="BH2400" s="153"/>
      <c r="BI2400" s="153"/>
      <c r="BJ2400" s="153"/>
      <c r="BK2400" s="153"/>
      <c r="BL2400" s="153"/>
      <c r="BM2400" s="153"/>
      <c r="BN2400" s="153"/>
      <c r="BO2400" s="153"/>
      <c r="BP2400" s="153"/>
      <c r="BQ2400" s="153"/>
      <c r="BR2400" s="153"/>
      <c r="BS2400" s="153"/>
      <c r="BT2400" s="153"/>
      <c r="BU2400" s="153"/>
      <c r="BV2400" s="153"/>
      <c r="BW2400" s="153"/>
      <c r="BX2400" s="153"/>
      <c r="BY2400" s="153"/>
      <c r="BZ2400" s="153"/>
      <c r="CA2400" s="153"/>
      <c r="CB2400" s="153"/>
      <c r="CC2400" s="153"/>
      <c r="CD2400" s="155"/>
      <c r="CE2400" s="156"/>
      <c r="CF2400" s="155"/>
      <c r="CG2400" s="156"/>
      <c r="CH2400" s="155"/>
      <c r="CI2400" s="156"/>
      <c r="CJ2400" s="157">
        <f>AC2400+AE2400+AG2400+AI2400+AK2400+AM2400+AO2400+AQ2400+AS2400+AU2400+AW2400+AY2400+BA2400+BC2400+BE2400+BG2400+BI2400+BK2400+BM2400+BO2400+BQ2400+BS2400+BU2400+BW2400+BY2400+CA2400+CC2400+CE2400+CG2400+CI2400</f>
        <v>0</v>
      </c>
      <c r="CK2400" s="158"/>
      <c r="CL2400" s="159"/>
      <c r="CM2400" s="160"/>
      <c r="CN2400" s="161"/>
      <c r="CO2400" s="162"/>
      <c r="CP2400" s="161"/>
      <c r="CQ2400" s="158"/>
      <c r="CR2400" s="159"/>
      <c r="CS2400" s="68"/>
      <c r="CT2400" s="163"/>
      <c r="EC2400" s="366"/>
      <c r="ED2400" s="367"/>
      <c r="EE2400" s="367"/>
      <c r="EF2400" s="368"/>
      <c r="EG2400" s="367"/>
      <c r="EH2400" s="367"/>
      <c r="EI2400" s="367"/>
    </row>
    <row r="2401" spans="1:139" s="164" customFormat="1">
      <c r="A2401" s="228"/>
      <c r="B2401" s="205"/>
      <c r="C2401" s="205"/>
      <c r="D2401" s="207"/>
      <c r="E2401" s="323"/>
      <c r="F2401" s="323"/>
      <c r="G2401" s="204"/>
      <c r="H2401" s="151"/>
      <c r="I2401" s="151"/>
      <c r="J2401" s="151"/>
      <c r="K2401" s="151"/>
      <c r="L2401" s="1"/>
      <c r="M2401" s="73">
        <f>CJ2401</f>
        <v>0</v>
      </c>
      <c r="N2401" s="73">
        <f>CN2401</f>
        <v>0</v>
      </c>
      <c r="O2401" s="73">
        <f>CP2401+CR2401</f>
        <v>0</v>
      </c>
      <c r="P2401" s="73">
        <f>CL2401</f>
        <v>0</v>
      </c>
      <c r="Q2401" s="73"/>
      <c r="R2401" s="73">
        <v>0</v>
      </c>
      <c r="S2401" s="75">
        <f>M2401+N2401+O2401+P2401+Q2401+R2401</f>
        <v>0</v>
      </c>
      <c r="T2401" s="77">
        <v>0</v>
      </c>
      <c r="U2401" s="66"/>
      <c r="V2401" s="79"/>
      <c r="W2401" s="66"/>
      <c r="X2401" s="24"/>
      <c r="Y2401" s="62"/>
      <c r="Z2401" s="169"/>
      <c r="AA2401" s="166"/>
      <c r="AB2401" s="152"/>
      <c r="AC2401" s="153"/>
      <c r="AD2401" s="154"/>
      <c r="AE2401" s="153"/>
      <c r="AF2401" s="153"/>
      <c r="AG2401" s="153"/>
      <c r="AH2401" s="153"/>
      <c r="AI2401" s="153"/>
      <c r="AJ2401" s="153"/>
      <c r="AK2401" s="153"/>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c r="BF2401" s="153"/>
      <c r="BG2401" s="153"/>
      <c r="BH2401" s="153"/>
      <c r="BI2401" s="153"/>
      <c r="BJ2401" s="153"/>
      <c r="BK2401" s="153"/>
      <c r="BL2401" s="153"/>
      <c r="BM2401" s="153"/>
      <c r="BN2401" s="153"/>
      <c r="BO2401" s="153"/>
      <c r="BP2401" s="153"/>
      <c r="BQ2401" s="153"/>
      <c r="BR2401" s="153"/>
      <c r="BS2401" s="153"/>
      <c r="BT2401" s="153"/>
      <c r="BU2401" s="153"/>
      <c r="BV2401" s="153"/>
      <c r="BW2401" s="153"/>
      <c r="BX2401" s="153"/>
      <c r="BY2401" s="153"/>
      <c r="BZ2401" s="153"/>
      <c r="CA2401" s="153"/>
      <c r="CB2401" s="153"/>
      <c r="CC2401" s="153"/>
      <c r="CD2401" s="155"/>
      <c r="CE2401" s="156"/>
      <c r="CF2401" s="155"/>
      <c r="CG2401" s="156"/>
      <c r="CH2401" s="155"/>
      <c r="CI2401" s="156"/>
      <c r="CJ2401" s="157">
        <f>AC2401+AE2401+AG2401+AI2401+AK2401+AM2401+AO2401+AQ2401+AS2401+AU2401+AW2401+AY2401+BA2401+BC2401+BE2401+BG2401+BI2401+BK2401+BM2401+BO2401+BQ2401+BS2401+BU2401+BW2401+BY2401+CA2401+CC2401+CE2401+CG2401+CI2401</f>
        <v>0</v>
      </c>
      <c r="CK2401" s="158"/>
      <c r="CL2401" s="159"/>
      <c r="CM2401" s="160"/>
      <c r="CN2401" s="161"/>
      <c r="CO2401" s="162"/>
      <c r="CP2401" s="161"/>
      <c r="CQ2401" s="158"/>
      <c r="CR2401" s="159"/>
      <c r="CS2401" s="68"/>
      <c r="CT2401" s="163"/>
      <c r="EC2401" s="366"/>
      <c r="ED2401" s="367"/>
      <c r="EE2401" s="367"/>
      <c r="EF2401" s="368"/>
      <c r="EG2401" s="367"/>
      <c r="EH2401" s="367"/>
      <c r="EI2401" s="367"/>
    </row>
    <row r="2402" spans="1:139" s="164" customFormat="1">
      <c r="A2402" s="228"/>
      <c r="B2402" s="205"/>
      <c r="C2402" s="205"/>
      <c r="D2402" s="207"/>
      <c r="E2402" s="323"/>
      <c r="F2402" s="323"/>
      <c r="G2402" s="204"/>
      <c r="H2402" s="151"/>
      <c r="I2402" s="151"/>
      <c r="J2402" s="151"/>
      <c r="K2402" s="151"/>
      <c r="L2402" s="1"/>
      <c r="M2402" s="73">
        <f t="shared" ref="M2402:M2411" si="298">CJ2402</f>
        <v>0</v>
      </c>
      <c r="N2402" s="73">
        <f t="shared" ref="N2402:N2411" si="299">CN2402</f>
        <v>0</v>
      </c>
      <c r="O2402" s="73">
        <f t="shared" ref="O2402:O2411" si="300">CP2402+CR2402</f>
        <v>0</v>
      </c>
      <c r="P2402" s="73">
        <f t="shared" ref="P2402:P2411" si="301">CL2402</f>
        <v>0</v>
      </c>
      <c r="Q2402" s="73"/>
      <c r="R2402" s="73">
        <v>0</v>
      </c>
      <c r="S2402" s="75">
        <f t="shared" ref="S2402:S2411" si="302">M2402+N2402+O2402+P2402+Q2402+R2402</f>
        <v>0</v>
      </c>
      <c r="T2402" s="77">
        <v>0</v>
      </c>
      <c r="U2402" s="66"/>
      <c r="V2402" s="79"/>
      <c r="W2402" s="66"/>
      <c r="X2402" s="24"/>
      <c r="Y2402" s="62"/>
      <c r="Z2402" s="169"/>
      <c r="AA2402" s="166"/>
      <c r="AB2402" s="152"/>
      <c r="AC2402" s="153"/>
      <c r="AD2402" s="154"/>
      <c r="AE2402" s="153"/>
      <c r="AF2402" s="153"/>
      <c r="AG2402" s="153"/>
      <c r="AH2402" s="153"/>
      <c r="AI2402" s="153"/>
      <c r="AJ2402" s="153"/>
      <c r="AK2402" s="153"/>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c r="BF2402" s="153"/>
      <c r="BG2402" s="153"/>
      <c r="BH2402" s="153"/>
      <c r="BI2402" s="153"/>
      <c r="BJ2402" s="153"/>
      <c r="BK2402" s="153"/>
      <c r="BL2402" s="153"/>
      <c r="BM2402" s="153"/>
      <c r="BN2402" s="153"/>
      <c r="BO2402" s="153"/>
      <c r="BP2402" s="153"/>
      <c r="BQ2402" s="153"/>
      <c r="BR2402" s="153"/>
      <c r="BS2402" s="153"/>
      <c r="BT2402" s="153"/>
      <c r="BU2402" s="153"/>
      <c r="BV2402" s="153"/>
      <c r="BW2402" s="153"/>
      <c r="BX2402" s="153"/>
      <c r="BY2402" s="153"/>
      <c r="BZ2402" s="153"/>
      <c r="CA2402" s="153"/>
      <c r="CB2402" s="153"/>
      <c r="CC2402" s="153"/>
      <c r="CD2402" s="155"/>
      <c r="CE2402" s="156"/>
      <c r="CF2402" s="155"/>
      <c r="CG2402" s="156"/>
      <c r="CH2402" s="155"/>
      <c r="CI2402" s="156"/>
      <c r="CJ2402" s="157">
        <f t="shared" ref="CJ2402:CJ2411" si="303">AC2402+AE2402+AG2402+AI2402+AK2402+AM2402+AO2402+AQ2402+AS2402+AU2402+AW2402+AY2402+BA2402+BC2402+BE2402+BG2402+BI2402+BK2402+BM2402+BO2402+BQ2402+BS2402+BU2402+BW2402+BY2402+CA2402+CC2402+CE2402+CG2402+CI2402</f>
        <v>0</v>
      </c>
      <c r="CK2402" s="158"/>
      <c r="CL2402" s="159"/>
      <c r="CM2402" s="160"/>
      <c r="CN2402" s="161"/>
      <c r="CO2402" s="162"/>
      <c r="CP2402" s="161"/>
      <c r="CQ2402" s="158"/>
      <c r="CR2402" s="159"/>
      <c r="CS2402" s="68"/>
      <c r="CT2402" s="163"/>
      <c r="EC2402" s="366"/>
      <c r="ED2402" s="367"/>
      <c r="EE2402" s="367"/>
      <c r="EF2402" s="368"/>
      <c r="EG2402" s="367"/>
      <c r="EH2402" s="367"/>
      <c r="EI2402" s="367"/>
    </row>
    <row r="2403" spans="1:139" s="164" customFormat="1">
      <c r="A2403" s="228"/>
      <c r="B2403" s="205"/>
      <c r="C2403" s="205"/>
      <c r="D2403" s="207"/>
      <c r="E2403" s="323"/>
      <c r="F2403" s="323"/>
      <c r="G2403" s="204"/>
      <c r="H2403" s="151"/>
      <c r="I2403" s="151"/>
      <c r="J2403" s="151"/>
      <c r="K2403" s="151"/>
      <c r="L2403" s="1"/>
      <c r="M2403" s="73">
        <f t="shared" si="298"/>
        <v>0</v>
      </c>
      <c r="N2403" s="73">
        <f t="shared" si="299"/>
        <v>0</v>
      </c>
      <c r="O2403" s="73">
        <f t="shared" si="300"/>
        <v>0</v>
      </c>
      <c r="P2403" s="73">
        <f t="shared" si="301"/>
        <v>0</v>
      </c>
      <c r="Q2403" s="73"/>
      <c r="R2403" s="73">
        <v>0</v>
      </c>
      <c r="S2403" s="75">
        <f t="shared" si="302"/>
        <v>0</v>
      </c>
      <c r="T2403" s="77">
        <v>0</v>
      </c>
      <c r="U2403" s="66"/>
      <c r="V2403" s="79"/>
      <c r="W2403" s="66"/>
      <c r="X2403" s="24"/>
      <c r="Y2403" s="62"/>
      <c r="Z2403" s="169"/>
      <c r="AA2403" s="166"/>
      <c r="AB2403" s="152"/>
      <c r="AC2403" s="153"/>
      <c r="AD2403" s="154"/>
      <c r="AE2403" s="153"/>
      <c r="AF2403" s="153"/>
      <c r="AG2403" s="153"/>
      <c r="AH2403" s="153"/>
      <c r="AI2403" s="153"/>
      <c r="AJ2403" s="153"/>
      <c r="AK2403" s="153"/>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c r="BF2403" s="153"/>
      <c r="BG2403" s="153"/>
      <c r="BH2403" s="153"/>
      <c r="BI2403" s="153"/>
      <c r="BJ2403" s="153"/>
      <c r="BK2403" s="153"/>
      <c r="BL2403" s="153"/>
      <c r="BM2403" s="153"/>
      <c r="BN2403" s="153"/>
      <c r="BO2403" s="153"/>
      <c r="BP2403" s="153"/>
      <c r="BQ2403" s="153"/>
      <c r="BR2403" s="153"/>
      <c r="BS2403" s="153"/>
      <c r="BT2403" s="153"/>
      <c r="BU2403" s="153"/>
      <c r="BV2403" s="153"/>
      <c r="BW2403" s="153"/>
      <c r="BX2403" s="153"/>
      <c r="BY2403" s="153"/>
      <c r="BZ2403" s="153"/>
      <c r="CA2403" s="153"/>
      <c r="CB2403" s="153"/>
      <c r="CC2403" s="153"/>
      <c r="CD2403" s="155"/>
      <c r="CE2403" s="156"/>
      <c r="CF2403" s="155"/>
      <c r="CG2403" s="156"/>
      <c r="CH2403" s="155"/>
      <c r="CI2403" s="156"/>
      <c r="CJ2403" s="157">
        <f t="shared" si="303"/>
        <v>0</v>
      </c>
      <c r="CK2403" s="158"/>
      <c r="CL2403" s="159"/>
      <c r="CM2403" s="160"/>
      <c r="CN2403" s="161"/>
      <c r="CO2403" s="162"/>
      <c r="CP2403" s="161"/>
      <c r="CQ2403" s="158"/>
      <c r="CR2403" s="159"/>
      <c r="CS2403" s="68"/>
      <c r="CT2403" s="163"/>
      <c r="EC2403" s="366"/>
      <c r="ED2403" s="367"/>
      <c r="EE2403" s="367"/>
      <c r="EF2403" s="368"/>
      <c r="EG2403" s="367"/>
      <c r="EH2403" s="367"/>
      <c r="EI2403" s="367"/>
    </row>
    <row r="2404" spans="1:139" s="164" customFormat="1">
      <c r="A2404" s="228"/>
      <c r="B2404" s="205"/>
      <c r="C2404" s="205"/>
      <c r="D2404" s="207"/>
      <c r="E2404" s="323"/>
      <c r="F2404" s="323"/>
      <c r="G2404" s="204"/>
      <c r="H2404" s="151"/>
      <c r="I2404" s="151"/>
      <c r="J2404" s="151"/>
      <c r="K2404" s="151"/>
      <c r="L2404" s="1"/>
      <c r="M2404" s="73">
        <f t="shared" si="298"/>
        <v>0</v>
      </c>
      <c r="N2404" s="73">
        <f t="shared" si="299"/>
        <v>0</v>
      </c>
      <c r="O2404" s="73">
        <f t="shared" si="300"/>
        <v>0</v>
      </c>
      <c r="P2404" s="73">
        <f t="shared" si="301"/>
        <v>0</v>
      </c>
      <c r="Q2404" s="73"/>
      <c r="R2404" s="73">
        <v>0</v>
      </c>
      <c r="S2404" s="75">
        <f t="shared" si="302"/>
        <v>0</v>
      </c>
      <c r="T2404" s="77">
        <v>0</v>
      </c>
      <c r="U2404" s="66"/>
      <c r="V2404" s="79"/>
      <c r="W2404" s="66"/>
      <c r="X2404" s="24"/>
      <c r="Y2404" s="62"/>
      <c r="Z2404" s="169"/>
      <c r="AA2404" s="166"/>
      <c r="AB2404" s="152"/>
      <c r="AC2404" s="153"/>
      <c r="AD2404" s="154"/>
      <c r="AE2404" s="153"/>
      <c r="AF2404" s="153"/>
      <c r="AG2404" s="153"/>
      <c r="AH2404" s="153"/>
      <c r="AI2404" s="153"/>
      <c r="AJ2404" s="153"/>
      <c r="AK2404" s="153"/>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c r="BF2404" s="153"/>
      <c r="BG2404" s="153"/>
      <c r="BH2404" s="153"/>
      <c r="BI2404" s="153"/>
      <c r="BJ2404" s="153"/>
      <c r="BK2404" s="153"/>
      <c r="BL2404" s="153"/>
      <c r="BM2404" s="153"/>
      <c r="BN2404" s="153"/>
      <c r="BO2404" s="153"/>
      <c r="BP2404" s="153"/>
      <c r="BQ2404" s="153"/>
      <c r="BR2404" s="153"/>
      <c r="BS2404" s="153"/>
      <c r="BT2404" s="153"/>
      <c r="BU2404" s="153"/>
      <c r="BV2404" s="153"/>
      <c r="BW2404" s="153"/>
      <c r="BX2404" s="153"/>
      <c r="BY2404" s="153"/>
      <c r="BZ2404" s="153"/>
      <c r="CA2404" s="153"/>
      <c r="CB2404" s="153"/>
      <c r="CC2404" s="153"/>
      <c r="CD2404" s="155"/>
      <c r="CE2404" s="156"/>
      <c r="CF2404" s="155"/>
      <c r="CG2404" s="156"/>
      <c r="CH2404" s="155"/>
      <c r="CI2404" s="156"/>
      <c r="CJ2404" s="157">
        <f t="shared" si="303"/>
        <v>0</v>
      </c>
      <c r="CK2404" s="158"/>
      <c r="CL2404" s="159"/>
      <c r="CM2404" s="160"/>
      <c r="CN2404" s="161"/>
      <c r="CO2404" s="162"/>
      <c r="CP2404" s="161"/>
      <c r="CQ2404" s="158"/>
      <c r="CR2404" s="159"/>
      <c r="CS2404" s="68"/>
      <c r="CT2404" s="163"/>
      <c r="EC2404" s="366"/>
      <c r="ED2404" s="367"/>
      <c r="EE2404" s="367"/>
      <c r="EF2404" s="368"/>
      <c r="EG2404" s="367"/>
      <c r="EH2404" s="367"/>
      <c r="EI2404" s="367"/>
    </row>
    <row r="2405" spans="1:139" s="164" customFormat="1">
      <c r="A2405" s="228"/>
      <c r="B2405" s="205"/>
      <c r="C2405" s="205"/>
      <c r="D2405" s="207"/>
      <c r="E2405" s="323"/>
      <c r="F2405" s="323"/>
      <c r="G2405" s="204"/>
      <c r="H2405" s="151"/>
      <c r="I2405" s="151"/>
      <c r="J2405" s="151"/>
      <c r="K2405" s="151"/>
      <c r="L2405" s="1"/>
      <c r="M2405" s="73">
        <f t="shared" si="298"/>
        <v>0</v>
      </c>
      <c r="N2405" s="73">
        <f t="shared" si="299"/>
        <v>0</v>
      </c>
      <c r="O2405" s="73">
        <f t="shared" si="300"/>
        <v>0</v>
      </c>
      <c r="P2405" s="73">
        <f t="shared" si="301"/>
        <v>0</v>
      </c>
      <c r="Q2405" s="73"/>
      <c r="R2405" s="73">
        <v>0</v>
      </c>
      <c r="S2405" s="75">
        <f t="shared" si="302"/>
        <v>0</v>
      </c>
      <c r="T2405" s="77">
        <v>0</v>
      </c>
      <c r="U2405" s="66"/>
      <c r="V2405" s="79"/>
      <c r="W2405" s="66"/>
      <c r="X2405" s="24"/>
      <c r="Y2405" s="62"/>
      <c r="Z2405" s="169"/>
      <c r="AA2405" s="166"/>
      <c r="AB2405" s="152"/>
      <c r="AC2405" s="153"/>
      <c r="AD2405" s="154"/>
      <c r="AE2405" s="153"/>
      <c r="AF2405" s="153"/>
      <c r="AG2405" s="153"/>
      <c r="AH2405" s="153"/>
      <c r="AI2405" s="153"/>
      <c r="AJ2405" s="153"/>
      <c r="AK2405" s="153"/>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c r="BF2405" s="153"/>
      <c r="BG2405" s="153"/>
      <c r="BH2405" s="153"/>
      <c r="BI2405" s="153"/>
      <c r="BJ2405" s="153"/>
      <c r="BK2405" s="153"/>
      <c r="BL2405" s="153"/>
      <c r="BM2405" s="153"/>
      <c r="BN2405" s="153"/>
      <c r="BO2405" s="153"/>
      <c r="BP2405" s="153"/>
      <c r="BQ2405" s="153"/>
      <c r="BR2405" s="153"/>
      <c r="BS2405" s="153"/>
      <c r="BT2405" s="153"/>
      <c r="BU2405" s="153"/>
      <c r="BV2405" s="153"/>
      <c r="BW2405" s="153"/>
      <c r="BX2405" s="153"/>
      <c r="BY2405" s="153"/>
      <c r="BZ2405" s="153"/>
      <c r="CA2405" s="153"/>
      <c r="CB2405" s="153"/>
      <c r="CC2405" s="153"/>
      <c r="CD2405" s="155"/>
      <c r="CE2405" s="156"/>
      <c r="CF2405" s="155"/>
      <c r="CG2405" s="156"/>
      <c r="CH2405" s="155"/>
      <c r="CI2405" s="156"/>
      <c r="CJ2405" s="157">
        <f t="shared" si="303"/>
        <v>0</v>
      </c>
      <c r="CK2405" s="158"/>
      <c r="CL2405" s="159"/>
      <c r="CM2405" s="160"/>
      <c r="CN2405" s="161"/>
      <c r="CO2405" s="162"/>
      <c r="CP2405" s="161"/>
      <c r="CQ2405" s="158"/>
      <c r="CR2405" s="159"/>
      <c r="CS2405" s="68"/>
      <c r="CT2405" s="163"/>
      <c r="EC2405" s="366"/>
      <c r="ED2405" s="367"/>
      <c r="EE2405" s="367"/>
      <c r="EF2405" s="368"/>
      <c r="EG2405" s="367"/>
      <c r="EH2405" s="367"/>
      <c r="EI2405" s="367"/>
    </row>
    <row r="2406" spans="1:139" s="164" customFormat="1">
      <c r="A2406" s="228"/>
      <c r="B2406" s="205"/>
      <c r="C2406" s="205"/>
      <c r="D2406" s="207"/>
      <c r="E2406" s="323"/>
      <c r="F2406" s="323"/>
      <c r="G2406" s="204"/>
      <c r="H2406" s="151"/>
      <c r="I2406" s="151"/>
      <c r="J2406" s="151"/>
      <c r="K2406" s="151"/>
      <c r="L2406" s="1"/>
      <c r="M2406" s="73">
        <f t="shared" si="298"/>
        <v>0</v>
      </c>
      <c r="N2406" s="73">
        <f t="shared" si="299"/>
        <v>0</v>
      </c>
      <c r="O2406" s="73">
        <f t="shared" si="300"/>
        <v>0</v>
      </c>
      <c r="P2406" s="73">
        <f t="shared" si="301"/>
        <v>0</v>
      </c>
      <c r="Q2406" s="73"/>
      <c r="R2406" s="73">
        <v>0</v>
      </c>
      <c r="S2406" s="75">
        <f t="shared" si="302"/>
        <v>0</v>
      </c>
      <c r="T2406" s="77">
        <v>0</v>
      </c>
      <c r="U2406" s="66"/>
      <c r="V2406" s="79"/>
      <c r="W2406" s="66"/>
      <c r="X2406" s="24"/>
      <c r="Y2406" s="62"/>
      <c r="Z2406" s="169"/>
      <c r="AA2406" s="166"/>
      <c r="AB2406" s="152"/>
      <c r="AC2406" s="153"/>
      <c r="AD2406" s="154"/>
      <c r="AE2406" s="153"/>
      <c r="AF2406" s="153"/>
      <c r="AG2406" s="153"/>
      <c r="AH2406" s="153"/>
      <c r="AI2406" s="153"/>
      <c r="AJ2406" s="153"/>
      <c r="AK2406" s="153"/>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c r="BF2406" s="153"/>
      <c r="BG2406" s="153"/>
      <c r="BH2406" s="153"/>
      <c r="BI2406" s="153"/>
      <c r="BJ2406" s="153"/>
      <c r="BK2406" s="153"/>
      <c r="BL2406" s="153"/>
      <c r="BM2406" s="153"/>
      <c r="BN2406" s="153"/>
      <c r="BO2406" s="153"/>
      <c r="BP2406" s="153"/>
      <c r="BQ2406" s="153"/>
      <c r="BR2406" s="153"/>
      <c r="BS2406" s="153"/>
      <c r="BT2406" s="153"/>
      <c r="BU2406" s="153"/>
      <c r="BV2406" s="153"/>
      <c r="BW2406" s="153"/>
      <c r="BX2406" s="153"/>
      <c r="BY2406" s="153"/>
      <c r="BZ2406" s="153"/>
      <c r="CA2406" s="153"/>
      <c r="CB2406" s="153"/>
      <c r="CC2406" s="153"/>
      <c r="CD2406" s="155"/>
      <c r="CE2406" s="156"/>
      <c r="CF2406" s="155"/>
      <c r="CG2406" s="156"/>
      <c r="CH2406" s="155"/>
      <c r="CI2406" s="156"/>
      <c r="CJ2406" s="157">
        <f t="shared" si="303"/>
        <v>0</v>
      </c>
      <c r="CK2406" s="158"/>
      <c r="CL2406" s="159"/>
      <c r="CM2406" s="160"/>
      <c r="CN2406" s="161"/>
      <c r="CO2406" s="162"/>
      <c r="CP2406" s="161"/>
      <c r="CQ2406" s="158"/>
      <c r="CR2406" s="159"/>
      <c r="CS2406" s="68"/>
      <c r="CT2406" s="163"/>
      <c r="EC2406" s="366"/>
      <c r="ED2406" s="367"/>
      <c r="EE2406" s="367"/>
      <c r="EF2406" s="368"/>
      <c r="EG2406" s="367"/>
      <c r="EH2406" s="367"/>
      <c r="EI2406" s="367"/>
    </row>
    <row r="2407" spans="1:139" s="164" customFormat="1">
      <c r="A2407" s="228"/>
      <c r="B2407" s="205"/>
      <c r="C2407" s="205"/>
      <c r="D2407" s="207"/>
      <c r="E2407" s="323"/>
      <c r="F2407" s="323"/>
      <c r="G2407" s="204"/>
      <c r="H2407" s="151"/>
      <c r="I2407" s="151"/>
      <c r="J2407" s="151"/>
      <c r="K2407" s="151"/>
      <c r="L2407" s="1"/>
      <c r="M2407" s="73">
        <f t="shared" si="298"/>
        <v>0</v>
      </c>
      <c r="N2407" s="73">
        <f t="shared" si="299"/>
        <v>0</v>
      </c>
      <c r="O2407" s="73">
        <f t="shared" si="300"/>
        <v>0</v>
      </c>
      <c r="P2407" s="73">
        <f t="shared" si="301"/>
        <v>0</v>
      </c>
      <c r="Q2407" s="73"/>
      <c r="R2407" s="73">
        <v>0</v>
      </c>
      <c r="S2407" s="75">
        <f t="shared" si="302"/>
        <v>0</v>
      </c>
      <c r="T2407" s="77">
        <v>0</v>
      </c>
      <c r="U2407" s="66"/>
      <c r="V2407" s="79"/>
      <c r="W2407" s="66"/>
      <c r="X2407" s="24"/>
      <c r="Y2407" s="62"/>
      <c r="Z2407" s="169"/>
      <c r="AA2407" s="166"/>
      <c r="AB2407" s="152"/>
      <c r="AC2407" s="153"/>
      <c r="AD2407" s="154"/>
      <c r="AE2407" s="153"/>
      <c r="AF2407" s="153"/>
      <c r="AG2407" s="153"/>
      <c r="AH2407" s="153"/>
      <c r="AI2407" s="153"/>
      <c r="AJ2407" s="153"/>
      <c r="AK2407" s="153"/>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c r="BF2407" s="153"/>
      <c r="BG2407" s="153"/>
      <c r="BH2407" s="153"/>
      <c r="BI2407" s="153"/>
      <c r="BJ2407" s="153"/>
      <c r="BK2407" s="153"/>
      <c r="BL2407" s="153"/>
      <c r="BM2407" s="153"/>
      <c r="BN2407" s="153"/>
      <c r="BO2407" s="153"/>
      <c r="BP2407" s="153"/>
      <c r="BQ2407" s="153"/>
      <c r="BR2407" s="153"/>
      <c r="BS2407" s="153"/>
      <c r="BT2407" s="153"/>
      <c r="BU2407" s="153"/>
      <c r="BV2407" s="153"/>
      <c r="BW2407" s="153"/>
      <c r="BX2407" s="153"/>
      <c r="BY2407" s="153"/>
      <c r="BZ2407" s="153"/>
      <c r="CA2407" s="153"/>
      <c r="CB2407" s="153"/>
      <c r="CC2407" s="153"/>
      <c r="CD2407" s="155"/>
      <c r="CE2407" s="156"/>
      <c r="CF2407" s="155"/>
      <c r="CG2407" s="156"/>
      <c r="CH2407" s="155"/>
      <c r="CI2407" s="156"/>
      <c r="CJ2407" s="157">
        <f t="shared" si="303"/>
        <v>0</v>
      </c>
      <c r="CK2407" s="158"/>
      <c r="CL2407" s="159"/>
      <c r="CM2407" s="160"/>
      <c r="CN2407" s="161"/>
      <c r="CO2407" s="162"/>
      <c r="CP2407" s="161"/>
      <c r="CQ2407" s="158"/>
      <c r="CR2407" s="159"/>
      <c r="CS2407" s="68"/>
      <c r="CT2407" s="163"/>
      <c r="EC2407" s="366"/>
      <c r="ED2407" s="367"/>
      <c r="EE2407" s="367"/>
      <c r="EF2407" s="368"/>
      <c r="EG2407" s="367"/>
      <c r="EH2407" s="367"/>
      <c r="EI2407" s="367"/>
    </row>
    <row r="2408" spans="1:139" s="164" customFormat="1">
      <c r="A2408" s="228"/>
      <c r="B2408" s="205"/>
      <c r="C2408" s="205"/>
      <c r="D2408" s="207"/>
      <c r="E2408" s="323"/>
      <c r="F2408" s="323"/>
      <c r="G2408" s="204"/>
      <c r="H2408" s="151"/>
      <c r="I2408" s="151"/>
      <c r="J2408" s="151"/>
      <c r="K2408" s="151"/>
      <c r="L2408" s="1"/>
      <c r="M2408" s="73">
        <f t="shared" si="298"/>
        <v>0</v>
      </c>
      <c r="N2408" s="73">
        <f t="shared" si="299"/>
        <v>0</v>
      </c>
      <c r="O2408" s="73">
        <f t="shared" si="300"/>
        <v>0</v>
      </c>
      <c r="P2408" s="73">
        <f t="shared" si="301"/>
        <v>0</v>
      </c>
      <c r="Q2408" s="73"/>
      <c r="R2408" s="73">
        <v>0</v>
      </c>
      <c r="S2408" s="75">
        <f t="shared" si="302"/>
        <v>0</v>
      </c>
      <c r="T2408" s="77">
        <v>0</v>
      </c>
      <c r="U2408" s="66"/>
      <c r="V2408" s="79"/>
      <c r="W2408" s="66"/>
      <c r="X2408" s="24"/>
      <c r="Y2408" s="62"/>
      <c r="Z2408" s="169"/>
      <c r="AA2408" s="166"/>
      <c r="AB2408" s="152"/>
      <c r="AC2408" s="153"/>
      <c r="AD2408" s="154"/>
      <c r="AE2408" s="153"/>
      <c r="AF2408" s="153"/>
      <c r="AG2408" s="153"/>
      <c r="AH2408" s="153"/>
      <c r="AI2408" s="153"/>
      <c r="AJ2408" s="153"/>
      <c r="AK2408" s="153"/>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c r="BF2408" s="153"/>
      <c r="BG2408" s="153"/>
      <c r="BH2408" s="153"/>
      <c r="BI2408" s="153"/>
      <c r="BJ2408" s="153"/>
      <c r="BK2408" s="153"/>
      <c r="BL2408" s="153"/>
      <c r="BM2408" s="153"/>
      <c r="BN2408" s="153"/>
      <c r="BO2408" s="153"/>
      <c r="BP2408" s="153"/>
      <c r="BQ2408" s="153"/>
      <c r="BR2408" s="153"/>
      <c r="BS2408" s="153"/>
      <c r="BT2408" s="153"/>
      <c r="BU2408" s="153"/>
      <c r="BV2408" s="153"/>
      <c r="BW2408" s="153"/>
      <c r="BX2408" s="153"/>
      <c r="BY2408" s="153"/>
      <c r="BZ2408" s="153"/>
      <c r="CA2408" s="153"/>
      <c r="CB2408" s="153"/>
      <c r="CC2408" s="153"/>
      <c r="CD2408" s="155"/>
      <c r="CE2408" s="156"/>
      <c r="CF2408" s="155"/>
      <c r="CG2408" s="156"/>
      <c r="CH2408" s="155"/>
      <c r="CI2408" s="156"/>
      <c r="CJ2408" s="157">
        <f t="shared" si="303"/>
        <v>0</v>
      </c>
      <c r="CK2408" s="158"/>
      <c r="CL2408" s="159"/>
      <c r="CM2408" s="160"/>
      <c r="CN2408" s="161"/>
      <c r="CO2408" s="162"/>
      <c r="CP2408" s="161"/>
      <c r="CQ2408" s="158"/>
      <c r="CR2408" s="159"/>
      <c r="CS2408" s="68"/>
      <c r="CT2408" s="163"/>
      <c r="EC2408" s="366"/>
      <c r="ED2408" s="367"/>
      <c r="EE2408" s="367"/>
      <c r="EF2408" s="368"/>
      <c r="EG2408" s="367"/>
      <c r="EH2408" s="367"/>
      <c r="EI2408" s="367"/>
    </row>
    <row r="2409" spans="1:139" s="164" customFormat="1">
      <c r="A2409" s="228"/>
      <c r="B2409" s="205"/>
      <c r="C2409" s="205"/>
      <c r="D2409" s="207"/>
      <c r="E2409" s="323"/>
      <c r="F2409" s="323"/>
      <c r="G2409" s="204"/>
      <c r="H2409" s="151"/>
      <c r="I2409" s="151"/>
      <c r="J2409" s="151"/>
      <c r="K2409" s="151"/>
      <c r="L2409" s="1"/>
      <c r="M2409" s="73">
        <f t="shared" si="298"/>
        <v>0</v>
      </c>
      <c r="N2409" s="73">
        <f t="shared" si="299"/>
        <v>0</v>
      </c>
      <c r="O2409" s="73">
        <f t="shared" si="300"/>
        <v>0</v>
      </c>
      <c r="P2409" s="73">
        <f t="shared" si="301"/>
        <v>0</v>
      </c>
      <c r="Q2409" s="73"/>
      <c r="R2409" s="73">
        <v>0</v>
      </c>
      <c r="S2409" s="75">
        <f t="shared" si="302"/>
        <v>0</v>
      </c>
      <c r="T2409" s="77">
        <v>0</v>
      </c>
      <c r="U2409" s="66"/>
      <c r="V2409" s="79"/>
      <c r="W2409" s="66"/>
      <c r="X2409" s="24"/>
      <c r="Y2409" s="62"/>
      <c r="Z2409" s="169"/>
      <c r="AA2409" s="166"/>
      <c r="AB2409" s="152"/>
      <c r="AC2409" s="153"/>
      <c r="AD2409" s="154"/>
      <c r="AE2409" s="153"/>
      <c r="AF2409" s="153"/>
      <c r="AG2409" s="153"/>
      <c r="AH2409" s="153"/>
      <c r="AI2409" s="153"/>
      <c r="AJ2409" s="153"/>
      <c r="AK2409" s="153"/>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c r="BF2409" s="153"/>
      <c r="BG2409" s="153"/>
      <c r="BH2409" s="153"/>
      <c r="BI2409" s="153"/>
      <c r="BJ2409" s="153"/>
      <c r="BK2409" s="153"/>
      <c r="BL2409" s="153"/>
      <c r="BM2409" s="153"/>
      <c r="BN2409" s="153"/>
      <c r="BO2409" s="153"/>
      <c r="BP2409" s="153"/>
      <c r="BQ2409" s="153"/>
      <c r="BR2409" s="153"/>
      <c r="BS2409" s="153"/>
      <c r="BT2409" s="153"/>
      <c r="BU2409" s="153"/>
      <c r="BV2409" s="153"/>
      <c r="BW2409" s="153"/>
      <c r="BX2409" s="153"/>
      <c r="BY2409" s="153"/>
      <c r="BZ2409" s="153"/>
      <c r="CA2409" s="153"/>
      <c r="CB2409" s="153"/>
      <c r="CC2409" s="153"/>
      <c r="CD2409" s="155"/>
      <c r="CE2409" s="156"/>
      <c r="CF2409" s="155"/>
      <c r="CG2409" s="156"/>
      <c r="CH2409" s="155"/>
      <c r="CI2409" s="156"/>
      <c r="CJ2409" s="157">
        <f t="shared" si="303"/>
        <v>0</v>
      </c>
      <c r="CK2409" s="158"/>
      <c r="CL2409" s="159"/>
      <c r="CM2409" s="160"/>
      <c r="CN2409" s="161"/>
      <c r="CO2409" s="162"/>
      <c r="CP2409" s="161"/>
      <c r="CQ2409" s="158"/>
      <c r="CR2409" s="159"/>
      <c r="CS2409" s="68"/>
      <c r="CT2409" s="163"/>
      <c r="EC2409" s="366"/>
      <c r="ED2409" s="367"/>
      <c r="EE2409" s="367"/>
      <c r="EF2409" s="368"/>
      <c r="EG2409" s="367"/>
      <c r="EH2409" s="367"/>
      <c r="EI2409" s="367"/>
    </row>
    <row r="2410" spans="1:139" s="164" customFormat="1">
      <c r="A2410" s="228"/>
      <c r="B2410" s="205"/>
      <c r="C2410" s="205"/>
      <c r="D2410" s="207"/>
      <c r="E2410" s="323"/>
      <c r="F2410" s="323"/>
      <c r="G2410" s="204"/>
      <c r="H2410" s="151"/>
      <c r="I2410" s="151"/>
      <c r="J2410" s="151"/>
      <c r="K2410" s="151"/>
      <c r="L2410" s="1"/>
      <c r="M2410" s="73">
        <f t="shared" si="298"/>
        <v>0</v>
      </c>
      <c r="N2410" s="73">
        <f t="shared" si="299"/>
        <v>0</v>
      </c>
      <c r="O2410" s="73">
        <f t="shared" si="300"/>
        <v>0</v>
      </c>
      <c r="P2410" s="73">
        <f t="shared" si="301"/>
        <v>0</v>
      </c>
      <c r="Q2410" s="73"/>
      <c r="R2410" s="73">
        <v>0</v>
      </c>
      <c r="S2410" s="75">
        <f t="shared" si="302"/>
        <v>0</v>
      </c>
      <c r="T2410" s="77">
        <v>0</v>
      </c>
      <c r="U2410" s="66"/>
      <c r="V2410" s="79"/>
      <c r="W2410" s="66"/>
      <c r="X2410" s="24"/>
      <c r="Y2410" s="62"/>
      <c r="Z2410" s="169"/>
      <c r="AA2410" s="166"/>
      <c r="AB2410" s="152"/>
      <c r="AC2410" s="153"/>
      <c r="AD2410" s="154"/>
      <c r="AE2410" s="153"/>
      <c r="AF2410" s="153"/>
      <c r="AG2410" s="153"/>
      <c r="AH2410" s="153"/>
      <c r="AI2410" s="153"/>
      <c r="AJ2410" s="153"/>
      <c r="AK2410" s="153"/>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c r="BF2410" s="153"/>
      <c r="BG2410" s="153"/>
      <c r="BH2410" s="153"/>
      <c r="BI2410" s="153"/>
      <c r="BJ2410" s="153"/>
      <c r="BK2410" s="153"/>
      <c r="BL2410" s="153"/>
      <c r="BM2410" s="153"/>
      <c r="BN2410" s="153"/>
      <c r="BO2410" s="153"/>
      <c r="BP2410" s="153"/>
      <c r="BQ2410" s="153"/>
      <c r="BR2410" s="153"/>
      <c r="BS2410" s="153"/>
      <c r="BT2410" s="153"/>
      <c r="BU2410" s="153"/>
      <c r="BV2410" s="153"/>
      <c r="BW2410" s="153"/>
      <c r="BX2410" s="153"/>
      <c r="BY2410" s="153"/>
      <c r="BZ2410" s="153"/>
      <c r="CA2410" s="153"/>
      <c r="CB2410" s="153"/>
      <c r="CC2410" s="153"/>
      <c r="CD2410" s="155"/>
      <c r="CE2410" s="156"/>
      <c r="CF2410" s="155"/>
      <c r="CG2410" s="156"/>
      <c r="CH2410" s="155"/>
      <c r="CI2410" s="156"/>
      <c r="CJ2410" s="157">
        <f t="shared" si="303"/>
        <v>0</v>
      </c>
      <c r="CK2410" s="158"/>
      <c r="CL2410" s="159"/>
      <c r="CM2410" s="160"/>
      <c r="CN2410" s="161"/>
      <c r="CO2410" s="162"/>
      <c r="CP2410" s="161"/>
      <c r="CQ2410" s="158"/>
      <c r="CR2410" s="159"/>
      <c r="CS2410" s="68"/>
      <c r="CT2410" s="163"/>
      <c r="EC2410" s="366"/>
      <c r="ED2410" s="367"/>
      <c r="EE2410" s="367"/>
      <c r="EF2410" s="368"/>
      <c r="EG2410" s="367"/>
      <c r="EH2410" s="367"/>
      <c r="EI2410" s="367"/>
    </row>
    <row r="2411" spans="1:139" s="164" customFormat="1">
      <c r="A2411" s="228"/>
      <c r="B2411" s="205"/>
      <c r="C2411" s="205"/>
      <c r="D2411" s="207"/>
      <c r="E2411" s="323"/>
      <c r="F2411" s="323"/>
      <c r="G2411" s="204"/>
      <c r="H2411" s="151"/>
      <c r="I2411" s="151"/>
      <c r="J2411" s="151"/>
      <c r="K2411" s="151"/>
      <c r="L2411" s="1"/>
      <c r="M2411" s="73">
        <f t="shared" si="298"/>
        <v>0</v>
      </c>
      <c r="N2411" s="73">
        <f t="shared" si="299"/>
        <v>0</v>
      </c>
      <c r="O2411" s="73">
        <f t="shared" si="300"/>
        <v>0</v>
      </c>
      <c r="P2411" s="73">
        <f t="shared" si="301"/>
        <v>0</v>
      </c>
      <c r="Q2411" s="73"/>
      <c r="R2411" s="73">
        <v>0</v>
      </c>
      <c r="S2411" s="75">
        <f t="shared" si="302"/>
        <v>0</v>
      </c>
      <c r="T2411" s="77">
        <v>0</v>
      </c>
      <c r="U2411" s="66"/>
      <c r="V2411" s="79"/>
      <c r="W2411" s="66"/>
      <c r="X2411" s="24"/>
      <c r="Y2411" s="62"/>
      <c r="Z2411" s="169"/>
      <c r="AA2411" s="166"/>
      <c r="AB2411" s="152"/>
      <c r="AC2411" s="153"/>
      <c r="AD2411" s="154"/>
      <c r="AE2411" s="153"/>
      <c r="AF2411" s="153"/>
      <c r="AG2411" s="153"/>
      <c r="AH2411" s="153"/>
      <c r="AI2411" s="153"/>
      <c r="AJ2411" s="153"/>
      <c r="AK2411" s="153"/>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c r="BF2411" s="153"/>
      <c r="BG2411" s="153"/>
      <c r="BH2411" s="153"/>
      <c r="BI2411" s="153"/>
      <c r="BJ2411" s="153"/>
      <c r="BK2411" s="153"/>
      <c r="BL2411" s="153"/>
      <c r="BM2411" s="153"/>
      <c r="BN2411" s="153"/>
      <c r="BO2411" s="153"/>
      <c r="BP2411" s="153"/>
      <c r="BQ2411" s="153"/>
      <c r="BR2411" s="153"/>
      <c r="BS2411" s="153"/>
      <c r="BT2411" s="153"/>
      <c r="BU2411" s="153"/>
      <c r="BV2411" s="153"/>
      <c r="BW2411" s="153"/>
      <c r="BX2411" s="153"/>
      <c r="BY2411" s="153"/>
      <c r="BZ2411" s="153"/>
      <c r="CA2411" s="153"/>
      <c r="CB2411" s="153"/>
      <c r="CC2411" s="153"/>
      <c r="CD2411" s="155"/>
      <c r="CE2411" s="156"/>
      <c r="CF2411" s="155"/>
      <c r="CG2411" s="156"/>
      <c r="CH2411" s="155"/>
      <c r="CI2411" s="156"/>
      <c r="CJ2411" s="157">
        <f t="shared" si="303"/>
        <v>0</v>
      </c>
      <c r="CK2411" s="158"/>
      <c r="CL2411" s="159"/>
      <c r="CM2411" s="160"/>
      <c r="CN2411" s="161"/>
      <c r="CO2411" s="162"/>
      <c r="CP2411" s="161"/>
      <c r="CQ2411" s="158"/>
      <c r="CR2411" s="159"/>
      <c r="CS2411" s="68"/>
      <c r="CT2411" s="163"/>
      <c r="EC2411" s="366"/>
      <c r="ED2411" s="367"/>
      <c r="EE2411" s="367"/>
      <c r="EF2411" s="368"/>
      <c r="EG2411" s="367"/>
      <c r="EH2411" s="367"/>
      <c r="EI2411" s="367"/>
    </row>
    <row r="2412" spans="1:139" s="164" customFormat="1">
      <c r="A2412" s="228"/>
      <c r="B2412" s="205"/>
      <c r="C2412" s="205"/>
      <c r="D2412" s="207"/>
      <c r="E2412" s="323"/>
      <c r="F2412" s="323"/>
      <c r="G2412" s="204"/>
      <c r="H2412" s="151"/>
      <c r="I2412" s="151"/>
      <c r="J2412" s="151"/>
      <c r="K2412" s="151"/>
      <c r="L2412" s="1"/>
      <c r="M2412" s="73">
        <f t="shared" ref="M2412:M2425" si="304">CJ2412</f>
        <v>0</v>
      </c>
      <c r="N2412" s="73">
        <f t="shared" ref="N2412:N2425" si="305">CN2412</f>
        <v>0</v>
      </c>
      <c r="O2412" s="73">
        <f t="shared" ref="O2412:O2425" si="306">CP2412+CR2412</f>
        <v>0</v>
      </c>
      <c r="P2412" s="73">
        <f t="shared" ref="P2412:P2425" si="307">CL2412</f>
        <v>0</v>
      </c>
      <c r="Q2412" s="73"/>
      <c r="R2412" s="73">
        <v>0</v>
      </c>
      <c r="S2412" s="75">
        <f t="shared" ref="S2412:S2425" si="308">M2412+N2412+O2412+P2412+Q2412+R2412</f>
        <v>0</v>
      </c>
      <c r="T2412" s="77">
        <v>0</v>
      </c>
      <c r="U2412" s="66"/>
      <c r="V2412" s="79"/>
      <c r="W2412" s="66"/>
      <c r="X2412" s="24"/>
      <c r="Y2412" s="62"/>
      <c r="Z2412" s="169"/>
      <c r="AA2412" s="166"/>
      <c r="AB2412" s="152"/>
      <c r="AC2412" s="153"/>
      <c r="AD2412" s="154"/>
      <c r="AE2412" s="153"/>
      <c r="AF2412" s="153"/>
      <c r="AG2412" s="153"/>
      <c r="AH2412" s="153"/>
      <c r="AI2412" s="153"/>
      <c r="AJ2412" s="153"/>
      <c r="AK2412" s="153"/>
      <c r="AL2412" s="153"/>
      <c r="AM2412" s="153"/>
      <c r="AN2412" s="153"/>
      <c r="AO2412" s="153"/>
      <c r="AP2412" s="153"/>
      <c r="AQ2412" s="153"/>
      <c r="AR2412" s="153"/>
      <c r="AS2412" s="153"/>
      <c r="AT2412" s="153"/>
      <c r="AU2412" s="153"/>
      <c r="AV2412" s="153"/>
      <c r="AW2412" s="153"/>
      <c r="AX2412" s="153"/>
      <c r="AY2412" s="153"/>
      <c r="AZ2412" s="153"/>
      <c r="BA2412" s="153"/>
      <c r="BB2412" s="153"/>
      <c r="BC2412" s="153"/>
      <c r="BD2412" s="153"/>
      <c r="BE2412" s="153"/>
      <c r="BF2412" s="153"/>
      <c r="BG2412" s="153"/>
      <c r="BH2412" s="153"/>
      <c r="BI2412" s="153"/>
      <c r="BJ2412" s="153"/>
      <c r="BK2412" s="153"/>
      <c r="BL2412" s="153"/>
      <c r="BM2412" s="153"/>
      <c r="BN2412" s="153"/>
      <c r="BO2412" s="153"/>
      <c r="BP2412" s="153"/>
      <c r="BQ2412" s="153"/>
      <c r="BR2412" s="153"/>
      <c r="BS2412" s="153"/>
      <c r="BT2412" s="153"/>
      <c r="BU2412" s="153"/>
      <c r="BV2412" s="153"/>
      <c r="BW2412" s="153"/>
      <c r="BX2412" s="153"/>
      <c r="BY2412" s="153"/>
      <c r="BZ2412" s="153"/>
      <c r="CA2412" s="153"/>
      <c r="CB2412" s="153"/>
      <c r="CC2412" s="153"/>
      <c r="CD2412" s="155"/>
      <c r="CE2412" s="156"/>
      <c r="CF2412" s="155"/>
      <c r="CG2412" s="156"/>
      <c r="CH2412" s="155"/>
      <c r="CI2412" s="156"/>
      <c r="CJ2412" s="157">
        <f t="shared" ref="CJ2412:CJ2425" si="309">AC2412+AE2412+AG2412+AI2412+AK2412+AM2412+AO2412+AQ2412+AS2412+AU2412+AW2412+AY2412+BA2412+BC2412+BE2412+BG2412+BI2412+BK2412+BM2412+BO2412+BQ2412+BS2412+BU2412+BW2412+BY2412+CA2412+CC2412+CE2412+CG2412+CI2412</f>
        <v>0</v>
      </c>
      <c r="CK2412" s="158"/>
      <c r="CL2412" s="159"/>
      <c r="CM2412" s="160"/>
      <c r="CN2412" s="161"/>
      <c r="CO2412" s="162"/>
      <c r="CP2412" s="161"/>
      <c r="CQ2412" s="158"/>
      <c r="CR2412" s="159"/>
      <c r="CS2412" s="68"/>
      <c r="CT2412" s="163"/>
      <c r="EC2412" s="366"/>
      <c r="ED2412" s="367"/>
      <c r="EE2412" s="367"/>
      <c r="EF2412" s="368"/>
      <c r="EG2412" s="367"/>
      <c r="EH2412" s="367"/>
      <c r="EI2412" s="367"/>
    </row>
    <row r="2413" spans="1:139" s="164" customFormat="1">
      <c r="A2413" s="228"/>
      <c r="B2413" s="205"/>
      <c r="C2413" s="205"/>
      <c r="D2413" s="207"/>
      <c r="E2413" s="323"/>
      <c r="F2413" s="323"/>
      <c r="G2413" s="204"/>
      <c r="H2413" s="151"/>
      <c r="I2413" s="151"/>
      <c r="J2413" s="151"/>
      <c r="K2413" s="151"/>
      <c r="L2413" s="1"/>
      <c r="M2413" s="73">
        <f t="shared" si="304"/>
        <v>0</v>
      </c>
      <c r="N2413" s="73">
        <f t="shared" si="305"/>
        <v>0</v>
      </c>
      <c r="O2413" s="73">
        <f t="shared" si="306"/>
        <v>0</v>
      </c>
      <c r="P2413" s="73">
        <f t="shared" si="307"/>
        <v>0</v>
      </c>
      <c r="Q2413" s="73"/>
      <c r="R2413" s="73">
        <v>0</v>
      </c>
      <c r="S2413" s="75">
        <f t="shared" si="308"/>
        <v>0</v>
      </c>
      <c r="T2413" s="77">
        <v>0</v>
      </c>
      <c r="U2413" s="66"/>
      <c r="V2413" s="79"/>
      <c r="W2413" s="66"/>
      <c r="X2413" s="24"/>
      <c r="Y2413" s="62"/>
      <c r="Z2413" s="169"/>
      <c r="AA2413" s="166"/>
      <c r="AB2413" s="152"/>
      <c r="AC2413" s="153"/>
      <c r="AD2413" s="154"/>
      <c r="AE2413" s="153"/>
      <c r="AF2413" s="153"/>
      <c r="AG2413" s="153"/>
      <c r="AH2413" s="153"/>
      <c r="AI2413" s="153"/>
      <c r="AJ2413" s="153"/>
      <c r="AK2413" s="153"/>
      <c r="AL2413" s="153"/>
      <c r="AM2413" s="153"/>
      <c r="AN2413" s="153"/>
      <c r="AO2413" s="153"/>
      <c r="AP2413" s="153"/>
      <c r="AQ2413" s="153"/>
      <c r="AR2413" s="153"/>
      <c r="AS2413" s="153"/>
      <c r="AT2413" s="153"/>
      <c r="AU2413" s="153"/>
      <c r="AV2413" s="153"/>
      <c r="AW2413" s="153"/>
      <c r="AX2413" s="153"/>
      <c r="AY2413" s="153"/>
      <c r="AZ2413" s="153"/>
      <c r="BA2413" s="153"/>
      <c r="BB2413" s="153"/>
      <c r="BC2413" s="153"/>
      <c r="BD2413" s="153"/>
      <c r="BE2413" s="153"/>
      <c r="BF2413" s="153"/>
      <c r="BG2413" s="153"/>
      <c r="BH2413" s="153"/>
      <c r="BI2413" s="153"/>
      <c r="BJ2413" s="153"/>
      <c r="BK2413" s="153"/>
      <c r="BL2413" s="153"/>
      <c r="BM2413" s="153"/>
      <c r="BN2413" s="153"/>
      <c r="BO2413" s="153"/>
      <c r="BP2413" s="153"/>
      <c r="BQ2413" s="153"/>
      <c r="BR2413" s="153"/>
      <c r="BS2413" s="153"/>
      <c r="BT2413" s="153"/>
      <c r="BU2413" s="153"/>
      <c r="BV2413" s="153"/>
      <c r="BW2413" s="153"/>
      <c r="BX2413" s="153"/>
      <c r="BY2413" s="153"/>
      <c r="BZ2413" s="153"/>
      <c r="CA2413" s="153"/>
      <c r="CB2413" s="153"/>
      <c r="CC2413" s="153"/>
      <c r="CD2413" s="155"/>
      <c r="CE2413" s="156"/>
      <c r="CF2413" s="155"/>
      <c r="CG2413" s="156"/>
      <c r="CH2413" s="155"/>
      <c r="CI2413" s="156"/>
      <c r="CJ2413" s="157">
        <f t="shared" si="309"/>
        <v>0</v>
      </c>
      <c r="CK2413" s="158"/>
      <c r="CL2413" s="159"/>
      <c r="CM2413" s="160"/>
      <c r="CN2413" s="161"/>
      <c r="CO2413" s="162"/>
      <c r="CP2413" s="161"/>
      <c r="CQ2413" s="158"/>
      <c r="CR2413" s="159"/>
      <c r="CS2413" s="68"/>
      <c r="CT2413" s="163"/>
      <c r="EC2413" s="366"/>
      <c r="ED2413" s="367"/>
      <c r="EE2413" s="367"/>
      <c r="EF2413" s="368"/>
      <c r="EG2413" s="367"/>
      <c r="EH2413" s="367"/>
      <c r="EI2413" s="367"/>
    </row>
    <row r="2414" spans="1:139" s="164" customFormat="1">
      <c r="A2414" s="228"/>
      <c r="B2414" s="205"/>
      <c r="C2414" s="205"/>
      <c r="D2414" s="207"/>
      <c r="E2414" s="323"/>
      <c r="F2414" s="323"/>
      <c r="G2414" s="204"/>
      <c r="H2414" s="151"/>
      <c r="I2414" s="151"/>
      <c r="J2414" s="151"/>
      <c r="K2414" s="151"/>
      <c r="L2414" s="1"/>
      <c r="M2414" s="73">
        <f t="shared" si="304"/>
        <v>0</v>
      </c>
      <c r="N2414" s="73">
        <f t="shared" si="305"/>
        <v>0</v>
      </c>
      <c r="O2414" s="73">
        <f t="shared" si="306"/>
        <v>0</v>
      </c>
      <c r="P2414" s="73">
        <f t="shared" si="307"/>
        <v>0</v>
      </c>
      <c r="Q2414" s="73"/>
      <c r="R2414" s="73">
        <v>0</v>
      </c>
      <c r="S2414" s="75">
        <f t="shared" si="308"/>
        <v>0</v>
      </c>
      <c r="T2414" s="77">
        <v>0</v>
      </c>
      <c r="U2414" s="66"/>
      <c r="V2414" s="79"/>
      <c r="W2414" s="66"/>
      <c r="X2414" s="24"/>
      <c r="Y2414" s="62"/>
      <c r="Z2414" s="169"/>
      <c r="AA2414" s="166"/>
      <c r="AB2414" s="152"/>
      <c r="AC2414" s="153"/>
      <c r="AD2414" s="154"/>
      <c r="AE2414" s="153"/>
      <c r="AF2414" s="153"/>
      <c r="AG2414" s="153"/>
      <c r="AH2414" s="153"/>
      <c r="AI2414" s="153"/>
      <c r="AJ2414" s="153"/>
      <c r="AK2414" s="153"/>
      <c r="AL2414" s="153"/>
      <c r="AM2414" s="153"/>
      <c r="AN2414" s="153"/>
      <c r="AO2414" s="153"/>
      <c r="AP2414" s="153"/>
      <c r="AQ2414" s="153"/>
      <c r="AR2414" s="153"/>
      <c r="AS2414" s="153"/>
      <c r="AT2414" s="153"/>
      <c r="AU2414" s="153"/>
      <c r="AV2414" s="153"/>
      <c r="AW2414" s="153"/>
      <c r="AX2414" s="153"/>
      <c r="AY2414" s="153"/>
      <c r="AZ2414" s="153"/>
      <c r="BA2414" s="153"/>
      <c r="BB2414" s="153"/>
      <c r="BC2414" s="153"/>
      <c r="BD2414" s="153"/>
      <c r="BE2414" s="153"/>
      <c r="BF2414" s="153"/>
      <c r="BG2414" s="153"/>
      <c r="BH2414" s="153"/>
      <c r="BI2414" s="153"/>
      <c r="BJ2414" s="153"/>
      <c r="BK2414" s="153"/>
      <c r="BL2414" s="153"/>
      <c r="BM2414" s="153"/>
      <c r="BN2414" s="153"/>
      <c r="BO2414" s="153"/>
      <c r="BP2414" s="153"/>
      <c r="BQ2414" s="153"/>
      <c r="BR2414" s="153"/>
      <c r="BS2414" s="153"/>
      <c r="BT2414" s="153"/>
      <c r="BU2414" s="153"/>
      <c r="BV2414" s="153"/>
      <c r="BW2414" s="153"/>
      <c r="BX2414" s="153"/>
      <c r="BY2414" s="153"/>
      <c r="BZ2414" s="153"/>
      <c r="CA2414" s="153"/>
      <c r="CB2414" s="153"/>
      <c r="CC2414" s="153"/>
      <c r="CD2414" s="155"/>
      <c r="CE2414" s="156"/>
      <c r="CF2414" s="155"/>
      <c r="CG2414" s="156"/>
      <c r="CH2414" s="155"/>
      <c r="CI2414" s="156"/>
      <c r="CJ2414" s="157">
        <f t="shared" si="309"/>
        <v>0</v>
      </c>
      <c r="CK2414" s="158"/>
      <c r="CL2414" s="159"/>
      <c r="CM2414" s="160"/>
      <c r="CN2414" s="161"/>
      <c r="CO2414" s="162"/>
      <c r="CP2414" s="161"/>
      <c r="CQ2414" s="158"/>
      <c r="CR2414" s="159"/>
      <c r="CS2414" s="68"/>
      <c r="CT2414" s="163"/>
      <c r="EC2414" s="366"/>
      <c r="ED2414" s="367"/>
      <c r="EE2414" s="367"/>
      <c r="EF2414" s="368"/>
      <c r="EG2414" s="367"/>
      <c r="EH2414" s="367"/>
      <c r="EI2414" s="367"/>
    </row>
    <row r="2415" spans="1:139" s="164" customFormat="1">
      <c r="A2415" s="228"/>
      <c r="B2415" s="205"/>
      <c r="C2415" s="205"/>
      <c r="D2415" s="207"/>
      <c r="E2415" s="323"/>
      <c r="F2415" s="323"/>
      <c r="G2415" s="204"/>
      <c r="H2415" s="151"/>
      <c r="I2415" s="151"/>
      <c r="J2415" s="151"/>
      <c r="K2415" s="151"/>
      <c r="L2415" s="1"/>
      <c r="M2415" s="73">
        <f t="shared" si="304"/>
        <v>0</v>
      </c>
      <c r="N2415" s="73">
        <f t="shared" si="305"/>
        <v>0</v>
      </c>
      <c r="O2415" s="73">
        <f t="shared" si="306"/>
        <v>0</v>
      </c>
      <c r="P2415" s="73">
        <f t="shared" si="307"/>
        <v>0</v>
      </c>
      <c r="Q2415" s="73"/>
      <c r="R2415" s="73">
        <v>0</v>
      </c>
      <c r="S2415" s="75">
        <f t="shared" si="308"/>
        <v>0</v>
      </c>
      <c r="T2415" s="77">
        <v>0</v>
      </c>
      <c r="U2415" s="66"/>
      <c r="V2415" s="79"/>
      <c r="W2415" s="66"/>
      <c r="X2415" s="24"/>
      <c r="Y2415" s="62"/>
      <c r="Z2415" s="169"/>
      <c r="AA2415" s="166"/>
      <c r="AB2415" s="152"/>
      <c r="AC2415" s="153"/>
      <c r="AD2415" s="154"/>
      <c r="AE2415" s="153"/>
      <c r="AF2415" s="153"/>
      <c r="AG2415" s="153"/>
      <c r="AH2415" s="153"/>
      <c r="AI2415" s="153"/>
      <c r="AJ2415" s="153"/>
      <c r="AK2415" s="153"/>
      <c r="AL2415" s="153"/>
      <c r="AM2415" s="153"/>
      <c r="AN2415" s="153"/>
      <c r="AO2415" s="153"/>
      <c r="AP2415" s="153"/>
      <c r="AQ2415" s="153"/>
      <c r="AR2415" s="153"/>
      <c r="AS2415" s="153"/>
      <c r="AT2415" s="153"/>
      <c r="AU2415" s="153"/>
      <c r="AV2415" s="153"/>
      <c r="AW2415" s="153"/>
      <c r="AX2415" s="153"/>
      <c r="AY2415" s="153"/>
      <c r="AZ2415" s="153"/>
      <c r="BA2415" s="153"/>
      <c r="BB2415" s="153"/>
      <c r="BC2415" s="153"/>
      <c r="BD2415" s="153"/>
      <c r="BE2415" s="153"/>
      <c r="BF2415" s="153"/>
      <c r="BG2415" s="153"/>
      <c r="BH2415" s="153"/>
      <c r="BI2415" s="153"/>
      <c r="BJ2415" s="153"/>
      <c r="BK2415" s="153"/>
      <c r="BL2415" s="153"/>
      <c r="BM2415" s="153"/>
      <c r="BN2415" s="153"/>
      <c r="BO2415" s="153"/>
      <c r="BP2415" s="153"/>
      <c r="BQ2415" s="153"/>
      <c r="BR2415" s="153"/>
      <c r="BS2415" s="153"/>
      <c r="BT2415" s="153"/>
      <c r="BU2415" s="153"/>
      <c r="BV2415" s="153"/>
      <c r="BW2415" s="153"/>
      <c r="BX2415" s="153"/>
      <c r="BY2415" s="153"/>
      <c r="BZ2415" s="153"/>
      <c r="CA2415" s="153"/>
      <c r="CB2415" s="153"/>
      <c r="CC2415" s="153"/>
      <c r="CD2415" s="155"/>
      <c r="CE2415" s="156"/>
      <c r="CF2415" s="155"/>
      <c r="CG2415" s="156"/>
      <c r="CH2415" s="155"/>
      <c r="CI2415" s="156"/>
      <c r="CJ2415" s="157">
        <f t="shared" si="309"/>
        <v>0</v>
      </c>
      <c r="CK2415" s="158"/>
      <c r="CL2415" s="159"/>
      <c r="CM2415" s="160"/>
      <c r="CN2415" s="161"/>
      <c r="CO2415" s="162"/>
      <c r="CP2415" s="161"/>
      <c r="CQ2415" s="158"/>
      <c r="CR2415" s="159"/>
      <c r="CS2415" s="68"/>
      <c r="CT2415" s="163"/>
      <c r="EC2415" s="366"/>
      <c r="ED2415" s="367"/>
      <c r="EE2415" s="367"/>
      <c r="EF2415" s="368"/>
      <c r="EG2415" s="367"/>
      <c r="EH2415" s="367"/>
      <c r="EI2415" s="367"/>
    </row>
    <row r="2416" spans="1:139" s="164" customFormat="1">
      <c r="A2416" s="228"/>
      <c r="B2416" s="205"/>
      <c r="C2416" s="205"/>
      <c r="D2416" s="207"/>
      <c r="E2416" s="323"/>
      <c r="F2416" s="323"/>
      <c r="G2416" s="204"/>
      <c r="H2416" s="151"/>
      <c r="I2416" s="151"/>
      <c r="J2416" s="151"/>
      <c r="K2416" s="151"/>
      <c r="L2416" s="1"/>
      <c r="M2416" s="73">
        <f t="shared" si="304"/>
        <v>0</v>
      </c>
      <c r="N2416" s="73">
        <f t="shared" si="305"/>
        <v>0</v>
      </c>
      <c r="O2416" s="73">
        <f t="shared" si="306"/>
        <v>0</v>
      </c>
      <c r="P2416" s="73">
        <f t="shared" si="307"/>
        <v>0</v>
      </c>
      <c r="Q2416" s="73"/>
      <c r="R2416" s="73">
        <v>0</v>
      </c>
      <c r="S2416" s="75">
        <f t="shared" si="308"/>
        <v>0</v>
      </c>
      <c r="T2416" s="77">
        <v>0</v>
      </c>
      <c r="U2416" s="66"/>
      <c r="V2416" s="79"/>
      <c r="W2416" s="66"/>
      <c r="X2416" s="24"/>
      <c r="Y2416" s="62"/>
      <c r="Z2416" s="169"/>
      <c r="AA2416" s="166"/>
      <c r="AB2416" s="152"/>
      <c r="AC2416" s="153"/>
      <c r="AD2416" s="154"/>
      <c r="AE2416" s="153"/>
      <c r="AF2416" s="153"/>
      <c r="AG2416" s="153"/>
      <c r="AH2416" s="153"/>
      <c r="AI2416" s="153"/>
      <c r="AJ2416" s="153"/>
      <c r="AK2416" s="153"/>
      <c r="AL2416" s="153"/>
      <c r="AM2416" s="153"/>
      <c r="AN2416" s="153"/>
      <c r="AO2416" s="153"/>
      <c r="AP2416" s="153"/>
      <c r="AQ2416" s="153"/>
      <c r="AR2416" s="153"/>
      <c r="AS2416" s="153"/>
      <c r="AT2416" s="153"/>
      <c r="AU2416" s="153"/>
      <c r="AV2416" s="153"/>
      <c r="AW2416" s="153"/>
      <c r="AX2416" s="153"/>
      <c r="AY2416" s="153"/>
      <c r="AZ2416" s="153"/>
      <c r="BA2416" s="153"/>
      <c r="BB2416" s="153"/>
      <c r="BC2416" s="153"/>
      <c r="BD2416" s="153"/>
      <c r="BE2416" s="153"/>
      <c r="BF2416" s="153"/>
      <c r="BG2416" s="153"/>
      <c r="BH2416" s="153"/>
      <c r="BI2416" s="153"/>
      <c r="BJ2416" s="153"/>
      <c r="BK2416" s="153"/>
      <c r="BL2416" s="153"/>
      <c r="BM2416" s="153"/>
      <c r="BN2416" s="153"/>
      <c r="BO2416" s="153"/>
      <c r="BP2416" s="153"/>
      <c r="BQ2416" s="153"/>
      <c r="BR2416" s="153"/>
      <c r="BS2416" s="153"/>
      <c r="BT2416" s="153"/>
      <c r="BU2416" s="153"/>
      <c r="BV2416" s="153"/>
      <c r="BW2416" s="153"/>
      <c r="BX2416" s="153"/>
      <c r="BY2416" s="153"/>
      <c r="BZ2416" s="153"/>
      <c r="CA2416" s="153"/>
      <c r="CB2416" s="153"/>
      <c r="CC2416" s="153"/>
      <c r="CD2416" s="155"/>
      <c r="CE2416" s="156"/>
      <c r="CF2416" s="155"/>
      <c r="CG2416" s="156"/>
      <c r="CH2416" s="155"/>
      <c r="CI2416" s="156"/>
      <c r="CJ2416" s="157">
        <f t="shared" si="309"/>
        <v>0</v>
      </c>
      <c r="CK2416" s="158"/>
      <c r="CL2416" s="159"/>
      <c r="CM2416" s="160"/>
      <c r="CN2416" s="161"/>
      <c r="CO2416" s="162"/>
      <c r="CP2416" s="161"/>
      <c r="CQ2416" s="158"/>
      <c r="CR2416" s="159"/>
      <c r="CS2416" s="68"/>
      <c r="CT2416" s="163"/>
      <c r="EC2416" s="366"/>
      <c r="ED2416" s="367"/>
      <c r="EE2416" s="367"/>
      <c r="EF2416" s="368"/>
      <c r="EG2416" s="367"/>
      <c r="EH2416" s="367"/>
      <c r="EI2416" s="367"/>
    </row>
    <row r="2417" spans="1:139" s="164" customFormat="1">
      <c r="A2417" s="228"/>
      <c r="B2417" s="205"/>
      <c r="C2417" s="205"/>
      <c r="D2417" s="207"/>
      <c r="E2417" s="323"/>
      <c r="F2417" s="323"/>
      <c r="G2417" s="204"/>
      <c r="H2417" s="151"/>
      <c r="I2417" s="151"/>
      <c r="J2417" s="151"/>
      <c r="K2417" s="151"/>
      <c r="L2417" s="1"/>
      <c r="M2417" s="73">
        <f t="shared" si="304"/>
        <v>0</v>
      </c>
      <c r="N2417" s="73">
        <f t="shared" si="305"/>
        <v>0</v>
      </c>
      <c r="O2417" s="73">
        <f t="shared" si="306"/>
        <v>0</v>
      </c>
      <c r="P2417" s="73">
        <f t="shared" si="307"/>
        <v>0</v>
      </c>
      <c r="Q2417" s="73"/>
      <c r="R2417" s="73">
        <v>0</v>
      </c>
      <c r="S2417" s="75">
        <f t="shared" si="308"/>
        <v>0</v>
      </c>
      <c r="T2417" s="77">
        <v>0</v>
      </c>
      <c r="U2417" s="66"/>
      <c r="V2417" s="79"/>
      <c r="W2417" s="66"/>
      <c r="X2417" s="24"/>
      <c r="Y2417" s="62"/>
      <c r="Z2417" s="169"/>
      <c r="AA2417" s="166"/>
      <c r="AB2417" s="152"/>
      <c r="AC2417" s="153"/>
      <c r="AD2417" s="154"/>
      <c r="AE2417" s="153"/>
      <c r="AF2417" s="153"/>
      <c r="AG2417" s="153"/>
      <c r="AH2417" s="153"/>
      <c r="AI2417" s="153"/>
      <c r="AJ2417" s="153"/>
      <c r="AK2417" s="153"/>
      <c r="AL2417" s="153"/>
      <c r="AM2417" s="153"/>
      <c r="AN2417" s="153"/>
      <c r="AO2417" s="153"/>
      <c r="AP2417" s="153"/>
      <c r="AQ2417" s="153"/>
      <c r="AR2417" s="153"/>
      <c r="AS2417" s="153"/>
      <c r="AT2417" s="153"/>
      <c r="AU2417" s="153"/>
      <c r="AV2417" s="153"/>
      <c r="AW2417" s="153"/>
      <c r="AX2417" s="153"/>
      <c r="AY2417" s="153"/>
      <c r="AZ2417" s="153"/>
      <c r="BA2417" s="153"/>
      <c r="BB2417" s="153"/>
      <c r="BC2417" s="153"/>
      <c r="BD2417" s="153"/>
      <c r="BE2417" s="153"/>
      <c r="BF2417" s="153"/>
      <c r="BG2417" s="153"/>
      <c r="BH2417" s="153"/>
      <c r="BI2417" s="153"/>
      <c r="BJ2417" s="153"/>
      <c r="BK2417" s="153"/>
      <c r="BL2417" s="153"/>
      <c r="BM2417" s="153"/>
      <c r="BN2417" s="153"/>
      <c r="BO2417" s="153"/>
      <c r="BP2417" s="153"/>
      <c r="BQ2417" s="153"/>
      <c r="BR2417" s="153"/>
      <c r="BS2417" s="153"/>
      <c r="BT2417" s="153"/>
      <c r="BU2417" s="153"/>
      <c r="BV2417" s="153"/>
      <c r="BW2417" s="153"/>
      <c r="BX2417" s="153"/>
      <c r="BY2417" s="153"/>
      <c r="BZ2417" s="153"/>
      <c r="CA2417" s="153"/>
      <c r="CB2417" s="153"/>
      <c r="CC2417" s="153"/>
      <c r="CD2417" s="155"/>
      <c r="CE2417" s="156"/>
      <c r="CF2417" s="155"/>
      <c r="CG2417" s="156"/>
      <c r="CH2417" s="155"/>
      <c r="CI2417" s="156"/>
      <c r="CJ2417" s="157">
        <f t="shared" si="309"/>
        <v>0</v>
      </c>
      <c r="CK2417" s="158"/>
      <c r="CL2417" s="159"/>
      <c r="CM2417" s="160"/>
      <c r="CN2417" s="161"/>
      <c r="CO2417" s="162"/>
      <c r="CP2417" s="161"/>
      <c r="CQ2417" s="158"/>
      <c r="CR2417" s="159"/>
      <c r="CS2417" s="68"/>
      <c r="CT2417" s="163"/>
      <c r="EC2417" s="366"/>
      <c r="ED2417" s="367"/>
      <c r="EE2417" s="367"/>
      <c r="EF2417" s="368"/>
      <c r="EG2417" s="367"/>
      <c r="EH2417" s="367"/>
      <c r="EI2417" s="367"/>
    </row>
    <row r="2418" spans="1:139" s="164" customFormat="1">
      <c r="A2418" s="228"/>
      <c r="B2418" s="205"/>
      <c r="C2418" s="205"/>
      <c r="D2418" s="207"/>
      <c r="E2418" s="323"/>
      <c r="F2418" s="323"/>
      <c r="G2418" s="204"/>
      <c r="H2418" s="151"/>
      <c r="I2418" s="151"/>
      <c r="J2418" s="151"/>
      <c r="K2418" s="151"/>
      <c r="L2418" s="1"/>
      <c r="M2418" s="73">
        <f t="shared" si="304"/>
        <v>0</v>
      </c>
      <c r="N2418" s="73">
        <f t="shared" si="305"/>
        <v>0</v>
      </c>
      <c r="O2418" s="73">
        <f t="shared" si="306"/>
        <v>0</v>
      </c>
      <c r="P2418" s="73">
        <f t="shared" si="307"/>
        <v>0</v>
      </c>
      <c r="Q2418" s="73"/>
      <c r="R2418" s="73">
        <v>0</v>
      </c>
      <c r="S2418" s="75">
        <f t="shared" si="308"/>
        <v>0</v>
      </c>
      <c r="T2418" s="77">
        <v>0</v>
      </c>
      <c r="U2418" s="66"/>
      <c r="V2418" s="79"/>
      <c r="W2418" s="66"/>
      <c r="X2418" s="24"/>
      <c r="Y2418" s="62"/>
      <c r="Z2418" s="169"/>
      <c r="AA2418" s="166"/>
      <c r="AB2418" s="152"/>
      <c r="AC2418" s="153"/>
      <c r="AD2418" s="154"/>
      <c r="AE2418" s="153"/>
      <c r="AF2418" s="153"/>
      <c r="AG2418" s="153"/>
      <c r="AH2418" s="153"/>
      <c r="AI2418" s="153"/>
      <c r="AJ2418" s="153"/>
      <c r="AK2418" s="153"/>
      <c r="AL2418" s="153"/>
      <c r="AM2418" s="153"/>
      <c r="AN2418" s="153"/>
      <c r="AO2418" s="153"/>
      <c r="AP2418" s="153"/>
      <c r="AQ2418" s="153"/>
      <c r="AR2418" s="153"/>
      <c r="AS2418" s="153"/>
      <c r="AT2418" s="153"/>
      <c r="AU2418" s="153"/>
      <c r="AV2418" s="153"/>
      <c r="AW2418" s="153"/>
      <c r="AX2418" s="153"/>
      <c r="AY2418" s="153"/>
      <c r="AZ2418" s="153"/>
      <c r="BA2418" s="153"/>
      <c r="BB2418" s="153"/>
      <c r="BC2418" s="153"/>
      <c r="BD2418" s="153"/>
      <c r="BE2418" s="153"/>
      <c r="BF2418" s="153"/>
      <c r="BG2418" s="153"/>
      <c r="BH2418" s="153"/>
      <c r="BI2418" s="153"/>
      <c r="BJ2418" s="153"/>
      <c r="BK2418" s="153"/>
      <c r="BL2418" s="153"/>
      <c r="BM2418" s="153"/>
      <c r="BN2418" s="153"/>
      <c r="BO2418" s="153"/>
      <c r="BP2418" s="153"/>
      <c r="BQ2418" s="153"/>
      <c r="BR2418" s="153"/>
      <c r="BS2418" s="153"/>
      <c r="BT2418" s="153"/>
      <c r="BU2418" s="153"/>
      <c r="BV2418" s="153"/>
      <c r="BW2418" s="153"/>
      <c r="BX2418" s="153"/>
      <c r="BY2418" s="153"/>
      <c r="BZ2418" s="153"/>
      <c r="CA2418" s="153"/>
      <c r="CB2418" s="153"/>
      <c r="CC2418" s="153"/>
      <c r="CD2418" s="155"/>
      <c r="CE2418" s="156"/>
      <c r="CF2418" s="155"/>
      <c r="CG2418" s="156"/>
      <c r="CH2418" s="155"/>
      <c r="CI2418" s="156"/>
      <c r="CJ2418" s="157">
        <f t="shared" si="309"/>
        <v>0</v>
      </c>
      <c r="CK2418" s="158"/>
      <c r="CL2418" s="159"/>
      <c r="CM2418" s="160"/>
      <c r="CN2418" s="161"/>
      <c r="CO2418" s="162"/>
      <c r="CP2418" s="161"/>
      <c r="CQ2418" s="158"/>
      <c r="CR2418" s="159"/>
      <c r="CS2418" s="68"/>
      <c r="CT2418" s="163"/>
      <c r="EC2418" s="366"/>
      <c r="ED2418" s="367"/>
      <c r="EE2418" s="367"/>
      <c r="EF2418" s="368"/>
      <c r="EG2418" s="367"/>
      <c r="EH2418" s="367"/>
      <c r="EI2418" s="367"/>
    </row>
    <row r="2419" spans="1:139" s="164" customFormat="1">
      <c r="A2419" s="228"/>
      <c r="B2419" s="205"/>
      <c r="C2419" s="205"/>
      <c r="D2419" s="207"/>
      <c r="E2419" s="323"/>
      <c r="F2419" s="323"/>
      <c r="G2419" s="204"/>
      <c r="H2419" s="151"/>
      <c r="I2419" s="151"/>
      <c r="J2419" s="151"/>
      <c r="K2419" s="151"/>
      <c r="L2419" s="1"/>
      <c r="M2419" s="73">
        <f t="shared" si="304"/>
        <v>0</v>
      </c>
      <c r="N2419" s="73">
        <f t="shared" si="305"/>
        <v>0</v>
      </c>
      <c r="O2419" s="73">
        <f t="shared" si="306"/>
        <v>0</v>
      </c>
      <c r="P2419" s="73">
        <f t="shared" si="307"/>
        <v>0</v>
      </c>
      <c r="Q2419" s="73"/>
      <c r="R2419" s="73">
        <v>0</v>
      </c>
      <c r="S2419" s="75">
        <f t="shared" si="308"/>
        <v>0</v>
      </c>
      <c r="T2419" s="77">
        <v>0</v>
      </c>
      <c r="U2419" s="66"/>
      <c r="V2419" s="79"/>
      <c r="W2419" s="66"/>
      <c r="X2419" s="24"/>
      <c r="Y2419" s="62"/>
      <c r="Z2419" s="169"/>
      <c r="AA2419" s="166"/>
      <c r="AB2419" s="152"/>
      <c r="AC2419" s="153"/>
      <c r="AD2419" s="154"/>
      <c r="AE2419" s="153"/>
      <c r="AF2419" s="153"/>
      <c r="AG2419" s="153"/>
      <c r="AH2419" s="153"/>
      <c r="AI2419" s="153"/>
      <c r="AJ2419" s="153"/>
      <c r="AK2419" s="153"/>
      <c r="AL2419" s="153"/>
      <c r="AM2419" s="153"/>
      <c r="AN2419" s="153"/>
      <c r="AO2419" s="153"/>
      <c r="AP2419" s="153"/>
      <c r="AQ2419" s="153"/>
      <c r="AR2419" s="153"/>
      <c r="AS2419" s="153"/>
      <c r="AT2419" s="153"/>
      <c r="AU2419" s="153"/>
      <c r="AV2419" s="153"/>
      <c r="AW2419" s="153"/>
      <c r="AX2419" s="153"/>
      <c r="AY2419" s="153"/>
      <c r="AZ2419" s="153"/>
      <c r="BA2419" s="153"/>
      <c r="BB2419" s="153"/>
      <c r="BC2419" s="153"/>
      <c r="BD2419" s="153"/>
      <c r="BE2419" s="153"/>
      <c r="BF2419" s="153"/>
      <c r="BG2419" s="153"/>
      <c r="BH2419" s="153"/>
      <c r="BI2419" s="153"/>
      <c r="BJ2419" s="153"/>
      <c r="BK2419" s="153"/>
      <c r="BL2419" s="153"/>
      <c r="BM2419" s="153"/>
      <c r="BN2419" s="153"/>
      <c r="BO2419" s="153"/>
      <c r="BP2419" s="153"/>
      <c r="BQ2419" s="153"/>
      <c r="BR2419" s="153"/>
      <c r="BS2419" s="153"/>
      <c r="BT2419" s="153"/>
      <c r="BU2419" s="153"/>
      <c r="BV2419" s="153"/>
      <c r="BW2419" s="153"/>
      <c r="BX2419" s="153"/>
      <c r="BY2419" s="153"/>
      <c r="BZ2419" s="153"/>
      <c r="CA2419" s="153"/>
      <c r="CB2419" s="153"/>
      <c r="CC2419" s="153"/>
      <c r="CD2419" s="155"/>
      <c r="CE2419" s="156"/>
      <c r="CF2419" s="155"/>
      <c r="CG2419" s="156"/>
      <c r="CH2419" s="155"/>
      <c r="CI2419" s="156"/>
      <c r="CJ2419" s="157">
        <f t="shared" si="309"/>
        <v>0</v>
      </c>
      <c r="CK2419" s="158"/>
      <c r="CL2419" s="159"/>
      <c r="CM2419" s="160"/>
      <c r="CN2419" s="161"/>
      <c r="CO2419" s="162"/>
      <c r="CP2419" s="161"/>
      <c r="CQ2419" s="158"/>
      <c r="CR2419" s="159"/>
      <c r="CS2419" s="68"/>
      <c r="CT2419" s="163"/>
      <c r="EC2419" s="366"/>
      <c r="ED2419" s="367"/>
      <c r="EE2419" s="367"/>
      <c r="EF2419" s="368"/>
      <c r="EG2419" s="367"/>
      <c r="EH2419" s="367"/>
      <c r="EI2419" s="367"/>
    </row>
    <row r="2420" spans="1:139" s="164" customFormat="1">
      <c r="A2420" s="228"/>
      <c r="B2420" s="205"/>
      <c r="C2420" s="205"/>
      <c r="D2420" s="207"/>
      <c r="E2420" s="323"/>
      <c r="F2420" s="323"/>
      <c r="G2420" s="204"/>
      <c r="H2420" s="151"/>
      <c r="I2420" s="151"/>
      <c r="J2420" s="151"/>
      <c r="K2420" s="151"/>
      <c r="L2420" s="1"/>
      <c r="M2420" s="73">
        <f t="shared" si="304"/>
        <v>0</v>
      </c>
      <c r="N2420" s="73">
        <f t="shared" si="305"/>
        <v>0</v>
      </c>
      <c r="O2420" s="73">
        <f t="shared" si="306"/>
        <v>0</v>
      </c>
      <c r="P2420" s="73">
        <f t="shared" si="307"/>
        <v>0</v>
      </c>
      <c r="Q2420" s="73"/>
      <c r="R2420" s="73">
        <v>0</v>
      </c>
      <c r="S2420" s="75">
        <f t="shared" si="308"/>
        <v>0</v>
      </c>
      <c r="T2420" s="77">
        <v>0</v>
      </c>
      <c r="U2420" s="66"/>
      <c r="V2420" s="79"/>
      <c r="W2420" s="66"/>
      <c r="X2420" s="24"/>
      <c r="Y2420" s="62"/>
      <c r="Z2420" s="169"/>
      <c r="AA2420" s="166"/>
      <c r="AB2420" s="152"/>
      <c r="AC2420" s="153"/>
      <c r="AD2420" s="154"/>
      <c r="AE2420" s="153"/>
      <c r="AF2420" s="153"/>
      <c r="AG2420" s="153"/>
      <c r="AH2420" s="153"/>
      <c r="AI2420" s="153"/>
      <c r="AJ2420" s="153"/>
      <c r="AK2420" s="153"/>
      <c r="AL2420" s="153"/>
      <c r="AM2420" s="153"/>
      <c r="AN2420" s="153"/>
      <c r="AO2420" s="153"/>
      <c r="AP2420" s="153"/>
      <c r="AQ2420" s="153"/>
      <c r="AR2420" s="153"/>
      <c r="AS2420" s="153"/>
      <c r="AT2420" s="153"/>
      <c r="AU2420" s="153"/>
      <c r="AV2420" s="153"/>
      <c r="AW2420" s="153"/>
      <c r="AX2420" s="153"/>
      <c r="AY2420" s="153"/>
      <c r="AZ2420" s="153"/>
      <c r="BA2420" s="153"/>
      <c r="BB2420" s="153"/>
      <c r="BC2420" s="153"/>
      <c r="BD2420" s="153"/>
      <c r="BE2420" s="153"/>
      <c r="BF2420" s="153"/>
      <c r="BG2420" s="153"/>
      <c r="BH2420" s="153"/>
      <c r="BI2420" s="153"/>
      <c r="BJ2420" s="153"/>
      <c r="BK2420" s="153"/>
      <c r="BL2420" s="153"/>
      <c r="BM2420" s="153"/>
      <c r="BN2420" s="153"/>
      <c r="BO2420" s="153"/>
      <c r="BP2420" s="153"/>
      <c r="BQ2420" s="153"/>
      <c r="BR2420" s="153"/>
      <c r="BS2420" s="153"/>
      <c r="BT2420" s="153"/>
      <c r="BU2420" s="153"/>
      <c r="BV2420" s="153"/>
      <c r="BW2420" s="153"/>
      <c r="BX2420" s="153"/>
      <c r="BY2420" s="153"/>
      <c r="BZ2420" s="153"/>
      <c r="CA2420" s="153"/>
      <c r="CB2420" s="153"/>
      <c r="CC2420" s="153"/>
      <c r="CD2420" s="155"/>
      <c r="CE2420" s="156"/>
      <c r="CF2420" s="155"/>
      <c r="CG2420" s="156"/>
      <c r="CH2420" s="155"/>
      <c r="CI2420" s="156"/>
      <c r="CJ2420" s="157">
        <f t="shared" si="309"/>
        <v>0</v>
      </c>
      <c r="CK2420" s="158"/>
      <c r="CL2420" s="159"/>
      <c r="CM2420" s="160"/>
      <c r="CN2420" s="161"/>
      <c r="CO2420" s="162"/>
      <c r="CP2420" s="161"/>
      <c r="CQ2420" s="158"/>
      <c r="CR2420" s="159"/>
      <c r="CS2420" s="68"/>
      <c r="CT2420" s="163"/>
      <c r="EC2420" s="366"/>
      <c r="ED2420" s="367"/>
      <c r="EE2420" s="367"/>
      <c r="EF2420" s="368"/>
      <c r="EG2420" s="367"/>
      <c r="EH2420" s="367"/>
      <c r="EI2420" s="367"/>
    </row>
    <row r="2421" spans="1:139" s="164" customFormat="1">
      <c r="A2421" s="228"/>
      <c r="B2421" s="205"/>
      <c r="C2421" s="205"/>
      <c r="D2421" s="207"/>
      <c r="E2421" s="323"/>
      <c r="F2421" s="323"/>
      <c r="G2421" s="204"/>
      <c r="H2421" s="151"/>
      <c r="I2421" s="151"/>
      <c r="J2421" s="151"/>
      <c r="K2421" s="151"/>
      <c r="L2421" s="1"/>
      <c r="M2421" s="73">
        <f t="shared" si="304"/>
        <v>0</v>
      </c>
      <c r="N2421" s="73">
        <f t="shared" si="305"/>
        <v>0</v>
      </c>
      <c r="O2421" s="73">
        <f t="shared" si="306"/>
        <v>0</v>
      </c>
      <c r="P2421" s="73">
        <f t="shared" si="307"/>
        <v>0</v>
      </c>
      <c r="Q2421" s="73"/>
      <c r="R2421" s="73">
        <v>0</v>
      </c>
      <c r="S2421" s="75">
        <f t="shared" si="308"/>
        <v>0</v>
      </c>
      <c r="T2421" s="77">
        <v>0</v>
      </c>
      <c r="U2421" s="66"/>
      <c r="V2421" s="79"/>
      <c r="W2421" s="66"/>
      <c r="X2421" s="24"/>
      <c r="Y2421" s="62"/>
      <c r="Z2421" s="169"/>
      <c r="AA2421" s="166"/>
      <c r="AB2421" s="152"/>
      <c r="AC2421" s="153"/>
      <c r="AD2421" s="154"/>
      <c r="AE2421" s="153"/>
      <c r="AF2421" s="153"/>
      <c r="AG2421" s="153"/>
      <c r="AH2421" s="153"/>
      <c r="AI2421" s="153"/>
      <c r="AJ2421" s="153"/>
      <c r="AK2421" s="153"/>
      <c r="AL2421" s="153"/>
      <c r="AM2421" s="153"/>
      <c r="AN2421" s="153"/>
      <c r="AO2421" s="153"/>
      <c r="AP2421" s="153"/>
      <c r="AQ2421" s="153"/>
      <c r="AR2421" s="153"/>
      <c r="AS2421" s="153"/>
      <c r="AT2421" s="153"/>
      <c r="AU2421" s="153"/>
      <c r="AV2421" s="153"/>
      <c r="AW2421" s="153"/>
      <c r="AX2421" s="153"/>
      <c r="AY2421" s="153"/>
      <c r="AZ2421" s="153"/>
      <c r="BA2421" s="153"/>
      <c r="BB2421" s="153"/>
      <c r="BC2421" s="153"/>
      <c r="BD2421" s="153"/>
      <c r="BE2421" s="153"/>
      <c r="BF2421" s="153"/>
      <c r="BG2421" s="153"/>
      <c r="BH2421" s="153"/>
      <c r="BI2421" s="153"/>
      <c r="BJ2421" s="153"/>
      <c r="BK2421" s="153"/>
      <c r="BL2421" s="153"/>
      <c r="BM2421" s="153"/>
      <c r="BN2421" s="153"/>
      <c r="BO2421" s="153"/>
      <c r="BP2421" s="153"/>
      <c r="BQ2421" s="153"/>
      <c r="BR2421" s="153"/>
      <c r="BS2421" s="153"/>
      <c r="BT2421" s="153"/>
      <c r="BU2421" s="153"/>
      <c r="BV2421" s="153"/>
      <c r="BW2421" s="153"/>
      <c r="BX2421" s="153"/>
      <c r="BY2421" s="153"/>
      <c r="BZ2421" s="153"/>
      <c r="CA2421" s="153"/>
      <c r="CB2421" s="153"/>
      <c r="CC2421" s="153"/>
      <c r="CD2421" s="155"/>
      <c r="CE2421" s="156"/>
      <c r="CF2421" s="155"/>
      <c r="CG2421" s="156"/>
      <c r="CH2421" s="155"/>
      <c r="CI2421" s="156"/>
      <c r="CJ2421" s="157">
        <f t="shared" si="309"/>
        <v>0</v>
      </c>
      <c r="CK2421" s="158"/>
      <c r="CL2421" s="159"/>
      <c r="CM2421" s="160"/>
      <c r="CN2421" s="161"/>
      <c r="CO2421" s="162"/>
      <c r="CP2421" s="161"/>
      <c r="CQ2421" s="158"/>
      <c r="CR2421" s="159"/>
      <c r="CS2421" s="68"/>
      <c r="CT2421" s="163"/>
      <c r="EC2421" s="366"/>
      <c r="ED2421" s="367"/>
      <c r="EE2421" s="367"/>
      <c r="EF2421" s="368"/>
      <c r="EG2421" s="367"/>
      <c r="EH2421" s="367"/>
      <c r="EI2421" s="367"/>
    </row>
    <row r="2422" spans="1:139" s="164" customFormat="1">
      <c r="A2422" s="228"/>
      <c r="B2422" s="205"/>
      <c r="C2422" s="205"/>
      <c r="D2422" s="207"/>
      <c r="E2422" s="323"/>
      <c r="F2422" s="323"/>
      <c r="G2422" s="204"/>
      <c r="H2422" s="151"/>
      <c r="I2422" s="151"/>
      <c r="J2422" s="151"/>
      <c r="K2422" s="151"/>
      <c r="L2422" s="1"/>
      <c r="M2422" s="73">
        <f t="shared" si="304"/>
        <v>0</v>
      </c>
      <c r="N2422" s="73">
        <f t="shared" si="305"/>
        <v>0</v>
      </c>
      <c r="O2422" s="73">
        <f t="shared" si="306"/>
        <v>0</v>
      </c>
      <c r="P2422" s="73">
        <f t="shared" si="307"/>
        <v>0</v>
      </c>
      <c r="Q2422" s="73"/>
      <c r="R2422" s="73">
        <v>0</v>
      </c>
      <c r="S2422" s="75">
        <f t="shared" si="308"/>
        <v>0</v>
      </c>
      <c r="T2422" s="77">
        <v>0</v>
      </c>
      <c r="U2422" s="66"/>
      <c r="V2422" s="79"/>
      <c r="W2422" s="66"/>
      <c r="X2422" s="24"/>
      <c r="Y2422" s="62"/>
      <c r="Z2422" s="169"/>
      <c r="AA2422" s="166"/>
      <c r="AB2422" s="152"/>
      <c r="AC2422" s="153"/>
      <c r="AD2422" s="154"/>
      <c r="AE2422" s="153"/>
      <c r="AF2422" s="153"/>
      <c r="AG2422" s="153"/>
      <c r="AH2422" s="153"/>
      <c r="AI2422" s="153"/>
      <c r="AJ2422" s="153"/>
      <c r="AK2422" s="153"/>
      <c r="AL2422" s="153"/>
      <c r="AM2422" s="153"/>
      <c r="AN2422" s="153"/>
      <c r="AO2422" s="153"/>
      <c r="AP2422" s="153"/>
      <c r="AQ2422" s="153"/>
      <c r="AR2422" s="153"/>
      <c r="AS2422" s="153"/>
      <c r="AT2422" s="153"/>
      <c r="AU2422" s="153"/>
      <c r="AV2422" s="153"/>
      <c r="AW2422" s="153"/>
      <c r="AX2422" s="153"/>
      <c r="AY2422" s="153"/>
      <c r="AZ2422" s="153"/>
      <c r="BA2422" s="153"/>
      <c r="BB2422" s="153"/>
      <c r="BC2422" s="153"/>
      <c r="BD2422" s="153"/>
      <c r="BE2422" s="153"/>
      <c r="BF2422" s="153"/>
      <c r="BG2422" s="153"/>
      <c r="BH2422" s="153"/>
      <c r="BI2422" s="153"/>
      <c r="BJ2422" s="153"/>
      <c r="BK2422" s="153"/>
      <c r="BL2422" s="153"/>
      <c r="BM2422" s="153"/>
      <c r="BN2422" s="153"/>
      <c r="BO2422" s="153"/>
      <c r="BP2422" s="153"/>
      <c r="BQ2422" s="153"/>
      <c r="BR2422" s="153"/>
      <c r="BS2422" s="153"/>
      <c r="BT2422" s="153"/>
      <c r="BU2422" s="153"/>
      <c r="BV2422" s="153"/>
      <c r="BW2422" s="153"/>
      <c r="BX2422" s="153"/>
      <c r="BY2422" s="153"/>
      <c r="BZ2422" s="153"/>
      <c r="CA2422" s="153"/>
      <c r="CB2422" s="153"/>
      <c r="CC2422" s="153"/>
      <c r="CD2422" s="155"/>
      <c r="CE2422" s="156"/>
      <c r="CF2422" s="155"/>
      <c r="CG2422" s="156"/>
      <c r="CH2422" s="155"/>
      <c r="CI2422" s="156"/>
      <c r="CJ2422" s="157">
        <f t="shared" si="309"/>
        <v>0</v>
      </c>
      <c r="CK2422" s="158"/>
      <c r="CL2422" s="159"/>
      <c r="CM2422" s="160"/>
      <c r="CN2422" s="161"/>
      <c r="CO2422" s="162"/>
      <c r="CP2422" s="161"/>
      <c r="CQ2422" s="158"/>
      <c r="CR2422" s="159"/>
      <c r="CS2422" s="68"/>
      <c r="CT2422" s="163"/>
      <c r="EC2422" s="366"/>
      <c r="ED2422" s="367"/>
      <c r="EE2422" s="367"/>
      <c r="EF2422" s="368"/>
      <c r="EG2422" s="367"/>
      <c r="EH2422" s="367"/>
      <c r="EI2422" s="367"/>
    </row>
    <row r="2423" spans="1:139" s="164" customFormat="1">
      <c r="A2423" s="228"/>
      <c r="B2423" s="205"/>
      <c r="C2423" s="205"/>
      <c r="D2423" s="207"/>
      <c r="E2423" s="323"/>
      <c r="F2423" s="323"/>
      <c r="G2423" s="204"/>
      <c r="H2423" s="151"/>
      <c r="I2423" s="151"/>
      <c r="J2423" s="151"/>
      <c r="K2423" s="151"/>
      <c r="L2423" s="1"/>
      <c r="M2423" s="73">
        <f t="shared" si="304"/>
        <v>0</v>
      </c>
      <c r="N2423" s="73">
        <f t="shared" si="305"/>
        <v>0</v>
      </c>
      <c r="O2423" s="73">
        <f t="shared" si="306"/>
        <v>0</v>
      </c>
      <c r="P2423" s="73">
        <f t="shared" si="307"/>
        <v>0</v>
      </c>
      <c r="Q2423" s="73"/>
      <c r="R2423" s="73">
        <v>0</v>
      </c>
      <c r="S2423" s="75">
        <f t="shared" si="308"/>
        <v>0</v>
      </c>
      <c r="T2423" s="77">
        <v>0</v>
      </c>
      <c r="U2423" s="66"/>
      <c r="V2423" s="79"/>
      <c r="W2423" s="66"/>
      <c r="X2423" s="24"/>
      <c r="Y2423" s="62"/>
      <c r="Z2423" s="169"/>
      <c r="AA2423" s="166"/>
      <c r="AB2423" s="152"/>
      <c r="AC2423" s="153"/>
      <c r="AD2423" s="154"/>
      <c r="AE2423" s="153"/>
      <c r="AF2423" s="153"/>
      <c r="AG2423" s="153"/>
      <c r="AH2423" s="153"/>
      <c r="AI2423" s="153"/>
      <c r="AJ2423" s="153"/>
      <c r="AK2423" s="153"/>
      <c r="AL2423" s="153"/>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c r="BF2423" s="153"/>
      <c r="BG2423" s="153"/>
      <c r="BH2423" s="153"/>
      <c r="BI2423" s="153"/>
      <c r="BJ2423" s="153"/>
      <c r="BK2423" s="153"/>
      <c r="BL2423" s="153"/>
      <c r="BM2423" s="153"/>
      <c r="BN2423" s="153"/>
      <c r="BO2423" s="153"/>
      <c r="BP2423" s="153"/>
      <c r="BQ2423" s="153"/>
      <c r="BR2423" s="153"/>
      <c r="BS2423" s="153"/>
      <c r="BT2423" s="153"/>
      <c r="BU2423" s="153"/>
      <c r="BV2423" s="153"/>
      <c r="BW2423" s="153"/>
      <c r="BX2423" s="153"/>
      <c r="BY2423" s="153"/>
      <c r="BZ2423" s="153"/>
      <c r="CA2423" s="153"/>
      <c r="CB2423" s="153"/>
      <c r="CC2423" s="153"/>
      <c r="CD2423" s="155"/>
      <c r="CE2423" s="156"/>
      <c r="CF2423" s="155"/>
      <c r="CG2423" s="156"/>
      <c r="CH2423" s="155"/>
      <c r="CI2423" s="156"/>
      <c r="CJ2423" s="157">
        <f t="shared" si="309"/>
        <v>0</v>
      </c>
      <c r="CK2423" s="158"/>
      <c r="CL2423" s="159"/>
      <c r="CM2423" s="160"/>
      <c r="CN2423" s="161"/>
      <c r="CO2423" s="162"/>
      <c r="CP2423" s="161"/>
      <c r="CQ2423" s="158"/>
      <c r="CR2423" s="159"/>
      <c r="CS2423" s="68"/>
      <c r="CT2423" s="163"/>
      <c r="EC2423" s="366"/>
      <c r="ED2423" s="367"/>
      <c r="EE2423" s="367"/>
      <c r="EF2423" s="368"/>
      <c r="EG2423" s="367"/>
      <c r="EH2423" s="367"/>
      <c r="EI2423" s="367"/>
    </row>
    <row r="2424" spans="1:139" s="164" customFormat="1" ht="10.5" customHeight="1">
      <c r="A2424" s="228"/>
      <c r="B2424" s="205"/>
      <c r="C2424" s="205"/>
      <c r="D2424" s="207"/>
      <c r="E2424" s="323"/>
      <c r="F2424" s="323"/>
      <c r="G2424" s="204"/>
      <c r="H2424" s="151"/>
      <c r="I2424" s="151"/>
      <c r="J2424" s="151"/>
      <c r="K2424" s="151"/>
      <c r="L2424" s="1"/>
      <c r="M2424" s="73">
        <f t="shared" si="304"/>
        <v>0</v>
      </c>
      <c r="N2424" s="73">
        <f t="shared" si="305"/>
        <v>0</v>
      </c>
      <c r="O2424" s="73">
        <f t="shared" si="306"/>
        <v>0</v>
      </c>
      <c r="P2424" s="73">
        <f t="shared" si="307"/>
        <v>0</v>
      </c>
      <c r="Q2424" s="73"/>
      <c r="R2424" s="73">
        <v>0</v>
      </c>
      <c r="S2424" s="75">
        <f t="shared" si="308"/>
        <v>0</v>
      </c>
      <c r="T2424" s="77">
        <v>0</v>
      </c>
      <c r="U2424" s="66"/>
      <c r="V2424" s="79"/>
      <c r="W2424" s="66"/>
      <c r="X2424" s="24"/>
      <c r="Y2424" s="62"/>
      <c r="Z2424" s="169"/>
      <c r="AA2424" s="166"/>
      <c r="AB2424" s="152"/>
      <c r="AC2424" s="153"/>
      <c r="AD2424" s="154"/>
      <c r="AE2424" s="153"/>
      <c r="AF2424" s="153"/>
      <c r="AG2424" s="153"/>
      <c r="AH2424" s="153"/>
      <c r="AI2424" s="153"/>
      <c r="AJ2424" s="153"/>
      <c r="AK2424" s="153"/>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c r="BF2424" s="153"/>
      <c r="BG2424" s="153"/>
      <c r="BH2424" s="153"/>
      <c r="BI2424" s="153"/>
      <c r="BJ2424" s="153"/>
      <c r="BK2424" s="153"/>
      <c r="BL2424" s="153"/>
      <c r="BM2424" s="153"/>
      <c r="BN2424" s="153"/>
      <c r="BO2424" s="153"/>
      <c r="BP2424" s="153"/>
      <c r="BQ2424" s="153"/>
      <c r="BR2424" s="153"/>
      <c r="BS2424" s="153"/>
      <c r="BT2424" s="153"/>
      <c r="BU2424" s="153"/>
      <c r="BV2424" s="153"/>
      <c r="BW2424" s="153"/>
      <c r="BX2424" s="153"/>
      <c r="BY2424" s="153"/>
      <c r="BZ2424" s="153"/>
      <c r="CA2424" s="153"/>
      <c r="CB2424" s="153"/>
      <c r="CC2424" s="153"/>
      <c r="CD2424" s="155"/>
      <c r="CE2424" s="156"/>
      <c r="CF2424" s="155"/>
      <c r="CG2424" s="156"/>
      <c r="CH2424" s="155"/>
      <c r="CI2424" s="156"/>
      <c r="CJ2424" s="157">
        <f t="shared" si="309"/>
        <v>0</v>
      </c>
      <c r="CK2424" s="158"/>
      <c r="CL2424" s="159"/>
      <c r="CM2424" s="160"/>
      <c r="CN2424" s="161"/>
      <c r="CO2424" s="162"/>
      <c r="CP2424" s="161"/>
      <c r="CQ2424" s="158"/>
      <c r="CR2424" s="159"/>
      <c r="CS2424" s="68"/>
      <c r="CT2424" s="163"/>
      <c r="EC2424" s="366" t="str">
        <f t="shared" ref="EC2424:EC2454" si="310">B2424&amp;"_"&amp;C2424</f>
        <v>_</v>
      </c>
      <c r="ED2424" s="367"/>
      <c r="EE2424" s="367"/>
      <c r="EF2424" s="368"/>
      <c r="EG2424" s="367"/>
      <c r="EH2424" s="367"/>
      <c r="EI2424" s="367"/>
    </row>
    <row r="2425" spans="1:139" s="164" customFormat="1" ht="13.5" thickBot="1">
      <c r="A2425" s="228"/>
      <c r="B2425" s="205"/>
      <c r="C2425" s="205"/>
      <c r="D2425" s="207"/>
      <c r="E2425" s="323"/>
      <c r="F2425" s="323"/>
      <c r="G2425" s="204"/>
      <c r="H2425" s="151"/>
      <c r="I2425" s="151"/>
      <c r="J2425" s="151"/>
      <c r="K2425" s="151"/>
      <c r="L2425" s="1"/>
      <c r="M2425" s="73">
        <f t="shared" si="304"/>
        <v>0</v>
      </c>
      <c r="N2425" s="73">
        <f t="shared" si="305"/>
        <v>0</v>
      </c>
      <c r="O2425" s="73">
        <f t="shared" si="306"/>
        <v>0</v>
      </c>
      <c r="P2425" s="73">
        <f t="shared" si="307"/>
        <v>0</v>
      </c>
      <c r="Q2425" s="73"/>
      <c r="R2425" s="73">
        <v>0</v>
      </c>
      <c r="S2425" s="75">
        <f t="shared" si="308"/>
        <v>0</v>
      </c>
      <c r="T2425" s="77">
        <v>0</v>
      </c>
      <c r="U2425" s="66"/>
      <c r="V2425" s="79"/>
      <c r="W2425" s="66"/>
      <c r="X2425" s="24"/>
      <c r="Y2425" s="62"/>
      <c r="Z2425" s="169"/>
      <c r="AA2425" s="166"/>
      <c r="AB2425" s="152"/>
      <c r="AC2425" s="153"/>
      <c r="AD2425" s="154"/>
      <c r="AE2425" s="153"/>
      <c r="AF2425" s="153"/>
      <c r="AG2425" s="153"/>
      <c r="AH2425" s="153"/>
      <c r="AI2425" s="153"/>
      <c r="AJ2425" s="153"/>
      <c r="AK2425" s="153"/>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c r="BF2425" s="153"/>
      <c r="BG2425" s="153"/>
      <c r="BH2425" s="153"/>
      <c r="BI2425" s="153"/>
      <c r="BJ2425" s="153"/>
      <c r="BK2425" s="153"/>
      <c r="BL2425" s="153"/>
      <c r="BM2425" s="153"/>
      <c r="BN2425" s="153"/>
      <c r="BO2425" s="153"/>
      <c r="BP2425" s="153"/>
      <c r="BQ2425" s="153"/>
      <c r="BR2425" s="153"/>
      <c r="BS2425" s="153"/>
      <c r="BT2425" s="153"/>
      <c r="BU2425" s="153"/>
      <c r="BV2425" s="153"/>
      <c r="BW2425" s="153"/>
      <c r="BX2425" s="153"/>
      <c r="BY2425" s="153"/>
      <c r="BZ2425" s="153"/>
      <c r="CA2425" s="153"/>
      <c r="CB2425" s="153"/>
      <c r="CC2425" s="153"/>
      <c r="CD2425" s="155"/>
      <c r="CE2425" s="156"/>
      <c r="CF2425" s="155"/>
      <c r="CG2425" s="156"/>
      <c r="CH2425" s="155"/>
      <c r="CI2425" s="156"/>
      <c r="CJ2425" s="157">
        <f t="shared" si="309"/>
        <v>0</v>
      </c>
      <c r="CK2425" s="158"/>
      <c r="CL2425" s="159"/>
      <c r="CM2425" s="160"/>
      <c r="CN2425" s="161"/>
      <c r="CO2425" s="162"/>
      <c r="CP2425" s="161"/>
      <c r="CQ2425" s="158"/>
      <c r="CR2425" s="159"/>
      <c r="CS2425" s="68"/>
      <c r="CT2425" s="163"/>
      <c r="EC2425" s="366" t="str">
        <f t="shared" si="310"/>
        <v>_</v>
      </c>
      <c r="ED2425" s="367"/>
      <c r="EE2425" s="367"/>
      <c r="EF2425" s="368"/>
      <c r="EG2425" s="367"/>
      <c r="EH2425" s="367"/>
      <c r="EI2425" s="367"/>
    </row>
    <row r="2426" spans="1:139" s="258" customFormat="1" ht="24.95" customHeight="1" thickTop="1" thickBot="1">
      <c r="A2426" s="419" t="s">
        <v>614</v>
      </c>
      <c r="B2426" s="420"/>
      <c r="C2426" s="420"/>
      <c r="D2426" s="421"/>
      <c r="E2426" s="282"/>
      <c r="F2426" s="282"/>
      <c r="G2426" s="245">
        <f t="shared" ref="G2426:K2426" si="311">SUM(G3:G2425)</f>
        <v>504</v>
      </c>
      <c r="H2426" s="246">
        <f t="shared" si="311"/>
        <v>806</v>
      </c>
      <c r="I2426" s="246">
        <f t="shared" si="311"/>
        <v>63</v>
      </c>
      <c r="J2426" s="246">
        <f t="shared" si="311"/>
        <v>3166627.8</v>
      </c>
      <c r="K2426" s="246">
        <f t="shared" si="311"/>
        <v>738134.6</v>
      </c>
      <c r="L2426" s="245"/>
      <c r="M2426" s="246">
        <f t="shared" ref="M2426:T2426" si="312">SUM(M3:M2425)</f>
        <v>18755199341.039993</v>
      </c>
      <c r="N2426" s="246">
        <f t="shared" si="312"/>
        <v>43461055660.880005</v>
      </c>
      <c r="O2426" s="246">
        <f t="shared" si="312"/>
        <v>2138151196.76</v>
      </c>
      <c r="P2426" s="259">
        <f t="shared" si="312"/>
        <v>5599779120</v>
      </c>
      <c r="Q2426" s="246">
        <f t="shared" si="312"/>
        <v>3253437532.6371999</v>
      </c>
      <c r="R2426" s="246">
        <f t="shared" si="312"/>
        <v>11797871446.620001</v>
      </c>
      <c r="S2426" s="247">
        <f t="shared" si="312"/>
        <v>85052427697.93721</v>
      </c>
      <c r="T2426" s="248">
        <f t="shared" si="312"/>
        <v>603321520</v>
      </c>
      <c r="U2426" s="13"/>
      <c r="V2426" s="57"/>
      <c r="W2426" s="23"/>
      <c r="X2426" s="25"/>
      <c r="Y2426" s="63"/>
      <c r="Z2426" s="200"/>
      <c r="AA2426" s="249"/>
      <c r="AB2426" s="250">
        <f t="shared" ref="AB2426:BG2426" si="313">SUM(AB3:AB2425)</f>
        <v>0</v>
      </c>
      <c r="AC2426" s="251">
        <f t="shared" si="313"/>
        <v>0</v>
      </c>
      <c r="AD2426" s="251">
        <f t="shared" si="313"/>
        <v>0</v>
      </c>
      <c r="AE2426" s="251">
        <f t="shared" si="313"/>
        <v>0</v>
      </c>
      <c r="AF2426" s="251">
        <f t="shared" si="313"/>
        <v>0</v>
      </c>
      <c r="AG2426" s="251">
        <f t="shared" si="313"/>
        <v>0</v>
      </c>
      <c r="AH2426" s="251">
        <f t="shared" si="313"/>
        <v>0</v>
      </c>
      <c r="AI2426" s="251">
        <f t="shared" si="313"/>
        <v>0</v>
      </c>
      <c r="AJ2426" s="251">
        <f t="shared" si="313"/>
        <v>3860</v>
      </c>
      <c r="AK2426" s="251">
        <f t="shared" si="313"/>
        <v>78507312</v>
      </c>
      <c r="AL2426" s="251">
        <f t="shared" si="313"/>
        <v>660</v>
      </c>
      <c r="AM2426" s="251">
        <f t="shared" si="313"/>
        <v>11540000</v>
      </c>
      <c r="AN2426" s="251">
        <f t="shared" si="313"/>
        <v>50209</v>
      </c>
      <c r="AO2426" s="251">
        <f t="shared" si="313"/>
        <v>2814769284</v>
      </c>
      <c r="AP2426" s="251">
        <f t="shared" si="313"/>
        <v>30197</v>
      </c>
      <c r="AQ2426" s="251">
        <f t="shared" si="313"/>
        <v>1699732000</v>
      </c>
      <c r="AR2426" s="251">
        <f t="shared" si="313"/>
        <v>0</v>
      </c>
      <c r="AS2426" s="251">
        <f t="shared" si="313"/>
        <v>0</v>
      </c>
      <c r="AT2426" s="251">
        <f t="shared" si="313"/>
        <v>0</v>
      </c>
      <c r="AU2426" s="251">
        <f t="shared" si="313"/>
        <v>0</v>
      </c>
      <c r="AV2426" s="251">
        <f t="shared" si="313"/>
        <v>0</v>
      </c>
      <c r="AW2426" s="251">
        <f t="shared" si="313"/>
        <v>0</v>
      </c>
      <c r="AX2426" s="251">
        <f t="shared" si="313"/>
        <v>0</v>
      </c>
      <c r="AY2426" s="251">
        <f t="shared" si="313"/>
        <v>0</v>
      </c>
      <c r="AZ2426" s="251">
        <f t="shared" si="313"/>
        <v>28051</v>
      </c>
      <c r="BA2426" s="251">
        <f t="shared" si="313"/>
        <v>717300500</v>
      </c>
      <c r="BB2426" s="251">
        <f t="shared" si="313"/>
        <v>0</v>
      </c>
      <c r="BC2426" s="251">
        <f t="shared" si="313"/>
        <v>0</v>
      </c>
      <c r="BD2426" s="251">
        <f t="shared" si="313"/>
        <v>0</v>
      </c>
      <c r="BE2426" s="251">
        <f t="shared" si="313"/>
        <v>0</v>
      </c>
      <c r="BF2426" s="251">
        <f t="shared" si="313"/>
        <v>0</v>
      </c>
      <c r="BG2426" s="251">
        <f t="shared" si="313"/>
        <v>0</v>
      </c>
      <c r="BH2426" s="251">
        <f t="shared" ref="BH2426:CM2426" si="314">SUM(BH3:BH2425)</f>
        <v>0</v>
      </c>
      <c r="BI2426" s="251">
        <f t="shared" si="314"/>
        <v>0</v>
      </c>
      <c r="BJ2426" s="251">
        <f t="shared" si="314"/>
        <v>0</v>
      </c>
      <c r="BK2426" s="251">
        <f t="shared" si="314"/>
        <v>0</v>
      </c>
      <c r="BL2426" s="251">
        <f t="shared" si="314"/>
        <v>0</v>
      </c>
      <c r="BM2426" s="251">
        <f t="shared" si="314"/>
        <v>0</v>
      </c>
      <c r="BN2426" s="251">
        <f t="shared" si="314"/>
        <v>3341</v>
      </c>
      <c r="BO2426" s="251">
        <f t="shared" si="314"/>
        <v>892298793</v>
      </c>
      <c r="BP2426" s="251">
        <f t="shared" si="314"/>
        <v>1</v>
      </c>
      <c r="BQ2426" s="251">
        <f t="shared" si="314"/>
        <v>504000</v>
      </c>
      <c r="BR2426" s="251">
        <f t="shared" si="314"/>
        <v>0</v>
      </c>
      <c r="BS2426" s="251">
        <f t="shared" si="314"/>
        <v>0</v>
      </c>
      <c r="BT2426" s="251">
        <f t="shared" si="314"/>
        <v>0</v>
      </c>
      <c r="BU2426" s="251">
        <f t="shared" si="314"/>
        <v>0</v>
      </c>
      <c r="BV2426" s="251">
        <f t="shared" si="314"/>
        <v>1733</v>
      </c>
      <c r="BW2426" s="251">
        <f t="shared" si="314"/>
        <v>35814000</v>
      </c>
      <c r="BX2426" s="251">
        <f t="shared" si="314"/>
        <v>45200</v>
      </c>
      <c r="BY2426" s="251">
        <f t="shared" si="314"/>
        <v>950775904.83999979</v>
      </c>
      <c r="BZ2426" s="251">
        <f t="shared" si="314"/>
        <v>0</v>
      </c>
      <c r="CA2426" s="251">
        <f t="shared" si="314"/>
        <v>0</v>
      </c>
      <c r="CB2426" s="251">
        <f t="shared" si="314"/>
        <v>356483</v>
      </c>
      <c r="CC2426" s="251">
        <f t="shared" si="314"/>
        <v>3559920231.9600005</v>
      </c>
      <c r="CD2426" s="251">
        <f t="shared" si="314"/>
        <v>144191</v>
      </c>
      <c r="CE2426" s="251">
        <f t="shared" si="314"/>
        <v>5355095399.920001</v>
      </c>
      <c r="CF2426" s="251">
        <f t="shared" si="314"/>
        <v>69064</v>
      </c>
      <c r="CG2426" s="251">
        <f t="shared" si="314"/>
        <v>2582056515.3199997</v>
      </c>
      <c r="CH2426" s="251">
        <f t="shared" si="314"/>
        <v>612</v>
      </c>
      <c r="CI2426" s="251">
        <f t="shared" si="314"/>
        <v>56885400</v>
      </c>
      <c r="CJ2426" s="251">
        <f t="shared" si="314"/>
        <v>18755199341.039993</v>
      </c>
      <c r="CK2426" s="252">
        <f t="shared" si="314"/>
        <v>6057547</v>
      </c>
      <c r="CL2426" s="253">
        <f t="shared" si="314"/>
        <v>5599779120</v>
      </c>
      <c r="CM2426" s="252">
        <f t="shared" si="314"/>
        <v>501900</v>
      </c>
      <c r="CN2426" s="253">
        <f>SUM(CN3:CN2425)</f>
        <v>43461055660.880005</v>
      </c>
      <c r="CO2426" s="253">
        <f>SUM(CO3:CO2425)</f>
        <v>1041</v>
      </c>
      <c r="CP2426" s="253">
        <f>SUM(CP3:CP2425)</f>
        <v>26537929</v>
      </c>
      <c r="CQ2426" s="254">
        <f>SUM(CQ3:CQ2425)</f>
        <v>81448</v>
      </c>
      <c r="CR2426" s="255">
        <f>SUM(CR3:CR2425)</f>
        <v>1643598866.6399999</v>
      </c>
      <c r="CS2426" s="256"/>
      <c r="CT2426" s="257"/>
      <c r="EC2426" s="366" t="str">
        <f t="shared" si="310"/>
        <v>_</v>
      </c>
      <c r="ED2426" s="367"/>
      <c r="EE2426" s="367"/>
      <c r="EF2426" s="368"/>
      <c r="EG2426" s="367"/>
      <c r="EH2426" s="367"/>
      <c r="EI2426" s="367"/>
    </row>
    <row r="2427" spans="1:139" ht="24.95" customHeight="1">
      <c r="A2427" s="14"/>
      <c r="B2427" s="29"/>
      <c r="C2427" s="34"/>
      <c r="D2427" s="29"/>
      <c r="E2427" s="29"/>
      <c r="F2427" s="29"/>
      <c r="G2427" s="30"/>
      <c r="H2427" s="30"/>
      <c r="I2427" s="30"/>
      <c r="J2427" s="30"/>
      <c r="K2427" s="30"/>
      <c r="L2427" s="30"/>
      <c r="M2427" s="30"/>
      <c r="N2427" s="30"/>
      <c r="O2427" s="30"/>
      <c r="P2427" s="30"/>
      <c r="Q2427" s="30"/>
      <c r="R2427" s="30"/>
      <c r="S2427" s="30"/>
      <c r="T2427" s="30"/>
      <c r="U2427" s="15"/>
      <c r="V2427" s="58"/>
      <c r="W2427" s="15"/>
      <c r="X2427" s="26"/>
      <c r="Y2427" s="64"/>
      <c r="Z2427" s="201"/>
      <c r="AA2427" s="52"/>
      <c r="AB2427" s="31"/>
      <c r="AC2427" s="31"/>
      <c r="AD2427" s="31"/>
      <c r="AE2427" s="31"/>
      <c r="AF2427" s="31"/>
      <c r="AG2427" s="31"/>
      <c r="AH2427" s="31"/>
      <c r="AI2427" s="31"/>
      <c r="AJ2427" s="31"/>
      <c r="AK2427" s="31"/>
      <c r="AL2427" s="31"/>
      <c r="AM2427" s="31"/>
      <c r="AN2427" s="31"/>
      <c r="AO2427" s="31"/>
      <c r="AP2427" s="31"/>
      <c r="AQ2427" s="31"/>
      <c r="AR2427" s="31"/>
      <c r="AS2427" s="31"/>
      <c r="AT2427" s="31"/>
      <c r="AU2427" s="31"/>
      <c r="AV2427" s="31"/>
      <c r="AW2427" s="31"/>
      <c r="AX2427" s="31"/>
      <c r="AY2427" s="31"/>
      <c r="AZ2427" s="31"/>
      <c r="BA2427" s="31"/>
      <c r="BB2427" s="31"/>
      <c r="BC2427" s="31"/>
      <c r="BD2427" s="31"/>
      <c r="BE2427" s="31"/>
      <c r="BF2427" s="31"/>
      <c r="BG2427" s="31"/>
      <c r="BH2427" s="31"/>
      <c r="BI2427" s="31"/>
      <c r="BJ2427" s="31"/>
      <c r="BK2427" s="31"/>
      <c r="BL2427" s="31"/>
      <c r="BM2427" s="31"/>
      <c r="BN2427" s="31"/>
      <c r="BO2427" s="31"/>
      <c r="BP2427" s="31"/>
      <c r="BQ2427" s="31"/>
      <c r="BR2427" s="31"/>
      <c r="BS2427" s="31"/>
      <c r="BT2427" s="31"/>
      <c r="BU2427" s="31"/>
      <c r="BV2427" s="31"/>
      <c r="BW2427" s="31"/>
      <c r="BX2427" s="31"/>
      <c r="BY2427" s="31" t="s">
        <v>1202</v>
      </c>
      <c r="BZ2427" s="31"/>
      <c r="CA2427" s="31"/>
      <c r="CB2427" s="31"/>
      <c r="CC2427" s="31"/>
      <c r="CD2427" s="31"/>
      <c r="CE2427" s="31"/>
      <c r="CF2427" s="31"/>
      <c r="CG2427" s="31"/>
      <c r="CH2427" s="31"/>
      <c r="CI2427" s="31"/>
      <c r="CJ2427" s="31"/>
      <c r="CK2427" s="31"/>
      <c r="CL2427" s="31"/>
      <c r="CM2427" s="31"/>
      <c r="CN2427" s="31"/>
      <c r="CO2427" s="31"/>
      <c r="CP2427" s="31"/>
      <c r="CQ2427" s="31"/>
      <c r="CR2427" s="31"/>
      <c r="CS2427" s="31"/>
      <c r="EC2427" s="366" t="str">
        <f t="shared" si="310"/>
        <v>_</v>
      </c>
      <c r="ED2427" s="367"/>
      <c r="EE2427" s="367"/>
      <c r="EF2427" s="368"/>
      <c r="EG2427" s="367"/>
      <c r="EH2427" s="367"/>
      <c r="EI2427" s="367"/>
    </row>
    <row r="2428" spans="1:139" ht="54.75" customHeight="1">
      <c r="A2428" s="418" t="s">
        <v>912</v>
      </c>
      <c r="B2428" s="418"/>
      <c r="C2428" s="418"/>
      <c r="D2428" s="418"/>
      <c r="E2428" s="281"/>
      <c r="F2428" s="281"/>
      <c r="G2428" s="32"/>
      <c r="H2428" s="30"/>
      <c r="I2428" s="30"/>
      <c r="J2428" s="30"/>
      <c r="K2428" s="30"/>
      <c r="L2428" s="30"/>
      <c r="M2428" s="30"/>
      <c r="N2428" s="30"/>
      <c r="O2428" s="30"/>
      <c r="P2428" s="30"/>
      <c r="Q2428" s="30"/>
      <c r="R2428" s="30"/>
      <c r="S2428" s="30"/>
      <c r="T2428" s="30"/>
      <c r="U2428" s="15"/>
      <c r="V2428" s="58"/>
      <c r="W2428" s="15"/>
      <c r="X2428" s="26"/>
      <c r="Y2428" s="238"/>
      <c r="Z2428" s="201"/>
      <c r="AA2428" s="52"/>
      <c r="AB2428" s="31"/>
      <c r="AC2428" s="31"/>
      <c r="AD2428" s="31"/>
      <c r="AE2428" s="31"/>
      <c r="AF2428" s="31"/>
      <c r="AG2428" s="31"/>
      <c r="AH2428" s="31"/>
      <c r="AI2428" s="31"/>
      <c r="AJ2428" s="31"/>
      <c r="AK2428" s="31"/>
      <c r="AL2428" s="31"/>
      <c r="AM2428" s="31"/>
      <c r="AN2428" s="31"/>
      <c r="AO2428" s="31"/>
      <c r="AP2428" s="31"/>
      <c r="AQ2428" s="31"/>
      <c r="AR2428" s="31"/>
      <c r="AS2428" s="31"/>
      <c r="AT2428" s="31"/>
      <c r="AU2428" s="31"/>
      <c r="AV2428" s="31"/>
      <c r="AW2428" s="31"/>
      <c r="AX2428" s="31"/>
      <c r="AY2428" s="31"/>
      <c r="AZ2428" s="31"/>
      <c r="BA2428" s="31"/>
      <c r="BB2428" s="31"/>
      <c r="BC2428" s="31"/>
      <c r="BD2428" s="31"/>
      <c r="BE2428" s="31"/>
      <c r="BF2428" s="31"/>
      <c r="BG2428" s="31"/>
      <c r="BH2428" s="31"/>
      <c r="BI2428" s="31"/>
      <c r="BJ2428" s="31"/>
      <c r="BK2428" s="31"/>
      <c r="BL2428" s="31"/>
      <c r="BM2428" s="31"/>
      <c r="BN2428" s="31"/>
      <c r="BO2428" s="31"/>
      <c r="BP2428" s="31"/>
      <c r="BQ2428" s="31"/>
      <c r="BR2428" s="31"/>
      <c r="BS2428" s="31"/>
      <c r="BT2428" s="31"/>
      <c r="BU2428" s="31"/>
      <c r="BV2428" s="31"/>
      <c r="BW2428" s="31"/>
      <c r="BX2428" s="31"/>
      <c r="BY2428" s="31"/>
      <c r="BZ2428" s="31"/>
      <c r="CA2428" s="31"/>
      <c r="CB2428" s="31"/>
      <c r="CC2428" s="31"/>
      <c r="CD2428" s="31"/>
      <c r="CE2428" s="31"/>
      <c r="CF2428" s="31"/>
      <c r="CG2428" s="31"/>
      <c r="CH2428" s="31"/>
      <c r="CI2428" s="31"/>
      <c r="CJ2428" s="31"/>
      <c r="CK2428" s="31"/>
      <c r="CL2428" s="31"/>
      <c r="CM2428" s="31"/>
      <c r="CN2428" s="31"/>
      <c r="CO2428" s="31"/>
      <c r="CP2428" s="31"/>
      <c r="CQ2428" s="31"/>
      <c r="CR2428" s="31"/>
      <c r="CS2428" s="31"/>
      <c r="EC2428" s="366" t="str">
        <f t="shared" si="310"/>
        <v>_</v>
      </c>
      <c r="ED2428" s="367"/>
      <c r="EE2428" s="367"/>
      <c r="EF2428" s="368"/>
      <c r="EG2428" s="367"/>
      <c r="EH2428" s="367"/>
      <c r="EI2428" s="367"/>
    </row>
    <row r="2429" spans="1:139" ht="12.75" customHeight="1">
      <c r="N2429" s="18"/>
      <c r="O2429" s="18"/>
      <c r="S2429" s="406"/>
      <c r="T2429" s="33" t="s">
        <v>1202</v>
      </c>
      <c r="V2429" s="134"/>
      <c r="Y2429" s="189"/>
      <c r="EC2429" s="366" t="str">
        <f t="shared" si="310"/>
        <v>_</v>
      </c>
      <c r="ED2429" s="367"/>
      <c r="EE2429" s="367"/>
      <c r="EF2429" s="368"/>
      <c r="EG2429" s="367"/>
      <c r="EH2429" s="367"/>
      <c r="EI2429" s="367"/>
    </row>
    <row r="2430" spans="1:139">
      <c r="C2430" s="2"/>
      <c r="D2430" s="130"/>
      <c r="E2430" s="130"/>
      <c r="F2430" s="130"/>
      <c r="N2430" s="18"/>
      <c r="O2430" s="18"/>
      <c r="P2430" s="173"/>
      <c r="S2430" s="37"/>
      <c r="U2430" s="173" t="s">
        <v>754</v>
      </c>
      <c r="W2430" s="173"/>
      <c r="CS2430" s="173" t="s">
        <v>1202</v>
      </c>
      <c r="EC2430" s="366" t="str">
        <f t="shared" si="310"/>
        <v>_</v>
      </c>
      <c r="ED2430" s="367"/>
      <c r="EE2430" s="367"/>
      <c r="EF2430" s="368"/>
      <c r="EG2430" s="367"/>
      <c r="EH2430" s="367"/>
      <c r="EI2430" s="367"/>
    </row>
    <row r="2431" spans="1:139">
      <c r="B2431" s="33"/>
      <c r="J2431" s="22"/>
      <c r="K2431" s="173"/>
      <c r="N2431" s="18"/>
      <c r="O2431" s="18"/>
      <c r="S2431" s="91"/>
      <c r="AA2431" s="167" t="s">
        <v>1202</v>
      </c>
      <c r="EC2431" s="366" t="str">
        <f t="shared" si="310"/>
        <v>_</v>
      </c>
      <c r="ED2431" s="367"/>
      <c r="EE2431" s="367"/>
      <c r="EF2431" s="368"/>
      <c r="EG2431" s="367"/>
      <c r="EH2431" s="367"/>
      <c r="EI2431" s="367"/>
    </row>
    <row r="2432" spans="1:139">
      <c r="A2432" s="378"/>
      <c r="B2432" s="379"/>
      <c r="C2432" s="379"/>
      <c r="D2432" s="379"/>
      <c r="E2432" s="379"/>
      <c r="F2432" s="379"/>
      <c r="G2432" s="379"/>
      <c r="N2432" s="18"/>
      <c r="O2432" s="18"/>
      <c r="S2432" s="91"/>
      <c r="CF2432" s="173"/>
      <c r="EC2432" s="366" t="str">
        <f t="shared" si="310"/>
        <v>_</v>
      </c>
      <c r="ED2432" s="367"/>
      <c r="EE2432" s="367"/>
      <c r="EF2432" s="368"/>
      <c r="EG2432" s="367"/>
      <c r="EH2432" s="367"/>
      <c r="EI2432" s="367"/>
    </row>
    <row r="2433" spans="2:139">
      <c r="B2433" s="33"/>
      <c r="D2433" s="173" t="s">
        <v>1202</v>
      </c>
      <c r="E2433" s="173"/>
      <c r="F2433" s="173"/>
      <c r="N2433" s="18"/>
      <c r="O2433" s="18"/>
      <c r="S2433" s="91"/>
      <c r="EC2433" s="366" t="str">
        <f t="shared" si="310"/>
        <v>_</v>
      </c>
      <c r="ED2433" s="367"/>
      <c r="EE2433" s="367"/>
      <c r="EF2433" s="368"/>
      <c r="EG2433" s="367"/>
      <c r="EH2433" s="367"/>
      <c r="EI2433" s="367"/>
    </row>
    <row r="2434" spans="2:139">
      <c r="B2434" s="33"/>
      <c r="K2434" s="173"/>
      <c r="N2434" s="18"/>
      <c r="O2434" s="18"/>
      <c r="S2434" s="91"/>
      <c r="AB2434" s="173" t="s">
        <v>1202</v>
      </c>
      <c r="EC2434" s="366" t="str">
        <f t="shared" si="310"/>
        <v>_</v>
      </c>
      <c r="ED2434" s="367"/>
      <c r="EE2434" s="367"/>
      <c r="EF2434" s="368"/>
      <c r="EG2434" s="367"/>
      <c r="EH2434" s="367"/>
      <c r="EI2434" s="367"/>
    </row>
    <row r="2435" spans="2:139">
      <c r="B2435" s="33"/>
      <c r="N2435" s="18"/>
      <c r="O2435" s="18"/>
      <c r="S2435" s="91"/>
      <c r="EC2435" s="366" t="str">
        <f t="shared" si="310"/>
        <v>_</v>
      </c>
      <c r="ED2435" s="367"/>
      <c r="EE2435" s="367"/>
      <c r="EF2435" s="368"/>
      <c r="EG2435" s="367"/>
      <c r="EH2435" s="367"/>
      <c r="EI2435" s="367"/>
    </row>
    <row r="2436" spans="2:139">
      <c r="B2436" s="33"/>
      <c r="C2436" s="106"/>
      <c r="N2436" s="18"/>
      <c r="O2436" s="18"/>
      <c r="Q2436" s="173" t="s">
        <v>1202</v>
      </c>
      <c r="S2436" s="91"/>
      <c r="EC2436" s="366" t="str">
        <f t="shared" si="310"/>
        <v>_</v>
      </c>
      <c r="ED2436" s="367"/>
      <c r="EE2436" s="367"/>
      <c r="EF2436" s="368"/>
      <c r="EG2436" s="367"/>
      <c r="EH2436" s="367"/>
      <c r="EI2436" s="367"/>
    </row>
    <row r="2437" spans="2:139">
      <c r="B2437" s="33"/>
      <c r="N2437" s="18"/>
      <c r="O2437" s="18"/>
      <c r="S2437" s="91"/>
      <c r="EC2437" s="366" t="str">
        <f t="shared" si="310"/>
        <v>_</v>
      </c>
      <c r="ED2437" s="367"/>
      <c r="EE2437" s="367"/>
      <c r="EF2437" s="368"/>
      <c r="EG2437" s="367"/>
      <c r="EH2437" s="367"/>
      <c r="EI2437" s="367"/>
    </row>
    <row r="2438" spans="2:139">
      <c r="B2438" s="33"/>
      <c r="N2438" s="18"/>
      <c r="O2438" s="18"/>
      <c r="S2438" s="91"/>
      <c r="EC2438" s="366" t="str">
        <f t="shared" si="310"/>
        <v>_</v>
      </c>
      <c r="ED2438" s="367"/>
      <c r="EE2438" s="367"/>
      <c r="EF2438" s="368"/>
      <c r="EG2438" s="367"/>
      <c r="EH2438" s="367"/>
      <c r="EI2438" s="367"/>
    </row>
    <row r="2439" spans="2:139">
      <c r="B2439" s="33"/>
      <c r="N2439" s="18"/>
      <c r="O2439" s="18"/>
      <c r="S2439" s="91"/>
      <c r="EC2439" s="366" t="str">
        <f t="shared" si="310"/>
        <v>_</v>
      </c>
      <c r="ED2439" s="367"/>
      <c r="EE2439" s="367"/>
      <c r="EF2439" s="368"/>
      <c r="EG2439" s="367"/>
      <c r="EH2439" s="367"/>
      <c r="EI2439" s="367"/>
    </row>
    <row r="2440" spans="2:139">
      <c r="B2440" s="33"/>
      <c r="N2440" s="18"/>
      <c r="O2440" s="18"/>
      <c r="S2440" s="91"/>
      <c r="EC2440" s="366" t="str">
        <f t="shared" si="310"/>
        <v>_</v>
      </c>
      <c r="ED2440" s="367"/>
      <c r="EE2440" s="367"/>
      <c r="EF2440" s="368"/>
      <c r="EG2440" s="367"/>
      <c r="EH2440" s="367"/>
      <c r="EI2440" s="367"/>
    </row>
    <row r="2441" spans="2:139">
      <c r="B2441" s="33"/>
      <c r="N2441" s="18"/>
      <c r="O2441" s="18"/>
      <c r="S2441" s="91"/>
      <c r="EC2441" s="366" t="str">
        <f t="shared" si="310"/>
        <v>_</v>
      </c>
      <c r="ED2441" s="367"/>
      <c r="EE2441" s="367"/>
      <c r="EF2441" s="368"/>
      <c r="EG2441" s="367"/>
      <c r="EH2441" s="367"/>
      <c r="EI2441" s="367"/>
    </row>
    <row r="2442" spans="2:139">
      <c r="B2442" s="33"/>
      <c r="N2442" s="19"/>
      <c r="O2442" s="19"/>
      <c r="S2442" s="91"/>
      <c r="EC2442" s="366" t="str">
        <f t="shared" si="310"/>
        <v>_</v>
      </c>
      <c r="ED2442" s="367"/>
      <c r="EE2442" s="367"/>
      <c r="EF2442" s="368"/>
      <c r="EG2442" s="367"/>
      <c r="EH2442" s="367"/>
      <c r="EI2442" s="367"/>
    </row>
    <row r="2443" spans="2:139">
      <c r="B2443" s="33"/>
      <c r="N2443" s="19"/>
      <c r="O2443" s="19"/>
      <c r="S2443" s="91"/>
      <c r="EC2443" s="366" t="str">
        <f t="shared" si="310"/>
        <v>_</v>
      </c>
      <c r="ED2443" s="367"/>
      <c r="EE2443" s="367"/>
      <c r="EF2443" s="368"/>
      <c r="EG2443" s="367"/>
      <c r="EH2443" s="367"/>
      <c r="EI2443" s="367"/>
    </row>
    <row r="2444" spans="2:139">
      <c r="B2444" s="33"/>
      <c r="N2444" s="19"/>
      <c r="O2444" s="19"/>
      <c r="S2444" s="91"/>
      <c r="EC2444" s="366" t="str">
        <f t="shared" si="310"/>
        <v>_</v>
      </c>
      <c r="ED2444" s="367"/>
      <c r="EE2444" s="367"/>
      <c r="EF2444" s="368"/>
      <c r="EG2444" s="367"/>
      <c r="EH2444" s="367"/>
      <c r="EI2444" s="367"/>
    </row>
    <row r="2445" spans="2:139">
      <c r="B2445" s="33"/>
      <c r="N2445" s="19"/>
      <c r="O2445" s="19"/>
      <c r="S2445" s="91"/>
      <c r="EC2445" s="366" t="str">
        <f t="shared" si="310"/>
        <v>_</v>
      </c>
      <c r="ED2445" s="367"/>
      <c r="EE2445" s="367"/>
      <c r="EF2445" s="368"/>
      <c r="EG2445" s="367"/>
      <c r="EH2445" s="367"/>
      <c r="EI2445" s="367"/>
    </row>
    <row r="2446" spans="2:139">
      <c r="B2446" s="33"/>
      <c r="N2446" s="19"/>
      <c r="O2446" s="19"/>
      <c r="S2446" s="33"/>
      <c r="EC2446" s="366" t="str">
        <f t="shared" si="310"/>
        <v>_</v>
      </c>
      <c r="ED2446" s="367"/>
      <c r="EE2446" s="367"/>
      <c r="EF2446" s="368"/>
      <c r="EG2446" s="367"/>
      <c r="EH2446" s="367"/>
      <c r="EI2446" s="367"/>
    </row>
    <row r="2447" spans="2:139">
      <c r="B2447" s="33"/>
      <c r="N2447" s="19"/>
      <c r="O2447" s="19"/>
      <c r="S2447" s="33"/>
      <c r="EC2447" s="366" t="str">
        <f t="shared" si="310"/>
        <v>_</v>
      </c>
      <c r="ED2447" s="367"/>
      <c r="EE2447" s="367"/>
      <c r="EF2447" s="368"/>
      <c r="EG2447" s="367"/>
      <c r="EH2447" s="367"/>
      <c r="EI2447" s="367"/>
    </row>
    <row r="2448" spans="2:139">
      <c r="B2448" s="33"/>
      <c r="N2448" s="19"/>
      <c r="O2448" s="19"/>
      <c r="EC2448" s="366" t="str">
        <f t="shared" si="310"/>
        <v>_</v>
      </c>
      <c r="ED2448" s="367"/>
      <c r="EE2448" s="367"/>
      <c r="EF2448" s="368"/>
      <c r="EG2448" s="367"/>
      <c r="EH2448" s="367"/>
      <c r="EI2448" s="367"/>
    </row>
    <row r="2449" spans="2:139">
      <c r="B2449" s="33"/>
      <c r="N2449" s="19"/>
      <c r="O2449" s="19"/>
      <c r="S2449" s="33"/>
      <c r="EC2449" s="366" t="str">
        <f t="shared" si="310"/>
        <v>_</v>
      </c>
      <c r="ED2449" s="367"/>
      <c r="EE2449" s="367"/>
      <c r="EF2449" s="368"/>
      <c r="EG2449" s="367"/>
      <c r="EH2449" s="367"/>
      <c r="EI2449" s="367"/>
    </row>
    <row r="2450" spans="2:139">
      <c r="B2450" s="33"/>
      <c r="N2450" s="19"/>
      <c r="O2450" s="19"/>
      <c r="EC2450" s="366" t="str">
        <f t="shared" si="310"/>
        <v>_</v>
      </c>
      <c r="ED2450" s="367"/>
      <c r="EE2450" s="367"/>
      <c r="EF2450" s="368"/>
      <c r="EG2450" s="367"/>
      <c r="EH2450" s="367"/>
      <c r="EI2450" s="367"/>
    </row>
    <row r="2451" spans="2:139">
      <c r="B2451" s="33"/>
      <c r="N2451" s="19"/>
      <c r="O2451" s="19"/>
      <c r="EC2451" s="366" t="str">
        <f t="shared" si="310"/>
        <v>_</v>
      </c>
      <c r="ED2451" s="367"/>
      <c r="EE2451" s="367"/>
      <c r="EF2451" s="368"/>
      <c r="EG2451" s="367"/>
      <c r="EH2451" s="367"/>
      <c r="EI2451" s="367"/>
    </row>
    <row r="2452" spans="2:139">
      <c r="B2452" s="33"/>
      <c r="N2452" s="19"/>
      <c r="O2452" s="19"/>
      <c r="EC2452" s="366" t="str">
        <f t="shared" si="310"/>
        <v>_</v>
      </c>
      <c r="ED2452" s="367"/>
      <c r="EE2452" s="367"/>
      <c r="EF2452" s="368"/>
      <c r="EG2452" s="367"/>
      <c r="EH2452" s="367"/>
      <c r="EI2452" s="367"/>
    </row>
    <row r="2453" spans="2:139">
      <c r="B2453" s="33"/>
      <c r="N2453" s="19"/>
      <c r="O2453" s="19"/>
      <c r="EC2453" s="366" t="str">
        <f t="shared" si="310"/>
        <v>_</v>
      </c>
      <c r="ED2453" s="367"/>
      <c r="EE2453" s="367"/>
      <c r="EF2453" s="368"/>
      <c r="EG2453" s="367"/>
      <c r="EH2453" s="367"/>
      <c r="EI2453" s="367"/>
    </row>
    <row r="2454" spans="2:139">
      <c r="B2454" s="33"/>
      <c r="N2454" s="19"/>
      <c r="O2454" s="19"/>
      <c r="EC2454" s="366" t="str">
        <f t="shared" si="310"/>
        <v>_</v>
      </c>
      <c r="ED2454" s="367"/>
      <c r="EE2454" s="367"/>
      <c r="EF2454" s="368"/>
      <c r="EG2454" s="367"/>
      <c r="EH2454" s="367"/>
      <c r="EI2454" s="367"/>
    </row>
    <row r="2455" spans="2:139">
      <c r="B2455" s="33"/>
      <c r="N2455" s="19"/>
      <c r="O2455" s="19"/>
      <c r="EC2455" s="366" t="str">
        <f t="shared" ref="EC2455:EC2518" si="315">B2455&amp;"_"&amp;C2455</f>
        <v>_</v>
      </c>
      <c r="ED2455" s="367"/>
      <c r="EE2455" s="367"/>
      <c r="EF2455" s="368"/>
      <c r="EG2455" s="367"/>
      <c r="EH2455" s="367"/>
      <c r="EI2455" s="367"/>
    </row>
    <row r="2456" spans="2:139">
      <c r="B2456" s="33"/>
      <c r="N2456" s="19"/>
      <c r="O2456" s="19"/>
      <c r="EC2456" s="366" t="str">
        <f t="shared" si="315"/>
        <v>_</v>
      </c>
      <c r="ED2456" s="367"/>
      <c r="EE2456" s="367"/>
      <c r="EF2456" s="368"/>
      <c r="EG2456" s="367"/>
      <c r="EH2456" s="367"/>
      <c r="EI2456" s="367"/>
    </row>
    <row r="2457" spans="2:139">
      <c r="B2457" s="33"/>
      <c r="N2457" s="19"/>
      <c r="O2457" s="19"/>
      <c r="EC2457" s="366" t="str">
        <f t="shared" si="315"/>
        <v>_</v>
      </c>
      <c r="ED2457" s="367"/>
      <c r="EE2457" s="367"/>
      <c r="EF2457" s="368"/>
      <c r="EG2457" s="367"/>
      <c r="EH2457" s="367"/>
      <c r="EI2457" s="367"/>
    </row>
    <row r="2458" spans="2:139">
      <c r="B2458" s="33"/>
      <c r="N2458" s="19"/>
      <c r="O2458" s="19"/>
      <c r="EC2458" s="366" t="str">
        <f t="shared" si="315"/>
        <v>_</v>
      </c>
      <c r="ED2458" s="367"/>
      <c r="EE2458" s="367"/>
      <c r="EF2458" s="368"/>
      <c r="EG2458" s="367"/>
      <c r="EH2458" s="367"/>
      <c r="EI2458" s="367"/>
    </row>
    <row r="2459" spans="2:139">
      <c r="B2459" s="33"/>
      <c r="N2459" s="19"/>
      <c r="O2459" s="19"/>
      <c r="EC2459" s="366" t="str">
        <f t="shared" si="315"/>
        <v>_</v>
      </c>
      <c r="ED2459" s="367"/>
      <c r="EE2459" s="367"/>
      <c r="EF2459" s="368"/>
      <c r="EG2459" s="367"/>
      <c r="EH2459" s="367"/>
      <c r="EI2459" s="367"/>
    </row>
    <row r="2460" spans="2:139">
      <c r="B2460" s="33"/>
      <c r="N2460" s="19"/>
      <c r="O2460" s="19"/>
      <c r="EC2460" s="366" t="str">
        <f t="shared" si="315"/>
        <v>_</v>
      </c>
      <c r="ED2460" s="367"/>
      <c r="EE2460" s="367"/>
      <c r="EF2460" s="368"/>
      <c r="EG2460" s="367"/>
      <c r="EH2460" s="367"/>
      <c r="EI2460" s="367"/>
    </row>
    <row r="2461" spans="2:139">
      <c r="B2461" s="33"/>
      <c r="N2461" s="19"/>
      <c r="O2461" s="19"/>
      <c r="EC2461" s="366" t="str">
        <f t="shared" si="315"/>
        <v>_</v>
      </c>
      <c r="ED2461" s="367"/>
      <c r="EE2461" s="367"/>
      <c r="EF2461" s="368"/>
      <c r="EG2461" s="367"/>
      <c r="EH2461" s="367"/>
      <c r="EI2461" s="367"/>
    </row>
    <row r="2462" spans="2:139">
      <c r="B2462" s="33"/>
      <c r="N2462" s="19"/>
      <c r="O2462" s="19"/>
      <c r="EC2462" s="366" t="str">
        <f t="shared" si="315"/>
        <v>_</v>
      </c>
      <c r="ED2462" s="367"/>
      <c r="EE2462" s="367"/>
      <c r="EF2462" s="368"/>
      <c r="EG2462" s="367"/>
      <c r="EH2462" s="367"/>
      <c r="EI2462" s="367"/>
    </row>
    <row r="2463" spans="2:139">
      <c r="B2463" s="33"/>
      <c r="N2463" s="19"/>
      <c r="O2463" s="19"/>
      <c r="EC2463" s="366" t="str">
        <f t="shared" si="315"/>
        <v>_</v>
      </c>
      <c r="ED2463" s="367"/>
      <c r="EE2463" s="367"/>
      <c r="EF2463" s="368"/>
      <c r="EG2463" s="367"/>
      <c r="EH2463" s="367"/>
      <c r="EI2463" s="367"/>
    </row>
    <row r="2464" spans="2:139">
      <c r="B2464" s="33"/>
      <c r="N2464" s="19"/>
      <c r="O2464" s="19"/>
      <c r="EC2464" s="366" t="str">
        <f t="shared" si="315"/>
        <v>_</v>
      </c>
      <c r="ED2464" s="367"/>
      <c r="EE2464" s="367"/>
      <c r="EF2464" s="368"/>
      <c r="EG2464" s="367"/>
      <c r="EH2464" s="367"/>
      <c r="EI2464" s="367"/>
    </row>
    <row r="2465" spans="2:139">
      <c r="B2465" s="33"/>
      <c r="N2465" s="19"/>
      <c r="O2465" s="19"/>
      <c r="EC2465" s="366" t="str">
        <f t="shared" si="315"/>
        <v>_</v>
      </c>
      <c r="ED2465" s="367"/>
      <c r="EE2465" s="367"/>
      <c r="EF2465" s="368"/>
      <c r="EG2465" s="367"/>
      <c r="EH2465" s="367"/>
      <c r="EI2465" s="367"/>
    </row>
    <row r="2466" spans="2:139">
      <c r="B2466" s="33"/>
      <c r="N2466" s="19"/>
      <c r="O2466" s="19"/>
      <c r="EC2466" s="366" t="str">
        <f t="shared" si="315"/>
        <v>_</v>
      </c>
      <c r="ED2466" s="367"/>
      <c r="EE2466" s="367"/>
      <c r="EF2466" s="368"/>
      <c r="EG2466" s="367"/>
      <c r="EH2466" s="367"/>
      <c r="EI2466" s="367"/>
    </row>
    <row r="2467" spans="2:139">
      <c r="B2467" s="33"/>
      <c r="N2467" s="19"/>
      <c r="O2467" s="19"/>
      <c r="EC2467" s="366" t="str">
        <f t="shared" si="315"/>
        <v>_</v>
      </c>
      <c r="ED2467" s="367"/>
      <c r="EE2467" s="367"/>
      <c r="EF2467" s="368"/>
      <c r="EG2467" s="367"/>
      <c r="EH2467" s="367"/>
      <c r="EI2467" s="367"/>
    </row>
    <row r="2468" spans="2:139">
      <c r="B2468" s="33"/>
      <c r="N2468" s="19"/>
      <c r="O2468" s="19"/>
      <c r="EC2468" s="366" t="str">
        <f t="shared" si="315"/>
        <v>_</v>
      </c>
      <c r="ED2468" s="367"/>
      <c r="EE2468" s="367"/>
      <c r="EF2468" s="368"/>
      <c r="EG2468" s="367"/>
      <c r="EH2468" s="367"/>
      <c r="EI2468" s="367"/>
    </row>
    <row r="2469" spans="2:139">
      <c r="B2469" s="33"/>
      <c r="N2469" s="19"/>
      <c r="O2469" s="19"/>
      <c r="EC2469" s="366" t="str">
        <f t="shared" si="315"/>
        <v>_</v>
      </c>
      <c r="ED2469" s="367"/>
      <c r="EE2469" s="367"/>
      <c r="EF2469" s="368"/>
      <c r="EG2469" s="367"/>
      <c r="EH2469" s="367"/>
      <c r="EI2469" s="367"/>
    </row>
    <row r="2470" spans="2:139">
      <c r="B2470" s="33"/>
      <c r="N2470" s="19"/>
      <c r="O2470" s="19"/>
      <c r="EC2470" s="366" t="str">
        <f t="shared" si="315"/>
        <v>_</v>
      </c>
      <c r="ED2470" s="367"/>
      <c r="EE2470" s="367"/>
      <c r="EF2470" s="368"/>
      <c r="EG2470" s="367"/>
      <c r="EH2470" s="367"/>
      <c r="EI2470" s="367"/>
    </row>
    <row r="2471" spans="2:139">
      <c r="B2471" s="33"/>
      <c r="N2471" s="19"/>
      <c r="O2471" s="19"/>
      <c r="EC2471" s="366" t="str">
        <f t="shared" si="315"/>
        <v>_</v>
      </c>
      <c r="ED2471" s="367"/>
      <c r="EE2471" s="367"/>
      <c r="EF2471" s="368"/>
      <c r="EG2471" s="367"/>
      <c r="EH2471" s="367"/>
      <c r="EI2471" s="367"/>
    </row>
    <row r="2472" spans="2:139">
      <c r="B2472" s="33"/>
      <c r="N2472" s="19"/>
      <c r="O2472" s="19"/>
      <c r="EC2472" s="366" t="str">
        <f t="shared" si="315"/>
        <v>_</v>
      </c>
      <c r="ED2472" s="367"/>
      <c r="EE2472" s="367"/>
      <c r="EF2472" s="368"/>
      <c r="EG2472" s="367"/>
      <c r="EH2472" s="367"/>
      <c r="EI2472" s="367"/>
    </row>
    <row r="2473" spans="2:139">
      <c r="B2473" s="33"/>
      <c r="N2473" s="19"/>
      <c r="O2473" s="19"/>
      <c r="EC2473" s="366" t="str">
        <f t="shared" si="315"/>
        <v>_</v>
      </c>
      <c r="ED2473" s="367"/>
      <c r="EE2473" s="367"/>
      <c r="EF2473" s="368"/>
      <c r="EG2473" s="367"/>
      <c r="EH2473" s="367"/>
      <c r="EI2473" s="367"/>
    </row>
    <row r="2474" spans="2:139">
      <c r="B2474" s="33"/>
      <c r="N2474" s="19"/>
      <c r="O2474" s="19"/>
      <c r="EC2474" s="366" t="str">
        <f t="shared" si="315"/>
        <v>_</v>
      </c>
      <c r="ED2474" s="367"/>
      <c r="EE2474" s="367"/>
      <c r="EF2474" s="368"/>
      <c r="EG2474" s="367"/>
      <c r="EH2474" s="367"/>
      <c r="EI2474" s="367"/>
    </row>
    <row r="2475" spans="2:139">
      <c r="B2475" s="33"/>
      <c r="N2475" s="19"/>
      <c r="O2475" s="19"/>
      <c r="EC2475" s="366" t="str">
        <f t="shared" si="315"/>
        <v>_</v>
      </c>
      <c r="ED2475" s="367"/>
      <c r="EE2475" s="367"/>
      <c r="EF2475" s="368"/>
      <c r="EG2475" s="367"/>
      <c r="EH2475" s="367"/>
      <c r="EI2475" s="367"/>
    </row>
    <row r="2476" spans="2:139">
      <c r="B2476" s="33"/>
      <c r="N2476" s="19"/>
      <c r="O2476" s="19"/>
      <c r="EC2476" s="366" t="str">
        <f t="shared" si="315"/>
        <v>_</v>
      </c>
      <c r="ED2476" s="367"/>
      <c r="EE2476" s="367"/>
      <c r="EF2476" s="368"/>
      <c r="EG2476" s="367"/>
      <c r="EH2476" s="367"/>
      <c r="EI2476" s="367"/>
    </row>
    <row r="2477" spans="2:139">
      <c r="B2477" s="33"/>
      <c r="N2477" s="19"/>
      <c r="O2477" s="19"/>
      <c r="EC2477" s="366" t="str">
        <f t="shared" si="315"/>
        <v>_</v>
      </c>
      <c r="ED2477" s="367"/>
      <c r="EE2477" s="367"/>
      <c r="EF2477" s="368"/>
      <c r="EG2477" s="367"/>
      <c r="EH2477" s="367"/>
      <c r="EI2477" s="367"/>
    </row>
    <row r="2478" spans="2:139">
      <c r="B2478" s="33"/>
      <c r="N2478" s="19"/>
      <c r="O2478" s="19"/>
      <c r="EC2478" s="366" t="str">
        <f t="shared" si="315"/>
        <v>_</v>
      </c>
      <c r="ED2478" s="367"/>
      <c r="EE2478" s="367"/>
      <c r="EF2478" s="368"/>
      <c r="EG2478" s="367"/>
      <c r="EH2478" s="367"/>
      <c r="EI2478" s="367"/>
    </row>
    <row r="2479" spans="2:139">
      <c r="B2479" s="33"/>
      <c r="N2479" s="19"/>
      <c r="O2479" s="19"/>
      <c r="AO2479" s="2" t="s">
        <v>1875</v>
      </c>
      <c r="EC2479" s="366" t="str">
        <f t="shared" si="315"/>
        <v>_</v>
      </c>
      <c r="ED2479" s="367"/>
      <c r="EE2479" s="367"/>
      <c r="EF2479" s="368"/>
      <c r="EG2479" s="367"/>
      <c r="EH2479" s="367"/>
      <c r="EI2479" s="367"/>
    </row>
    <row r="2480" spans="2:139">
      <c r="B2480" s="33"/>
      <c r="N2480" s="19"/>
      <c r="O2480" s="19"/>
      <c r="EC2480" s="366" t="str">
        <f t="shared" si="315"/>
        <v>_</v>
      </c>
      <c r="ED2480" s="367"/>
      <c r="EE2480" s="367"/>
      <c r="EF2480" s="368"/>
      <c r="EG2480" s="367"/>
      <c r="EH2480" s="367"/>
      <c r="EI2480" s="367"/>
    </row>
    <row r="2481" spans="2:139">
      <c r="B2481" s="33"/>
      <c r="N2481" s="19"/>
      <c r="O2481" s="19"/>
      <c r="EC2481" s="366" t="str">
        <f t="shared" si="315"/>
        <v>_</v>
      </c>
      <c r="ED2481" s="367"/>
      <c r="EE2481" s="367"/>
      <c r="EF2481" s="368"/>
      <c r="EG2481" s="367"/>
      <c r="EH2481" s="367"/>
      <c r="EI2481" s="367"/>
    </row>
    <row r="2482" spans="2:139">
      <c r="B2482" s="33"/>
      <c r="N2482" s="19"/>
      <c r="O2482" s="19"/>
      <c r="EC2482" s="366" t="str">
        <f t="shared" si="315"/>
        <v>_</v>
      </c>
      <c r="ED2482" s="367"/>
      <c r="EE2482" s="367"/>
      <c r="EF2482" s="368"/>
      <c r="EG2482" s="367"/>
      <c r="EH2482" s="367"/>
      <c r="EI2482" s="367"/>
    </row>
    <row r="2483" spans="2:139">
      <c r="B2483" s="33"/>
      <c r="N2483" s="19"/>
      <c r="O2483" s="19"/>
      <c r="EC2483" s="366" t="str">
        <f t="shared" si="315"/>
        <v>_</v>
      </c>
      <c r="ED2483" s="367"/>
      <c r="EE2483" s="367"/>
      <c r="EF2483" s="368"/>
      <c r="EG2483" s="367"/>
      <c r="EH2483" s="367"/>
      <c r="EI2483" s="367"/>
    </row>
    <row r="2484" spans="2:139">
      <c r="B2484" s="33"/>
      <c r="N2484" s="19"/>
      <c r="O2484" s="19"/>
      <c r="EC2484" s="366" t="str">
        <f t="shared" si="315"/>
        <v>_</v>
      </c>
      <c r="ED2484" s="367"/>
      <c r="EE2484" s="367"/>
      <c r="EF2484" s="368"/>
      <c r="EG2484" s="367"/>
      <c r="EH2484" s="367"/>
      <c r="EI2484" s="367"/>
    </row>
    <row r="2485" spans="2:139">
      <c r="B2485" s="33"/>
      <c r="N2485" s="19"/>
      <c r="O2485" s="19"/>
      <c r="EC2485" s="366" t="str">
        <f t="shared" si="315"/>
        <v>_</v>
      </c>
      <c r="ED2485" s="367"/>
      <c r="EE2485" s="367"/>
      <c r="EF2485" s="368"/>
      <c r="EG2485" s="367"/>
      <c r="EH2485" s="367"/>
      <c r="EI2485" s="367"/>
    </row>
    <row r="2486" spans="2:139">
      <c r="B2486" s="33"/>
      <c r="N2486" s="19"/>
      <c r="O2486" s="19"/>
      <c r="EC2486" s="366" t="str">
        <f t="shared" si="315"/>
        <v>_</v>
      </c>
      <c r="ED2486" s="367"/>
      <c r="EE2486" s="367"/>
      <c r="EF2486" s="368"/>
      <c r="EG2486" s="367"/>
      <c r="EH2486" s="367"/>
      <c r="EI2486" s="367"/>
    </row>
    <row r="2487" spans="2:139">
      <c r="B2487" s="33"/>
      <c r="N2487" s="19"/>
      <c r="O2487" s="19"/>
      <c r="EC2487" s="366" t="str">
        <f t="shared" si="315"/>
        <v>_</v>
      </c>
      <c r="ED2487" s="367"/>
      <c r="EE2487" s="367"/>
      <c r="EF2487" s="368"/>
      <c r="EG2487" s="367"/>
      <c r="EH2487" s="367"/>
      <c r="EI2487" s="367"/>
    </row>
    <row r="2488" spans="2:139">
      <c r="B2488" s="33"/>
      <c r="N2488" s="19"/>
      <c r="O2488" s="19"/>
      <c r="EC2488" s="366" t="str">
        <f t="shared" si="315"/>
        <v>_</v>
      </c>
      <c r="ED2488" s="367"/>
      <c r="EE2488" s="367"/>
      <c r="EF2488" s="368"/>
      <c r="EG2488" s="367"/>
      <c r="EH2488" s="367"/>
      <c r="EI2488" s="367"/>
    </row>
    <row r="2489" spans="2:139">
      <c r="B2489" s="33"/>
      <c r="N2489" s="19"/>
      <c r="O2489" s="19"/>
      <c r="EC2489" s="366" t="str">
        <f t="shared" si="315"/>
        <v>_</v>
      </c>
      <c r="ED2489" s="367"/>
      <c r="EE2489" s="367"/>
      <c r="EF2489" s="368"/>
      <c r="EG2489" s="367"/>
      <c r="EH2489" s="367"/>
      <c r="EI2489" s="367"/>
    </row>
    <row r="2490" spans="2:139">
      <c r="B2490" s="33"/>
      <c r="N2490" s="19"/>
      <c r="O2490" s="19"/>
      <c r="EC2490" s="366" t="str">
        <f t="shared" si="315"/>
        <v>_</v>
      </c>
      <c r="ED2490" s="367"/>
      <c r="EE2490" s="367"/>
      <c r="EF2490" s="368"/>
      <c r="EG2490" s="367"/>
      <c r="EH2490" s="367"/>
      <c r="EI2490" s="367"/>
    </row>
    <row r="2491" spans="2:139">
      <c r="B2491" s="33"/>
      <c r="N2491" s="19"/>
      <c r="O2491" s="19"/>
      <c r="EC2491" s="366" t="str">
        <f t="shared" si="315"/>
        <v>_</v>
      </c>
      <c r="ED2491" s="367"/>
      <c r="EE2491" s="367"/>
      <c r="EF2491" s="368"/>
      <c r="EG2491" s="367"/>
      <c r="EH2491" s="367"/>
      <c r="EI2491" s="367"/>
    </row>
    <row r="2492" spans="2:139">
      <c r="B2492" s="33"/>
      <c r="N2492" s="19"/>
      <c r="O2492" s="19"/>
      <c r="EC2492" s="366" t="str">
        <f t="shared" si="315"/>
        <v>_</v>
      </c>
      <c r="ED2492" s="367"/>
      <c r="EE2492" s="367"/>
      <c r="EF2492" s="368"/>
      <c r="EG2492" s="367"/>
      <c r="EH2492" s="367"/>
      <c r="EI2492" s="367"/>
    </row>
    <row r="2493" spans="2:139">
      <c r="B2493" s="33"/>
      <c r="N2493" s="19"/>
      <c r="O2493" s="19"/>
      <c r="EC2493" s="366" t="str">
        <f t="shared" si="315"/>
        <v>_</v>
      </c>
      <c r="ED2493" s="367"/>
      <c r="EE2493" s="367"/>
      <c r="EF2493" s="368"/>
      <c r="EG2493" s="367"/>
      <c r="EH2493" s="367"/>
      <c r="EI2493" s="367"/>
    </row>
    <row r="2494" spans="2:139">
      <c r="B2494" s="33"/>
      <c r="N2494" s="19"/>
      <c r="O2494" s="19"/>
      <c r="EC2494" s="366" t="str">
        <f t="shared" si="315"/>
        <v>_</v>
      </c>
      <c r="ED2494" s="367"/>
      <c r="EE2494" s="367"/>
      <c r="EF2494" s="368"/>
      <c r="EG2494" s="367"/>
      <c r="EH2494" s="367"/>
      <c r="EI2494" s="367"/>
    </row>
    <row r="2495" spans="2:139">
      <c r="B2495" s="33"/>
      <c r="N2495" s="19"/>
      <c r="O2495" s="19"/>
      <c r="EC2495" s="366" t="str">
        <f t="shared" si="315"/>
        <v>_</v>
      </c>
      <c r="ED2495" s="367"/>
      <c r="EE2495" s="367"/>
      <c r="EF2495" s="368"/>
      <c r="EG2495" s="367"/>
      <c r="EH2495" s="367"/>
      <c r="EI2495" s="367"/>
    </row>
    <row r="2496" spans="2:139">
      <c r="B2496" s="33"/>
      <c r="N2496" s="19"/>
      <c r="O2496" s="19"/>
      <c r="EC2496" s="366" t="str">
        <f t="shared" si="315"/>
        <v>_</v>
      </c>
      <c r="ED2496" s="367"/>
      <c r="EE2496" s="367"/>
      <c r="EF2496" s="368"/>
      <c r="EG2496" s="367"/>
      <c r="EH2496" s="367"/>
      <c r="EI2496" s="367"/>
    </row>
    <row r="2497" spans="2:139">
      <c r="B2497" s="33"/>
      <c r="N2497" s="19"/>
      <c r="O2497" s="19"/>
      <c r="EC2497" s="366" t="str">
        <f t="shared" si="315"/>
        <v>_</v>
      </c>
      <c r="ED2497" s="367"/>
      <c r="EE2497" s="367"/>
      <c r="EF2497" s="368"/>
      <c r="EG2497" s="367"/>
      <c r="EH2497" s="367"/>
      <c r="EI2497" s="367"/>
    </row>
    <row r="2498" spans="2:139">
      <c r="B2498" s="33"/>
      <c r="N2498" s="19"/>
      <c r="O2498" s="19"/>
      <c r="EC2498" s="366" t="str">
        <f t="shared" si="315"/>
        <v>_</v>
      </c>
      <c r="ED2498" s="367"/>
      <c r="EE2498" s="367"/>
      <c r="EF2498" s="368"/>
      <c r="EG2498" s="367"/>
      <c r="EH2498" s="367"/>
      <c r="EI2498" s="367"/>
    </row>
    <row r="2499" spans="2:139">
      <c r="B2499" s="33"/>
      <c r="N2499" s="19"/>
      <c r="O2499" s="19"/>
      <c r="EC2499" s="366" t="str">
        <f t="shared" si="315"/>
        <v>_</v>
      </c>
      <c r="ED2499" s="367"/>
      <c r="EE2499" s="367"/>
      <c r="EF2499" s="368"/>
      <c r="EG2499" s="367"/>
      <c r="EH2499" s="367"/>
      <c r="EI2499" s="367"/>
    </row>
    <row r="2500" spans="2:139">
      <c r="B2500" s="33"/>
      <c r="N2500" s="19"/>
      <c r="O2500" s="19"/>
      <c r="EC2500" s="366" t="str">
        <f t="shared" si="315"/>
        <v>_</v>
      </c>
      <c r="ED2500" s="367"/>
      <c r="EE2500" s="367"/>
      <c r="EF2500" s="368"/>
      <c r="EG2500" s="367"/>
      <c r="EH2500" s="367"/>
      <c r="EI2500" s="367"/>
    </row>
    <row r="2501" spans="2:139">
      <c r="B2501" s="33"/>
      <c r="N2501" s="19"/>
      <c r="O2501" s="19"/>
      <c r="EC2501" s="366" t="str">
        <f t="shared" si="315"/>
        <v>_</v>
      </c>
      <c r="ED2501" s="367"/>
      <c r="EE2501" s="367"/>
      <c r="EF2501" s="368"/>
      <c r="EG2501" s="367"/>
      <c r="EH2501" s="367"/>
      <c r="EI2501" s="367"/>
    </row>
    <row r="2502" spans="2:139">
      <c r="B2502" s="33"/>
      <c r="N2502" s="19"/>
      <c r="O2502" s="19"/>
      <c r="EC2502" s="366" t="str">
        <f t="shared" si="315"/>
        <v>_</v>
      </c>
      <c r="ED2502" s="367"/>
      <c r="EE2502" s="367"/>
      <c r="EF2502" s="368"/>
      <c r="EG2502" s="367"/>
      <c r="EH2502" s="367"/>
      <c r="EI2502" s="367"/>
    </row>
    <row r="2503" spans="2:139">
      <c r="B2503" s="33"/>
      <c r="N2503" s="19"/>
      <c r="O2503" s="19"/>
      <c r="EC2503" s="366" t="str">
        <f t="shared" si="315"/>
        <v>_</v>
      </c>
      <c r="ED2503" s="367"/>
      <c r="EE2503" s="367"/>
      <c r="EF2503" s="368"/>
      <c r="EG2503" s="367"/>
      <c r="EH2503" s="367"/>
      <c r="EI2503" s="367"/>
    </row>
    <row r="2504" spans="2:139">
      <c r="B2504" s="33"/>
      <c r="N2504" s="19"/>
      <c r="O2504" s="19"/>
      <c r="EC2504" s="366" t="str">
        <f t="shared" si="315"/>
        <v>_</v>
      </c>
      <c r="ED2504" s="367"/>
      <c r="EE2504" s="367"/>
      <c r="EF2504" s="368"/>
      <c r="EG2504" s="367"/>
      <c r="EH2504" s="367"/>
      <c r="EI2504" s="367"/>
    </row>
    <row r="2505" spans="2:139">
      <c r="B2505" s="33"/>
      <c r="N2505" s="19"/>
      <c r="O2505" s="19"/>
      <c r="EC2505" s="366" t="str">
        <f t="shared" si="315"/>
        <v>_</v>
      </c>
      <c r="ED2505" s="367"/>
      <c r="EE2505" s="367"/>
      <c r="EF2505" s="368"/>
      <c r="EG2505" s="367"/>
      <c r="EH2505" s="367"/>
      <c r="EI2505" s="367"/>
    </row>
    <row r="2506" spans="2:139">
      <c r="B2506" s="33"/>
      <c r="N2506" s="19"/>
      <c r="O2506" s="19"/>
      <c r="EC2506" s="366" t="str">
        <f t="shared" si="315"/>
        <v>_</v>
      </c>
      <c r="ED2506" s="367"/>
      <c r="EE2506" s="367"/>
      <c r="EF2506" s="368"/>
      <c r="EG2506" s="367"/>
      <c r="EH2506" s="367"/>
      <c r="EI2506" s="367"/>
    </row>
    <row r="2507" spans="2:139">
      <c r="B2507" s="33"/>
      <c r="N2507" s="19"/>
      <c r="O2507" s="19"/>
      <c r="EC2507" s="366" t="str">
        <f t="shared" si="315"/>
        <v>_</v>
      </c>
      <c r="ED2507" s="367"/>
      <c r="EE2507" s="367"/>
      <c r="EF2507" s="368"/>
      <c r="EG2507" s="367"/>
      <c r="EH2507" s="367"/>
      <c r="EI2507" s="367"/>
    </row>
    <row r="2508" spans="2:139">
      <c r="B2508" s="33"/>
      <c r="N2508" s="19"/>
      <c r="O2508" s="19"/>
      <c r="EC2508" s="366" t="str">
        <f t="shared" si="315"/>
        <v>_</v>
      </c>
      <c r="ED2508" s="367"/>
      <c r="EE2508" s="367"/>
      <c r="EF2508" s="368"/>
      <c r="EG2508" s="367"/>
      <c r="EH2508" s="367"/>
      <c r="EI2508" s="367"/>
    </row>
    <row r="2509" spans="2:139">
      <c r="B2509" s="33"/>
      <c r="N2509" s="19"/>
      <c r="O2509" s="19"/>
      <c r="EC2509" s="366" t="str">
        <f t="shared" si="315"/>
        <v>_</v>
      </c>
      <c r="ED2509" s="367"/>
      <c r="EE2509" s="367"/>
      <c r="EF2509" s="368"/>
      <c r="EG2509" s="367"/>
      <c r="EH2509" s="367"/>
      <c r="EI2509" s="367"/>
    </row>
    <row r="2510" spans="2:139">
      <c r="B2510" s="33"/>
      <c r="N2510" s="19"/>
      <c r="O2510" s="19"/>
      <c r="EC2510" s="366" t="str">
        <f t="shared" si="315"/>
        <v>_</v>
      </c>
      <c r="ED2510" s="367"/>
      <c r="EE2510" s="367"/>
      <c r="EF2510" s="368"/>
      <c r="EG2510" s="367"/>
      <c r="EH2510" s="367"/>
      <c r="EI2510" s="367"/>
    </row>
    <row r="2511" spans="2:139">
      <c r="B2511" s="33"/>
      <c r="N2511" s="19"/>
      <c r="O2511" s="19"/>
      <c r="EC2511" s="366" t="str">
        <f t="shared" si="315"/>
        <v>_</v>
      </c>
      <c r="ED2511" s="367"/>
      <c r="EE2511" s="367"/>
      <c r="EF2511" s="368"/>
      <c r="EG2511" s="367"/>
      <c r="EH2511" s="367"/>
      <c r="EI2511" s="367"/>
    </row>
    <row r="2512" spans="2:139">
      <c r="B2512" s="33"/>
      <c r="N2512" s="19"/>
      <c r="O2512" s="19"/>
      <c r="EC2512" s="366" t="str">
        <f t="shared" si="315"/>
        <v>_</v>
      </c>
      <c r="ED2512" s="367"/>
      <c r="EE2512" s="367"/>
      <c r="EF2512" s="368"/>
      <c r="EG2512" s="367"/>
      <c r="EH2512" s="367"/>
      <c r="EI2512" s="367"/>
    </row>
    <row r="2513" spans="2:139">
      <c r="B2513" s="33"/>
      <c r="N2513" s="19"/>
      <c r="O2513" s="19"/>
      <c r="EC2513" s="366" t="str">
        <f t="shared" si="315"/>
        <v>_</v>
      </c>
      <c r="ED2513" s="367"/>
      <c r="EE2513" s="367"/>
      <c r="EF2513" s="368"/>
      <c r="EG2513" s="367"/>
      <c r="EH2513" s="367"/>
      <c r="EI2513" s="367"/>
    </row>
    <row r="2514" spans="2:139">
      <c r="B2514" s="33"/>
      <c r="N2514" s="19"/>
      <c r="O2514" s="19"/>
      <c r="EC2514" s="366" t="str">
        <f t="shared" si="315"/>
        <v>_</v>
      </c>
      <c r="ED2514" s="367"/>
      <c r="EE2514" s="367"/>
      <c r="EF2514" s="368"/>
      <c r="EG2514" s="367"/>
      <c r="EH2514" s="367"/>
      <c r="EI2514" s="367"/>
    </row>
    <row r="2515" spans="2:139">
      <c r="B2515" s="33"/>
      <c r="N2515" s="19"/>
      <c r="O2515" s="19"/>
      <c r="EC2515" s="366" t="str">
        <f t="shared" si="315"/>
        <v>_</v>
      </c>
      <c r="ED2515" s="367"/>
      <c r="EE2515" s="367"/>
      <c r="EF2515" s="368"/>
      <c r="EG2515" s="367"/>
      <c r="EH2515" s="367"/>
      <c r="EI2515" s="367"/>
    </row>
    <row r="2516" spans="2:139">
      <c r="B2516" s="33"/>
      <c r="N2516" s="19"/>
      <c r="O2516" s="19"/>
      <c r="EC2516" s="366" t="str">
        <f t="shared" si="315"/>
        <v>_</v>
      </c>
      <c r="ED2516" s="367"/>
      <c r="EE2516" s="367"/>
      <c r="EF2516" s="368"/>
      <c r="EG2516" s="367"/>
      <c r="EH2516" s="367"/>
      <c r="EI2516" s="367"/>
    </row>
    <row r="2517" spans="2:139">
      <c r="B2517" s="33"/>
      <c r="N2517" s="19"/>
      <c r="O2517" s="19"/>
      <c r="EC2517" s="366" t="str">
        <f t="shared" si="315"/>
        <v>_</v>
      </c>
      <c r="ED2517" s="367"/>
      <c r="EE2517" s="367"/>
      <c r="EF2517" s="368"/>
      <c r="EG2517" s="367"/>
      <c r="EH2517" s="367"/>
      <c r="EI2517" s="367"/>
    </row>
    <row r="2518" spans="2:139">
      <c r="B2518" s="33"/>
      <c r="N2518" s="19"/>
      <c r="O2518" s="19"/>
      <c r="EC2518" s="366" t="str">
        <f t="shared" si="315"/>
        <v>_</v>
      </c>
      <c r="ED2518" s="367"/>
      <c r="EE2518" s="367"/>
      <c r="EF2518" s="368"/>
      <c r="EG2518" s="367"/>
      <c r="EH2518" s="367"/>
      <c r="EI2518" s="367"/>
    </row>
    <row r="2519" spans="2:139">
      <c r="B2519" s="33"/>
      <c r="N2519" s="19"/>
      <c r="O2519" s="19"/>
      <c r="EC2519" s="366" t="str">
        <f t="shared" ref="EC2519:EC2582" si="316">B2519&amp;"_"&amp;C2519</f>
        <v>_</v>
      </c>
      <c r="ED2519" s="367"/>
      <c r="EE2519" s="367"/>
      <c r="EF2519" s="368"/>
      <c r="EG2519" s="367"/>
      <c r="EH2519" s="367"/>
      <c r="EI2519" s="367"/>
    </row>
    <row r="2520" spans="2:139">
      <c r="B2520" s="33"/>
      <c r="N2520" s="19"/>
      <c r="O2520" s="19"/>
      <c r="EC2520" s="366" t="str">
        <f t="shared" si="316"/>
        <v>_</v>
      </c>
      <c r="ED2520" s="367"/>
      <c r="EE2520" s="367"/>
      <c r="EF2520" s="368"/>
      <c r="EG2520" s="367"/>
      <c r="EH2520" s="367"/>
      <c r="EI2520" s="367"/>
    </row>
    <row r="2521" spans="2:139">
      <c r="B2521" s="33"/>
      <c r="N2521" s="19"/>
      <c r="O2521" s="19"/>
      <c r="EC2521" s="366" t="str">
        <f t="shared" si="316"/>
        <v>_</v>
      </c>
      <c r="ED2521" s="367"/>
      <c r="EE2521" s="367"/>
      <c r="EF2521" s="368"/>
      <c r="EG2521" s="367"/>
      <c r="EH2521" s="367"/>
      <c r="EI2521" s="367"/>
    </row>
    <row r="2522" spans="2:139">
      <c r="B2522" s="33"/>
      <c r="N2522" s="19"/>
      <c r="O2522" s="19"/>
      <c r="EC2522" s="366" t="str">
        <f t="shared" si="316"/>
        <v>_</v>
      </c>
      <c r="ED2522" s="367"/>
      <c r="EE2522" s="367"/>
      <c r="EF2522" s="368"/>
      <c r="EG2522" s="367"/>
      <c r="EH2522" s="367"/>
      <c r="EI2522" s="367"/>
    </row>
    <row r="2523" spans="2:139">
      <c r="B2523" s="33"/>
      <c r="N2523" s="19"/>
      <c r="O2523" s="19"/>
      <c r="EC2523" s="366" t="str">
        <f t="shared" si="316"/>
        <v>_</v>
      </c>
      <c r="ED2523" s="367"/>
      <c r="EE2523" s="367"/>
      <c r="EF2523" s="368"/>
      <c r="EG2523" s="367"/>
      <c r="EH2523" s="367"/>
      <c r="EI2523" s="367"/>
    </row>
    <row r="2524" spans="2:139">
      <c r="B2524" s="33"/>
      <c r="N2524" s="19"/>
      <c r="O2524" s="19"/>
      <c r="EC2524" s="366" t="str">
        <f t="shared" si="316"/>
        <v>_</v>
      </c>
      <c r="ED2524" s="367"/>
      <c r="EE2524" s="367"/>
      <c r="EF2524" s="368"/>
      <c r="EG2524" s="367"/>
      <c r="EH2524" s="367"/>
      <c r="EI2524" s="367"/>
    </row>
    <row r="2525" spans="2:139">
      <c r="B2525" s="33"/>
      <c r="N2525" s="19"/>
      <c r="O2525" s="19"/>
      <c r="EC2525" s="366" t="str">
        <f t="shared" si="316"/>
        <v>_</v>
      </c>
      <c r="ED2525" s="367"/>
      <c r="EE2525" s="367"/>
      <c r="EF2525" s="368"/>
      <c r="EG2525" s="367"/>
      <c r="EH2525" s="367"/>
      <c r="EI2525" s="367"/>
    </row>
    <row r="2526" spans="2:139">
      <c r="B2526" s="33"/>
      <c r="N2526" s="19"/>
      <c r="O2526" s="19"/>
      <c r="EC2526" s="366" t="str">
        <f t="shared" si="316"/>
        <v>_</v>
      </c>
      <c r="ED2526" s="367"/>
      <c r="EE2526" s="367"/>
      <c r="EF2526" s="368"/>
      <c r="EG2526" s="367"/>
      <c r="EH2526" s="367"/>
      <c r="EI2526" s="367"/>
    </row>
    <row r="2527" spans="2:139">
      <c r="B2527" s="33"/>
      <c r="N2527" s="19"/>
      <c r="O2527" s="19"/>
      <c r="EC2527" s="366" t="str">
        <f t="shared" si="316"/>
        <v>_</v>
      </c>
      <c r="ED2527" s="367"/>
      <c r="EE2527" s="367"/>
      <c r="EF2527" s="368"/>
      <c r="EG2527" s="367"/>
      <c r="EH2527" s="367"/>
      <c r="EI2527" s="367"/>
    </row>
    <row r="2528" spans="2:139">
      <c r="B2528" s="33"/>
      <c r="N2528" s="19"/>
      <c r="O2528" s="19"/>
      <c r="EC2528" s="366" t="str">
        <f t="shared" si="316"/>
        <v>_</v>
      </c>
      <c r="ED2528" s="367"/>
      <c r="EE2528" s="367"/>
      <c r="EF2528" s="368"/>
      <c r="EG2528" s="367"/>
      <c r="EH2528" s="367"/>
      <c r="EI2528" s="367"/>
    </row>
    <row r="2529" spans="2:139">
      <c r="B2529" s="33"/>
      <c r="N2529" s="19"/>
      <c r="O2529" s="19"/>
      <c r="EC2529" s="366" t="str">
        <f t="shared" si="316"/>
        <v>_</v>
      </c>
      <c r="ED2529" s="367"/>
      <c r="EE2529" s="367"/>
      <c r="EF2529" s="368"/>
      <c r="EG2529" s="367"/>
      <c r="EH2529" s="367"/>
      <c r="EI2529" s="367"/>
    </row>
    <row r="2530" spans="2:139">
      <c r="B2530" s="33"/>
      <c r="N2530" s="19"/>
      <c r="O2530" s="19"/>
      <c r="EC2530" s="366" t="str">
        <f t="shared" si="316"/>
        <v>_</v>
      </c>
      <c r="ED2530" s="367"/>
      <c r="EE2530" s="367"/>
      <c r="EF2530" s="368"/>
      <c r="EG2530" s="367"/>
      <c r="EH2530" s="367"/>
      <c r="EI2530" s="367"/>
    </row>
    <row r="2531" spans="2:139">
      <c r="B2531" s="33"/>
      <c r="N2531" s="19"/>
      <c r="O2531" s="19"/>
      <c r="EC2531" s="366" t="str">
        <f t="shared" si="316"/>
        <v>_</v>
      </c>
      <c r="ED2531" s="367"/>
      <c r="EE2531" s="367"/>
      <c r="EF2531" s="368"/>
      <c r="EG2531" s="367"/>
      <c r="EH2531" s="367"/>
      <c r="EI2531" s="367"/>
    </row>
    <row r="2532" spans="2:139">
      <c r="B2532" s="33"/>
      <c r="N2532" s="19"/>
      <c r="O2532" s="19"/>
      <c r="EC2532" s="366" t="str">
        <f t="shared" si="316"/>
        <v>_</v>
      </c>
      <c r="ED2532" s="367"/>
      <c r="EE2532" s="367"/>
      <c r="EF2532" s="368"/>
      <c r="EG2532" s="367"/>
      <c r="EH2532" s="367"/>
      <c r="EI2532" s="367"/>
    </row>
    <row r="2533" spans="2:139">
      <c r="B2533" s="33"/>
      <c r="N2533" s="19"/>
      <c r="O2533" s="19"/>
      <c r="EC2533" s="366" t="str">
        <f t="shared" si="316"/>
        <v>_</v>
      </c>
      <c r="ED2533" s="367"/>
      <c r="EE2533" s="367"/>
      <c r="EF2533" s="368"/>
      <c r="EG2533" s="367"/>
      <c r="EH2533" s="367"/>
      <c r="EI2533" s="367"/>
    </row>
    <row r="2534" spans="2:139">
      <c r="B2534" s="33"/>
      <c r="N2534" s="19"/>
      <c r="O2534" s="19"/>
      <c r="EC2534" s="366" t="str">
        <f t="shared" si="316"/>
        <v>_</v>
      </c>
      <c r="ED2534" s="367"/>
      <c r="EE2534" s="367"/>
      <c r="EF2534" s="368"/>
      <c r="EG2534" s="367"/>
      <c r="EH2534" s="367"/>
      <c r="EI2534" s="367"/>
    </row>
    <row r="2535" spans="2:139">
      <c r="B2535" s="33"/>
      <c r="N2535" s="19"/>
      <c r="O2535" s="19"/>
      <c r="EC2535" s="366" t="str">
        <f t="shared" si="316"/>
        <v>_</v>
      </c>
      <c r="ED2535" s="367"/>
      <c r="EE2535" s="367"/>
      <c r="EF2535" s="368"/>
      <c r="EG2535" s="367"/>
      <c r="EH2535" s="367"/>
      <c r="EI2535" s="367"/>
    </row>
    <row r="2536" spans="2:139">
      <c r="B2536" s="33"/>
      <c r="N2536" s="19"/>
      <c r="O2536" s="19"/>
      <c r="EC2536" s="366" t="str">
        <f t="shared" si="316"/>
        <v>_</v>
      </c>
      <c r="ED2536" s="367"/>
      <c r="EE2536" s="367"/>
      <c r="EF2536" s="368"/>
      <c r="EG2536" s="367"/>
      <c r="EH2536" s="367"/>
      <c r="EI2536" s="367"/>
    </row>
    <row r="2537" spans="2:139">
      <c r="B2537" s="33"/>
      <c r="N2537" s="19"/>
      <c r="O2537" s="19"/>
      <c r="EC2537" s="366" t="str">
        <f t="shared" si="316"/>
        <v>_</v>
      </c>
      <c r="ED2537" s="367"/>
      <c r="EE2537" s="367"/>
      <c r="EF2537" s="368"/>
      <c r="EG2537" s="367"/>
      <c r="EH2537" s="367"/>
      <c r="EI2537" s="367"/>
    </row>
    <row r="2538" spans="2:139">
      <c r="B2538" s="33"/>
      <c r="N2538" s="19"/>
      <c r="O2538" s="19"/>
      <c r="EC2538" s="366" t="str">
        <f t="shared" si="316"/>
        <v>_</v>
      </c>
      <c r="ED2538" s="367"/>
      <c r="EE2538" s="367"/>
      <c r="EF2538" s="368"/>
      <c r="EG2538" s="367"/>
      <c r="EH2538" s="367"/>
      <c r="EI2538" s="367"/>
    </row>
    <row r="2539" spans="2:139">
      <c r="B2539" s="33"/>
      <c r="N2539" s="19"/>
      <c r="O2539" s="19"/>
      <c r="EC2539" s="366" t="str">
        <f t="shared" si="316"/>
        <v>_</v>
      </c>
      <c r="ED2539" s="367"/>
      <c r="EE2539" s="367"/>
      <c r="EF2539" s="368"/>
      <c r="EG2539" s="367"/>
      <c r="EH2539" s="367"/>
      <c r="EI2539" s="367"/>
    </row>
    <row r="2540" spans="2:139">
      <c r="B2540" s="33"/>
      <c r="N2540" s="19"/>
      <c r="O2540" s="19"/>
      <c r="EC2540" s="366" t="str">
        <f t="shared" si="316"/>
        <v>_</v>
      </c>
      <c r="ED2540" s="367"/>
      <c r="EE2540" s="367"/>
      <c r="EF2540" s="368"/>
      <c r="EG2540" s="367"/>
      <c r="EH2540" s="367"/>
      <c r="EI2540" s="367"/>
    </row>
    <row r="2541" spans="2:139">
      <c r="B2541" s="33"/>
      <c r="N2541" s="19"/>
      <c r="O2541" s="19"/>
      <c r="EC2541" s="366" t="str">
        <f t="shared" si="316"/>
        <v>_</v>
      </c>
      <c r="ED2541" s="367"/>
      <c r="EE2541" s="367"/>
      <c r="EF2541" s="368"/>
      <c r="EG2541" s="367"/>
      <c r="EH2541" s="367"/>
      <c r="EI2541" s="367"/>
    </row>
    <row r="2542" spans="2:139">
      <c r="B2542" s="33"/>
      <c r="N2542" s="19"/>
      <c r="O2542" s="19"/>
      <c r="EC2542" s="366" t="str">
        <f t="shared" si="316"/>
        <v>_</v>
      </c>
      <c r="ED2542" s="367"/>
      <c r="EE2542" s="367"/>
      <c r="EF2542" s="368"/>
      <c r="EG2542" s="367"/>
      <c r="EH2542" s="367"/>
      <c r="EI2542" s="367"/>
    </row>
    <row r="2543" spans="2:139">
      <c r="B2543" s="33"/>
      <c r="N2543" s="19"/>
      <c r="O2543" s="19"/>
      <c r="EC2543" s="366" t="str">
        <f t="shared" si="316"/>
        <v>_</v>
      </c>
      <c r="ED2543" s="367"/>
      <c r="EE2543" s="367"/>
      <c r="EF2543" s="368"/>
      <c r="EG2543" s="367"/>
      <c r="EH2543" s="367"/>
      <c r="EI2543" s="367"/>
    </row>
    <row r="2544" spans="2:139">
      <c r="B2544" s="33"/>
      <c r="N2544" s="19"/>
      <c r="O2544" s="19"/>
      <c r="EC2544" s="366" t="str">
        <f t="shared" si="316"/>
        <v>_</v>
      </c>
      <c r="ED2544" s="367"/>
      <c r="EE2544" s="367"/>
      <c r="EF2544" s="368"/>
      <c r="EG2544" s="367"/>
      <c r="EH2544" s="367"/>
      <c r="EI2544" s="367"/>
    </row>
    <row r="2545" spans="2:139">
      <c r="B2545" s="33"/>
      <c r="N2545" s="19"/>
      <c r="O2545" s="19"/>
      <c r="EC2545" s="366" t="str">
        <f t="shared" si="316"/>
        <v>_</v>
      </c>
      <c r="ED2545" s="367"/>
      <c r="EE2545" s="367"/>
      <c r="EF2545" s="368"/>
      <c r="EG2545" s="367"/>
      <c r="EH2545" s="367"/>
      <c r="EI2545" s="367"/>
    </row>
    <row r="2546" spans="2:139">
      <c r="B2546" s="33"/>
      <c r="N2546" s="19"/>
      <c r="O2546" s="19"/>
      <c r="EC2546" s="366" t="str">
        <f t="shared" si="316"/>
        <v>_</v>
      </c>
      <c r="ED2546" s="367"/>
      <c r="EE2546" s="367"/>
      <c r="EF2546" s="368"/>
      <c r="EG2546" s="367"/>
      <c r="EH2546" s="367"/>
      <c r="EI2546" s="367"/>
    </row>
    <row r="2547" spans="2:139">
      <c r="B2547" s="33"/>
      <c r="N2547" s="19"/>
      <c r="O2547" s="19"/>
      <c r="EC2547" s="366" t="str">
        <f t="shared" si="316"/>
        <v>_</v>
      </c>
      <c r="ED2547" s="367"/>
      <c r="EE2547" s="367"/>
      <c r="EF2547" s="368"/>
      <c r="EG2547" s="367"/>
      <c r="EH2547" s="367"/>
      <c r="EI2547" s="367"/>
    </row>
    <row r="2548" spans="2:139">
      <c r="B2548" s="33"/>
      <c r="N2548" s="19"/>
      <c r="O2548" s="19"/>
      <c r="EC2548" s="366" t="str">
        <f t="shared" si="316"/>
        <v>_</v>
      </c>
      <c r="ED2548" s="367"/>
      <c r="EE2548" s="367"/>
      <c r="EF2548" s="368"/>
      <c r="EG2548" s="367"/>
      <c r="EH2548" s="367"/>
      <c r="EI2548" s="367"/>
    </row>
    <row r="2549" spans="2:139">
      <c r="B2549" s="33"/>
      <c r="N2549" s="19"/>
      <c r="O2549" s="19"/>
      <c r="EC2549" s="366" t="str">
        <f t="shared" si="316"/>
        <v>_</v>
      </c>
      <c r="ED2549" s="367"/>
      <c r="EE2549" s="367"/>
      <c r="EF2549" s="368"/>
      <c r="EG2549" s="367"/>
      <c r="EH2549" s="367"/>
      <c r="EI2549" s="367"/>
    </row>
    <row r="2550" spans="2:139">
      <c r="B2550" s="33"/>
      <c r="N2550" s="19"/>
      <c r="O2550" s="19"/>
      <c r="EC2550" s="366" t="str">
        <f t="shared" si="316"/>
        <v>_</v>
      </c>
      <c r="ED2550" s="367"/>
      <c r="EE2550" s="367"/>
      <c r="EF2550" s="368"/>
      <c r="EG2550" s="367"/>
      <c r="EH2550" s="367"/>
      <c r="EI2550" s="367"/>
    </row>
    <row r="2551" spans="2:139">
      <c r="B2551" s="33"/>
      <c r="N2551" s="19"/>
      <c r="O2551" s="19"/>
      <c r="EC2551" s="366" t="str">
        <f t="shared" si="316"/>
        <v>_</v>
      </c>
      <c r="ED2551" s="367"/>
      <c r="EE2551" s="367"/>
      <c r="EF2551" s="368"/>
      <c r="EG2551" s="367"/>
      <c r="EH2551" s="367"/>
      <c r="EI2551" s="367"/>
    </row>
    <row r="2552" spans="2:139">
      <c r="B2552" s="33"/>
      <c r="N2552" s="19"/>
      <c r="O2552" s="19"/>
      <c r="EC2552" s="366" t="str">
        <f t="shared" si="316"/>
        <v>_</v>
      </c>
      <c r="ED2552" s="367"/>
      <c r="EE2552" s="367"/>
      <c r="EF2552" s="368"/>
      <c r="EG2552" s="367"/>
      <c r="EH2552" s="367"/>
      <c r="EI2552" s="367"/>
    </row>
    <row r="2553" spans="2:139">
      <c r="B2553" s="33"/>
      <c r="N2553" s="19"/>
      <c r="O2553" s="19"/>
      <c r="EC2553" s="366" t="str">
        <f t="shared" si="316"/>
        <v>_</v>
      </c>
      <c r="ED2553" s="367"/>
      <c r="EE2553" s="367"/>
      <c r="EF2553" s="368"/>
      <c r="EG2553" s="367"/>
      <c r="EH2553" s="367"/>
      <c r="EI2553" s="367"/>
    </row>
    <row r="2554" spans="2:139">
      <c r="B2554" s="33"/>
      <c r="N2554" s="19"/>
      <c r="O2554" s="19"/>
      <c r="EC2554" s="366" t="str">
        <f t="shared" si="316"/>
        <v>_</v>
      </c>
      <c r="ED2554" s="367"/>
      <c r="EE2554" s="367"/>
      <c r="EF2554" s="368"/>
      <c r="EG2554" s="367"/>
      <c r="EH2554" s="367"/>
      <c r="EI2554" s="367"/>
    </row>
    <row r="2555" spans="2:139">
      <c r="B2555" s="33"/>
      <c r="N2555" s="19"/>
      <c r="O2555" s="19"/>
      <c r="EC2555" s="366" t="str">
        <f t="shared" si="316"/>
        <v>_</v>
      </c>
      <c r="ED2555" s="367"/>
      <c r="EE2555" s="367"/>
      <c r="EF2555" s="368"/>
      <c r="EG2555" s="367"/>
      <c r="EH2555" s="367"/>
      <c r="EI2555" s="367"/>
    </row>
    <row r="2556" spans="2:139">
      <c r="B2556" s="33"/>
      <c r="N2556" s="19"/>
      <c r="O2556" s="19"/>
      <c r="EC2556" s="366" t="str">
        <f t="shared" si="316"/>
        <v>_</v>
      </c>
      <c r="ED2556" s="367"/>
      <c r="EE2556" s="367"/>
      <c r="EF2556" s="368"/>
      <c r="EG2556" s="367"/>
      <c r="EH2556" s="367"/>
      <c r="EI2556" s="367"/>
    </row>
    <row r="2557" spans="2:139">
      <c r="B2557" s="33"/>
      <c r="N2557" s="19"/>
      <c r="O2557" s="19"/>
      <c r="EC2557" s="366" t="str">
        <f t="shared" si="316"/>
        <v>_</v>
      </c>
      <c r="ED2557" s="367"/>
      <c r="EE2557" s="367"/>
      <c r="EF2557" s="368"/>
      <c r="EG2557" s="367"/>
      <c r="EH2557" s="367"/>
      <c r="EI2557" s="367"/>
    </row>
    <row r="2558" spans="2:139">
      <c r="B2558" s="33"/>
      <c r="N2558" s="19"/>
      <c r="O2558" s="19"/>
      <c r="EC2558" s="366" t="str">
        <f t="shared" si="316"/>
        <v>_</v>
      </c>
      <c r="ED2558" s="367"/>
      <c r="EE2558" s="367"/>
      <c r="EF2558" s="368"/>
      <c r="EG2558" s="367"/>
      <c r="EH2558" s="367"/>
      <c r="EI2558" s="367"/>
    </row>
    <row r="2559" spans="2:139">
      <c r="B2559" s="33"/>
      <c r="N2559" s="19"/>
      <c r="O2559" s="19"/>
      <c r="EC2559" s="366" t="str">
        <f t="shared" si="316"/>
        <v>_</v>
      </c>
      <c r="ED2559" s="367"/>
      <c r="EE2559" s="367"/>
      <c r="EF2559" s="368"/>
      <c r="EG2559" s="367"/>
      <c r="EH2559" s="367"/>
      <c r="EI2559" s="367"/>
    </row>
    <row r="2560" spans="2:139">
      <c r="B2560" s="33"/>
      <c r="N2560" s="19"/>
      <c r="O2560" s="19"/>
      <c r="EC2560" s="366" t="str">
        <f t="shared" si="316"/>
        <v>_</v>
      </c>
      <c r="ED2560" s="367"/>
      <c r="EE2560" s="367"/>
      <c r="EF2560" s="368"/>
      <c r="EG2560" s="367"/>
      <c r="EH2560" s="367"/>
      <c r="EI2560" s="367"/>
    </row>
    <row r="2561" spans="2:139">
      <c r="B2561" s="33"/>
      <c r="N2561" s="19"/>
      <c r="O2561" s="19"/>
      <c r="EC2561" s="366" t="str">
        <f t="shared" si="316"/>
        <v>_</v>
      </c>
      <c r="ED2561" s="367"/>
      <c r="EE2561" s="367"/>
      <c r="EF2561" s="368"/>
      <c r="EG2561" s="367"/>
      <c r="EH2561" s="367"/>
      <c r="EI2561" s="367"/>
    </row>
    <row r="2562" spans="2:139">
      <c r="B2562" s="33"/>
      <c r="N2562" s="19"/>
      <c r="O2562" s="19"/>
      <c r="EC2562" s="366" t="str">
        <f t="shared" si="316"/>
        <v>_</v>
      </c>
      <c r="ED2562" s="367"/>
      <c r="EE2562" s="367"/>
      <c r="EF2562" s="368"/>
      <c r="EG2562" s="367"/>
      <c r="EH2562" s="367"/>
      <c r="EI2562" s="367"/>
    </row>
    <row r="2563" spans="2:139">
      <c r="B2563" s="33"/>
      <c r="N2563" s="19"/>
      <c r="O2563" s="19"/>
      <c r="EC2563" s="366" t="str">
        <f t="shared" si="316"/>
        <v>_</v>
      </c>
      <c r="ED2563" s="367"/>
      <c r="EE2563" s="367"/>
      <c r="EF2563" s="368"/>
      <c r="EG2563" s="367"/>
      <c r="EH2563" s="367"/>
      <c r="EI2563" s="367"/>
    </row>
    <row r="2564" spans="2:139">
      <c r="B2564" s="33"/>
      <c r="N2564" s="19"/>
      <c r="O2564" s="19"/>
      <c r="EC2564" s="366" t="str">
        <f t="shared" si="316"/>
        <v>_</v>
      </c>
      <c r="ED2564" s="367"/>
      <c r="EE2564" s="367"/>
      <c r="EF2564" s="368"/>
      <c r="EG2564" s="367"/>
      <c r="EH2564" s="367"/>
      <c r="EI2564" s="367"/>
    </row>
    <row r="2565" spans="2:139">
      <c r="B2565" s="33"/>
      <c r="N2565" s="19"/>
      <c r="O2565" s="19"/>
      <c r="EC2565" s="366" t="str">
        <f t="shared" si="316"/>
        <v>_</v>
      </c>
      <c r="ED2565" s="367"/>
      <c r="EE2565" s="367"/>
      <c r="EF2565" s="368"/>
      <c r="EG2565" s="367"/>
      <c r="EH2565" s="367"/>
      <c r="EI2565" s="367"/>
    </row>
    <row r="2566" spans="2:139">
      <c r="B2566" s="33"/>
      <c r="N2566" s="19"/>
      <c r="O2566" s="19"/>
      <c r="EC2566" s="366" t="str">
        <f t="shared" si="316"/>
        <v>_</v>
      </c>
      <c r="ED2566" s="367"/>
      <c r="EE2566" s="367"/>
      <c r="EF2566" s="368"/>
      <c r="EG2566" s="367"/>
      <c r="EH2566" s="367"/>
      <c r="EI2566" s="367"/>
    </row>
    <row r="2567" spans="2:139">
      <c r="B2567" s="33"/>
      <c r="N2567" s="19"/>
      <c r="O2567" s="19"/>
      <c r="EC2567" s="366" t="str">
        <f t="shared" si="316"/>
        <v>_</v>
      </c>
      <c r="ED2567" s="367"/>
      <c r="EE2567" s="367"/>
      <c r="EF2567" s="368"/>
      <c r="EG2567" s="367"/>
      <c r="EH2567" s="367"/>
      <c r="EI2567" s="367"/>
    </row>
    <row r="2568" spans="2:139">
      <c r="B2568" s="33"/>
      <c r="N2568" s="19"/>
      <c r="O2568" s="19"/>
      <c r="EC2568" s="366" t="str">
        <f t="shared" si="316"/>
        <v>_</v>
      </c>
      <c r="ED2568" s="367"/>
      <c r="EE2568" s="367"/>
      <c r="EF2568" s="368"/>
      <c r="EG2568" s="367"/>
      <c r="EH2568" s="367"/>
      <c r="EI2568" s="367"/>
    </row>
    <row r="2569" spans="2:139">
      <c r="B2569" s="33"/>
      <c r="N2569" s="19"/>
      <c r="O2569" s="19"/>
      <c r="EC2569" s="366" t="str">
        <f t="shared" si="316"/>
        <v>_</v>
      </c>
      <c r="ED2569" s="367"/>
      <c r="EE2569" s="367"/>
      <c r="EF2569" s="368"/>
      <c r="EG2569" s="367"/>
      <c r="EH2569" s="367"/>
      <c r="EI2569" s="367"/>
    </row>
    <row r="2570" spans="2:139">
      <c r="B2570" s="33"/>
      <c r="N2570" s="19"/>
      <c r="O2570" s="19"/>
      <c r="EC2570" s="366" t="str">
        <f t="shared" si="316"/>
        <v>_</v>
      </c>
      <c r="ED2570" s="367"/>
      <c r="EE2570" s="367"/>
      <c r="EF2570" s="368"/>
      <c r="EG2570" s="367"/>
      <c r="EH2570" s="367"/>
      <c r="EI2570" s="367"/>
    </row>
    <row r="2571" spans="2:139">
      <c r="B2571" s="33"/>
      <c r="N2571" s="19"/>
      <c r="O2571" s="19"/>
      <c r="EC2571" s="366" t="str">
        <f t="shared" si="316"/>
        <v>_</v>
      </c>
      <c r="ED2571" s="367"/>
      <c r="EE2571" s="367"/>
      <c r="EF2571" s="368"/>
      <c r="EG2571" s="367"/>
      <c r="EH2571" s="367"/>
      <c r="EI2571" s="367"/>
    </row>
    <row r="2572" spans="2:139">
      <c r="B2572" s="33"/>
      <c r="N2572" s="19"/>
      <c r="O2572" s="19"/>
      <c r="EC2572" s="366" t="str">
        <f t="shared" si="316"/>
        <v>_</v>
      </c>
      <c r="ED2572" s="367"/>
      <c r="EE2572" s="367"/>
      <c r="EF2572" s="368"/>
      <c r="EG2572" s="367"/>
      <c r="EH2572" s="367"/>
      <c r="EI2572" s="367"/>
    </row>
    <row r="2573" spans="2:139">
      <c r="B2573" s="33"/>
      <c r="N2573" s="19"/>
      <c r="O2573" s="19"/>
      <c r="EC2573" s="366" t="str">
        <f t="shared" si="316"/>
        <v>_</v>
      </c>
      <c r="ED2573" s="367"/>
      <c r="EE2573" s="367"/>
      <c r="EF2573" s="368"/>
      <c r="EG2573" s="367"/>
      <c r="EH2573" s="367"/>
      <c r="EI2573" s="367"/>
    </row>
    <row r="2574" spans="2:139">
      <c r="B2574" s="33"/>
      <c r="N2574" s="19"/>
      <c r="O2574" s="19"/>
      <c r="EC2574" s="366" t="str">
        <f t="shared" si="316"/>
        <v>_</v>
      </c>
      <c r="ED2574" s="367"/>
      <c r="EE2574" s="367"/>
      <c r="EF2574" s="368"/>
      <c r="EG2574" s="367"/>
      <c r="EH2574" s="367"/>
      <c r="EI2574" s="367"/>
    </row>
    <row r="2575" spans="2:139">
      <c r="B2575" s="33"/>
      <c r="N2575" s="19"/>
      <c r="O2575" s="19"/>
      <c r="EC2575" s="366" t="str">
        <f t="shared" si="316"/>
        <v>_</v>
      </c>
      <c r="ED2575" s="367"/>
      <c r="EE2575" s="367"/>
      <c r="EF2575" s="368"/>
      <c r="EG2575" s="367"/>
      <c r="EH2575" s="367"/>
      <c r="EI2575" s="367"/>
    </row>
    <row r="2576" spans="2:139">
      <c r="B2576" s="33"/>
      <c r="N2576" s="19"/>
      <c r="O2576" s="19"/>
      <c r="EC2576" s="366" t="str">
        <f t="shared" si="316"/>
        <v>_</v>
      </c>
      <c r="ED2576" s="367"/>
      <c r="EE2576" s="367"/>
      <c r="EF2576" s="368"/>
      <c r="EG2576" s="367"/>
      <c r="EH2576" s="367"/>
      <c r="EI2576" s="367"/>
    </row>
    <row r="2577" spans="2:139">
      <c r="B2577" s="33"/>
      <c r="N2577" s="19"/>
      <c r="O2577" s="19"/>
      <c r="EC2577" s="366" t="str">
        <f t="shared" si="316"/>
        <v>_</v>
      </c>
      <c r="ED2577" s="367"/>
      <c r="EE2577" s="367"/>
      <c r="EF2577" s="368"/>
      <c r="EG2577" s="367"/>
      <c r="EH2577" s="367"/>
      <c r="EI2577" s="367"/>
    </row>
    <row r="2578" spans="2:139">
      <c r="B2578" s="33"/>
      <c r="N2578" s="19"/>
      <c r="O2578" s="19"/>
      <c r="EC2578" s="366" t="str">
        <f t="shared" si="316"/>
        <v>_</v>
      </c>
      <c r="ED2578" s="367"/>
      <c r="EE2578" s="367"/>
      <c r="EF2578" s="368"/>
      <c r="EG2578" s="367"/>
      <c r="EH2578" s="367"/>
      <c r="EI2578" s="367"/>
    </row>
    <row r="2579" spans="2:139">
      <c r="B2579" s="33"/>
      <c r="N2579" s="19"/>
      <c r="O2579" s="19"/>
      <c r="EC2579" s="366" t="str">
        <f t="shared" si="316"/>
        <v>_</v>
      </c>
      <c r="ED2579" s="367"/>
      <c r="EE2579" s="367"/>
      <c r="EF2579" s="368"/>
      <c r="EG2579" s="367"/>
      <c r="EH2579" s="367"/>
      <c r="EI2579" s="367"/>
    </row>
    <row r="2580" spans="2:139">
      <c r="B2580" s="33"/>
      <c r="N2580" s="19"/>
      <c r="O2580" s="19"/>
      <c r="EC2580" s="366" t="str">
        <f t="shared" si="316"/>
        <v>_</v>
      </c>
      <c r="ED2580" s="367"/>
      <c r="EE2580" s="367"/>
      <c r="EF2580" s="368"/>
      <c r="EG2580" s="367"/>
      <c r="EH2580" s="367"/>
      <c r="EI2580" s="367"/>
    </row>
    <row r="2581" spans="2:139">
      <c r="B2581" s="33"/>
      <c r="N2581" s="19"/>
      <c r="O2581" s="19"/>
      <c r="EC2581" s="366" t="str">
        <f t="shared" si="316"/>
        <v>_</v>
      </c>
      <c r="ED2581" s="367"/>
      <c r="EE2581" s="367"/>
      <c r="EF2581" s="368"/>
      <c r="EG2581" s="367"/>
      <c r="EH2581" s="367"/>
      <c r="EI2581" s="367"/>
    </row>
    <row r="2582" spans="2:139">
      <c r="B2582" s="33"/>
      <c r="N2582" s="19"/>
      <c r="O2582" s="19"/>
      <c r="EC2582" s="366" t="str">
        <f t="shared" si="316"/>
        <v>_</v>
      </c>
      <c r="ED2582" s="367"/>
      <c r="EE2582" s="367"/>
      <c r="EF2582" s="368"/>
      <c r="EG2582" s="367"/>
      <c r="EH2582" s="367"/>
      <c r="EI2582" s="367"/>
    </row>
    <row r="2583" spans="2:139">
      <c r="B2583" s="33"/>
      <c r="N2583" s="19"/>
      <c r="O2583" s="19"/>
      <c r="EC2583" s="366" t="str">
        <f t="shared" ref="EC2583:EC2646" si="317">B2583&amp;"_"&amp;C2583</f>
        <v>_</v>
      </c>
      <c r="ED2583" s="367"/>
      <c r="EE2583" s="367"/>
      <c r="EF2583" s="368"/>
      <c r="EG2583" s="367"/>
      <c r="EH2583" s="367"/>
      <c r="EI2583" s="367"/>
    </row>
    <row r="2584" spans="2:139">
      <c r="B2584" s="33"/>
      <c r="N2584" s="19"/>
      <c r="O2584" s="19"/>
      <c r="EC2584" s="366" t="str">
        <f t="shared" si="317"/>
        <v>_</v>
      </c>
      <c r="ED2584" s="367"/>
      <c r="EE2584" s="367"/>
      <c r="EF2584" s="368"/>
      <c r="EG2584" s="367"/>
      <c r="EH2584" s="367"/>
      <c r="EI2584" s="367"/>
    </row>
    <row r="2585" spans="2:139">
      <c r="B2585" s="33"/>
      <c r="N2585" s="19"/>
      <c r="O2585" s="19"/>
      <c r="EC2585" s="366" t="str">
        <f t="shared" si="317"/>
        <v>_</v>
      </c>
      <c r="ED2585" s="367"/>
      <c r="EE2585" s="367"/>
      <c r="EF2585" s="368"/>
      <c r="EG2585" s="367"/>
      <c r="EH2585" s="367"/>
      <c r="EI2585" s="367"/>
    </row>
    <row r="2586" spans="2:139">
      <c r="B2586" s="33"/>
      <c r="N2586" s="19"/>
      <c r="O2586" s="19"/>
      <c r="EC2586" s="366" t="str">
        <f t="shared" si="317"/>
        <v>_</v>
      </c>
      <c r="ED2586" s="367"/>
      <c r="EE2586" s="367"/>
      <c r="EF2586" s="368"/>
      <c r="EG2586" s="367"/>
      <c r="EH2586" s="367"/>
      <c r="EI2586" s="367"/>
    </row>
    <row r="2587" spans="2:139">
      <c r="B2587" s="33"/>
      <c r="N2587" s="19"/>
      <c r="O2587" s="19"/>
      <c r="EC2587" s="366" t="str">
        <f t="shared" si="317"/>
        <v>_</v>
      </c>
      <c r="ED2587" s="367"/>
      <c r="EE2587" s="367"/>
      <c r="EF2587" s="368"/>
      <c r="EG2587" s="367"/>
      <c r="EH2587" s="367"/>
      <c r="EI2587" s="367"/>
    </row>
    <row r="2588" spans="2:139">
      <c r="B2588" s="33"/>
      <c r="N2588" s="19"/>
      <c r="O2588" s="19"/>
      <c r="EC2588" s="366" t="str">
        <f t="shared" si="317"/>
        <v>_</v>
      </c>
      <c r="ED2588" s="367"/>
      <c r="EE2588" s="367"/>
      <c r="EF2588" s="368"/>
      <c r="EG2588" s="367"/>
      <c r="EH2588" s="367"/>
      <c r="EI2588" s="367"/>
    </row>
    <row r="2589" spans="2:139">
      <c r="B2589" s="33"/>
      <c r="N2589" s="19"/>
      <c r="O2589" s="19"/>
      <c r="EC2589" s="366" t="str">
        <f t="shared" si="317"/>
        <v>_</v>
      </c>
      <c r="ED2589" s="367"/>
      <c r="EE2589" s="367"/>
      <c r="EF2589" s="368"/>
      <c r="EG2589" s="367"/>
      <c r="EH2589" s="367"/>
      <c r="EI2589" s="367"/>
    </row>
    <row r="2590" spans="2:139">
      <c r="B2590" s="33"/>
      <c r="N2590" s="19"/>
      <c r="O2590" s="19"/>
      <c r="EC2590" s="366" t="str">
        <f t="shared" si="317"/>
        <v>_</v>
      </c>
      <c r="ED2590" s="367"/>
      <c r="EE2590" s="367"/>
      <c r="EF2590" s="368"/>
      <c r="EG2590" s="367"/>
      <c r="EH2590" s="367"/>
      <c r="EI2590" s="367"/>
    </row>
    <row r="2591" spans="2:139">
      <c r="B2591" s="33"/>
      <c r="N2591" s="19"/>
      <c r="O2591" s="19"/>
      <c r="EC2591" s="366" t="str">
        <f t="shared" si="317"/>
        <v>_</v>
      </c>
      <c r="ED2591" s="367"/>
      <c r="EE2591" s="367"/>
      <c r="EF2591" s="368"/>
      <c r="EG2591" s="367"/>
      <c r="EH2591" s="367"/>
      <c r="EI2591" s="367"/>
    </row>
    <row r="2592" spans="2:139">
      <c r="B2592" s="33"/>
      <c r="N2592" s="19"/>
      <c r="O2592" s="19"/>
      <c r="EC2592" s="366" t="str">
        <f t="shared" si="317"/>
        <v>_</v>
      </c>
      <c r="ED2592" s="367"/>
      <c r="EE2592" s="367"/>
      <c r="EF2592" s="368"/>
      <c r="EG2592" s="367"/>
      <c r="EH2592" s="367"/>
      <c r="EI2592" s="367"/>
    </row>
    <row r="2593" spans="2:139">
      <c r="B2593" s="33"/>
      <c r="N2593" s="19"/>
      <c r="O2593" s="19"/>
      <c r="EC2593" s="366" t="str">
        <f t="shared" si="317"/>
        <v>_</v>
      </c>
      <c r="ED2593" s="367"/>
      <c r="EE2593" s="367"/>
      <c r="EF2593" s="368"/>
      <c r="EG2593" s="367"/>
      <c r="EH2593" s="367"/>
      <c r="EI2593" s="367"/>
    </row>
    <row r="2594" spans="2:139">
      <c r="B2594" s="33"/>
      <c r="N2594" s="19"/>
      <c r="O2594" s="19"/>
      <c r="EC2594" s="366" t="str">
        <f t="shared" si="317"/>
        <v>_</v>
      </c>
      <c r="ED2594" s="367"/>
      <c r="EE2594" s="367"/>
      <c r="EF2594" s="368"/>
      <c r="EG2594" s="367"/>
      <c r="EH2594" s="367"/>
      <c r="EI2594" s="367"/>
    </row>
    <row r="2595" spans="2:139">
      <c r="B2595" s="33"/>
      <c r="N2595" s="19"/>
      <c r="O2595" s="19"/>
      <c r="EC2595" s="366" t="str">
        <f t="shared" si="317"/>
        <v>_</v>
      </c>
      <c r="ED2595" s="367"/>
      <c r="EE2595" s="367"/>
      <c r="EF2595" s="368"/>
      <c r="EG2595" s="367"/>
      <c r="EH2595" s="367"/>
      <c r="EI2595" s="367"/>
    </row>
    <row r="2596" spans="2:139">
      <c r="B2596" s="33"/>
      <c r="N2596" s="19"/>
      <c r="O2596" s="19"/>
      <c r="EC2596" s="366" t="str">
        <f t="shared" si="317"/>
        <v>_</v>
      </c>
      <c r="ED2596" s="367"/>
      <c r="EE2596" s="367"/>
      <c r="EF2596" s="368"/>
      <c r="EG2596" s="367"/>
      <c r="EH2596" s="367"/>
      <c r="EI2596" s="367"/>
    </row>
    <row r="2597" spans="2:139">
      <c r="B2597" s="33"/>
      <c r="N2597" s="19"/>
      <c r="O2597" s="19"/>
      <c r="EC2597" s="366" t="str">
        <f t="shared" si="317"/>
        <v>_</v>
      </c>
      <c r="ED2597" s="367"/>
      <c r="EE2597" s="367"/>
      <c r="EF2597" s="368"/>
      <c r="EG2597" s="367"/>
      <c r="EH2597" s="367"/>
      <c r="EI2597" s="367"/>
    </row>
    <row r="2598" spans="2:139">
      <c r="B2598" s="33"/>
      <c r="N2598" s="19"/>
      <c r="O2598" s="19"/>
      <c r="EC2598" s="366" t="str">
        <f t="shared" si="317"/>
        <v>_</v>
      </c>
      <c r="ED2598" s="367"/>
      <c r="EE2598" s="367"/>
      <c r="EF2598" s="368"/>
      <c r="EG2598" s="367"/>
      <c r="EH2598" s="367"/>
      <c r="EI2598" s="367"/>
    </row>
    <row r="2599" spans="2:139">
      <c r="B2599" s="33"/>
      <c r="N2599" s="19"/>
      <c r="O2599" s="19"/>
      <c r="EC2599" s="366" t="str">
        <f t="shared" si="317"/>
        <v>_</v>
      </c>
      <c r="ED2599" s="367"/>
      <c r="EE2599" s="367"/>
      <c r="EF2599" s="368"/>
      <c r="EG2599" s="367"/>
      <c r="EH2599" s="367"/>
      <c r="EI2599" s="367"/>
    </row>
    <row r="2600" spans="2:139">
      <c r="B2600" s="33"/>
      <c r="N2600" s="19"/>
      <c r="O2600" s="19"/>
      <c r="EC2600" s="366" t="str">
        <f t="shared" si="317"/>
        <v>_</v>
      </c>
      <c r="ED2600" s="367"/>
      <c r="EE2600" s="367"/>
      <c r="EF2600" s="368"/>
      <c r="EG2600" s="367"/>
      <c r="EH2600" s="367"/>
      <c r="EI2600" s="367"/>
    </row>
    <row r="2601" spans="2:139">
      <c r="B2601" s="33"/>
      <c r="N2601" s="19"/>
      <c r="O2601" s="19"/>
      <c r="EC2601" s="366" t="str">
        <f t="shared" si="317"/>
        <v>_</v>
      </c>
      <c r="ED2601" s="367"/>
      <c r="EE2601" s="367"/>
      <c r="EF2601" s="368"/>
      <c r="EG2601" s="367"/>
      <c r="EH2601" s="367"/>
      <c r="EI2601" s="367"/>
    </row>
    <row r="2602" spans="2:139">
      <c r="B2602" s="33"/>
      <c r="N2602" s="19"/>
      <c r="O2602" s="19"/>
      <c r="EC2602" s="366" t="str">
        <f t="shared" si="317"/>
        <v>_</v>
      </c>
      <c r="ED2602" s="367"/>
      <c r="EE2602" s="367"/>
      <c r="EF2602" s="368"/>
      <c r="EG2602" s="367"/>
      <c r="EH2602" s="367"/>
      <c r="EI2602" s="367"/>
    </row>
    <row r="2603" spans="2:139">
      <c r="B2603" s="33"/>
      <c r="N2603" s="19"/>
      <c r="O2603" s="19"/>
      <c r="EC2603" s="366" t="str">
        <f t="shared" si="317"/>
        <v>_</v>
      </c>
      <c r="ED2603" s="367"/>
      <c r="EE2603" s="367"/>
      <c r="EF2603" s="368"/>
      <c r="EG2603" s="367"/>
      <c r="EH2603" s="367"/>
      <c r="EI2603" s="367"/>
    </row>
    <row r="2604" spans="2:139">
      <c r="B2604" s="33"/>
      <c r="N2604" s="19"/>
      <c r="O2604" s="19"/>
      <c r="EC2604" s="366" t="str">
        <f t="shared" si="317"/>
        <v>_</v>
      </c>
      <c r="ED2604" s="367"/>
      <c r="EE2604" s="367"/>
      <c r="EF2604" s="368"/>
      <c r="EG2604" s="367"/>
      <c r="EH2604" s="367"/>
      <c r="EI2604" s="367"/>
    </row>
    <row r="2605" spans="2:139">
      <c r="B2605" s="33"/>
      <c r="N2605" s="19"/>
      <c r="O2605" s="19"/>
      <c r="EC2605" s="366" t="str">
        <f t="shared" si="317"/>
        <v>_</v>
      </c>
      <c r="ED2605" s="367"/>
      <c r="EE2605" s="367"/>
      <c r="EF2605" s="368"/>
      <c r="EG2605" s="367"/>
      <c r="EH2605" s="367"/>
      <c r="EI2605" s="367"/>
    </row>
    <row r="2606" spans="2:139">
      <c r="B2606" s="33"/>
      <c r="N2606" s="19"/>
      <c r="O2606" s="19"/>
      <c r="EC2606" s="366" t="str">
        <f t="shared" si="317"/>
        <v>_</v>
      </c>
      <c r="ED2606" s="367"/>
      <c r="EE2606" s="367"/>
      <c r="EF2606" s="368"/>
      <c r="EG2606" s="367"/>
      <c r="EH2606" s="367"/>
      <c r="EI2606" s="367"/>
    </row>
    <row r="2607" spans="2:139">
      <c r="B2607" s="33"/>
      <c r="N2607" s="19"/>
      <c r="O2607" s="19"/>
      <c r="EC2607" s="366" t="str">
        <f t="shared" si="317"/>
        <v>_</v>
      </c>
      <c r="ED2607" s="367"/>
      <c r="EE2607" s="367"/>
      <c r="EF2607" s="368"/>
      <c r="EG2607" s="367"/>
      <c r="EH2607" s="367"/>
      <c r="EI2607" s="367"/>
    </row>
    <row r="2608" spans="2:139">
      <c r="B2608" s="33"/>
      <c r="N2608" s="19"/>
      <c r="O2608" s="19"/>
      <c r="EC2608" s="366" t="str">
        <f t="shared" si="317"/>
        <v>_</v>
      </c>
      <c r="ED2608" s="367"/>
      <c r="EE2608" s="367"/>
      <c r="EF2608" s="368"/>
      <c r="EG2608" s="367"/>
      <c r="EH2608" s="367"/>
      <c r="EI2608" s="367"/>
    </row>
    <row r="2609" spans="2:139">
      <c r="B2609" s="33"/>
      <c r="N2609" s="19"/>
      <c r="O2609" s="19"/>
      <c r="EC2609" s="366" t="str">
        <f t="shared" si="317"/>
        <v>_</v>
      </c>
      <c r="ED2609" s="367"/>
      <c r="EE2609" s="367"/>
      <c r="EF2609" s="368"/>
      <c r="EG2609" s="367"/>
      <c r="EH2609" s="367"/>
      <c r="EI2609" s="367"/>
    </row>
    <row r="2610" spans="2:139">
      <c r="B2610" s="33"/>
      <c r="N2610" s="19"/>
      <c r="O2610" s="19"/>
      <c r="EC2610" s="366" t="str">
        <f t="shared" si="317"/>
        <v>_</v>
      </c>
      <c r="ED2610" s="367"/>
      <c r="EE2610" s="367"/>
      <c r="EF2610" s="368"/>
      <c r="EG2610" s="367"/>
      <c r="EH2610" s="367"/>
      <c r="EI2610" s="367"/>
    </row>
    <row r="2611" spans="2:139">
      <c r="B2611" s="33"/>
      <c r="N2611" s="19"/>
      <c r="O2611" s="19"/>
      <c r="EC2611" s="366" t="str">
        <f t="shared" si="317"/>
        <v>_</v>
      </c>
      <c r="ED2611" s="367"/>
      <c r="EE2611" s="367"/>
      <c r="EF2611" s="368"/>
      <c r="EG2611" s="367"/>
      <c r="EH2611" s="367"/>
      <c r="EI2611" s="367"/>
    </row>
    <row r="2612" spans="2:139">
      <c r="B2612" s="33"/>
      <c r="N2612" s="19"/>
      <c r="O2612" s="19"/>
      <c r="EC2612" s="366" t="str">
        <f t="shared" si="317"/>
        <v>_</v>
      </c>
      <c r="ED2612" s="367"/>
      <c r="EE2612" s="367"/>
      <c r="EF2612" s="368"/>
      <c r="EG2612" s="367"/>
      <c r="EH2612" s="367"/>
      <c r="EI2612" s="367"/>
    </row>
    <row r="2613" spans="2:139">
      <c r="B2613" s="33"/>
      <c r="N2613" s="19"/>
      <c r="O2613" s="19"/>
      <c r="EC2613" s="366" t="str">
        <f t="shared" si="317"/>
        <v>_</v>
      </c>
      <c r="ED2613" s="367"/>
      <c r="EE2613" s="367"/>
      <c r="EF2613" s="368"/>
      <c r="EG2613" s="367"/>
      <c r="EH2613" s="367"/>
      <c r="EI2613" s="367"/>
    </row>
    <row r="2614" spans="2:139">
      <c r="B2614" s="33"/>
      <c r="N2614" s="19"/>
      <c r="O2614" s="19"/>
      <c r="EC2614" s="366" t="str">
        <f t="shared" si="317"/>
        <v>_</v>
      </c>
      <c r="ED2614" s="367"/>
      <c r="EE2614" s="367"/>
      <c r="EF2614" s="368"/>
      <c r="EG2614" s="367"/>
      <c r="EH2614" s="367"/>
      <c r="EI2614" s="367"/>
    </row>
    <row r="2615" spans="2:139">
      <c r="B2615" s="33"/>
      <c r="N2615" s="19"/>
      <c r="O2615" s="19"/>
      <c r="EC2615" s="366" t="str">
        <f t="shared" si="317"/>
        <v>_</v>
      </c>
      <c r="ED2615" s="367"/>
      <c r="EE2615" s="367"/>
      <c r="EF2615" s="368"/>
      <c r="EG2615" s="367"/>
      <c r="EH2615" s="367"/>
      <c r="EI2615" s="367"/>
    </row>
    <row r="2616" spans="2:139">
      <c r="B2616" s="33"/>
      <c r="N2616" s="19"/>
      <c r="O2616" s="19"/>
      <c r="EC2616" s="366" t="str">
        <f t="shared" si="317"/>
        <v>_</v>
      </c>
      <c r="ED2616" s="367"/>
      <c r="EE2616" s="367"/>
      <c r="EF2616" s="368"/>
      <c r="EG2616" s="367"/>
      <c r="EH2616" s="367"/>
      <c r="EI2616" s="367"/>
    </row>
    <row r="2617" spans="2:139">
      <c r="B2617" s="33"/>
      <c r="N2617" s="19"/>
      <c r="O2617" s="19"/>
      <c r="EC2617" s="366" t="str">
        <f t="shared" si="317"/>
        <v>_</v>
      </c>
      <c r="ED2617" s="367"/>
      <c r="EE2617" s="367"/>
      <c r="EF2617" s="368"/>
      <c r="EG2617" s="367"/>
      <c r="EH2617" s="367"/>
      <c r="EI2617" s="367"/>
    </row>
    <row r="2618" spans="2:139">
      <c r="B2618" s="33"/>
      <c r="N2618" s="19"/>
      <c r="O2618" s="19"/>
      <c r="EC2618" s="366" t="str">
        <f t="shared" si="317"/>
        <v>_</v>
      </c>
      <c r="ED2618" s="367"/>
      <c r="EE2618" s="367"/>
      <c r="EF2618" s="368"/>
      <c r="EG2618" s="367"/>
      <c r="EH2618" s="367"/>
      <c r="EI2618" s="367"/>
    </row>
    <row r="2619" spans="2:139">
      <c r="B2619" s="33"/>
      <c r="N2619" s="19"/>
      <c r="O2619" s="19"/>
      <c r="EC2619" s="366" t="str">
        <f t="shared" si="317"/>
        <v>_</v>
      </c>
      <c r="ED2619" s="367"/>
      <c r="EE2619" s="367"/>
      <c r="EF2619" s="368"/>
      <c r="EG2619" s="367"/>
      <c r="EH2619" s="367"/>
      <c r="EI2619" s="367"/>
    </row>
    <row r="2620" spans="2:139">
      <c r="B2620" s="33"/>
      <c r="N2620" s="19"/>
      <c r="O2620" s="19"/>
      <c r="EC2620" s="366" t="str">
        <f t="shared" si="317"/>
        <v>_</v>
      </c>
      <c r="ED2620" s="367"/>
      <c r="EE2620" s="367"/>
      <c r="EF2620" s="368"/>
      <c r="EG2620" s="367"/>
      <c r="EH2620" s="367"/>
      <c r="EI2620" s="367"/>
    </row>
    <row r="2621" spans="2:139">
      <c r="B2621" s="33"/>
      <c r="N2621" s="19"/>
      <c r="O2621" s="19"/>
      <c r="EC2621" s="366" t="str">
        <f t="shared" si="317"/>
        <v>_</v>
      </c>
      <c r="ED2621" s="367"/>
      <c r="EE2621" s="367"/>
      <c r="EF2621" s="368"/>
      <c r="EG2621" s="367"/>
      <c r="EH2621" s="367"/>
      <c r="EI2621" s="367"/>
    </row>
    <row r="2622" spans="2:139">
      <c r="B2622" s="33"/>
      <c r="N2622" s="19"/>
      <c r="O2622" s="19"/>
      <c r="EC2622" s="366" t="str">
        <f t="shared" si="317"/>
        <v>_</v>
      </c>
      <c r="ED2622" s="367"/>
      <c r="EE2622" s="367"/>
      <c r="EF2622" s="368"/>
      <c r="EG2622" s="367"/>
      <c r="EH2622" s="367"/>
      <c r="EI2622" s="367"/>
    </row>
    <row r="2623" spans="2:139">
      <c r="B2623" s="33"/>
      <c r="N2623" s="19"/>
      <c r="O2623" s="19"/>
      <c r="EC2623" s="366" t="str">
        <f t="shared" si="317"/>
        <v>_</v>
      </c>
      <c r="ED2623" s="367"/>
      <c r="EE2623" s="367"/>
      <c r="EF2623" s="368"/>
      <c r="EG2623" s="367"/>
      <c r="EH2623" s="367"/>
      <c r="EI2623" s="367"/>
    </row>
    <row r="2624" spans="2:139">
      <c r="B2624" s="33"/>
      <c r="N2624" s="19"/>
      <c r="O2624" s="19"/>
      <c r="EC2624" s="366" t="str">
        <f t="shared" si="317"/>
        <v>_</v>
      </c>
      <c r="ED2624" s="367"/>
      <c r="EE2624" s="367"/>
      <c r="EF2624" s="368"/>
      <c r="EG2624" s="367"/>
      <c r="EH2624" s="367"/>
      <c r="EI2624" s="367"/>
    </row>
    <row r="2625" spans="2:139">
      <c r="B2625" s="33"/>
      <c r="N2625" s="19"/>
      <c r="O2625" s="19"/>
      <c r="EC2625" s="366" t="str">
        <f t="shared" si="317"/>
        <v>_</v>
      </c>
      <c r="ED2625" s="367"/>
      <c r="EE2625" s="367"/>
      <c r="EF2625" s="368"/>
      <c r="EG2625" s="367"/>
      <c r="EH2625" s="367"/>
      <c r="EI2625" s="367"/>
    </row>
    <row r="2626" spans="2:139">
      <c r="B2626" s="33"/>
      <c r="N2626" s="19"/>
      <c r="O2626" s="19"/>
      <c r="EC2626" s="366" t="str">
        <f t="shared" si="317"/>
        <v>_</v>
      </c>
      <c r="ED2626" s="367"/>
      <c r="EE2626" s="367"/>
      <c r="EF2626" s="368"/>
      <c r="EG2626" s="367"/>
      <c r="EH2626" s="367"/>
      <c r="EI2626" s="367"/>
    </row>
    <row r="2627" spans="2:139">
      <c r="B2627" s="33"/>
      <c r="N2627" s="19"/>
      <c r="O2627" s="19"/>
      <c r="EC2627" s="366" t="str">
        <f t="shared" si="317"/>
        <v>_</v>
      </c>
      <c r="ED2627" s="367"/>
      <c r="EE2627" s="367"/>
      <c r="EF2627" s="368"/>
      <c r="EG2627" s="367"/>
      <c r="EH2627" s="367"/>
      <c r="EI2627" s="367"/>
    </row>
    <row r="2628" spans="2:139">
      <c r="B2628" s="33"/>
      <c r="N2628" s="19"/>
      <c r="O2628" s="19"/>
      <c r="EC2628" s="366" t="str">
        <f t="shared" si="317"/>
        <v>_</v>
      </c>
      <c r="ED2628" s="367"/>
      <c r="EE2628" s="367"/>
      <c r="EF2628" s="368"/>
      <c r="EG2628" s="367"/>
      <c r="EH2628" s="367"/>
      <c r="EI2628" s="367"/>
    </row>
    <row r="2629" spans="2:139">
      <c r="B2629" s="33"/>
      <c r="N2629" s="19"/>
      <c r="O2629" s="19"/>
      <c r="EC2629" s="366" t="str">
        <f t="shared" si="317"/>
        <v>_</v>
      </c>
      <c r="ED2629" s="367"/>
      <c r="EE2629" s="367"/>
      <c r="EF2629" s="368"/>
      <c r="EG2629" s="367"/>
      <c r="EH2629" s="367"/>
      <c r="EI2629" s="367"/>
    </row>
    <row r="2630" spans="2:139">
      <c r="B2630" s="33"/>
      <c r="N2630" s="19"/>
      <c r="O2630" s="19"/>
      <c r="EC2630" s="366" t="str">
        <f t="shared" si="317"/>
        <v>_</v>
      </c>
      <c r="ED2630" s="367"/>
      <c r="EE2630" s="367"/>
      <c r="EF2630" s="368"/>
      <c r="EG2630" s="367"/>
      <c r="EH2630" s="367"/>
      <c r="EI2630" s="367"/>
    </row>
    <row r="2631" spans="2:139">
      <c r="B2631" s="33"/>
      <c r="N2631" s="19"/>
      <c r="O2631" s="19"/>
      <c r="EC2631" s="366" t="str">
        <f t="shared" si="317"/>
        <v>_</v>
      </c>
      <c r="ED2631" s="367"/>
      <c r="EE2631" s="367"/>
      <c r="EF2631" s="368"/>
      <c r="EG2631" s="367"/>
      <c r="EH2631" s="367"/>
      <c r="EI2631" s="367"/>
    </row>
    <row r="2632" spans="2:139">
      <c r="B2632" s="33"/>
      <c r="N2632" s="19"/>
      <c r="O2632" s="19"/>
      <c r="EC2632" s="366" t="str">
        <f t="shared" si="317"/>
        <v>_</v>
      </c>
      <c r="ED2632" s="367"/>
      <c r="EE2632" s="367"/>
      <c r="EF2632" s="368"/>
      <c r="EG2632" s="367"/>
      <c r="EH2632" s="367"/>
      <c r="EI2632" s="367"/>
    </row>
    <row r="2633" spans="2:139">
      <c r="B2633" s="33"/>
      <c r="N2633" s="19"/>
      <c r="O2633" s="19"/>
      <c r="EC2633" s="366" t="str">
        <f t="shared" si="317"/>
        <v>_</v>
      </c>
      <c r="ED2633" s="367"/>
      <c r="EE2633" s="367"/>
      <c r="EF2633" s="368"/>
      <c r="EG2633" s="367"/>
      <c r="EH2633" s="367"/>
      <c r="EI2633" s="367"/>
    </row>
    <row r="2634" spans="2:139">
      <c r="B2634" s="33"/>
      <c r="N2634" s="19"/>
      <c r="O2634" s="19"/>
      <c r="EC2634" s="366" t="str">
        <f t="shared" si="317"/>
        <v>_</v>
      </c>
      <c r="ED2634" s="367"/>
      <c r="EE2634" s="367"/>
      <c r="EF2634" s="368"/>
      <c r="EG2634" s="367"/>
      <c r="EH2634" s="367"/>
      <c r="EI2634" s="367"/>
    </row>
    <row r="2635" spans="2:139">
      <c r="B2635" s="33"/>
      <c r="N2635" s="19"/>
      <c r="O2635" s="19"/>
      <c r="EC2635" s="366" t="str">
        <f t="shared" si="317"/>
        <v>_</v>
      </c>
      <c r="ED2635" s="367"/>
      <c r="EE2635" s="367"/>
      <c r="EF2635" s="368"/>
      <c r="EG2635" s="367"/>
      <c r="EH2635" s="367"/>
      <c r="EI2635" s="367"/>
    </row>
    <row r="2636" spans="2:139">
      <c r="B2636" s="33"/>
      <c r="N2636" s="19"/>
      <c r="O2636" s="19"/>
      <c r="EC2636" s="366" t="str">
        <f t="shared" si="317"/>
        <v>_</v>
      </c>
      <c r="ED2636" s="367"/>
      <c r="EE2636" s="367"/>
      <c r="EF2636" s="368"/>
      <c r="EG2636" s="367"/>
      <c r="EH2636" s="367"/>
      <c r="EI2636" s="367"/>
    </row>
    <row r="2637" spans="2:139">
      <c r="B2637" s="33"/>
      <c r="N2637" s="19"/>
      <c r="O2637" s="19"/>
      <c r="EC2637" s="366" t="str">
        <f t="shared" si="317"/>
        <v>_</v>
      </c>
      <c r="ED2637" s="367"/>
      <c r="EE2637" s="367"/>
      <c r="EF2637" s="368"/>
      <c r="EG2637" s="367"/>
      <c r="EH2637" s="367"/>
      <c r="EI2637" s="367"/>
    </row>
    <row r="2638" spans="2:139">
      <c r="B2638" s="33"/>
      <c r="N2638" s="19"/>
      <c r="O2638" s="19"/>
      <c r="EC2638" s="366" t="str">
        <f t="shared" si="317"/>
        <v>_</v>
      </c>
      <c r="ED2638" s="367"/>
      <c r="EE2638" s="367"/>
      <c r="EF2638" s="368"/>
      <c r="EG2638" s="367"/>
      <c r="EH2638" s="367"/>
      <c r="EI2638" s="367"/>
    </row>
    <row r="2639" spans="2:139">
      <c r="B2639" s="33"/>
      <c r="N2639" s="19"/>
      <c r="O2639" s="19"/>
      <c r="EC2639" s="366" t="str">
        <f t="shared" si="317"/>
        <v>_</v>
      </c>
      <c r="ED2639" s="367"/>
      <c r="EE2639" s="367"/>
      <c r="EF2639" s="368"/>
      <c r="EG2639" s="367"/>
      <c r="EH2639" s="367"/>
      <c r="EI2639" s="367"/>
    </row>
    <row r="2640" spans="2:139">
      <c r="B2640" s="33"/>
      <c r="N2640" s="19"/>
      <c r="O2640" s="19"/>
      <c r="EC2640" s="366" t="str">
        <f t="shared" si="317"/>
        <v>_</v>
      </c>
      <c r="ED2640" s="367"/>
      <c r="EE2640" s="367"/>
      <c r="EF2640" s="368"/>
      <c r="EG2640" s="367"/>
      <c r="EH2640" s="367"/>
      <c r="EI2640" s="367"/>
    </row>
    <row r="2641" spans="2:139">
      <c r="B2641" s="33"/>
      <c r="N2641" s="19"/>
      <c r="O2641" s="19"/>
      <c r="EC2641" s="366" t="str">
        <f t="shared" si="317"/>
        <v>_</v>
      </c>
      <c r="ED2641" s="367"/>
      <c r="EE2641" s="367"/>
      <c r="EF2641" s="368"/>
      <c r="EG2641" s="367"/>
      <c r="EH2641" s="367"/>
      <c r="EI2641" s="367"/>
    </row>
    <row r="2642" spans="2:139">
      <c r="B2642" s="33"/>
      <c r="N2642" s="19"/>
      <c r="O2642" s="19"/>
      <c r="EC2642" s="366" t="str">
        <f t="shared" si="317"/>
        <v>_</v>
      </c>
      <c r="ED2642" s="367"/>
      <c r="EE2642" s="367"/>
      <c r="EF2642" s="368"/>
      <c r="EG2642" s="367"/>
      <c r="EH2642" s="367"/>
      <c r="EI2642" s="367"/>
    </row>
    <row r="2643" spans="2:139">
      <c r="B2643" s="33"/>
      <c r="N2643" s="19"/>
      <c r="O2643" s="19"/>
      <c r="EC2643" s="366" t="str">
        <f t="shared" si="317"/>
        <v>_</v>
      </c>
      <c r="ED2643" s="367"/>
      <c r="EE2643" s="367"/>
      <c r="EF2643" s="368"/>
      <c r="EG2643" s="367"/>
      <c r="EH2643" s="367"/>
      <c r="EI2643" s="367"/>
    </row>
    <row r="2644" spans="2:139">
      <c r="B2644" s="33"/>
      <c r="N2644" s="19"/>
      <c r="O2644" s="19"/>
      <c r="EC2644" s="366" t="str">
        <f t="shared" si="317"/>
        <v>_</v>
      </c>
      <c r="ED2644" s="367"/>
      <c r="EE2644" s="367"/>
      <c r="EF2644" s="368"/>
      <c r="EG2644" s="367"/>
      <c r="EH2644" s="367"/>
      <c r="EI2644" s="367"/>
    </row>
    <row r="2645" spans="2:139">
      <c r="B2645" s="33"/>
      <c r="N2645" s="19"/>
      <c r="O2645" s="19"/>
      <c r="EC2645" s="366" t="str">
        <f t="shared" si="317"/>
        <v>_</v>
      </c>
      <c r="ED2645" s="367"/>
      <c r="EE2645" s="367"/>
      <c r="EF2645" s="368"/>
      <c r="EG2645" s="367"/>
      <c r="EH2645" s="367"/>
      <c r="EI2645" s="367"/>
    </row>
    <row r="2646" spans="2:139">
      <c r="B2646" s="33"/>
      <c r="N2646" s="19"/>
      <c r="O2646" s="19"/>
      <c r="EC2646" s="366" t="str">
        <f t="shared" si="317"/>
        <v>_</v>
      </c>
      <c r="ED2646" s="367"/>
      <c r="EE2646" s="367"/>
      <c r="EF2646" s="368"/>
      <c r="EG2646" s="367"/>
      <c r="EH2646" s="367"/>
      <c r="EI2646" s="367"/>
    </row>
    <row r="2647" spans="2:139">
      <c r="B2647" s="33"/>
      <c r="N2647" s="19"/>
      <c r="O2647" s="19"/>
      <c r="EC2647" s="366" t="str">
        <f t="shared" ref="EC2647:EC2710" si="318">B2647&amp;"_"&amp;C2647</f>
        <v>_</v>
      </c>
      <c r="ED2647" s="367"/>
      <c r="EE2647" s="367"/>
      <c r="EF2647" s="368"/>
      <c r="EG2647" s="367"/>
      <c r="EH2647" s="367"/>
      <c r="EI2647" s="367"/>
    </row>
    <row r="2648" spans="2:139">
      <c r="B2648" s="33"/>
      <c r="N2648" s="19"/>
      <c r="O2648" s="19"/>
      <c r="EC2648" s="366" t="str">
        <f t="shared" si="318"/>
        <v>_</v>
      </c>
      <c r="ED2648" s="367"/>
      <c r="EE2648" s="367"/>
      <c r="EF2648" s="368"/>
      <c r="EG2648" s="367"/>
      <c r="EH2648" s="367"/>
      <c r="EI2648" s="367"/>
    </row>
    <row r="2649" spans="2:139">
      <c r="B2649" s="33"/>
      <c r="N2649" s="19"/>
      <c r="O2649" s="19"/>
      <c r="EC2649" s="366" t="str">
        <f t="shared" si="318"/>
        <v>_</v>
      </c>
      <c r="ED2649" s="367"/>
      <c r="EE2649" s="367"/>
      <c r="EF2649" s="368"/>
      <c r="EG2649" s="367"/>
      <c r="EH2649" s="367"/>
      <c r="EI2649" s="367"/>
    </row>
    <row r="2650" spans="2:139">
      <c r="B2650" s="33"/>
      <c r="N2650" s="19"/>
      <c r="O2650" s="19"/>
      <c r="EC2650" s="366" t="str">
        <f t="shared" si="318"/>
        <v>_</v>
      </c>
      <c r="ED2650" s="367"/>
      <c r="EE2650" s="367"/>
      <c r="EF2650" s="368"/>
      <c r="EG2650" s="367"/>
      <c r="EH2650" s="367"/>
      <c r="EI2650" s="367"/>
    </row>
    <row r="2651" spans="2:139">
      <c r="B2651" s="33"/>
      <c r="N2651" s="19"/>
      <c r="O2651" s="19"/>
      <c r="EC2651" s="366" t="str">
        <f t="shared" si="318"/>
        <v>_</v>
      </c>
      <c r="ED2651" s="367"/>
      <c r="EE2651" s="367"/>
      <c r="EF2651" s="368"/>
      <c r="EG2651" s="367"/>
      <c r="EH2651" s="367"/>
      <c r="EI2651" s="367"/>
    </row>
    <row r="2652" spans="2:139">
      <c r="B2652" s="33"/>
      <c r="N2652" s="19"/>
      <c r="O2652" s="19"/>
      <c r="EC2652" s="366" t="str">
        <f t="shared" si="318"/>
        <v>_</v>
      </c>
      <c r="ED2652" s="367"/>
      <c r="EE2652" s="367"/>
      <c r="EF2652" s="368"/>
      <c r="EG2652" s="367"/>
      <c r="EH2652" s="367"/>
      <c r="EI2652" s="367"/>
    </row>
    <row r="2653" spans="2:139">
      <c r="B2653" s="33"/>
      <c r="N2653" s="19"/>
      <c r="O2653" s="19"/>
      <c r="EC2653" s="366" t="str">
        <f t="shared" si="318"/>
        <v>_</v>
      </c>
      <c r="ED2653" s="367"/>
      <c r="EE2653" s="367"/>
      <c r="EF2653" s="368"/>
      <c r="EG2653" s="367"/>
      <c r="EH2653" s="367"/>
      <c r="EI2653" s="367"/>
    </row>
    <row r="2654" spans="2:139">
      <c r="B2654" s="33"/>
      <c r="N2654" s="19"/>
      <c r="O2654" s="19"/>
      <c r="EC2654" s="366" t="str">
        <f t="shared" si="318"/>
        <v>_</v>
      </c>
      <c r="ED2654" s="367"/>
      <c r="EE2654" s="367"/>
      <c r="EF2654" s="368"/>
      <c r="EG2654" s="367"/>
      <c r="EH2654" s="367"/>
      <c r="EI2654" s="367"/>
    </row>
    <row r="2655" spans="2:139">
      <c r="B2655" s="33"/>
      <c r="N2655" s="19"/>
      <c r="O2655" s="19"/>
      <c r="EC2655" s="366" t="str">
        <f t="shared" si="318"/>
        <v>_</v>
      </c>
      <c r="ED2655" s="367"/>
      <c r="EE2655" s="367"/>
      <c r="EF2655" s="368"/>
      <c r="EG2655" s="367"/>
      <c r="EH2655" s="367"/>
      <c r="EI2655" s="367"/>
    </row>
    <row r="2656" spans="2:139">
      <c r="B2656" s="33"/>
      <c r="N2656" s="19"/>
      <c r="O2656" s="19"/>
      <c r="EC2656" s="366" t="str">
        <f t="shared" si="318"/>
        <v>_</v>
      </c>
      <c r="ED2656" s="367"/>
      <c r="EE2656" s="367"/>
      <c r="EF2656" s="368"/>
      <c r="EG2656" s="367"/>
      <c r="EH2656" s="367"/>
      <c r="EI2656" s="367"/>
    </row>
    <row r="2657" spans="2:139">
      <c r="B2657" s="33"/>
      <c r="N2657" s="19"/>
      <c r="O2657" s="19"/>
      <c r="EC2657" s="366" t="str">
        <f t="shared" si="318"/>
        <v>_</v>
      </c>
      <c r="ED2657" s="367"/>
      <c r="EE2657" s="367"/>
      <c r="EF2657" s="368"/>
      <c r="EG2657" s="367"/>
      <c r="EH2657" s="367"/>
      <c r="EI2657" s="367"/>
    </row>
    <row r="2658" spans="2:139">
      <c r="B2658" s="33"/>
      <c r="N2658" s="19"/>
      <c r="O2658" s="19"/>
      <c r="EC2658" s="366" t="str">
        <f t="shared" si="318"/>
        <v>_</v>
      </c>
      <c r="ED2658" s="367"/>
      <c r="EE2658" s="367"/>
      <c r="EF2658" s="368"/>
      <c r="EG2658" s="367"/>
      <c r="EH2658" s="367"/>
      <c r="EI2658" s="367"/>
    </row>
    <row r="2659" spans="2:139">
      <c r="B2659" s="33"/>
      <c r="N2659" s="19"/>
      <c r="O2659" s="19"/>
      <c r="EC2659" s="366" t="str">
        <f t="shared" si="318"/>
        <v>_</v>
      </c>
      <c r="ED2659" s="367"/>
      <c r="EE2659" s="367"/>
      <c r="EF2659" s="368"/>
      <c r="EG2659" s="367"/>
      <c r="EH2659" s="367"/>
      <c r="EI2659" s="367"/>
    </row>
    <row r="2660" spans="2:139">
      <c r="B2660" s="33"/>
      <c r="N2660" s="19"/>
      <c r="O2660" s="19"/>
      <c r="EC2660" s="366" t="str">
        <f t="shared" si="318"/>
        <v>_</v>
      </c>
      <c r="ED2660" s="367"/>
      <c r="EE2660" s="367"/>
      <c r="EF2660" s="368"/>
      <c r="EG2660" s="367"/>
      <c r="EH2660" s="367"/>
      <c r="EI2660" s="367"/>
    </row>
    <row r="2661" spans="2:139">
      <c r="B2661" s="33"/>
      <c r="N2661" s="19"/>
      <c r="O2661" s="19"/>
      <c r="EC2661" s="366" t="str">
        <f t="shared" si="318"/>
        <v>_</v>
      </c>
      <c r="ED2661" s="367"/>
      <c r="EE2661" s="367"/>
      <c r="EF2661" s="368"/>
      <c r="EG2661" s="367"/>
      <c r="EH2661" s="367"/>
      <c r="EI2661" s="367"/>
    </row>
    <row r="2662" spans="2:139">
      <c r="B2662" s="33"/>
      <c r="N2662" s="19"/>
      <c r="O2662" s="19"/>
      <c r="EC2662" s="366" t="str">
        <f t="shared" si="318"/>
        <v>_</v>
      </c>
      <c r="ED2662" s="367"/>
      <c r="EE2662" s="367"/>
      <c r="EF2662" s="368"/>
      <c r="EG2662" s="367"/>
      <c r="EH2662" s="367"/>
      <c r="EI2662" s="367"/>
    </row>
    <row r="2663" spans="2:139">
      <c r="B2663" s="33"/>
      <c r="N2663" s="19"/>
      <c r="O2663" s="19"/>
      <c r="EC2663" s="366" t="str">
        <f t="shared" si="318"/>
        <v>_</v>
      </c>
      <c r="ED2663" s="367"/>
      <c r="EE2663" s="367"/>
      <c r="EF2663" s="368"/>
      <c r="EG2663" s="367"/>
      <c r="EH2663" s="367"/>
      <c r="EI2663" s="367"/>
    </row>
    <row r="2664" spans="2:139">
      <c r="B2664" s="33"/>
      <c r="N2664" s="19"/>
      <c r="O2664" s="19"/>
      <c r="EC2664" s="366" t="str">
        <f t="shared" si="318"/>
        <v>_</v>
      </c>
      <c r="ED2664" s="367"/>
      <c r="EE2664" s="367"/>
      <c r="EF2664" s="368"/>
      <c r="EG2664" s="367"/>
      <c r="EH2664" s="367"/>
      <c r="EI2664" s="367"/>
    </row>
    <row r="2665" spans="2:139">
      <c r="B2665" s="33"/>
      <c r="N2665" s="19"/>
      <c r="O2665" s="19"/>
      <c r="EC2665" s="366" t="str">
        <f t="shared" si="318"/>
        <v>_</v>
      </c>
      <c r="ED2665" s="367"/>
      <c r="EE2665" s="367"/>
      <c r="EF2665" s="368"/>
      <c r="EG2665" s="367"/>
      <c r="EH2665" s="367"/>
      <c r="EI2665" s="367"/>
    </row>
    <row r="2666" spans="2:139">
      <c r="B2666" s="33"/>
      <c r="N2666" s="19"/>
      <c r="O2666" s="19"/>
      <c r="EC2666" s="366" t="str">
        <f t="shared" si="318"/>
        <v>_</v>
      </c>
      <c r="ED2666" s="367"/>
      <c r="EE2666" s="367"/>
      <c r="EF2666" s="368"/>
      <c r="EG2666" s="367"/>
      <c r="EH2666" s="367"/>
      <c r="EI2666" s="367"/>
    </row>
    <row r="2667" spans="2:139">
      <c r="B2667" s="33"/>
      <c r="N2667" s="19"/>
      <c r="O2667" s="19"/>
      <c r="EC2667" s="366" t="str">
        <f t="shared" si="318"/>
        <v>_</v>
      </c>
      <c r="ED2667" s="367"/>
      <c r="EE2667" s="367"/>
      <c r="EF2667" s="368"/>
      <c r="EG2667" s="367"/>
      <c r="EH2667" s="367"/>
      <c r="EI2667" s="367"/>
    </row>
    <row r="2668" spans="2:139">
      <c r="B2668" s="33"/>
      <c r="N2668" s="19"/>
      <c r="O2668" s="19"/>
      <c r="EC2668" s="366" t="str">
        <f t="shared" si="318"/>
        <v>_</v>
      </c>
      <c r="ED2668" s="367"/>
      <c r="EE2668" s="367"/>
      <c r="EF2668" s="368"/>
      <c r="EG2668" s="367"/>
      <c r="EH2668" s="367"/>
      <c r="EI2668" s="367"/>
    </row>
    <row r="2669" spans="2:139">
      <c r="B2669" s="33"/>
      <c r="N2669" s="19"/>
      <c r="O2669" s="19"/>
      <c r="EC2669" s="366" t="str">
        <f t="shared" si="318"/>
        <v>_</v>
      </c>
      <c r="ED2669" s="367"/>
      <c r="EE2669" s="367"/>
      <c r="EF2669" s="368"/>
      <c r="EG2669" s="367"/>
      <c r="EH2669" s="367"/>
      <c r="EI2669" s="367"/>
    </row>
    <row r="2670" spans="2:139">
      <c r="B2670" s="33"/>
      <c r="N2670" s="19"/>
      <c r="O2670" s="19"/>
      <c r="EC2670" s="366" t="str">
        <f t="shared" si="318"/>
        <v>_</v>
      </c>
      <c r="ED2670" s="367"/>
      <c r="EE2670" s="367"/>
      <c r="EF2670" s="368"/>
      <c r="EG2670" s="367"/>
      <c r="EH2670" s="367"/>
      <c r="EI2670" s="367"/>
    </row>
    <row r="2671" spans="2:139">
      <c r="B2671" s="33"/>
      <c r="N2671" s="19"/>
      <c r="O2671" s="19"/>
      <c r="EC2671" s="366" t="str">
        <f t="shared" si="318"/>
        <v>_</v>
      </c>
      <c r="ED2671" s="367"/>
      <c r="EE2671" s="367"/>
      <c r="EF2671" s="368"/>
      <c r="EG2671" s="367"/>
      <c r="EH2671" s="367"/>
      <c r="EI2671" s="367"/>
    </row>
    <row r="2672" spans="2:139">
      <c r="B2672" s="33"/>
      <c r="N2672" s="19"/>
      <c r="O2672" s="19"/>
      <c r="EC2672" s="366" t="str">
        <f t="shared" si="318"/>
        <v>_</v>
      </c>
      <c r="ED2672" s="367"/>
      <c r="EE2672" s="367"/>
      <c r="EF2672" s="368"/>
      <c r="EG2672" s="367"/>
      <c r="EH2672" s="367"/>
      <c r="EI2672" s="367"/>
    </row>
    <row r="2673" spans="2:139">
      <c r="B2673" s="33"/>
      <c r="N2673" s="19"/>
      <c r="O2673" s="19"/>
      <c r="EC2673" s="366" t="str">
        <f t="shared" si="318"/>
        <v>_</v>
      </c>
      <c r="ED2673" s="367"/>
      <c r="EE2673" s="367"/>
      <c r="EF2673" s="368"/>
      <c r="EG2673" s="367"/>
      <c r="EH2673" s="367"/>
      <c r="EI2673" s="367"/>
    </row>
    <row r="2674" spans="2:139">
      <c r="B2674" s="33"/>
      <c r="N2674" s="19"/>
      <c r="O2674" s="19"/>
      <c r="EC2674" s="366" t="str">
        <f t="shared" si="318"/>
        <v>_</v>
      </c>
      <c r="ED2674" s="367"/>
      <c r="EE2674" s="367"/>
      <c r="EF2674" s="368"/>
      <c r="EG2674" s="367"/>
      <c r="EH2674" s="367"/>
      <c r="EI2674" s="367"/>
    </row>
    <row r="2675" spans="2:139">
      <c r="B2675" s="33"/>
      <c r="N2675" s="19"/>
      <c r="O2675" s="19"/>
      <c r="EC2675" s="366" t="str">
        <f t="shared" si="318"/>
        <v>_</v>
      </c>
      <c r="ED2675" s="367"/>
      <c r="EE2675" s="367"/>
      <c r="EF2675" s="368"/>
      <c r="EG2675" s="367"/>
      <c r="EH2675" s="367"/>
      <c r="EI2675" s="367"/>
    </row>
    <row r="2676" spans="2:139">
      <c r="B2676" s="33"/>
      <c r="N2676" s="19"/>
      <c r="O2676" s="19"/>
      <c r="EC2676" s="366" t="str">
        <f t="shared" si="318"/>
        <v>_</v>
      </c>
      <c r="ED2676" s="367"/>
      <c r="EE2676" s="367"/>
      <c r="EF2676" s="368"/>
      <c r="EG2676" s="367"/>
      <c r="EH2676" s="367"/>
      <c r="EI2676" s="367"/>
    </row>
    <row r="2677" spans="2:139">
      <c r="B2677" s="33"/>
      <c r="N2677" s="19"/>
      <c r="O2677" s="19"/>
      <c r="EC2677" s="366" t="str">
        <f t="shared" si="318"/>
        <v>_</v>
      </c>
      <c r="ED2677" s="367"/>
      <c r="EE2677" s="367"/>
      <c r="EF2677" s="368"/>
      <c r="EG2677" s="367"/>
      <c r="EH2677" s="367"/>
      <c r="EI2677" s="367"/>
    </row>
    <row r="2678" spans="2:139">
      <c r="B2678" s="33"/>
      <c r="N2678" s="19"/>
      <c r="O2678" s="19"/>
      <c r="EC2678" s="366" t="str">
        <f t="shared" si="318"/>
        <v>_</v>
      </c>
      <c r="ED2678" s="367"/>
      <c r="EE2678" s="367"/>
      <c r="EF2678" s="368"/>
      <c r="EG2678" s="367"/>
      <c r="EH2678" s="367"/>
      <c r="EI2678" s="367"/>
    </row>
    <row r="2679" spans="2:139">
      <c r="B2679" s="33"/>
      <c r="N2679" s="19"/>
      <c r="O2679" s="19"/>
      <c r="EC2679" s="366" t="str">
        <f t="shared" si="318"/>
        <v>_</v>
      </c>
      <c r="ED2679" s="367"/>
      <c r="EE2679" s="367"/>
      <c r="EF2679" s="368"/>
      <c r="EG2679" s="367"/>
      <c r="EH2679" s="367"/>
      <c r="EI2679" s="367"/>
    </row>
    <row r="2680" spans="2:139">
      <c r="B2680" s="33"/>
      <c r="N2680" s="19"/>
      <c r="O2680" s="19"/>
      <c r="EC2680" s="366" t="str">
        <f t="shared" si="318"/>
        <v>_</v>
      </c>
      <c r="ED2680" s="367"/>
      <c r="EE2680" s="367"/>
      <c r="EF2680" s="368"/>
      <c r="EG2680" s="367"/>
      <c r="EH2680" s="367"/>
      <c r="EI2680" s="367"/>
    </row>
    <row r="2681" spans="2:139">
      <c r="B2681" s="33"/>
      <c r="N2681" s="19"/>
      <c r="O2681" s="19"/>
      <c r="EC2681" s="366" t="str">
        <f t="shared" si="318"/>
        <v>_</v>
      </c>
      <c r="ED2681" s="367"/>
      <c r="EE2681" s="367"/>
      <c r="EF2681" s="368"/>
      <c r="EG2681" s="367"/>
      <c r="EH2681" s="367"/>
      <c r="EI2681" s="367"/>
    </row>
    <row r="2682" spans="2:139">
      <c r="B2682" s="33"/>
      <c r="N2682" s="19"/>
      <c r="O2682" s="19"/>
      <c r="EC2682" s="366" t="str">
        <f t="shared" si="318"/>
        <v>_</v>
      </c>
      <c r="ED2682" s="367"/>
      <c r="EE2682" s="367"/>
      <c r="EF2682" s="368"/>
      <c r="EG2682" s="367"/>
      <c r="EH2682" s="367"/>
      <c r="EI2682" s="367"/>
    </row>
    <row r="2683" spans="2:139">
      <c r="B2683" s="33"/>
      <c r="N2683" s="19"/>
      <c r="O2683" s="19"/>
      <c r="EC2683" s="366" t="str">
        <f t="shared" si="318"/>
        <v>_</v>
      </c>
      <c r="ED2683" s="367"/>
      <c r="EE2683" s="367"/>
      <c r="EF2683" s="368"/>
      <c r="EG2683" s="367"/>
      <c r="EH2683" s="367"/>
      <c r="EI2683" s="367"/>
    </row>
    <row r="2684" spans="2:139">
      <c r="B2684" s="33"/>
      <c r="N2684" s="19"/>
      <c r="O2684" s="19"/>
      <c r="EC2684" s="366" t="str">
        <f t="shared" si="318"/>
        <v>_</v>
      </c>
      <c r="ED2684" s="367"/>
      <c r="EE2684" s="367"/>
      <c r="EF2684" s="368"/>
      <c r="EG2684" s="367"/>
      <c r="EH2684" s="367"/>
      <c r="EI2684" s="367"/>
    </row>
    <row r="2685" spans="2:139">
      <c r="B2685" s="33"/>
      <c r="N2685" s="19"/>
      <c r="O2685" s="19"/>
      <c r="EC2685" s="366" t="str">
        <f t="shared" si="318"/>
        <v>_</v>
      </c>
      <c r="ED2685" s="367"/>
      <c r="EE2685" s="367"/>
      <c r="EF2685" s="368"/>
      <c r="EG2685" s="367"/>
      <c r="EH2685" s="367"/>
      <c r="EI2685" s="367"/>
    </row>
    <row r="2686" spans="2:139">
      <c r="B2686" s="33"/>
      <c r="N2686" s="19"/>
      <c r="O2686" s="19"/>
      <c r="EC2686" s="366" t="str">
        <f t="shared" si="318"/>
        <v>_</v>
      </c>
      <c r="ED2686" s="367"/>
      <c r="EE2686" s="367"/>
      <c r="EF2686" s="368"/>
      <c r="EG2686" s="367"/>
      <c r="EH2686" s="367"/>
      <c r="EI2686" s="367"/>
    </row>
    <row r="2687" spans="2:139">
      <c r="B2687" s="33"/>
      <c r="N2687" s="19"/>
      <c r="O2687" s="19"/>
      <c r="EC2687" s="366" t="str">
        <f t="shared" si="318"/>
        <v>_</v>
      </c>
      <c r="ED2687" s="367"/>
      <c r="EE2687" s="367"/>
      <c r="EF2687" s="368"/>
      <c r="EG2687" s="367"/>
      <c r="EH2687" s="367"/>
      <c r="EI2687" s="367"/>
    </row>
    <row r="2688" spans="2:139">
      <c r="B2688" s="33"/>
      <c r="N2688" s="19"/>
      <c r="O2688" s="19"/>
      <c r="EC2688" s="366" t="str">
        <f t="shared" si="318"/>
        <v>_</v>
      </c>
      <c r="ED2688" s="367"/>
      <c r="EE2688" s="367"/>
      <c r="EF2688" s="368"/>
      <c r="EG2688" s="367"/>
      <c r="EH2688" s="367"/>
      <c r="EI2688" s="367"/>
    </row>
    <row r="2689" spans="2:139">
      <c r="B2689" s="33"/>
      <c r="N2689" s="19"/>
      <c r="O2689" s="19"/>
      <c r="EC2689" s="366" t="str">
        <f t="shared" si="318"/>
        <v>_</v>
      </c>
      <c r="ED2689" s="367"/>
      <c r="EE2689" s="367"/>
      <c r="EF2689" s="368"/>
      <c r="EG2689" s="367"/>
      <c r="EH2689" s="367"/>
      <c r="EI2689" s="367"/>
    </row>
    <row r="2690" spans="2:139">
      <c r="B2690" s="33"/>
      <c r="N2690" s="19"/>
      <c r="O2690" s="19"/>
      <c r="EC2690" s="366" t="str">
        <f t="shared" si="318"/>
        <v>_</v>
      </c>
      <c r="ED2690" s="367"/>
      <c r="EE2690" s="367"/>
      <c r="EF2690" s="368"/>
      <c r="EG2690" s="367"/>
      <c r="EH2690" s="367"/>
      <c r="EI2690" s="367"/>
    </row>
    <row r="2691" spans="2:139">
      <c r="B2691" s="33"/>
      <c r="N2691" s="19"/>
      <c r="O2691" s="19"/>
      <c r="EC2691" s="366" t="str">
        <f t="shared" si="318"/>
        <v>_</v>
      </c>
      <c r="ED2691" s="367"/>
      <c r="EE2691" s="367"/>
      <c r="EF2691" s="368"/>
      <c r="EG2691" s="367"/>
      <c r="EH2691" s="367"/>
      <c r="EI2691" s="367"/>
    </row>
    <row r="2692" spans="2:139">
      <c r="B2692" s="33"/>
      <c r="N2692" s="19"/>
      <c r="O2692" s="19"/>
      <c r="EC2692" s="366" t="str">
        <f t="shared" si="318"/>
        <v>_</v>
      </c>
      <c r="ED2692" s="367"/>
      <c r="EE2692" s="367"/>
      <c r="EF2692" s="368"/>
      <c r="EG2692" s="367"/>
      <c r="EH2692" s="367"/>
      <c r="EI2692" s="367"/>
    </row>
    <row r="2693" spans="2:139">
      <c r="B2693" s="33"/>
      <c r="N2693" s="19"/>
      <c r="O2693" s="19"/>
      <c r="EC2693" s="366" t="str">
        <f t="shared" si="318"/>
        <v>_</v>
      </c>
      <c r="ED2693" s="367"/>
      <c r="EE2693" s="367"/>
      <c r="EF2693" s="368"/>
      <c r="EG2693" s="367"/>
      <c r="EH2693" s="367"/>
      <c r="EI2693" s="367"/>
    </row>
    <row r="2694" spans="2:139">
      <c r="B2694" s="33"/>
      <c r="N2694" s="19"/>
      <c r="O2694" s="19"/>
      <c r="EC2694" s="366" t="str">
        <f t="shared" si="318"/>
        <v>_</v>
      </c>
      <c r="ED2694" s="367"/>
      <c r="EE2694" s="367"/>
      <c r="EF2694" s="368"/>
      <c r="EG2694" s="367"/>
      <c r="EH2694" s="367"/>
      <c r="EI2694" s="367"/>
    </row>
    <row r="2695" spans="2:139">
      <c r="B2695" s="33"/>
      <c r="N2695" s="19"/>
      <c r="O2695" s="19"/>
      <c r="EC2695" s="366" t="str">
        <f t="shared" si="318"/>
        <v>_</v>
      </c>
      <c r="ED2695" s="367"/>
      <c r="EE2695" s="367"/>
      <c r="EF2695" s="368"/>
      <c r="EG2695" s="367"/>
      <c r="EH2695" s="367"/>
      <c r="EI2695" s="367"/>
    </row>
    <row r="2696" spans="2:139">
      <c r="B2696" s="33"/>
      <c r="N2696" s="19"/>
      <c r="O2696" s="19"/>
      <c r="EC2696" s="366" t="str">
        <f t="shared" si="318"/>
        <v>_</v>
      </c>
      <c r="ED2696" s="367"/>
      <c r="EE2696" s="367"/>
      <c r="EF2696" s="368"/>
      <c r="EG2696" s="367"/>
      <c r="EH2696" s="367"/>
      <c r="EI2696" s="367"/>
    </row>
    <row r="2697" spans="2:139">
      <c r="B2697" s="33"/>
      <c r="N2697" s="19"/>
      <c r="O2697" s="19"/>
      <c r="EC2697" s="366" t="str">
        <f t="shared" si="318"/>
        <v>_</v>
      </c>
      <c r="ED2697" s="367"/>
      <c r="EE2697" s="367"/>
      <c r="EF2697" s="368"/>
      <c r="EG2697" s="367"/>
      <c r="EH2697" s="367"/>
      <c r="EI2697" s="367"/>
    </row>
    <row r="2698" spans="2:139">
      <c r="B2698" s="33"/>
      <c r="N2698" s="19"/>
      <c r="O2698" s="19"/>
      <c r="EC2698" s="366" t="str">
        <f t="shared" si="318"/>
        <v>_</v>
      </c>
      <c r="ED2698" s="367"/>
      <c r="EE2698" s="367"/>
      <c r="EF2698" s="368"/>
      <c r="EG2698" s="367"/>
      <c r="EH2698" s="367"/>
      <c r="EI2698" s="367"/>
    </row>
    <row r="2699" spans="2:139">
      <c r="B2699" s="33"/>
      <c r="N2699" s="19"/>
      <c r="O2699" s="19"/>
      <c r="EC2699" s="366" t="str">
        <f t="shared" si="318"/>
        <v>_</v>
      </c>
      <c r="ED2699" s="367"/>
      <c r="EE2699" s="367"/>
      <c r="EF2699" s="368"/>
      <c r="EG2699" s="367"/>
      <c r="EH2699" s="367"/>
      <c r="EI2699" s="367"/>
    </row>
    <row r="2700" spans="2:139">
      <c r="B2700" s="33"/>
      <c r="N2700" s="19"/>
      <c r="O2700" s="19"/>
      <c r="EC2700" s="366" t="str">
        <f t="shared" si="318"/>
        <v>_</v>
      </c>
      <c r="ED2700" s="367"/>
      <c r="EE2700" s="367"/>
      <c r="EF2700" s="368"/>
      <c r="EG2700" s="367"/>
      <c r="EH2700" s="367"/>
      <c r="EI2700" s="367"/>
    </row>
    <row r="2701" spans="2:139">
      <c r="B2701" s="33"/>
      <c r="N2701" s="19"/>
      <c r="O2701" s="19"/>
      <c r="EC2701" s="366" t="str">
        <f t="shared" si="318"/>
        <v>_</v>
      </c>
      <c r="ED2701" s="367"/>
      <c r="EE2701" s="367"/>
      <c r="EF2701" s="368"/>
      <c r="EG2701" s="367"/>
      <c r="EH2701" s="367"/>
      <c r="EI2701" s="367"/>
    </row>
    <row r="2702" spans="2:139">
      <c r="B2702" s="33"/>
      <c r="N2702" s="19"/>
      <c r="O2702" s="19"/>
      <c r="EC2702" s="366" t="str">
        <f t="shared" si="318"/>
        <v>_</v>
      </c>
      <c r="ED2702" s="367"/>
      <c r="EE2702" s="367"/>
      <c r="EF2702" s="368"/>
      <c r="EG2702" s="367"/>
      <c r="EH2702" s="367"/>
      <c r="EI2702" s="367"/>
    </row>
    <row r="2703" spans="2:139">
      <c r="B2703" s="33"/>
      <c r="N2703" s="19"/>
      <c r="O2703" s="19"/>
      <c r="EC2703" s="366" t="str">
        <f t="shared" si="318"/>
        <v>_</v>
      </c>
      <c r="ED2703" s="367"/>
      <c r="EE2703" s="367"/>
      <c r="EF2703" s="368"/>
      <c r="EG2703" s="367"/>
      <c r="EH2703" s="367"/>
      <c r="EI2703" s="367"/>
    </row>
    <row r="2704" spans="2:139">
      <c r="B2704" s="33"/>
      <c r="N2704" s="19"/>
      <c r="O2704" s="19"/>
      <c r="EC2704" s="366" t="str">
        <f t="shared" si="318"/>
        <v>_</v>
      </c>
      <c r="ED2704" s="367"/>
      <c r="EE2704" s="367"/>
      <c r="EF2704" s="368"/>
      <c r="EG2704" s="367"/>
      <c r="EH2704" s="367"/>
      <c r="EI2704" s="367"/>
    </row>
    <row r="2705" spans="2:139">
      <c r="B2705" s="33"/>
      <c r="N2705" s="19"/>
      <c r="O2705" s="19"/>
      <c r="EC2705" s="366" t="str">
        <f t="shared" si="318"/>
        <v>_</v>
      </c>
      <c r="ED2705" s="367"/>
      <c r="EE2705" s="367"/>
      <c r="EF2705" s="368"/>
      <c r="EG2705" s="367"/>
      <c r="EH2705" s="367"/>
      <c r="EI2705" s="367"/>
    </row>
    <row r="2706" spans="2:139">
      <c r="B2706" s="33"/>
      <c r="N2706" s="19"/>
      <c r="O2706" s="19"/>
      <c r="EC2706" s="366" t="str">
        <f t="shared" si="318"/>
        <v>_</v>
      </c>
      <c r="ED2706" s="367"/>
      <c r="EE2706" s="367"/>
      <c r="EF2706" s="368"/>
      <c r="EG2706" s="367"/>
      <c r="EH2706" s="367"/>
      <c r="EI2706" s="367"/>
    </row>
    <row r="2707" spans="2:139">
      <c r="B2707" s="33"/>
      <c r="N2707" s="19"/>
      <c r="O2707" s="19"/>
      <c r="EC2707" s="366" t="str">
        <f t="shared" si="318"/>
        <v>_</v>
      </c>
      <c r="ED2707" s="367"/>
      <c r="EE2707" s="367"/>
      <c r="EF2707" s="368"/>
      <c r="EG2707" s="367"/>
      <c r="EH2707" s="367"/>
      <c r="EI2707" s="367"/>
    </row>
    <row r="2708" spans="2:139">
      <c r="B2708" s="33"/>
      <c r="N2708" s="19"/>
      <c r="O2708" s="19"/>
      <c r="EC2708" s="366" t="str">
        <f t="shared" si="318"/>
        <v>_</v>
      </c>
      <c r="ED2708" s="367"/>
      <c r="EE2708" s="367"/>
      <c r="EF2708" s="368"/>
      <c r="EG2708" s="367"/>
      <c r="EH2708" s="367"/>
      <c r="EI2708" s="367"/>
    </row>
    <row r="2709" spans="2:139">
      <c r="B2709" s="33"/>
      <c r="N2709" s="19"/>
      <c r="O2709" s="19"/>
      <c r="EC2709" s="366" t="str">
        <f t="shared" si="318"/>
        <v>_</v>
      </c>
      <c r="ED2709" s="367"/>
      <c r="EE2709" s="367"/>
      <c r="EF2709" s="368"/>
      <c r="EG2709" s="367"/>
      <c r="EH2709" s="367"/>
      <c r="EI2709" s="367"/>
    </row>
    <row r="2710" spans="2:139">
      <c r="B2710" s="33"/>
      <c r="EC2710" s="366" t="str">
        <f t="shared" si="318"/>
        <v>_</v>
      </c>
      <c r="ED2710" s="367"/>
      <c r="EE2710" s="367"/>
      <c r="EF2710" s="368"/>
      <c r="EG2710" s="367"/>
      <c r="EH2710" s="367"/>
      <c r="EI2710" s="367"/>
    </row>
    <row r="2711" spans="2:139">
      <c r="B2711" s="33"/>
      <c r="EC2711" s="366" t="str">
        <f t="shared" ref="EC2711:EC2774" si="319">B2711&amp;"_"&amp;C2711</f>
        <v>_</v>
      </c>
      <c r="ED2711" s="367"/>
      <c r="EE2711" s="367"/>
      <c r="EF2711" s="368"/>
      <c r="EG2711" s="367"/>
      <c r="EH2711" s="367"/>
      <c r="EI2711" s="367"/>
    </row>
    <row r="2712" spans="2:139">
      <c r="B2712" s="33"/>
      <c r="EC2712" s="366" t="str">
        <f t="shared" si="319"/>
        <v>_</v>
      </c>
      <c r="ED2712" s="367"/>
      <c r="EE2712" s="367"/>
      <c r="EF2712" s="368"/>
      <c r="EG2712" s="367"/>
      <c r="EH2712" s="367"/>
      <c r="EI2712" s="367"/>
    </row>
    <row r="2713" spans="2:139">
      <c r="B2713" s="33"/>
      <c r="EC2713" s="366" t="str">
        <f t="shared" si="319"/>
        <v>_</v>
      </c>
      <c r="ED2713" s="367"/>
      <c r="EE2713" s="367"/>
      <c r="EF2713" s="368"/>
      <c r="EG2713" s="367"/>
      <c r="EH2713" s="367"/>
      <c r="EI2713" s="367"/>
    </row>
    <row r="2714" spans="2:139">
      <c r="B2714" s="33"/>
      <c r="EC2714" s="366" t="str">
        <f t="shared" si="319"/>
        <v>_</v>
      </c>
      <c r="ED2714" s="367"/>
      <c r="EE2714" s="367"/>
      <c r="EF2714" s="368"/>
      <c r="EG2714" s="367"/>
      <c r="EH2714" s="367"/>
      <c r="EI2714" s="367"/>
    </row>
    <row r="2715" spans="2:139">
      <c r="B2715" s="33"/>
      <c r="EC2715" s="366" t="str">
        <f t="shared" si="319"/>
        <v>_</v>
      </c>
      <c r="ED2715" s="367"/>
      <c r="EE2715" s="367"/>
      <c r="EF2715" s="368"/>
      <c r="EG2715" s="367"/>
      <c r="EH2715" s="367"/>
      <c r="EI2715" s="367"/>
    </row>
    <row r="2716" spans="2:139">
      <c r="B2716" s="33"/>
      <c r="EC2716" s="366" t="str">
        <f t="shared" si="319"/>
        <v>_</v>
      </c>
      <c r="ED2716" s="367"/>
      <c r="EE2716" s="367"/>
      <c r="EF2716" s="368"/>
      <c r="EG2716" s="367"/>
      <c r="EH2716" s="367"/>
      <c r="EI2716" s="367"/>
    </row>
    <row r="2717" spans="2:139">
      <c r="B2717" s="33"/>
      <c r="EC2717" s="366" t="str">
        <f t="shared" si="319"/>
        <v>_</v>
      </c>
      <c r="ED2717" s="367"/>
      <c r="EE2717" s="367"/>
      <c r="EF2717" s="368"/>
      <c r="EG2717" s="367"/>
      <c r="EH2717" s="367"/>
      <c r="EI2717" s="367"/>
    </row>
    <row r="2718" spans="2:139">
      <c r="B2718" s="33"/>
      <c r="EC2718" s="366" t="str">
        <f t="shared" si="319"/>
        <v>_</v>
      </c>
      <c r="ED2718" s="367"/>
      <c r="EE2718" s="367"/>
      <c r="EF2718" s="368"/>
      <c r="EG2718" s="367"/>
      <c r="EH2718" s="367"/>
      <c r="EI2718" s="367"/>
    </row>
    <row r="2719" spans="2:139">
      <c r="B2719" s="33"/>
      <c r="EC2719" s="366" t="str">
        <f t="shared" si="319"/>
        <v>_</v>
      </c>
      <c r="ED2719" s="367"/>
      <c r="EE2719" s="367"/>
      <c r="EF2719" s="368"/>
      <c r="EG2719" s="367"/>
      <c r="EH2719" s="367"/>
      <c r="EI2719" s="367"/>
    </row>
    <row r="2720" spans="2:139">
      <c r="B2720" s="33"/>
      <c r="EC2720" s="366" t="str">
        <f t="shared" si="319"/>
        <v>_</v>
      </c>
      <c r="ED2720" s="367"/>
      <c r="EE2720" s="367"/>
      <c r="EF2720" s="368"/>
      <c r="EG2720" s="367"/>
      <c r="EH2720" s="367"/>
      <c r="EI2720" s="367"/>
    </row>
    <row r="2721" spans="2:139">
      <c r="B2721" s="33"/>
      <c r="EC2721" s="366" t="str">
        <f t="shared" si="319"/>
        <v>_</v>
      </c>
      <c r="ED2721" s="367"/>
      <c r="EE2721" s="367"/>
      <c r="EF2721" s="368"/>
      <c r="EG2721" s="367"/>
      <c r="EH2721" s="367"/>
      <c r="EI2721" s="367"/>
    </row>
    <row r="2722" spans="2:139">
      <c r="B2722" s="33"/>
      <c r="EC2722" s="366" t="str">
        <f t="shared" si="319"/>
        <v>_</v>
      </c>
      <c r="ED2722" s="367"/>
      <c r="EE2722" s="367"/>
      <c r="EF2722" s="368"/>
      <c r="EG2722" s="367"/>
      <c r="EH2722" s="367"/>
      <c r="EI2722" s="367"/>
    </row>
    <row r="2723" spans="2:139">
      <c r="B2723" s="33"/>
      <c r="EC2723" s="366" t="str">
        <f t="shared" si="319"/>
        <v>_</v>
      </c>
      <c r="ED2723" s="367"/>
      <c r="EE2723" s="367"/>
      <c r="EF2723" s="368"/>
      <c r="EG2723" s="367"/>
      <c r="EH2723" s="367"/>
      <c r="EI2723" s="367"/>
    </row>
    <row r="2724" spans="2:139">
      <c r="B2724" s="33"/>
      <c r="EC2724" s="366" t="str">
        <f t="shared" si="319"/>
        <v>_</v>
      </c>
      <c r="ED2724" s="367"/>
      <c r="EE2724" s="367"/>
      <c r="EF2724" s="368"/>
      <c r="EG2724" s="367"/>
      <c r="EH2724" s="367"/>
      <c r="EI2724" s="367"/>
    </row>
    <row r="2725" spans="2:139">
      <c r="B2725" s="33"/>
      <c r="EC2725" s="366" t="str">
        <f t="shared" si="319"/>
        <v>_</v>
      </c>
      <c r="ED2725" s="367"/>
      <c r="EE2725" s="367"/>
      <c r="EF2725" s="368"/>
      <c r="EG2725" s="367"/>
      <c r="EH2725" s="367"/>
      <c r="EI2725" s="367"/>
    </row>
    <row r="2726" spans="2:139">
      <c r="B2726" s="33"/>
      <c r="EC2726" s="366" t="str">
        <f t="shared" si="319"/>
        <v>_</v>
      </c>
      <c r="ED2726" s="367"/>
      <c r="EE2726" s="367"/>
      <c r="EF2726" s="368"/>
      <c r="EG2726" s="367"/>
      <c r="EH2726" s="367"/>
      <c r="EI2726" s="367"/>
    </row>
    <row r="2727" spans="2:139">
      <c r="B2727" s="33"/>
      <c r="EC2727" s="366" t="str">
        <f t="shared" si="319"/>
        <v>_</v>
      </c>
      <c r="ED2727" s="367"/>
      <c r="EE2727" s="367"/>
      <c r="EF2727" s="368"/>
      <c r="EG2727" s="367"/>
      <c r="EH2727" s="367"/>
      <c r="EI2727" s="367"/>
    </row>
    <row r="2728" spans="2:139">
      <c r="B2728" s="33"/>
      <c r="EC2728" s="366" t="str">
        <f t="shared" si="319"/>
        <v>_</v>
      </c>
      <c r="ED2728" s="367"/>
      <c r="EE2728" s="367"/>
      <c r="EF2728" s="368"/>
      <c r="EG2728" s="367"/>
      <c r="EH2728" s="367"/>
      <c r="EI2728" s="367"/>
    </row>
    <row r="2729" spans="2:139">
      <c r="B2729" s="33"/>
      <c r="EC2729" s="366" t="str">
        <f t="shared" si="319"/>
        <v>_</v>
      </c>
      <c r="ED2729" s="367"/>
      <c r="EE2729" s="367"/>
      <c r="EF2729" s="368"/>
      <c r="EG2729" s="367"/>
      <c r="EH2729" s="367"/>
      <c r="EI2729" s="367"/>
    </row>
    <row r="2730" spans="2:139">
      <c r="B2730" s="33"/>
      <c r="EC2730" s="366" t="str">
        <f t="shared" si="319"/>
        <v>_</v>
      </c>
      <c r="ED2730" s="367"/>
      <c r="EE2730" s="367"/>
      <c r="EF2730" s="368"/>
      <c r="EG2730" s="367"/>
      <c r="EH2730" s="367"/>
      <c r="EI2730" s="367"/>
    </row>
    <row r="2731" spans="2:139">
      <c r="B2731" s="33"/>
      <c r="EC2731" s="366" t="str">
        <f t="shared" si="319"/>
        <v>_</v>
      </c>
      <c r="ED2731" s="367"/>
      <c r="EE2731" s="367"/>
      <c r="EF2731" s="368"/>
      <c r="EG2731" s="367"/>
      <c r="EH2731" s="367"/>
      <c r="EI2731" s="367"/>
    </row>
    <row r="2732" spans="2:139">
      <c r="B2732" s="33"/>
      <c r="EC2732" s="366" t="str">
        <f t="shared" si="319"/>
        <v>_</v>
      </c>
      <c r="ED2732" s="367"/>
      <c r="EE2732" s="367"/>
      <c r="EF2732" s="368"/>
      <c r="EG2732" s="367"/>
      <c r="EH2732" s="367"/>
      <c r="EI2732" s="367"/>
    </row>
    <row r="2733" spans="2:139">
      <c r="B2733" s="33"/>
      <c r="EC2733" s="366" t="str">
        <f t="shared" si="319"/>
        <v>_</v>
      </c>
      <c r="ED2733" s="367"/>
      <c r="EE2733" s="367"/>
      <c r="EF2733" s="368"/>
      <c r="EG2733" s="367"/>
      <c r="EH2733" s="367"/>
      <c r="EI2733" s="367"/>
    </row>
    <row r="2734" spans="2:139">
      <c r="B2734" s="33"/>
      <c r="EC2734" s="366" t="str">
        <f t="shared" si="319"/>
        <v>_</v>
      </c>
      <c r="ED2734" s="367"/>
      <c r="EE2734" s="367"/>
      <c r="EF2734" s="368"/>
      <c r="EG2734" s="367"/>
      <c r="EH2734" s="367"/>
      <c r="EI2734" s="367"/>
    </row>
    <row r="2735" spans="2:139">
      <c r="B2735" s="33"/>
      <c r="EC2735" s="366" t="str">
        <f t="shared" si="319"/>
        <v>_</v>
      </c>
      <c r="ED2735" s="367"/>
      <c r="EE2735" s="367"/>
      <c r="EF2735" s="368"/>
      <c r="EG2735" s="367"/>
      <c r="EH2735" s="367"/>
      <c r="EI2735" s="367"/>
    </row>
    <row r="2736" spans="2:139">
      <c r="B2736" s="33"/>
      <c r="EC2736" s="366" t="str">
        <f t="shared" si="319"/>
        <v>_</v>
      </c>
      <c r="ED2736" s="367"/>
      <c r="EE2736" s="367"/>
      <c r="EF2736" s="368"/>
      <c r="EG2736" s="367"/>
      <c r="EH2736" s="367"/>
      <c r="EI2736" s="367"/>
    </row>
    <row r="2737" spans="2:139">
      <c r="B2737" s="33"/>
      <c r="EC2737" s="366" t="str">
        <f t="shared" si="319"/>
        <v>_</v>
      </c>
      <c r="ED2737" s="367"/>
      <c r="EE2737" s="367"/>
      <c r="EF2737" s="368"/>
      <c r="EG2737" s="367"/>
      <c r="EH2737" s="367"/>
      <c r="EI2737" s="367"/>
    </row>
    <row r="2738" spans="2:139">
      <c r="B2738" s="33"/>
      <c r="EC2738" s="366" t="str">
        <f t="shared" si="319"/>
        <v>_</v>
      </c>
      <c r="ED2738" s="367"/>
      <c r="EE2738" s="367"/>
      <c r="EF2738" s="368"/>
      <c r="EG2738" s="367"/>
      <c r="EH2738" s="367"/>
      <c r="EI2738" s="367"/>
    </row>
    <row r="2739" spans="2:139">
      <c r="B2739" s="33"/>
      <c r="EC2739" s="366" t="str">
        <f t="shared" si="319"/>
        <v>_</v>
      </c>
      <c r="ED2739" s="367"/>
      <c r="EE2739" s="367"/>
      <c r="EF2739" s="368"/>
      <c r="EG2739" s="367"/>
      <c r="EH2739" s="367"/>
      <c r="EI2739" s="367"/>
    </row>
    <row r="2740" spans="2:139">
      <c r="B2740" s="33"/>
      <c r="EC2740" s="366" t="str">
        <f t="shared" si="319"/>
        <v>_</v>
      </c>
      <c r="ED2740" s="367"/>
      <c r="EE2740" s="367"/>
      <c r="EF2740" s="368"/>
      <c r="EG2740" s="367"/>
      <c r="EH2740" s="367"/>
      <c r="EI2740" s="367"/>
    </row>
    <row r="2741" spans="2:139">
      <c r="B2741" s="33"/>
      <c r="EC2741" s="366" t="str">
        <f t="shared" si="319"/>
        <v>_</v>
      </c>
      <c r="ED2741" s="367"/>
      <c r="EE2741" s="367"/>
      <c r="EF2741" s="368"/>
      <c r="EG2741" s="367"/>
      <c r="EH2741" s="367"/>
      <c r="EI2741" s="367"/>
    </row>
    <row r="2742" spans="2:139">
      <c r="B2742" s="33"/>
      <c r="EC2742" s="366" t="str">
        <f t="shared" si="319"/>
        <v>_</v>
      </c>
      <c r="ED2742" s="367"/>
      <c r="EE2742" s="367"/>
      <c r="EF2742" s="368"/>
      <c r="EG2742" s="367"/>
      <c r="EH2742" s="367"/>
      <c r="EI2742" s="367"/>
    </row>
    <row r="2743" spans="2:139">
      <c r="B2743" s="33"/>
      <c r="EC2743" s="366" t="str">
        <f t="shared" si="319"/>
        <v>_</v>
      </c>
      <c r="ED2743" s="367"/>
      <c r="EE2743" s="367"/>
      <c r="EF2743" s="368"/>
      <c r="EG2743" s="367"/>
      <c r="EH2743" s="367"/>
      <c r="EI2743" s="367"/>
    </row>
    <row r="2744" spans="2:139">
      <c r="B2744" s="33"/>
      <c r="EC2744" s="366" t="str">
        <f t="shared" si="319"/>
        <v>_</v>
      </c>
      <c r="ED2744" s="367"/>
      <c r="EE2744" s="367"/>
      <c r="EF2744" s="368"/>
      <c r="EG2744" s="367"/>
      <c r="EH2744" s="367"/>
      <c r="EI2744" s="367"/>
    </row>
    <row r="2745" spans="2:139">
      <c r="B2745" s="33"/>
      <c r="EC2745" s="366" t="str">
        <f t="shared" si="319"/>
        <v>_</v>
      </c>
      <c r="ED2745" s="367"/>
      <c r="EE2745" s="367"/>
      <c r="EF2745" s="368"/>
      <c r="EG2745" s="367"/>
      <c r="EH2745" s="367"/>
      <c r="EI2745" s="367"/>
    </row>
    <row r="2746" spans="2:139">
      <c r="B2746" s="33"/>
      <c r="EC2746" s="366" t="str">
        <f t="shared" si="319"/>
        <v>_</v>
      </c>
      <c r="ED2746" s="367"/>
      <c r="EE2746" s="367"/>
      <c r="EF2746" s="368"/>
      <c r="EG2746" s="367"/>
      <c r="EH2746" s="367"/>
      <c r="EI2746" s="367"/>
    </row>
    <row r="2747" spans="2:139">
      <c r="B2747" s="33"/>
      <c r="EC2747" s="366" t="str">
        <f t="shared" si="319"/>
        <v>_</v>
      </c>
      <c r="ED2747" s="367"/>
      <c r="EE2747" s="367"/>
      <c r="EF2747" s="368"/>
      <c r="EG2747" s="367"/>
      <c r="EH2747" s="367"/>
      <c r="EI2747" s="367"/>
    </row>
    <row r="2748" spans="2:139">
      <c r="B2748" s="33"/>
      <c r="EC2748" s="366" t="str">
        <f t="shared" si="319"/>
        <v>_</v>
      </c>
      <c r="ED2748" s="367"/>
      <c r="EE2748" s="367"/>
      <c r="EF2748" s="368"/>
      <c r="EG2748" s="367"/>
      <c r="EH2748" s="367"/>
      <c r="EI2748" s="367"/>
    </row>
    <row r="2749" spans="2:139">
      <c r="B2749" s="33"/>
      <c r="EC2749" s="366" t="str">
        <f t="shared" si="319"/>
        <v>_</v>
      </c>
      <c r="ED2749" s="367"/>
      <c r="EE2749" s="367"/>
      <c r="EF2749" s="368"/>
      <c r="EG2749" s="367"/>
      <c r="EH2749" s="367"/>
      <c r="EI2749" s="367"/>
    </row>
    <row r="2750" spans="2:139">
      <c r="B2750" s="33"/>
      <c r="EC2750" s="366" t="str">
        <f t="shared" si="319"/>
        <v>_</v>
      </c>
      <c r="ED2750" s="367"/>
      <c r="EE2750" s="367"/>
      <c r="EF2750" s="368"/>
      <c r="EG2750" s="367"/>
      <c r="EH2750" s="367"/>
      <c r="EI2750" s="367"/>
    </row>
    <row r="2751" spans="2:139">
      <c r="B2751" s="33"/>
      <c r="EC2751" s="366" t="str">
        <f t="shared" si="319"/>
        <v>_</v>
      </c>
      <c r="ED2751" s="367"/>
      <c r="EE2751" s="367"/>
      <c r="EF2751" s="368"/>
      <c r="EG2751" s="367"/>
      <c r="EH2751" s="367"/>
      <c r="EI2751" s="367"/>
    </row>
    <row r="2752" spans="2:139">
      <c r="B2752" s="33"/>
      <c r="EC2752" s="366" t="str">
        <f t="shared" si="319"/>
        <v>_</v>
      </c>
      <c r="ED2752" s="367"/>
      <c r="EE2752" s="367"/>
      <c r="EF2752" s="368"/>
      <c r="EG2752" s="367"/>
      <c r="EH2752" s="367"/>
      <c r="EI2752" s="367"/>
    </row>
    <row r="2753" spans="2:139">
      <c r="B2753" s="33"/>
      <c r="EC2753" s="366" t="str">
        <f t="shared" si="319"/>
        <v>_</v>
      </c>
      <c r="ED2753" s="367"/>
      <c r="EE2753" s="367"/>
      <c r="EF2753" s="368"/>
      <c r="EG2753" s="367"/>
      <c r="EH2753" s="367"/>
      <c r="EI2753" s="367"/>
    </row>
    <row r="2754" spans="2:139">
      <c r="B2754" s="33"/>
      <c r="EC2754" s="366" t="str">
        <f t="shared" si="319"/>
        <v>_</v>
      </c>
      <c r="ED2754" s="367"/>
      <c r="EE2754" s="367"/>
      <c r="EF2754" s="368"/>
      <c r="EG2754" s="367"/>
      <c r="EH2754" s="367"/>
      <c r="EI2754" s="367"/>
    </row>
    <row r="2755" spans="2:139">
      <c r="B2755" s="33"/>
      <c r="EC2755" s="366" t="str">
        <f t="shared" si="319"/>
        <v>_</v>
      </c>
      <c r="ED2755" s="367"/>
      <c r="EE2755" s="367"/>
      <c r="EF2755" s="368"/>
      <c r="EG2755" s="367"/>
      <c r="EH2755" s="367"/>
      <c r="EI2755" s="367"/>
    </row>
    <row r="2756" spans="2:139">
      <c r="B2756" s="33"/>
      <c r="EC2756" s="366" t="str">
        <f t="shared" si="319"/>
        <v>_</v>
      </c>
      <c r="ED2756" s="367"/>
      <c r="EE2756" s="367"/>
      <c r="EF2756" s="368"/>
      <c r="EG2756" s="367"/>
      <c r="EH2756" s="367"/>
      <c r="EI2756" s="367"/>
    </row>
    <row r="2757" spans="2:139">
      <c r="B2757" s="33"/>
      <c r="EC2757" s="366" t="str">
        <f t="shared" si="319"/>
        <v>_</v>
      </c>
      <c r="ED2757" s="367"/>
      <c r="EE2757" s="367"/>
      <c r="EF2757" s="368"/>
      <c r="EG2757" s="367"/>
      <c r="EH2757" s="367"/>
      <c r="EI2757" s="367"/>
    </row>
    <row r="2758" spans="2:139">
      <c r="B2758" s="33"/>
      <c r="EC2758" s="366" t="str">
        <f t="shared" si="319"/>
        <v>_</v>
      </c>
      <c r="ED2758" s="367"/>
      <c r="EE2758" s="367"/>
      <c r="EF2758" s="368"/>
      <c r="EG2758" s="367"/>
      <c r="EH2758" s="367"/>
      <c r="EI2758" s="367"/>
    </row>
    <row r="2759" spans="2:139">
      <c r="B2759" s="33"/>
      <c r="EC2759" s="366" t="str">
        <f t="shared" si="319"/>
        <v>_</v>
      </c>
      <c r="ED2759" s="367"/>
      <c r="EE2759" s="367"/>
      <c r="EF2759" s="368"/>
      <c r="EG2759" s="367"/>
      <c r="EH2759" s="367"/>
      <c r="EI2759" s="367"/>
    </row>
    <row r="2760" spans="2:139">
      <c r="B2760" s="33"/>
      <c r="EC2760" s="366" t="str">
        <f t="shared" si="319"/>
        <v>_</v>
      </c>
      <c r="ED2760" s="367"/>
      <c r="EE2760" s="367"/>
      <c r="EF2760" s="368"/>
      <c r="EG2760" s="367"/>
      <c r="EH2760" s="367"/>
      <c r="EI2760" s="367"/>
    </row>
    <row r="2761" spans="2:139">
      <c r="B2761" s="33"/>
      <c r="EC2761" s="366" t="str">
        <f t="shared" si="319"/>
        <v>_</v>
      </c>
      <c r="ED2761" s="367"/>
      <c r="EE2761" s="367"/>
      <c r="EF2761" s="368"/>
      <c r="EG2761" s="367"/>
      <c r="EH2761" s="367"/>
      <c r="EI2761" s="367"/>
    </row>
    <row r="2762" spans="2:139">
      <c r="B2762" s="33"/>
      <c r="EC2762" s="366" t="str">
        <f t="shared" si="319"/>
        <v>_</v>
      </c>
      <c r="ED2762" s="367"/>
      <c r="EE2762" s="367"/>
      <c r="EF2762" s="368"/>
      <c r="EG2762" s="367"/>
      <c r="EH2762" s="367"/>
      <c r="EI2762" s="367"/>
    </row>
    <row r="2763" spans="2:139">
      <c r="B2763" s="33"/>
      <c r="EC2763" s="366" t="str">
        <f t="shared" si="319"/>
        <v>_</v>
      </c>
      <c r="ED2763" s="367"/>
      <c r="EE2763" s="367"/>
      <c r="EF2763" s="368"/>
      <c r="EG2763" s="367"/>
      <c r="EH2763" s="367"/>
      <c r="EI2763" s="367"/>
    </row>
    <row r="2764" spans="2:139">
      <c r="B2764" s="33"/>
      <c r="EC2764" s="366" t="str">
        <f t="shared" si="319"/>
        <v>_</v>
      </c>
      <c r="ED2764" s="367"/>
      <c r="EE2764" s="367"/>
      <c r="EF2764" s="368"/>
      <c r="EG2764" s="367"/>
      <c r="EH2764" s="367"/>
      <c r="EI2764" s="367"/>
    </row>
    <row r="2765" spans="2:139">
      <c r="B2765" s="33"/>
      <c r="EC2765" s="366" t="str">
        <f t="shared" si="319"/>
        <v>_</v>
      </c>
      <c r="ED2765" s="367"/>
      <c r="EE2765" s="367"/>
      <c r="EF2765" s="368"/>
      <c r="EG2765" s="367"/>
      <c r="EH2765" s="367"/>
      <c r="EI2765" s="367"/>
    </row>
    <row r="2766" spans="2:139">
      <c r="B2766" s="33"/>
      <c r="EC2766" s="366" t="str">
        <f t="shared" si="319"/>
        <v>_</v>
      </c>
      <c r="ED2766" s="367"/>
      <c r="EE2766" s="367"/>
      <c r="EF2766" s="368"/>
      <c r="EG2766" s="367"/>
      <c r="EH2766" s="367"/>
      <c r="EI2766" s="367"/>
    </row>
    <row r="2767" spans="2:139">
      <c r="B2767" s="33"/>
      <c r="EC2767" s="366" t="str">
        <f t="shared" si="319"/>
        <v>_</v>
      </c>
      <c r="ED2767" s="367"/>
      <c r="EE2767" s="367"/>
      <c r="EF2767" s="368"/>
      <c r="EG2767" s="367"/>
      <c r="EH2767" s="367"/>
      <c r="EI2767" s="367"/>
    </row>
    <row r="2768" spans="2:139">
      <c r="B2768" s="33"/>
      <c r="EC2768" s="366" t="str">
        <f t="shared" si="319"/>
        <v>_</v>
      </c>
      <c r="ED2768" s="367"/>
      <c r="EE2768" s="367"/>
      <c r="EF2768" s="368"/>
      <c r="EG2768" s="367"/>
      <c r="EH2768" s="367"/>
      <c r="EI2768" s="367"/>
    </row>
    <row r="2769" spans="2:139">
      <c r="B2769" s="33"/>
      <c r="EC2769" s="366" t="str">
        <f t="shared" si="319"/>
        <v>_</v>
      </c>
      <c r="ED2769" s="367"/>
      <c r="EE2769" s="367"/>
      <c r="EF2769" s="368"/>
      <c r="EG2769" s="367"/>
      <c r="EH2769" s="367"/>
      <c r="EI2769" s="367"/>
    </row>
    <row r="2770" spans="2:139">
      <c r="B2770" s="33"/>
      <c r="EC2770" s="366" t="str">
        <f t="shared" si="319"/>
        <v>_</v>
      </c>
      <c r="ED2770" s="367"/>
      <c r="EE2770" s="367"/>
      <c r="EF2770" s="368"/>
      <c r="EG2770" s="367"/>
      <c r="EH2770" s="367"/>
      <c r="EI2770" s="367"/>
    </row>
    <row r="2771" spans="2:139">
      <c r="B2771" s="33"/>
      <c r="EC2771" s="366" t="str">
        <f t="shared" si="319"/>
        <v>_</v>
      </c>
      <c r="ED2771" s="367"/>
      <c r="EE2771" s="367"/>
      <c r="EF2771" s="368"/>
      <c r="EG2771" s="367"/>
      <c r="EH2771" s="367"/>
      <c r="EI2771" s="367"/>
    </row>
    <row r="2772" spans="2:139">
      <c r="B2772" s="33"/>
      <c r="EC2772" s="366" t="str">
        <f t="shared" si="319"/>
        <v>_</v>
      </c>
      <c r="ED2772" s="367"/>
      <c r="EE2772" s="367"/>
      <c r="EF2772" s="368"/>
      <c r="EG2772" s="367"/>
      <c r="EH2772" s="367"/>
      <c r="EI2772" s="367"/>
    </row>
    <row r="2773" spans="2:139">
      <c r="B2773" s="33"/>
      <c r="EC2773" s="366" t="str">
        <f t="shared" si="319"/>
        <v>_</v>
      </c>
      <c r="ED2773" s="367"/>
      <c r="EE2773" s="367"/>
      <c r="EF2773" s="368"/>
      <c r="EG2773" s="367"/>
      <c r="EH2773" s="367"/>
      <c r="EI2773" s="367"/>
    </row>
    <row r="2774" spans="2:139">
      <c r="B2774" s="33"/>
      <c r="EC2774" s="366" t="str">
        <f t="shared" si="319"/>
        <v>_</v>
      </c>
      <c r="ED2774" s="367"/>
      <c r="EE2774" s="367"/>
      <c r="EF2774" s="368"/>
      <c r="EG2774" s="367"/>
      <c r="EH2774" s="367"/>
      <c r="EI2774" s="367"/>
    </row>
    <row r="2775" spans="2:139">
      <c r="B2775" s="33"/>
      <c r="EC2775" s="366" t="str">
        <f t="shared" ref="EC2775:EC2838" si="320">B2775&amp;"_"&amp;C2775</f>
        <v>_</v>
      </c>
      <c r="ED2775" s="367"/>
      <c r="EE2775" s="367"/>
      <c r="EF2775" s="368"/>
      <c r="EG2775" s="367"/>
      <c r="EH2775" s="367"/>
      <c r="EI2775" s="367"/>
    </row>
    <row r="2776" spans="2:139">
      <c r="B2776" s="33"/>
      <c r="EC2776" s="366" t="str">
        <f t="shared" si="320"/>
        <v>_</v>
      </c>
      <c r="ED2776" s="367"/>
      <c r="EE2776" s="367"/>
      <c r="EF2776" s="368"/>
      <c r="EG2776" s="367"/>
      <c r="EH2776" s="367"/>
      <c r="EI2776" s="367"/>
    </row>
    <row r="2777" spans="2:139">
      <c r="B2777" s="33"/>
      <c r="EC2777" s="366" t="str">
        <f t="shared" si="320"/>
        <v>_</v>
      </c>
      <c r="ED2777" s="367"/>
      <c r="EE2777" s="367"/>
      <c r="EF2777" s="368"/>
      <c r="EG2777" s="367"/>
      <c r="EH2777" s="367"/>
      <c r="EI2777" s="367"/>
    </row>
    <row r="2778" spans="2:139">
      <c r="B2778" s="33"/>
      <c r="EC2778" s="366" t="str">
        <f t="shared" si="320"/>
        <v>_</v>
      </c>
      <c r="ED2778" s="367"/>
      <c r="EE2778" s="367"/>
      <c r="EF2778" s="368"/>
      <c r="EG2778" s="367"/>
      <c r="EH2778" s="367"/>
      <c r="EI2778" s="367"/>
    </row>
    <row r="2779" spans="2:139">
      <c r="B2779" s="33"/>
      <c r="EC2779" s="366" t="str">
        <f t="shared" si="320"/>
        <v>_</v>
      </c>
      <c r="ED2779" s="367"/>
      <c r="EE2779" s="367"/>
      <c r="EF2779" s="368"/>
      <c r="EG2779" s="367"/>
      <c r="EH2779" s="367"/>
      <c r="EI2779" s="367"/>
    </row>
    <row r="2780" spans="2:139">
      <c r="B2780" s="33"/>
      <c r="EC2780" s="366" t="str">
        <f t="shared" si="320"/>
        <v>_</v>
      </c>
      <c r="ED2780" s="367"/>
      <c r="EE2780" s="367"/>
      <c r="EF2780" s="368"/>
      <c r="EG2780" s="367"/>
      <c r="EH2780" s="367"/>
      <c r="EI2780" s="367"/>
    </row>
    <row r="2781" spans="2:139">
      <c r="B2781" s="33"/>
      <c r="EC2781" s="366" t="str">
        <f t="shared" si="320"/>
        <v>_</v>
      </c>
      <c r="ED2781" s="367"/>
      <c r="EE2781" s="367"/>
      <c r="EF2781" s="368"/>
      <c r="EG2781" s="367"/>
      <c r="EH2781" s="367"/>
      <c r="EI2781" s="367"/>
    </row>
    <row r="2782" spans="2:139">
      <c r="B2782" s="33"/>
      <c r="EC2782" s="366" t="str">
        <f t="shared" si="320"/>
        <v>_</v>
      </c>
      <c r="ED2782" s="367"/>
      <c r="EE2782" s="367"/>
      <c r="EF2782" s="368"/>
      <c r="EG2782" s="367"/>
      <c r="EH2782" s="367"/>
      <c r="EI2782" s="367"/>
    </row>
    <row r="2783" spans="2:139">
      <c r="B2783" s="33"/>
      <c r="EC2783" s="366" t="str">
        <f t="shared" si="320"/>
        <v>_</v>
      </c>
      <c r="ED2783" s="367"/>
      <c r="EE2783" s="367"/>
      <c r="EF2783" s="368"/>
      <c r="EG2783" s="367"/>
      <c r="EH2783" s="367"/>
      <c r="EI2783" s="367"/>
    </row>
    <row r="2784" spans="2:139">
      <c r="B2784" s="33"/>
      <c r="EC2784" s="366" t="str">
        <f t="shared" si="320"/>
        <v>_</v>
      </c>
      <c r="ED2784" s="367"/>
      <c r="EE2784" s="367"/>
      <c r="EF2784" s="368"/>
      <c r="EG2784" s="367"/>
      <c r="EH2784" s="367"/>
      <c r="EI2784" s="367"/>
    </row>
    <row r="2785" spans="2:139">
      <c r="B2785" s="33"/>
      <c r="EC2785" s="366" t="str">
        <f t="shared" si="320"/>
        <v>_</v>
      </c>
      <c r="ED2785" s="367"/>
      <c r="EE2785" s="367"/>
      <c r="EF2785" s="368"/>
      <c r="EG2785" s="367"/>
      <c r="EH2785" s="367"/>
      <c r="EI2785" s="367"/>
    </row>
    <row r="2786" spans="2:139">
      <c r="B2786" s="33"/>
      <c r="EC2786" s="366" t="str">
        <f t="shared" si="320"/>
        <v>_</v>
      </c>
      <c r="ED2786" s="367"/>
      <c r="EE2786" s="367"/>
      <c r="EF2786" s="368"/>
      <c r="EG2786" s="367"/>
      <c r="EH2786" s="367"/>
      <c r="EI2786" s="367"/>
    </row>
    <row r="2787" spans="2:139">
      <c r="B2787" s="33"/>
      <c r="EC2787" s="366" t="str">
        <f t="shared" si="320"/>
        <v>_</v>
      </c>
      <c r="ED2787" s="367"/>
      <c r="EE2787" s="367"/>
      <c r="EF2787" s="368"/>
      <c r="EG2787" s="367"/>
      <c r="EH2787" s="367"/>
      <c r="EI2787" s="367"/>
    </row>
    <row r="2788" spans="2:139">
      <c r="B2788" s="33"/>
      <c r="EC2788" s="366" t="str">
        <f t="shared" si="320"/>
        <v>_</v>
      </c>
      <c r="ED2788" s="367"/>
      <c r="EE2788" s="367"/>
      <c r="EF2788" s="368"/>
      <c r="EG2788" s="367"/>
      <c r="EH2788" s="367"/>
      <c r="EI2788" s="367"/>
    </row>
    <row r="2789" spans="2:139">
      <c r="B2789" s="33"/>
      <c r="EC2789" s="366" t="str">
        <f t="shared" si="320"/>
        <v>_</v>
      </c>
      <c r="ED2789" s="367"/>
      <c r="EE2789" s="367"/>
      <c r="EF2789" s="368"/>
      <c r="EG2789" s="367"/>
      <c r="EH2789" s="367"/>
      <c r="EI2789" s="367"/>
    </row>
    <row r="2790" spans="2:139">
      <c r="B2790" s="33"/>
      <c r="EC2790" s="366" t="str">
        <f t="shared" si="320"/>
        <v>_</v>
      </c>
      <c r="ED2790" s="367"/>
      <c r="EE2790" s="367"/>
      <c r="EF2790" s="368"/>
      <c r="EG2790" s="367"/>
      <c r="EH2790" s="367"/>
      <c r="EI2790" s="367"/>
    </row>
    <row r="2791" spans="2:139">
      <c r="B2791" s="33"/>
      <c r="EC2791" s="366" t="str">
        <f t="shared" si="320"/>
        <v>_</v>
      </c>
      <c r="ED2791" s="367"/>
      <c r="EE2791" s="367"/>
      <c r="EF2791" s="368"/>
      <c r="EG2791" s="367"/>
      <c r="EH2791" s="367"/>
      <c r="EI2791" s="367"/>
    </row>
    <row r="2792" spans="2:139">
      <c r="B2792" s="33"/>
      <c r="EC2792" s="366" t="str">
        <f t="shared" si="320"/>
        <v>_</v>
      </c>
      <c r="ED2792" s="367"/>
      <c r="EE2792" s="367"/>
      <c r="EF2792" s="368"/>
      <c r="EG2792" s="367"/>
      <c r="EH2792" s="367"/>
      <c r="EI2792" s="367"/>
    </row>
    <row r="2793" spans="2:139">
      <c r="B2793" s="33"/>
      <c r="EC2793" s="366" t="str">
        <f t="shared" si="320"/>
        <v>_</v>
      </c>
      <c r="ED2793" s="367"/>
      <c r="EE2793" s="367"/>
      <c r="EF2793" s="368"/>
      <c r="EG2793" s="367"/>
      <c r="EH2793" s="367"/>
      <c r="EI2793" s="367"/>
    </row>
    <row r="2794" spans="2:139">
      <c r="B2794" s="33"/>
      <c r="EC2794" s="366" t="str">
        <f t="shared" si="320"/>
        <v>_</v>
      </c>
      <c r="ED2794" s="367"/>
      <c r="EE2794" s="367"/>
      <c r="EF2794" s="368"/>
      <c r="EG2794" s="367"/>
      <c r="EH2794" s="367"/>
      <c r="EI2794" s="367"/>
    </row>
    <row r="2795" spans="2:139">
      <c r="B2795" s="33"/>
      <c r="EC2795" s="366" t="str">
        <f t="shared" si="320"/>
        <v>_</v>
      </c>
      <c r="ED2795" s="367"/>
      <c r="EE2795" s="367"/>
      <c r="EF2795" s="368"/>
      <c r="EG2795" s="367"/>
      <c r="EH2795" s="367"/>
      <c r="EI2795" s="367"/>
    </row>
    <row r="2796" spans="2:139">
      <c r="B2796" s="33"/>
      <c r="EC2796" s="366" t="str">
        <f t="shared" si="320"/>
        <v>_</v>
      </c>
      <c r="ED2796" s="367"/>
      <c r="EE2796" s="367"/>
      <c r="EF2796" s="368"/>
      <c r="EG2796" s="367"/>
      <c r="EH2796" s="367"/>
      <c r="EI2796" s="367"/>
    </row>
    <row r="2797" spans="2:139">
      <c r="B2797" s="33"/>
      <c r="EC2797" s="366" t="str">
        <f t="shared" si="320"/>
        <v>_</v>
      </c>
      <c r="ED2797" s="367"/>
      <c r="EE2797" s="367"/>
      <c r="EF2797" s="368"/>
      <c r="EG2797" s="367"/>
      <c r="EH2797" s="367"/>
      <c r="EI2797" s="367"/>
    </row>
    <row r="2798" spans="2:139">
      <c r="B2798" s="33"/>
      <c r="EC2798" s="366" t="str">
        <f t="shared" si="320"/>
        <v>_</v>
      </c>
      <c r="ED2798" s="367"/>
      <c r="EE2798" s="367"/>
      <c r="EF2798" s="368"/>
      <c r="EG2798" s="367"/>
      <c r="EH2798" s="367"/>
      <c r="EI2798" s="367"/>
    </row>
    <row r="2799" spans="2:139">
      <c r="B2799" s="33"/>
      <c r="EC2799" s="366" t="str">
        <f t="shared" si="320"/>
        <v>_</v>
      </c>
      <c r="ED2799" s="367"/>
      <c r="EE2799" s="367"/>
      <c r="EF2799" s="368"/>
      <c r="EG2799" s="367"/>
      <c r="EH2799" s="367"/>
      <c r="EI2799" s="367"/>
    </row>
    <row r="2800" spans="2:139">
      <c r="B2800" s="33"/>
      <c r="EC2800" s="366" t="str">
        <f t="shared" si="320"/>
        <v>_</v>
      </c>
      <c r="ED2800" s="367"/>
      <c r="EE2800" s="367"/>
      <c r="EF2800" s="368"/>
      <c r="EG2800" s="367"/>
      <c r="EH2800" s="367"/>
      <c r="EI2800" s="367"/>
    </row>
    <row r="2801" spans="2:139">
      <c r="B2801" s="33"/>
      <c r="EC2801" s="366" t="str">
        <f t="shared" si="320"/>
        <v>_</v>
      </c>
      <c r="ED2801" s="367"/>
      <c r="EE2801" s="367"/>
      <c r="EF2801" s="368"/>
      <c r="EG2801" s="367"/>
      <c r="EH2801" s="367"/>
      <c r="EI2801" s="367"/>
    </row>
    <row r="2802" spans="2:139">
      <c r="B2802" s="33"/>
      <c r="EC2802" s="366" t="str">
        <f t="shared" si="320"/>
        <v>_</v>
      </c>
      <c r="ED2802" s="367"/>
      <c r="EE2802" s="367"/>
      <c r="EF2802" s="368"/>
      <c r="EG2802" s="367"/>
      <c r="EH2802" s="367"/>
      <c r="EI2802" s="367"/>
    </row>
    <row r="2803" spans="2:139">
      <c r="B2803" s="33"/>
      <c r="EC2803" s="366" t="str">
        <f t="shared" si="320"/>
        <v>_</v>
      </c>
      <c r="ED2803" s="367"/>
      <c r="EE2803" s="367"/>
      <c r="EF2803" s="368"/>
      <c r="EG2803" s="367"/>
      <c r="EH2803" s="367"/>
      <c r="EI2803" s="367"/>
    </row>
    <row r="2804" spans="2:139">
      <c r="B2804" s="33"/>
      <c r="EC2804" s="366" t="str">
        <f t="shared" si="320"/>
        <v>_</v>
      </c>
      <c r="ED2804" s="367"/>
      <c r="EE2804" s="367"/>
      <c r="EF2804" s="368"/>
      <c r="EG2804" s="367"/>
      <c r="EH2804" s="367"/>
      <c r="EI2804" s="367"/>
    </row>
    <row r="2805" spans="2:139">
      <c r="B2805" s="33"/>
      <c r="EC2805" s="366" t="str">
        <f t="shared" si="320"/>
        <v>_</v>
      </c>
      <c r="ED2805" s="367"/>
      <c r="EE2805" s="367"/>
      <c r="EF2805" s="368"/>
      <c r="EG2805" s="367"/>
      <c r="EH2805" s="367"/>
      <c r="EI2805" s="367"/>
    </row>
    <row r="2806" spans="2:139">
      <c r="B2806" s="33"/>
      <c r="EC2806" s="366" t="str">
        <f t="shared" si="320"/>
        <v>_</v>
      </c>
      <c r="ED2806" s="367"/>
      <c r="EE2806" s="367"/>
      <c r="EF2806" s="368"/>
      <c r="EG2806" s="367"/>
      <c r="EH2806" s="367"/>
      <c r="EI2806" s="367"/>
    </row>
    <row r="2807" spans="2:139">
      <c r="B2807" s="33"/>
      <c r="EC2807" s="366" t="str">
        <f t="shared" si="320"/>
        <v>_</v>
      </c>
      <c r="ED2807" s="367"/>
      <c r="EE2807" s="367"/>
      <c r="EF2807" s="368"/>
      <c r="EG2807" s="367"/>
      <c r="EH2807" s="367"/>
      <c r="EI2807" s="367"/>
    </row>
    <row r="2808" spans="2:139">
      <c r="B2808" s="33"/>
      <c r="EC2808" s="366" t="str">
        <f t="shared" si="320"/>
        <v>_</v>
      </c>
      <c r="ED2808" s="367"/>
      <c r="EE2808" s="367"/>
      <c r="EF2808" s="368"/>
      <c r="EG2808" s="367"/>
      <c r="EH2808" s="367"/>
      <c r="EI2808" s="367"/>
    </row>
    <row r="2809" spans="2:139">
      <c r="B2809" s="33"/>
      <c r="EC2809" s="366" t="str">
        <f t="shared" si="320"/>
        <v>_</v>
      </c>
      <c r="ED2809" s="367"/>
      <c r="EE2809" s="367"/>
      <c r="EF2809" s="368"/>
      <c r="EG2809" s="367"/>
      <c r="EH2809" s="367"/>
      <c r="EI2809" s="367"/>
    </row>
    <row r="2810" spans="2:139">
      <c r="B2810" s="33"/>
      <c r="EC2810" s="366" t="str">
        <f t="shared" si="320"/>
        <v>_</v>
      </c>
      <c r="ED2810" s="367"/>
      <c r="EE2810" s="367"/>
      <c r="EF2810" s="368"/>
      <c r="EG2810" s="367"/>
      <c r="EH2810" s="367"/>
      <c r="EI2810" s="367"/>
    </row>
    <row r="2811" spans="2:139">
      <c r="B2811" s="33"/>
      <c r="EC2811" s="366" t="str">
        <f t="shared" si="320"/>
        <v>_</v>
      </c>
      <c r="ED2811" s="367"/>
      <c r="EE2811" s="367"/>
      <c r="EF2811" s="368"/>
      <c r="EG2811" s="367"/>
      <c r="EH2811" s="367"/>
      <c r="EI2811" s="367"/>
    </row>
    <row r="2812" spans="2:139">
      <c r="B2812" s="33"/>
      <c r="EC2812" s="366" t="str">
        <f t="shared" si="320"/>
        <v>_</v>
      </c>
      <c r="ED2812" s="367"/>
      <c r="EE2812" s="367"/>
      <c r="EF2812" s="368"/>
      <c r="EG2812" s="367"/>
      <c r="EH2812" s="367"/>
      <c r="EI2812" s="367"/>
    </row>
    <row r="2813" spans="2:139">
      <c r="B2813" s="33"/>
      <c r="EC2813" s="366" t="str">
        <f t="shared" si="320"/>
        <v>_</v>
      </c>
      <c r="ED2813" s="367"/>
      <c r="EE2813" s="367"/>
      <c r="EF2813" s="368"/>
      <c r="EG2813" s="367"/>
      <c r="EH2813" s="367"/>
      <c r="EI2813" s="367"/>
    </row>
    <row r="2814" spans="2:139">
      <c r="B2814" s="33"/>
      <c r="EC2814" s="366" t="str">
        <f t="shared" si="320"/>
        <v>_</v>
      </c>
      <c r="ED2814" s="367"/>
      <c r="EE2814" s="367"/>
      <c r="EF2814" s="368"/>
      <c r="EG2814" s="367"/>
      <c r="EH2814" s="367"/>
      <c r="EI2814" s="367"/>
    </row>
    <row r="2815" spans="2:139">
      <c r="B2815" s="33"/>
      <c r="EC2815" s="366" t="str">
        <f t="shared" si="320"/>
        <v>_</v>
      </c>
      <c r="ED2815" s="367"/>
      <c r="EE2815" s="367"/>
      <c r="EF2815" s="368"/>
      <c r="EG2815" s="367"/>
      <c r="EH2815" s="367"/>
      <c r="EI2815" s="367"/>
    </row>
    <row r="2816" spans="2:139">
      <c r="B2816" s="33"/>
      <c r="EC2816" s="366" t="str">
        <f t="shared" si="320"/>
        <v>_</v>
      </c>
      <c r="ED2816" s="367"/>
      <c r="EE2816" s="367"/>
      <c r="EF2816" s="368"/>
      <c r="EG2816" s="367"/>
      <c r="EH2816" s="367"/>
      <c r="EI2816" s="367"/>
    </row>
    <row r="2817" spans="2:139">
      <c r="B2817" s="33"/>
      <c r="EC2817" s="366" t="str">
        <f t="shared" si="320"/>
        <v>_</v>
      </c>
      <c r="ED2817" s="367"/>
      <c r="EE2817" s="367"/>
      <c r="EF2817" s="368"/>
      <c r="EG2817" s="367"/>
      <c r="EH2817" s="367"/>
      <c r="EI2817" s="367"/>
    </row>
    <row r="2818" spans="2:139">
      <c r="B2818" s="33"/>
      <c r="EC2818" s="366" t="str">
        <f t="shared" si="320"/>
        <v>_</v>
      </c>
      <c r="ED2818" s="367"/>
      <c r="EE2818" s="367"/>
      <c r="EF2818" s="368"/>
      <c r="EG2818" s="367"/>
      <c r="EH2818" s="367"/>
      <c r="EI2818" s="367"/>
    </row>
    <row r="2819" spans="2:139">
      <c r="B2819" s="33"/>
      <c r="EC2819" s="366" t="str">
        <f t="shared" si="320"/>
        <v>_</v>
      </c>
      <c r="ED2819" s="367"/>
      <c r="EE2819" s="367"/>
      <c r="EF2819" s="368"/>
      <c r="EG2819" s="367"/>
      <c r="EH2819" s="367"/>
      <c r="EI2819" s="367"/>
    </row>
    <row r="2820" spans="2:139">
      <c r="B2820" s="33"/>
      <c r="EC2820" s="366" t="str">
        <f t="shared" si="320"/>
        <v>_</v>
      </c>
      <c r="ED2820" s="367"/>
      <c r="EE2820" s="367"/>
      <c r="EF2820" s="368"/>
      <c r="EG2820" s="367"/>
      <c r="EH2820" s="367"/>
      <c r="EI2820" s="367"/>
    </row>
    <row r="2821" spans="2:139">
      <c r="B2821" s="33"/>
      <c r="EC2821" s="366" t="str">
        <f t="shared" si="320"/>
        <v>_</v>
      </c>
      <c r="ED2821" s="367"/>
      <c r="EE2821" s="367"/>
      <c r="EF2821" s="368"/>
      <c r="EG2821" s="367"/>
      <c r="EH2821" s="367"/>
      <c r="EI2821" s="367"/>
    </row>
    <row r="2822" spans="2:139">
      <c r="B2822" s="33"/>
      <c r="EC2822" s="366" t="str">
        <f t="shared" si="320"/>
        <v>_</v>
      </c>
      <c r="ED2822" s="367"/>
      <c r="EE2822" s="367"/>
      <c r="EF2822" s="368"/>
      <c r="EG2822" s="367"/>
      <c r="EH2822" s="367"/>
      <c r="EI2822" s="367"/>
    </row>
    <row r="2823" spans="2:139">
      <c r="B2823" s="33"/>
      <c r="EC2823" s="366" t="str">
        <f t="shared" si="320"/>
        <v>_</v>
      </c>
      <c r="ED2823" s="367"/>
      <c r="EE2823" s="367"/>
      <c r="EF2823" s="368"/>
      <c r="EG2823" s="367"/>
      <c r="EH2823" s="367"/>
      <c r="EI2823" s="367"/>
    </row>
    <row r="2824" spans="2:139">
      <c r="B2824" s="33"/>
      <c r="EC2824" s="366" t="str">
        <f t="shared" si="320"/>
        <v>_</v>
      </c>
      <c r="ED2824" s="367"/>
      <c r="EE2824" s="367"/>
      <c r="EF2824" s="368"/>
      <c r="EG2824" s="367"/>
      <c r="EH2824" s="367"/>
      <c r="EI2824" s="367"/>
    </row>
    <row r="2825" spans="2:139">
      <c r="B2825" s="33"/>
      <c r="EC2825" s="366" t="str">
        <f t="shared" si="320"/>
        <v>_</v>
      </c>
      <c r="ED2825" s="367"/>
      <c r="EE2825" s="367"/>
      <c r="EF2825" s="368"/>
      <c r="EG2825" s="367"/>
      <c r="EH2825" s="367"/>
      <c r="EI2825" s="367"/>
    </row>
    <row r="2826" spans="2:139">
      <c r="B2826" s="33"/>
      <c r="EC2826" s="366" t="str">
        <f t="shared" si="320"/>
        <v>_</v>
      </c>
      <c r="ED2826" s="367"/>
      <c r="EE2826" s="367"/>
      <c r="EF2826" s="368"/>
      <c r="EG2826" s="367"/>
      <c r="EH2826" s="367"/>
      <c r="EI2826" s="367"/>
    </row>
    <row r="2827" spans="2:139">
      <c r="B2827" s="33"/>
      <c r="EC2827" s="366" t="str">
        <f t="shared" si="320"/>
        <v>_</v>
      </c>
      <c r="ED2827" s="367"/>
      <c r="EE2827" s="367"/>
      <c r="EF2827" s="368"/>
      <c r="EG2827" s="367"/>
      <c r="EH2827" s="367"/>
      <c r="EI2827" s="367"/>
    </row>
    <row r="2828" spans="2:139">
      <c r="B2828" s="33"/>
      <c r="EC2828" s="366" t="str">
        <f t="shared" si="320"/>
        <v>_</v>
      </c>
      <c r="ED2828" s="367"/>
      <c r="EE2828" s="367"/>
      <c r="EF2828" s="368"/>
      <c r="EG2828" s="367"/>
      <c r="EH2828" s="367"/>
      <c r="EI2828" s="367"/>
    </row>
    <row r="2829" spans="2:139">
      <c r="B2829" s="33"/>
      <c r="EC2829" s="366" t="str">
        <f t="shared" si="320"/>
        <v>_</v>
      </c>
      <c r="ED2829" s="367"/>
      <c r="EE2829" s="367"/>
      <c r="EF2829" s="368"/>
      <c r="EG2829" s="367"/>
      <c r="EH2829" s="367"/>
      <c r="EI2829" s="367"/>
    </row>
    <row r="2830" spans="2:139">
      <c r="B2830" s="33"/>
      <c r="EC2830" s="366" t="str">
        <f t="shared" si="320"/>
        <v>_</v>
      </c>
      <c r="ED2830" s="367"/>
      <c r="EE2830" s="367"/>
      <c r="EF2830" s="368"/>
      <c r="EG2830" s="367"/>
      <c r="EH2830" s="367"/>
      <c r="EI2830" s="367"/>
    </row>
    <row r="2831" spans="2:139">
      <c r="B2831" s="33"/>
      <c r="EC2831" s="366" t="str">
        <f t="shared" si="320"/>
        <v>_</v>
      </c>
      <c r="ED2831" s="367"/>
      <c r="EE2831" s="367"/>
      <c r="EF2831" s="368"/>
      <c r="EG2831" s="367"/>
      <c r="EH2831" s="367"/>
      <c r="EI2831" s="367"/>
    </row>
    <row r="2832" spans="2:139">
      <c r="B2832" s="33"/>
      <c r="EC2832" s="366" t="str">
        <f t="shared" si="320"/>
        <v>_</v>
      </c>
      <c r="ED2832" s="367"/>
      <c r="EE2832" s="367"/>
      <c r="EF2832" s="368"/>
      <c r="EG2832" s="367"/>
      <c r="EH2832" s="367"/>
      <c r="EI2832" s="367"/>
    </row>
    <row r="2833" spans="2:139">
      <c r="B2833" s="33"/>
      <c r="EC2833" s="366" t="str">
        <f t="shared" si="320"/>
        <v>_</v>
      </c>
      <c r="ED2833" s="367"/>
      <c r="EE2833" s="367"/>
      <c r="EF2833" s="368"/>
      <c r="EG2833" s="367"/>
      <c r="EH2833" s="367"/>
      <c r="EI2833" s="367"/>
    </row>
    <row r="2834" spans="2:139">
      <c r="B2834" s="33"/>
      <c r="EC2834" s="366" t="str">
        <f t="shared" si="320"/>
        <v>_</v>
      </c>
      <c r="ED2834" s="367"/>
      <c r="EE2834" s="367"/>
      <c r="EF2834" s="368"/>
      <c r="EG2834" s="367"/>
      <c r="EH2834" s="367"/>
      <c r="EI2834" s="367"/>
    </row>
    <row r="2835" spans="2:139">
      <c r="B2835" s="33"/>
      <c r="EC2835" s="366" t="str">
        <f t="shared" si="320"/>
        <v>_</v>
      </c>
      <c r="ED2835" s="367"/>
      <c r="EE2835" s="367"/>
      <c r="EF2835" s="368"/>
      <c r="EG2835" s="367"/>
      <c r="EH2835" s="367"/>
      <c r="EI2835" s="367"/>
    </row>
    <row r="2836" spans="2:139">
      <c r="B2836" s="33"/>
      <c r="EC2836" s="366" t="str">
        <f t="shared" si="320"/>
        <v>_</v>
      </c>
      <c r="ED2836" s="367"/>
      <c r="EE2836" s="367"/>
      <c r="EF2836" s="368"/>
      <c r="EG2836" s="367"/>
      <c r="EH2836" s="367"/>
      <c r="EI2836" s="367"/>
    </row>
    <row r="2837" spans="2:139">
      <c r="B2837" s="33"/>
      <c r="EC2837" s="366" t="str">
        <f t="shared" si="320"/>
        <v>_</v>
      </c>
      <c r="ED2837" s="367"/>
      <c r="EE2837" s="367"/>
      <c r="EF2837" s="368"/>
      <c r="EG2837" s="367"/>
      <c r="EH2837" s="367"/>
      <c r="EI2837" s="367"/>
    </row>
    <row r="2838" spans="2:139">
      <c r="B2838" s="33"/>
      <c r="EC2838" s="366" t="str">
        <f t="shared" si="320"/>
        <v>_</v>
      </c>
      <c r="ED2838" s="367"/>
      <c r="EE2838" s="367"/>
      <c r="EF2838" s="368"/>
      <c r="EG2838" s="367"/>
      <c r="EH2838" s="367"/>
      <c r="EI2838" s="367"/>
    </row>
    <row r="2839" spans="2:139">
      <c r="B2839" s="33"/>
      <c r="EC2839" s="366" t="str">
        <f t="shared" ref="EC2839:EC2902" si="321">B2839&amp;"_"&amp;C2839</f>
        <v>_</v>
      </c>
      <c r="ED2839" s="367"/>
      <c r="EE2839" s="367"/>
      <c r="EF2839" s="368"/>
      <c r="EG2839" s="367"/>
      <c r="EH2839" s="367"/>
      <c r="EI2839" s="367"/>
    </row>
    <row r="2840" spans="2:139">
      <c r="B2840" s="33"/>
      <c r="EC2840" s="366" t="str">
        <f t="shared" si="321"/>
        <v>_</v>
      </c>
      <c r="ED2840" s="367"/>
      <c r="EE2840" s="367"/>
      <c r="EF2840" s="368"/>
      <c r="EG2840" s="367"/>
      <c r="EH2840" s="367"/>
      <c r="EI2840" s="367"/>
    </row>
    <row r="2841" spans="2:139">
      <c r="B2841" s="33"/>
      <c r="EC2841" s="366" t="str">
        <f t="shared" si="321"/>
        <v>_</v>
      </c>
      <c r="ED2841" s="367"/>
      <c r="EE2841" s="367"/>
      <c r="EF2841" s="368"/>
      <c r="EG2841" s="367"/>
      <c r="EH2841" s="367"/>
      <c r="EI2841" s="367"/>
    </row>
    <row r="2842" spans="2:139">
      <c r="B2842" s="33"/>
      <c r="EC2842" s="366" t="str">
        <f t="shared" si="321"/>
        <v>_</v>
      </c>
      <c r="ED2842" s="367"/>
      <c r="EE2842" s="367"/>
      <c r="EF2842" s="368"/>
      <c r="EG2842" s="367"/>
      <c r="EH2842" s="367"/>
      <c r="EI2842" s="367"/>
    </row>
    <row r="2843" spans="2:139">
      <c r="B2843" s="33"/>
      <c r="EC2843" s="366" t="str">
        <f t="shared" si="321"/>
        <v>_</v>
      </c>
      <c r="ED2843" s="367"/>
      <c r="EE2843" s="367"/>
      <c r="EF2843" s="368"/>
      <c r="EG2843" s="367"/>
      <c r="EH2843" s="367"/>
      <c r="EI2843" s="367"/>
    </row>
    <row r="2844" spans="2:139">
      <c r="B2844" s="33"/>
      <c r="EC2844" s="366" t="str">
        <f t="shared" si="321"/>
        <v>_</v>
      </c>
      <c r="ED2844" s="367"/>
      <c r="EE2844" s="367"/>
      <c r="EF2844" s="368"/>
      <c r="EG2844" s="367"/>
      <c r="EH2844" s="367"/>
      <c r="EI2844" s="367"/>
    </row>
    <row r="2845" spans="2:139">
      <c r="B2845" s="33"/>
      <c r="EC2845" s="366" t="str">
        <f t="shared" si="321"/>
        <v>_</v>
      </c>
      <c r="ED2845" s="367"/>
      <c r="EE2845" s="367"/>
      <c r="EF2845" s="368"/>
      <c r="EG2845" s="367"/>
      <c r="EH2845" s="367"/>
      <c r="EI2845" s="367"/>
    </row>
    <row r="2846" spans="2:139">
      <c r="B2846" s="33"/>
      <c r="EC2846" s="366" t="str">
        <f t="shared" si="321"/>
        <v>_</v>
      </c>
      <c r="ED2846" s="367"/>
      <c r="EE2846" s="367"/>
      <c r="EF2846" s="368"/>
      <c r="EG2846" s="367"/>
      <c r="EH2846" s="367"/>
      <c r="EI2846" s="367"/>
    </row>
    <row r="2847" spans="2:139">
      <c r="B2847" s="33"/>
      <c r="EC2847" s="366" t="str">
        <f t="shared" si="321"/>
        <v>_</v>
      </c>
      <c r="ED2847" s="367"/>
      <c r="EE2847" s="367"/>
      <c r="EF2847" s="368"/>
      <c r="EG2847" s="367"/>
      <c r="EH2847" s="367"/>
      <c r="EI2847" s="367"/>
    </row>
    <row r="2848" spans="2:139">
      <c r="B2848" s="33"/>
      <c r="EC2848" s="366" t="str">
        <f t="shared" si="321"/>
        <v>_</v>
      </c>
      <c r="ED2848" s="367"/>
      <c r="EE2848" s="367"/>
      <c r="EF2848" s="368"/>
      <c r="EG2848" s="367"/>
      <c r="EH2848" s="367"/>
      <c r="EI2848" s="367"/>
    </row>
    <row r="2849" spans="2:139">
      <c r="B2849" s="33"/>
      <c r="EC2849" s="366" t="str">
        <f t="shared" si="321"/>
        <v>_</v>
      </c>
      <c r="ED2849" s="367"/>
      <c r="EE2849" s="367"/>
      <c r="EF2849" s="368"/>
      <c r="EG2849" s="367"/>
      <c r="EH2849" s="367"/>
      <c r="EI2849" s="367"/>
    </row>
    <row r="2850" spans="2:139">
      <c r="B2850" s="33"/>
      <c r="EC2850" s="366" t="str">
        <f t="shared" si="321"/>
        <v>_</v>
      </c>
      <c r="ED2850" s="367"/>
      <c r="EE2850" s="367"/>
      <c r="EF2850" s="368"/>
      <c r="EG2850" s="367"/>
      <c r="EH2850" s="367"/>
      <c r="EI2850" s="367"/>
    </row>
    <row r="2851" spans="2:139">
      <c r="B2851" s="33"/>
      <c r="EC2851" s="366" t="str">
        <f t="shared" si="321"/>
        <v>_</v>
      </c>
      <c r="ED2851" s="367"/>
      <c r="EE2851" s="367"/>
      <c r="EF2851" s="368"/>
      <c r="EG2851" s="367"/>
      <c r="EH2851" s="367"/>
      <c r="EI2851" s="367"/>
    </row>
    <row r="2852" spans="2:139">
      <c r="B2852" s="33"/>
      <c r="EC2852" s="366" t="str">
        <f t="shared" si="321"/>
        <v>_</v>
      </c>
      <c r="ED2852" s="367"/>
      <c r="EE2852" s="367"/>
      <c r="EF2852" s="368"/>
      <c r="EG2852" s="367"/>
      <c r="EH2852" s="367"/>
      <c r="EI2852" s="367"/>
    </row>
    <row r="2853" spans="2:139">
      <c r="B2853" s="33"/>
      <c r="EC2853" s="366" t="str">
        <f t="shared" si="321"/>
        <v>_</v>
      </c>
      <c r="ED2853" s="367"/>
      <c r="EE2853" s="367"/>
      <c r="EF2853" s="368"/>
      <c r="EG2853" s="367"/>
      <c r="EH2853" s="367"/>
      <c r="EI2853" s="367"/>
    </row>
    <row r="2854" spans="2:139">
      <c r="B2854" s="33"/>
      <c r="EC2854" s="366" t="str">
        <f t="shared" si="321"/>
        <v>_</v>
      </c>
      <c r="ED2854" s="367"/>
      <c r="EE2854" s="367"/>
      <c r="EF2854" s="368"/>
      <c r="EG2854" s="367"/>
      <c r="EH2854" s="367"/>
      <c r="EI2854" s="367"/>
    </row>
    <row r="2855" spans="2:139">
      <c r="B2855" s="33"/>
      <c r="EC2855" s="366" t="str">
        <f t="shared" si="321"/>
        <v>_</v>
      </c>
      <c r="ED2855" s="367"/>
      <c r="EE2855" s="367"/>
      <c r="EF2855" s="368"/>
      <c r="EG2855" s="367"/>
      <c r="EH2855" s="367"/>
      <c r="EI2855" s="367"/>
    </row>
    <row r="2856" spans="2:139">
      <c r="B2856" s="33"/>
      <c r="EC2856" s="366" t="str">
        <f t="shared" si="321"/>
        <v>_</v>
      </c>
      <c r="ED2856" s="367"/>
      <c r="EE2856" s="367"/>
      <c r="EF2856" s="368"/>
      <c r="EG2856" s="367"/>
      <c r="EH2856" s="367"/>
      <c r="EI2856" s="367"/>
    </row>
    <row r="2857" spans="2:139">
      <c r="B2857" s="33"/>
      <c r="EC2857" s="366" t="str">
        <f t="shared" si="321"/>
        <v>_</v>
      </c>
      <c r="ED2857" s="367"/>
      <c r="EE2857" s="367"/>
      <c r="EF2857" s="368"/>
      <c r="EG2857" s="367"/>
      <c r="EH2857" s="367"/>
      <c r="EI2857" s="367"/>
    </row>
    <row r="2858" spans="2:139">
      <c r="B2858" s="33"/>
      <c r="EC2858" s="366" t="str">
        <f t="shared" si="321"/>
        <v>_</v>
      </c>
      <c r="ED2858" s="367"/>
      <c r="EE2858" s="367"/>
      <c r="EF2858" s="368"/>
      <c r="EG2858" s="367"/>
      <c r="EH2858" s="367"/>
      <c r="EI2858" s="367"/>
    </row>
    <row r="2859" spans="2:139">
      <c r="B2859" s="33"/>
      <c r="EC2859" s="366" t="str">
        <f t="shared" si="321"/>
        <v>_</v>
      </c>
      <c r="ED2859" s="367"/>
      <c r="EE2859" s="367"/>
      <c r="EF2859" s="368"/>
      <c r="EG2859" s="367"/>
      <c r="EH2859" s="367"/>
      <c r="EI2859" s="367"/>
    </row>
    <row r="2860" spans="2:139">
      <c r="B2860" s="33"/>
      <c r="EC2860" s="366" t="str">
        <f t="shared" si="321"/>
        <v>_</v>
      </c>
      <c r="ED2860" s="367"/>
      <c r="EE2860" s="367"/>
      <c r="EF2860" s="368"/>
      <c r="EG2860" s="367"/>
      <c r="EH2860" s="367"/>
      <c r="EI2860" s="367"/>
    </row>
    <row r="2861" spans="2:139">
      <c r="B2861" s="33"/>
      <c r="EC2861" s="366" t="str">
        <f t="shared" si="321"/>
        <v>_</v>
      </c>
      <c r="ED2861" s="367"/>
      <c r="EE2861" s="367"/>
      <c r="EF2861" s="368"/>
      <c r="EG2861" s="367"/>
      <c r="EH2861" s="367"/>
      <c r="EI2861" s="367"/>
    </row>
    <row r="2862" spans="2:139">
      <c r="B2862" s="33"/>
      <c r="EC2862" s="366" t="str">
        <f t="shared" si="321"/>
        <v>_</v>
      </c>
      <c r="ED2862" s="367"/>
      <c r="EE2862" s="367"/>
      <c r="EF2862" s="368"/>
      <c r="EG2862" s="367"/>
      <c r="EH2862" s="367"/>
      <c r="EI2862" s="367"/>
    </row>
    <row r="2863" spans="2:139">
      <c r="B2863" s="33"/>
      <c r="EC2863" s="366" t="str">
        <f t="shared" si="321"/>
        <v>_</v>
      </c>
      <c r="ED2863" s="367"/>
      <c r="EE2863" s="367"/>
      <c r="EF2863" s="368"/>
      <c r="EG2863" s="367"/>
      <c r="EH2863" s="367"/>
      <c r="EI2863" s="367"/>
    </row>
    <row r="2864" spans="2:139">
      <c r="B2864" s="33"/>
      <c r="EC2864" s="366" t="str">
        <f t="shared" si="321"/>
        <v>_</v>
      </c>
      <c r="ED2864" s="367"/>
      <c r="EE2864" s="367"/>
      <c r="EF2864" s="368"/>
      <c r="EG2864" s="367"/>
      <c r="EH2864" s="367"/>
      <c r="EI2864" s="367"/>
    </row>
    <row r="2865" spans="2:139">
      <c r="B2865" s="33"/>
      <c r="EC2865" s="366" t="str">
        <f t="shared" si="321"/>
        <v>_</v>
      </c>
      <c r="ED2865" s="367"/>
      <c r="EE2865" s="367"/>
      <c r="EF2865" s="368"/>
      <c r="EG2865" s="367"/>
      <c r="EH2865" s="367"/>
      <c r="EI2865" s="367"/>
    </row>
    <row r="2866" spans="2:139">
      <c r="B2866" s="33"/>
      <c r="EC2866" s="366" t="str">
        <f t="shared" si="321"/>
        <v>_</v>
      </c>
      <c r="ED2866" s="367"/>
      <c r="EE2866" s="367"/>
      <c r="EF2866" s="368"/>
      <c r="EG2866" s="367"/>
      <c r="EH2866" s="367"/>
      <c r="EI2866" s="367"/>
    </row>
    <row r="2867" spans="2:139">
      <c r="B2867" s="33"/>
      <c r="EC2867" s="366" t="str">
        <f t="shared" si="321"/>
        <v>_</v>
      </c>
      <c r="ED2867" s="367"/>
      <c r="EE2867" s="367"/>
      <c r="EF2867" s="368"/>
      <c r="EG2867" s="367"/>
      <c r="EH2867" s="367"/>
      <c r="EI2867" s="367"/>
    </row>
    <row r="2868" spans="2:139">
      <c r="B2868" s="33"/>
      <c r="EC2868" s="366" t="str">
        <f t="shared" si="321"/>
        <v>_</v>
      </c>
      <c r="ED2868" s="367"/>
      <c r="EE2868" s="367"/>
      <c r="EF2868" s="368"/>
      <c r="EG2868" s="367"/>
      <c r="EH2868" s="367"/>
      <c r="EI2868" s="367"/>
    </row>
    <row r="2869" spans="2:139">
      <c r="B2869" s="33"/>
      <c r="EC2869" s="366" t="str">
        <f t="shared" si="321"/>
        <v>_</v>
      </c>
      <c r="ED2869" s="367"/>
      <c r="EE2869" s="367"/>
      <c r="EF2869" s="368"/>
      <c r="EG2869" s="367"/>
      <c r="EH2869" s="367"/>
      <c r="EI2869" s="367"/>
    </row>
    <row r="2870" spans="2:139">
      <c r="B2870" s="33"/>
      <c r="EC2870" s="366" t="str">
        <f t="shared" si="321"/>
        <v>_</v>
      </c>
      <c r="ED2870" s="367"/>
      <c r="EE2870" s="367"/>
      <c r="EF2870" s="368"/>
      <c r="EG2870" s="367"/>
      <c r="EH2870" s="367"/>
      <c r="EI2870" s="367"/>
    </row>
    <row r="2871" spans="2:139">
      <c r="B2871" s="33"/>
      <c r="EC2871" s="366" t="str">
        <f t="shared" si="321"/>
        <v>_</v>
      </c>
      <c r="ED2871" s="367"/>
      <c r="EE2871" s="367"/>
      <c r="EF2871" s="368"/>
      <c r="EG2871" s="367"/>
      <c r="EH2871" s="367"/>
      <c r="EI2871" s="367"/>
    </row>
    <row r="2872" spans="2:139">
      <c r="B2872" s="33"/>
      <c r="EC2872" s="366" t="str">
        <f t="shared" si="321"/>
        <v>_</v>
      </c>
      <c r="ED2872" s="367"/>
      <c r="EE2872" s="367"/>
      <c r="EF2872" s="368"/>
      <c r="EG2872" s="367"/>
      <c r="EH2872" s="367"/>
      <c r="EI2872" s="367"/>
    </row>
    <row r="2873" spans="2:139">
      <c r="B2873" s="33"/>
      <c r="EC2873" s="366" t="str">
        <f t="shared" si="321"/>
        <v>_</v>
      </c>
      <c r="ED2873" s="367"/>
      <c r="EE2873" s="367"/>
      <c r="EF2873" s="368"/>
      <c r="EG2873" s="367"/>
      <c r="EH2873" s="367"/>
      <c r="EI2873" s="367"/>
    </row>
    <row r="2874" spans="2:139">
      <c r="B2874" s="33"/>
      <c r="EC2874" s="366" t="str">
        <f t="shared" si="321"/>
        <v>_</v>
      </c>
      <c r="ED2874" s="367"/>
      <c r="EE2874" s="367"/>
      <c r="EF2874" s="368"/>
      <c r="EG2874" s="367"/>
      <c r="EH2874" s="367"/>
      <c r="EI2874" s="367"/>
    </row>
    <row r="2875" spans="2:139">
      <c r="B2875" s="33"/>
      <c r="EC2875" s="366" t="str">
        <f t="shared" si="321"/>
        <v>_</v>
      </c>
      <c r="ED2875" s="367"/>
      <c r="EE2875" s="367"/>
      <c r="EF2875" s="368"/>
      <c r="EG2875" s="367"/>
      <c r="EH2875" s="367"/>
      <c r="EI2875" s="367"/>
    </row>
    <row r="2876" spans="2:139">
      <c r="B2876" s="33"/>
      <c r="EC2876" s="366" t="str">
        <f t="shared" si="321"/>
        <v>_</v>
      </c>
      <c r="ED2876" s="367"/>
      <c r="EE2876" s="367"/>
      <c r="EF2876" s="368"/>
      <c r="EG2876" s="367"/>
      <c r="EH2876" s="367"/>
      <c r="EI2876" s="367"/>
    </row>
    <row r="2877" spans="2:139">
      <c r="B2877" s="33"/>
      <c r="EC2877" s="366" t="str">
        <f t="shared" si="321"/>
        <v>_</v>
      </c>
      <c r="ED2877" s="367"/>
      <c r="EE2877" s="367"/>
      <c r="EF2877" s="368"/>
      <c r="EG2877" s="367"/>
      <c r="EH2877" s="367"/>
      <c r="EI2877" s="367"/>
    </row>
    <row r="2878" spans="2:139">
      <c r="B2878" s="33"/>
      <c r="EC2878" s="366" t="str">
        <f t="shared" si="321"/>
        <v>_</v>
      </c>
      <c r="ED2878" s="367"/>
      <c r="EE2878" s="367"/>
      <c r="EF2878" s="368"/>
      <c r="EG2878" s="367"/>
      <c r="EH2878" s="367"/>
      <c r="EI2878" s="367"/>
    </row>
    <row r="2879" spans="2:139">
      <c r="B2879" s="33"/>
      <c r="EC2879" s="366" t="str">
        <f t="shared" si="321"/>
        <v>_</v>
      </c>
      <c r="ED2879" s="367"/>
      <c r="EE2879" s="367"/>
      <c r="EF2879" s="368"/>
      <c r="EG2879" s="367"/>
      <c r="EH2879" s="367"/>
      <c r="EI2879" s="367"/>
    </row>
    <row r="2880" spans="2:139">
      <c r="B2880" s="33"/>
      <c r="EC2880" s="366" t="str">
        <f t="shared" si="321"/>
        <v>_</v>
      </c>
      <c r="ED2880" s="367"/>
      <c r="EE2880" s="367"/>
      <c r="EF2880" s="368"/>
      <c r="EG2880" s="367"/>
      <c r="EH2880" s="367"/>
      <c r="EI2880" s="367"/>
    </row>
    <row r="2881" spans="2:139">
      <c r="B2881" s="33"/>
      <c r="EC2881" s="366" t="str">
        <f t="shared" si="321"/>
        <v>_</v>
      </c>
      <c r="ED2881" s="367"/>
      <c r="EE2881" s="367"/>
      <c r="EF2881" s="368"/>
      <c r="EG2881" s="367"/>
      <c r="EH2881" s="367"/>
      <c r="EI2881" s="367"/>
    </row>
    <row r="2882" spans="2:139">
      <c r="B2882" s="33"/>
      <c r="EC2882" s="366" t="str">
        <f t="shared" si="321"/>
        <v>_</v>
      </c>
      <c r="ED2882" s="367"/>
      <c r="EE2882" s="367"/>
      <c r="EF2882" s="368"/>
      <c r="EG2882" s="367"/>
      <c r="EH2882" s="367"/>
      <c r="EI2882" s="367"/>
    </row>
    <row r="2883" spans="2:139">
      <c r="B2883" s="33"/>
      <c r="EC2883" s="366" t="str">
        <f t="shared" si="321"/>
        <v>_</v>
      </c>
      <c r="ED2883" s="367"/>
      <c r="EE2883" s="367"/>
      <c r="EF2883" s="368"/>
      <c r="EG2883" s="367"/>
      <c r="EH2883" s="367"/>
      <c r="EI2883" s="367"/>
    </row>
    <row r="2884" spans="2:139">
      <c r="B2884" s="33"/>
      <c r="EC2884" s="366" t="str">
        <f t="shared" si="321"/>
        <v>_</v>
      </c>
      <c r="ED2884" s="367"/>
      <c r="EE2884" s="367"/>
      <c r="EF2884" s="368"/>
      <c r="EG2884" s="367"/>
      <c r="EH2884" s="367"/>
      <c r="EI2884" s="367"/>
    </row>
    <row r="2885" spans="2:139">
      <c r="B2885" s="33"/>
      <c r="EC2885" s="366" t="str">
        <f t="shared" si="321"/>
        <v>_</v>
      </c>
      <c r="ED2885" s="367"/>
      <c r="EE2885" s="367"/>
      <c r="EF2885" s="368"/>
      <c r="EG2885" s="367"/>
      <c r="EH2885" s="367"/>
      <c r="EI2885" s="367"/>
    </row>
    <row r="2886" spans="2:139">
      <c r="B2886" s="33"/>
      <c r="EC2886" s="366" t="str">
        <f t="shared" si="321"/>
        <v>_</v>
      </c>
      <c r="ED2886" s="367"/>
      <c r="EE2886" s="367"/>
      <c r="EF2886" s="368"/>
      <c r="EG2886" s="367"/>
      <c r="EH2886" s="367"/>
      <c r="EI2886" s="367"/>
    </row>
    <row r="2887" spans="2:139">
      <c r="B2887" s="33"/>
      <c r="EC2887" s="366" t="str">
        <f t="shared" si="321"/>
        <v>_</v>
      </c>
      <c r="ED2887" s="367"/>
      <c r="EE2887" s="367"/>
      <c r="EF2887" s="368"/>
      <c r="EG2887" s="367"/>
      <c r="EH2887" s="367"/>
      <c r="EI2887" s="367"/>
    </row>
    <row r="2888" spans="2:139">
      <c r="B2888" s="33"/>
      <c r="EC2888" s="366" t="str">
        <f t="shared" si="321"/>
        <v>_</v>
      </c>
      <c r="ED2888" s="367"/>
      <c r="EE2888" s="367"/>
      <c r="EF2888" s="368"/>
      <c r="EG2888" s="367"/>
      <c r="EH2888" s="367"/>
      <c r="EI2888" s="367"/>
    </row>
    <row r="2889" spans="2:139">
      <c r="B2889" s="33"/>
      <c r="EC2889" s="366" t="str">
        <f t="shared" si="321"/>
        <v>_</v>
      </c>
      <c r="ED2889" s="367"/>
      <c r="EE2889" s="367"/>
      <c r="EF2889" s="368"/>
      <c r="EG2889" s="367"/>
      <c r="EH2889" s="367"/>
      <c r="EI2889" s="367"/>
    </row>
    <row r="2890" spans="2:139">
      <c r="B2890" s="33"/>
      <c r="EC2890" s="366" t="str">
        <f t="shared" si="321"/>
        <v>_</v>
      </c>
      <c r="ED2890" s="367"/>
      <c r="EE2890" s="367"/>
      <c r="EF2890" s="368"/>
      <c r="EG2890" s="367"/>
      <c r="EH2890" s="367"/>
      <c r="EI2890" s="367"/>
    </row>
    <row r="2891" spans="2:139">
      <c r="B2891" s="33"/>
      <c r="EC2891" s="366" t="str">
        <f t="shared" si="321"/>
        <v>_</v>
      </c>
      <c r="ED2891" s="367"/>
      <c r="EE2891" s="367"/>
      <c r="EF2891" s="368"/>
      <c r="EG2891" s="367"/>
      <c r="EH2891" s="367"/>
      <c r="EI2891" s="367"/>
    </row>
    <row r="2892" spans="2:139">
      <c r="B2892" s="33"/>
      <c r="EC2892" s="366" t="str">
        <f t="shared" si="321"/>
        <v>_</v>
      </c>
      <c r="ED2892" s="367"/>
      <c r="EE2892" s="367"/>
      <c r="EF2892" s="368"/>
      <c r="EG2892" s="367"/>
      <c r="EH2892" s="367"/>
      <c r="EI2892" s="367"/>
    </row>
    <row r="2893" spans="2:139">
      <c r="B2893" s="33"/>
      <c r="EC2893" s="366" t="str">
        <f t="shared" si="321"/>
        <v>_</v>
      </c>
      <c r="ED2893" s="367"/>
      <c r="EE2893" s="367"/>
      <c r="EF2893" s="368"/>
      <c r="EG2893" s="367"/>
      <c r="EH2893" s="367"/>
      <c r="EI2893" s="367"/>
    </row>
    <row r="2894" spans="2:139">
      <c r="B2894" s="33"/>
      <c r="EC2894" s="366" t="str">
        <f t="shared" si="321"/>
        <v>_</v>
      </c>
      <c r="ED2894" s="367"/>
      <c r="EE2894" s="367"/>
      <c r="EF2894" s="368"/>
      <c r="EG2894" s="367"/>
      <c r="EH2894" s="367"/>
      <c r="EI2894" s="367"/>
    </row>
    <row r="2895" spans="2:139">
      <c r="B2895" s="33"/>
      <c r="EC2895" s="366" t="str">
        <f t="shared" si="321"/>
        <v>_</v>
      </c>
      <c r="ED2895" s="367"/>
      <c r="EE2895" s="367"/>
      <c r="EF2895" s="368"/>
      <c r="EG2895" s="367"/>
      <c r="EH2895" s="367"/>
      <c r="EI2895" s="367"/>
    </row>
    <row r="2896" spans="2:139">
      <c r="B2896" s="33"/>
      <c r="EC2896" s="366" t="str">
        <f t="shared" si="321"/>
        <v>_</v>
      </c>
      <c r="ED2896" s="367"/>
      <c r="EE2896" s="367"/>
      <c r="EF2896" s="368"/>
      <c r="EG2896" s="367"/>
      <c r="EH2896" s="367"/>
      <c r="EI2896" s="367"/>
    </row>
    <row r="2897" spans="2:139">
      <c r="B2897" s="33"/>
      <c r="EC2897" s="366" t="str">
        <f t="shared" si="321"/>
        <v>_</v>
      </c>
      <c r="ED2897" s="367"/>
      <c r="EE2897" s="367"/>
      <c r="EF2897" s="368"/>
      <c r="EG2897" s="367"/>
      <c r="EH2897" s="367"/>
      <c r="EI2897" s="367"/>
    </row>
    <row r="2898" spans="2:139">
      <c r="B2898" s="33"/>
      <c r="EC2898" s="366" t="str">
        <f t="shared" si="321"/>
        <v>_</v>
      </c>
      <c r="ED2898" s="367"/>
      <c r="EE2898" s="367"/>
      <c r="EF2898" s="368"/>
      <c r="EG2898" s="367"/>
      <c r="EH2898" s="367"/>
      <c r="EI2898" s="367"/>
    </row>
    <row r="2899" spans="2:139">
      <c r="B2899" s="33"/>
      <c r="EC2899" s="366" t="str">
        <f t="shared" si="321"/>
        <v>_</v>
      </c>
      <c r="ED2899" s="367"/>
      <c r="EE2899" s="367"/>
      <c r="EF2899" s="368"/>
      <c r="EG2899" s="367"/>
      <c r="EH2899" s="367"/>
      <c r="EI2899" s="367"/>
    </row>
    <row r="2900" spans="2:139">
      <c r="B2900" s="33"/>
      <c r="EC2900" s="366" t="str">
        <f t="shared" si="321"/>
        <v>_</v>
      </c>
      <c r="ED2900" s="367"/>
      <c r="EE2900" s="367"/>
      <c r="EF2900" s="368"/>
      <c r="EG2900" s="367"/>
      <c r="EH2900" s="367"/>
      <c r="EI2900" s="367"/>
    </row>
    <row r="2901" spans="2:139">
      <c r="B2901" s="33"/>
      <c r="EC2901" s="366" t="str">
        <f t="shared" si="321"/>
        <v>_</v>
      </c>
      <c r="ED2901" s="367"/>
      <c r="EE2901" s="367"/>
      <c r="EF2901" s="368"/>
      <c r="EG2901" s="367"/>
      <c r="EH2901" s="367"/>
      <c r="EI2901" s="367"/>
    </row>
    <row r="2902" spans="2:139">
      <c r="B2902" s="33"/>
      <c r="EC2902" s="366" t="str">
        <f t="shared" si="321"/>
        <v>_</v>
      </c>
      <c r="ED2902" s="367"/>
      <c r="EE2902" s="367"/>
      <c r="EF2902" s="368"/>
      <c r="EG2902" s="367"/>
      <c r="EH2902" s="367"/>
      <c r="EI2902" s="367"/>
    </row>
    <row r="2903" spans="2:139">
      <c r="B2903" s="33"/>
      <c r="EC2903" s="366" t="str">
        <f t="shared" ref="EC2903:EC2966" si="322">B2903&amp;"_"&amp;C2903</f>
        <v>_</v>
      </c>
      <c r="ED2903" s="367"/>
      <c r="EE2903" s="367"/>
      <c r="EF2903" s="368"/>
      <c r="EG2903" s="367"/>
      <c r="EH2903" s="367"/>
      <c r="EI2903" s="367"/>
    </row>
    <row r="2904" spans="2:139">
      <c r="B2904" s="33"/>
      <c r="EC2904" s="366" t="str">
        <f t="shared" si="322"/>
        <v>_</v>
      </c>
      <c r="ED2904" s="367"/>
      <c r="EE2904" s="367"/>
      <c r="EF2904" s="368"/>
      <c r="EG2904" s="367"/>
      <c r="EH2904" s="367"/>
      <c r="EI2904" s="367"/>
    </row>
    <row r="2905" spans="2:139">
      <c r="B2905" s="33"/>
      <c r="EC2905" s="366" t="str">
        <f t="shared" si="322"/>
        <v>_</v>
      </c>
      <c r="ED2905" s="367"/>
      <c r="EE2905" s="367"/>
      <c r="EF2905" s="368"/>
      <c r="EG2905" s="367"/>
      <c r="EH2905" s="367"/>
      <c r="EI2905" s="367"/>
    </row>
    <row r="2906" spans="2:139">
      <c r="B2906" s="33"/>
      <c r="EC2906" s="366" t="str">
        <f t="shared" si="322"/>
        <v>_</v>
      </c>
      <c r="ED2906" s="367"/>
      <c r="EE2906" s="367"/>
      <c r="EF2906" s="368"/>
      <c r="EG2906" s="367"/>
      <c r="EH2906" s="367"/>
      <c r="EI2906" s="367"/>
    </row>
    <row r="2907" spans="2:139">
      <c r="B2907" s="33"/>
      <c r="EC2907" s="366" t="str">
        <f t="shared" si="322"/>
        <v>_</v>
      </c>
      <c r="ED2907" s="367"/>
      <c r="EE2907" s="367"/>
      <c r="EF2907" s="368"/>
      <c r="EG2907" s="367"/>
      <c r="EH2907" s="367"/>
      <c r="EI2907" s="367"/>
    </row>
    <row r="2908" spans="2:139">
      <c r="B2908" s="33"/>
      <c r="AA2908" s="167">
        <v>0</v>
      </c>
      <c r="EC2908" s="366" t="str">
        <f t="shared" si="322"/>
        <v>_</v>
      </c>
      <c r="ED2908" s="367"/>
      <c r="EE2908" s="367"/>
      <c r="EF2908" s="368"/>
      <c r="EG2908" s="367"/>
      <c r="EH2908" s="367"/>
      <c r="EI2908" s="367"/>
    </row>
    <row r="2909" spans="2:139">
      <c r="B2909" s="33"/>
      <c r="EC2909" s="366" t="str">
        <f t="shared" si="322"/>
        <v>_</v>
      </c>
      <c r="ED2909" s="367"/>
      <c r="EE2909" s="367"/>
      <c r="EF2909" s="368"/>
      <c r="EG2909" s="367"/>
      <c r="EH2909" s="367"/>
      <c r="EI2909" s="367"/>
    </row>
    <row r="2910" spans="2:139">
      <c r="B2910" s="33"/>
      <c r="EC2910" s="366" t="str">
        <f t="shared" si="322"/>
        <v>_</v>
      </c>
      <c r="ED2910" s="367"/>
      <c r="EE2910" s="367"/>
      <c r="EF2910" s="368"/>
      <c r="EG2910" s="367"/>
      <c r="EH2910" s="367"/>
      <c r="EI2910" s="367"/>
    </row>
    <row r="2911" spans="2:139">
      <c r="B2911" s="33"/>
      <c r="EC2911" s="366" t="str">
        <f t="shared" si="322"/>
        <v>_</v>
      </c>
      <c r="ED2911" s="367"/>
      <c r="EE2911" s="367"/>
      <c r="EF2911" s="368"/>
      <c r="EG2911" s="367"/>
      <c r="EH2911" s="367"/>
      <c r="EI2911" s="367"/>
    </row>
    <row r="2912" spans="2:139">
      <c r="B2912" s="33"/>
      <c r="EC2912" s="366" t="str">
        <f t="shared" si="322"/>
        <v>_</v>
      </c>
      <c r="ED2912" s="367"/>
      <c r="EE2912" s="367"/>
      <c r="EF2912" s="368"/>
      <c r="EG2912" s="367"/>
      <c r="EH2912" s="367"/>
      <c r="EI2912" s="367"/>
    </row>
    <row r="2913" spans="2:139">
      <c r="B2913" s="33"/>
      <c r="EC2913" s="366" t="str">
        <f t="shared" si="322"/>
        <v>_</v>
      </c>
      <c r="ED2913" s="367"/>
      <c r="EE2913" s="367"/>
      <c r="EF2913" s="368"/>
      <c r="EG2913" s="367"/>
      <c r="EH2913" s="367"/>
      <c r="EI2913" s="367"/>
    </row>
    <row r="2914" spans="2:139">
      <c r="B2914" s="33"/>
      <c r="EC2914" s="366" t="str">
        <f t="shared" si="322"/>
        <v>_</v>
      </c>
      <c r="ED2914" s="367"/>
      <c r="EE2914" s="367"/>
      <c r="EF2914" s="368"/>
      <c r="EG2914" s="367"/>
      <c r="EH2914" s="367"/>
      <c r="EI2914" s="367"/>
    </row>
    <row r="2915" spans="2:139">
      <c r="B2915" s="33"/>
      <c r="EC2915" s="366" t="str">
        <f t="shared" si="322"/>
        <v>_</v>
      </c>
      <c r="ED2915" s="367"/>
      <c r="EE2915" s="367"/>
      <c r="EF2915" s="368"/>
      <c r="EG2915" s="367"/>
      <c r="EH2915" s="367"/>
      <c r="EI2915" s="367"/>
    </row>
    <row r="2916" spans="2:139">
      <c r="B2916" s="33"/>
      <c r="EC2916" s="366" t="str">
        <f t="shared" si="322"/>
        <v>_</v>
      </c>
      <c r="ED2916" s="367"/>
      <c r="EE2916" s="367"/>
      <c r="EF2916" s="368"/>
      <c r="EG2916" s="367"/>
      <c r="EH2916" s="367"/>
      <c r="EI2916" s="367"/>
    </row>
    <row r="2917" spans="2:139">
      <c r="B2917" s="33"/>
      <c r="EC2917" s="366" t="str">
        <f t="shared" si="322"/>
        <v>_</v>
      </c>
      <c r="ED2917" s="367"/>
      <c r="EE2917" s="367"/>
      <c r="EF2917" s="368"/>
      <c r="EG2917" s="367"/>
      <c r="EH2917" s="367"/>
      <c r="EI2917" s="367"/>
    </row>
    <row r="2918" spans="2:139">
      <c r="B2918" s="33"/>
      <c r="EC2918" s="366" t="str">
        <f t="shared" si="322"/>
        <v>_</v>
      </c>
      <c r="ED2918" s="367"/>
      <c r="EE2918" s="367"/>
      <c r="EF2918" s="368"/>
      <c r="EG2918" s="367"/>
      <c r="EH2918" s="367"/>
      <c r="EI2918" s="367"/>
    </row>
    <row r="2919" spans="2:139">
      <c r="B2919" s="33"/>
      <c r="EC2919" s="366" t="str">
        <f t="shared" si="322"/>
        <v>_</v>
      </c>
      <c r="ED2919" s="367"/>
      <c r="EE2919" s="367"/>
      <c r="EF2919" s="368"/>
      <c r="EG2919" s="367"/>
      <c r="EH2919" s="367"/>
      <c r="EI2919" s="367"/>
    </row>
    <row r="2920" spans="2:139">
      <c r="B2920" s="33"/>
      <c r="EC2920" s="366" t="str">
        <f t="shared" si="322"/>
        <v>_</v>
      </c>
      <c r="ED2920" s="367"/>
      <c r="EE2920" s="367"/>
      <c r="EF2920" s="368"/>
      <c r="EG2920" s="367"/>
      <c r="EH2920" s="367"/>
      <c r="EI2920" s="367"/>
    </row>
    <row r="2921" spans="2:139">
      <c r="B2921" s="33"/>
      <c r="EC2921" s="366" t="str">
        <f t="shared" si="322"/>
        <v>_</v>
      </c>
      <c r="ED2921" s="367"/>
      <c r="EE2921" s="367"/>
      <c r="EF2921" s="368"/>
      <c r="EG2921" s="367"/>
      <c r="EH2921" s="367"/>
      <c r="EI2921" s="367"/>
    </row>
    <row r="2922" spans="2:139">
      <c r="B2922" s="33"/>
      <c r="EC2922" s="366" t="str">
        <f t="shared" si="322"/>
        <v>_</v>
      </c>
      <c r="ED2922" s="367"/>
      <c r="EE2922" s="367"/>
      <c r="EF2922" s="368"/>
      <c r="EG2922" s="367"/>
      <c r="EH2922" s="367"/>
      <c r="EI2922" s="367"/>
    </row>
    <row r="2923" spans="2:139">
      <c r="B2923" s="33"/>
      <c r="EC2923" s="366" t="str">
        <f t="shared" si="322"/>
        <v>_</v>
      </c>
      <c r="ED2923" s="367"/>
      <c r="EE2923" s="367"/>
      <c r="EF2923" s="368"/>
      <c r="EG2923" s="367"/>
      <c r="EH2923" s="367"/>
      <c r="EI2923" s="367"/>
    </row>
    <row r="2924" spans="2:139">
      <c r="B2924" s="33"/>
      <c r="EC2924" s="366" t="str">
        <f t="shared" si="322"/>
        <v>_</v>
      </c>
      <c r="ED2924" s="367"/>
      <c r="EE2924" s="367"/>
      <c r="EF2924" s="368"/>
      <c r="EG2924" s="367"/>
      <c r="EH2924" s="367"/>
      <c r="EI2924" s="367"/>
    </row>
    <row r="2925" spans="2:139">
      <c r="B2925" s="33"/>
      <c r="EC2925" s="366" t="str">
        <f t="shared" si="322"/>
        <v>_</v>
      </c>
      <c r="ED2925" s="367"/>
      <c r="EE2925" s="367"/>
      <c r="EF2925" s="368"/>
      <c r="EG2925" s="367"/>
      <c r="EH2925" s="367"/>
      <c r="EI2925" s="367"/>
    </row>
    <row r="2926" spans="2:139">
      <c r="B2926" s="33"/>
      <c r="EC2926" s="366" t="str">
        <f t="shared" si="322"/>
        <v>_</v>
      </c>
      <c r="ED2926" s="367"/>
      <c r="EE2926" s="367"/>
      <c r="EF2926" s="368"/>
      <c r="EG2926" s="367"/>
      <c r="EH2926" s="367"/>
      <c r="EI2926" s="367"/>
    </row>
    <row r="2927" spans="2:139">
      <c r="B2927" s="33"/>
      <c r="EC2927" s="366" t="str">
        <f t="shared" si="322"/>
        <v>_</v>
      </c>
      <c r="ED2927" s="367"/>
      <c r="EE2927" s="367"/>
      <c r="EF2927" s="368"/>
      <c r="EG2927" s="367"/>
      <c r="EH2927" s="367"/>
      <c r="EI2927" s="367"/>
    </row>
    <row r="2928" spans="2:139">
      <c r="B2928" s="33"/>
      <c r="EC2928" s="366" t="str">
        <f t="shared" si="322"/>
        <v>_</v>
      </c>
      <c r="ED2928" s="367"/>
      <c r="EE2928" s="367"/>
      <c r="EF2928" s="368"/>
      <c r="EG2928" s="367"/>
      <c r="EH2928" s="367"/>
      <c r="EI2928" s="367"/>
    </row>
    <row r="2929" spans="2:139">
      <c r="B2929" s="33"/>
      <c r="EC2929" s="366" t="str">
        <f t="shared" si="322"/>
        <v>_</v>
      </c>
      <c r="ED2929" s="367"/>
      <c r="EE2929" s="367"/>
      <c r="EF2929" s="368"/>
      <c r="EG2929" s="367"/>
      <c r="EH2929" s="367"/>
      <c r="EI2929" s="367"/>
    </row>
    <row r="2930" spans="2:139">
      <c r="B2930" s="33"/>
      <c r="EC2930" s="366" t="str">
        <f t="shared" si="322"/>
        <v>_</v>
      </c>
      <c r="ED2930" s="367"/>
      <c r="EE2930" s="367"/>
      <c r="EF2930" s="368"/>
      <c r="EG2930" s="367"/>
      <c r="EH2930" s="367"/>
      <c r="EI2930" s="367"/>
    </row>
    <row r="2931" spans="2:139">
      <c r="B2931" s="33"/>
      <c r="EC2931" s="366" t="str">
        <f t="shared" si="322"/>
        <v>_</v>
      </c>
      <c r="ED2931" s="367"/>
      <c r="EE2931" s="367"/>
      <c r="EF2931" s="368"/>
      <c r="EG2931" s="367"/>
      <c r="EH2931" s="367"/>
      <c r="EI2931" s="367"/>
    </row>
    <row r="2932" spans="2:139">
      <c r="B2932" s="33"/>
      <c r="EC2932" s="366" t="str">
        <f t="shared" si="322"/>
        <v>_</v>
      </c>
      <c r="ED2932" s="367"/>
      <c r="EE2932" s="367"/>
      <c r="EF2932" s="368"/>
      <c r="EG2932" s="367"/>
      <c r="EH2932" s="367"/>
      <c r="EI2932" s="367"/>
    </row>
    <row r="2933" spans="2:139">
      <c r="B2933" s="33"/>
      <c r="EC2933" s="366" t="str">
        <f t="shared" si="322"/>
        <v>_</v>
      </c>
      <c r="ED2933" s="367"/>
      <c r="EE2933" s="367"/>
      <c r="EF2933" s="368"/>
      <c r="EG2933" s="367"/>
      <c r="EH2933" s="367"/>
      <c r="EI2933" s="367"/>
    </row>
    <row r="2934" spans="2:139">
      <c r="B2934" s="33"/>
      <c r="EC2934" s="366" t="str">
        <f t="shared" si="322"/>
        <v>_</v>
      </c>
      <c r="ED2934" s="367"/>
      <c r="EE2934" s="367"/>
      <c r="EF2934" s="368"/>
      <c r="EG2934" s="367"/>
      <c r="EH2934" s="367"/>
      <c r="EI2934" s="367"/>
    </row>
    <row r="2935" spans="2:139">
      <c r="B2935" s="33"/>
      <c r="EC2935" s="366" t="str">
        <f t="shared" si="322"/>
        <v>_</v>
      </c>
      <c r="ED2935" s="367"/>
      <c r="EE2935" s="367"/>
      <c r="EF2935" s="368"/>
      <c r="EG2935" s="367"/>
      <c r="EH2935" s="367"/>
      <c r="EI2935" s="367"/>
    </row>
    <row r="2936" spans="2:139">
      <c r="B2936" s="33"/>
      <c r="EC2936" s="366" t="str">
        <f t="shared" si="322"/>
        <v>_</v>
      </c>
      <c r="ED2936" s="367"/>
      <c r="EE2936" s="367"/>
      <c r="EF2936" s="368"/>
      <c r="EG2936" s="367"/>
      <c r="EH2936" s="367"/>
      <c r="EI2936" s="367"/>
    </row>
    <row r="2937" spans="2:139">
      <c r="B2937" s="33"/>
      <c r="EC2937" s="366" t="str">
        <f t="shared" si="322"/>
        <v>_</v>
      </c>
      <c r="ED2937" s="367"/>
      <c r="EE2937" s="367"/>
      <c r="EF2937" s="368"/>
      <c r="EG2937" s="367"/>
      <c r="EH2937" s="367"/>
      <c r="EI2937" s="367"/>
    </row>
    <row r="2938" spans="2:139">
      <c r="B2938" s="33"/>
      <c r="EC2938" s="366" t="str">
        <f t="shared" si="322"/>
        <v>_</v>
      </c>
      <c r="ED2938" s="367"/>
      <c r="EE2938" s="367"/>
      <c r="EF2938" s="368"/>
      <c r="EG2938" s="367"/>
      <c r="EH2938" s="367"/>
      <c r="EI2938" s="367"/>
    </row>
    <row r="2939" spans="2:139">
      <c r="B2939" s="33"/>
      <c r="EC2939" s="366" t="str">
        <f t="shared" si="322"/>
        <v>_</v>
      </c>
      <c r="ED2939" s="367"/>
      <c r="EE2939" s="367"/>
      <c r="EF2939" s="368"/>
      <c r="EG2939" s="367"/>
      <c r="EH2939" s="367"/>
      <c r="EI2939" s="367"/>
    </row>
    <row r="2940" spans="2:139">
      <c r="B2940" s="33"/>
      <c r="EC2940" s="366" t="str">
        <f t="shared" si="322"/>
        <v>_</v>
      </c>
      <c r="ED2940" s="367"/>
      <c r="EE2940" s="367"/>
      <c r="EF2940" s="368"/>
      <c r="EG2940" s="367"/>
      <c r="EH2940" s="367"/>
      <c r="EI2940" s="367"/>
    </row>
    <row r="2941" spans="2:139">
      <c r="B2941" s="33"/>
      <c r="EC2941" s="366" t="str">
        <f t="shared" si="322"/>
        <v>_</v>
      </c>
      <c r="ED2941" s="367"/>
      <c r="EE2941" s="367"/>
      <c r="EF2941" s="368"/>
      <c r="EG2941" s="367"/>
      <c r="EH2941" s="367"/>
      <c r="EI2941" s="367"/>
    </row>
    <row r="2942" spans="2:139">
      <c r="B2942" s="33"/>
      <c r="EC2942" s="366" t="str">
        <f t="shared" si="322"/>
        <v>_</v>
      </c>
      <c r="ED2942" s="367"/>
      <c r="EE2942" s="367"/>
      <c r="EF2942" s="368"/>
      <c r="EG2942" s="367"/>
      <c r="EH2942" s="367"/>
      <c r="EI2942" s="367"/>
    </row>
    <row r="2943" spans="2:139">
      <c r="B2943" s="33"/>
      <c r="EC2943" s="366" t="str">
        <f t="shared" si="322"/>
        <v>_</v>
      </c>
      <c r="ED2943" s="367"/>
      <c r="EE2943" s="367"/>
      <c r="EF2943" s="368"/>
      <c r="EG2943" s="367"/>
      <c r="EH2943" s="367"/>
      <c r="EI2943" s="367"/>
    </row>
    <row r="2944" spans="2:139">
      <c r="B2944" s="33"/>
      <c r="EC2944" s="366" t="str">
        <f t="shared" si="322"/>
        <v>_</v>
      </c>
      <c r="ED2944" s="367"/>
      <c r="EE2944" s="367"/>
      <c r="EF2944" s="368"/>
      <c r="EG2944" s="367"/>
      <c r="EH2944" s="367"/>
      <c r="EI2944" s="367"/>
    </row>
    <row r="2945" spans="2:139">
      <c r="B2945" s="33"/>
      <c r="EC2945" s="366" t="str">
        <f t="shared" si="322"/>
        <v>_</v>
      </c>
      <c r="ED2945" s="367"/>
      <c r="EE2945" s="367"/>
      <c r="EF2945" s="368"/>
      <c r="EG2945" s="367"/>
      <c r="EH2945" s="367"/>
      <c r="EI2945" s="367"/>
    </row>
    <row r="2946" spans="2:139">
      <c r="B2946" s="33"/>
      <c r="EC2946" s="366" t="str">
        <f t="shared" si="322"/>
        <v>_</v>
      </c>
      <c r="ED2946" s="367"/>
      <c r="EE2946" s="367"/>
      <c r="EF2946" s="368"/>
      <c r="EG2946" s="367"/>
      <c r="EH2946" s="367"/>
      <c r="EI2946" s="367"/>
    </row>
    <row r="2947" spans="2:139">
      <c r="B2947" s="33"/>
      <c r="EC2947" s="366" t="str">
        <f t="shared" si="322"/>
        <v>_</v>
      </c>
      <c r="ED2947" s="367"/>
      <c r="EE2947" s="367"/>
      <c r="EF2947" s="368"/>
      <c r="EG2947" s="367"/>
      <c r="EH2947" s="367"/>
      <c r="EI2947" s="367"/>
    </row>
    <row r="2948" spans="2:139">
      <c r="B2948" s="33"/>
      <c r="EC2948" s="366" t="str">
        <f t="shared" si="322"/>
        <v>_</v>
      </c>
      <c r="ED2948" s="367"/>
      <c r="EE2948" s="367"/>
      <c r="EF2948" s="368"/>
      <c r="EG2948" s="367"/>
      <c r="EH2948" s="367"/>
      <c r="EI2948" s="367"/>
    </row>
    <row r="2949" spans="2:139">
      <c r="B2949" s="33"/>
      <c r="EC2949" s="366" t="str">
        <f t="shared" si="322"/>
        <v>_</v>
      </c>
      <c r="ED2949" s="367"/>
      <c r="EE2949" s="367"/>
      <c r="EF2949" s="368"/>
      <c r="EG2949" s="367"/>
      <c r="EH2949" s="367"/>
      <c r="EI2949" s="367"/>
    </row>
    <row r="2950" spans="2:139">
      <c r="B2950" s="33"/>
      <c r="EC2950" s="366" t="str">
        <f t="shared" si="322"/>
        <v>_</v>
      </c>
      <c r="ED2950" s="367"/>
      <c r="EE2950" s="367"/>
      <c r="EF2950" s="368"/>
      <c r="EG2950" s="367"/>
      <c r="EH2950" s="367"/>
      <c r="EI2950" s="367"/>
    </row>
    <row r="2951" spans="2:139">
      <c r="B2951" s="33"/>
      <c r="EC2951" s="366" t="str">
        <f t="shared" si="322"/>
        <v>_</v>
      </c>
      <c r="ED2951" s="367"/>
      <c r="EE2951" s="367"/>
      <c r="EF2951" s="368"/>
      <c r="EG2951" s="367"/>
      <c r="EH2951" s="367"/>
      <c r="EI2951" s="367"/>
    </row>
    <row r="2952" spans="2:139">
      <c r="B2952" s="33"/>
      <c r="EC2952" s="366" t="str">
        <f t="shared" si="322"/>
        <v>_</v>
      </c>
      <c r="ED2952" s="367"/>
      <c r="EE2952" s="367"/>
      <c r="EF2952" s="368"/>
      <c r="EG2952" s="367"/>
      <c r="EH2952" s="367"/>
      <c r="EI2952" s="367"/>
    </row>
    <row r="2953" spans="2:139">
      <c r="B2953" s="33"/>
      <c r="EC2953" s="366" t="str">
        <f t="shared" si="322"/>
        <v>_</v>
      </c>
      <c r="ED2953" s="367"/>
      <c r="EE2953" s="367"/>
      <c r="EF2953" s="368"/>
      <c r="EG2953" s="367"/>
      <c r="EH2953" s="367"/>
      <c r="EI2953" s="367"/>
    </row>
    <row r="2954" spans="2:139">
      <c r="B2954" s="33"/>
      <c r="EC2954" s="366" t="str">
        <f t="shared" si="322"/>
        <v>_</v>
      </c>
      <c r="ED2954" s="367"/>
      <c r="EE2954" s="367"/>
      <c r="EF2954" s="368"/>
      <c r="EG2954" s="367"/>
      <c r="EH2954" s="367"/>
      <c r="EI2954" s="367"/>
    </row>
    <row r="2955" spans="2:139">
      <c r="B2955" s="33"/>
      <c r="EC2955" s="366" t="str">
        <f t="shared" si="322"/>
        <v>_</v>
      </c>
      <c r="ED2955" s="367"/>
      <c r="EE2955" s="367"/>
      <c r="EF2955" s="368"/>
      <c r="EG2955" s="367"/>
      <c r="EH2955" s="367"/>
      <c r="EI2955" s="367"/>
    </row>
    <row r="2956" spans="2:139">
      <c r="B2956" s="33"/>
      <c r="EC2956" s="366" t="str">
        <f t="shared" si="322"/>
        <v>_</v>
      </c>
      <c r="ED2956" s="367"/>
      <c r="EE2956" s="367"/>
      <c r="EF2956" s="368"/>
      <c r="EG2956" s="367"/>
      <c r="EH2956" s="367"/>
      <c r="EI2956" s="367"/>
    </row>
    <row r="2957" spans="2:139">
      <c r="B2957" s="33"/>
      <c r="EC2957" s="366" t="str">
        <f t="shared" si="322"/>
        <v>_</v>
      </c>
      <c r="ED2957" s="367"/>
      <c r="EE2957" s="367"/>
      <c r="EF2957" s="368"/>
      <c r="EG2957" s="367"/>
      <c r="EH2957" s="367"/>
      <c r="EI2957" s="367"/>
    </row>
    <row r="2958" spans="2:139">
      <c r="B2958" s="33"/>
      <c r="EC2958" s="366" t="str">
        <f t="shared" si="322"/>
        <v>_</v>
      </c>
      <c r="ED2958" s="367"/>
      <c r="EE2958" s="367"/>
      <c r="EF2958" s="368"/>
      <c r="EG2958" s="367"/>
      <c r="EH2958" s="367"/>
      <c r="EI2958" s="367"/>
    </row>
    <row r="2959" spans="2:139">
      <c r="B2959" s="33"/>
      <c r="EC2959" s="366" t="str">
        <f t="shared" si="322"/>
        <v>_</v>
      </c>
      <c r="ED2959" s="367"/>
      <c r="EE2959" s="367"/>
      <c r="EF2959" s="368"/>
      <c r="EG2959" s="367"/>
      <c r="EH2959" s="367"/>
      <c r="EI2959" s="367"/>
    </row>
    <row r="2960" spans="2:139">
      <c r="B2960" s="33"/>
      <c r="EC2960" s="366" t="str">
        <f t="shared" si="322"/>
        <v>_</v>
      </c>
      <c r="ED2960" s="367"/>
      <c r="EE2960" s="367"/>
      <c r="EF2960" s="368"/>
      <c r="EG2960" s="367"/>
      <c r="EH2960" s="367"/>
      <c r="EI2960" s="367"/>
    </row>
    <row r="2961" spans="2:139">
      <c r="B2961" s="33"/>
      <c r="EC2961" s="366" t="str">
        <f t="shared" si="322"/>
        <v>_</v>
      </c>
      <c r="ED2961" s="367"/>
      <c r="EE2961" s="367"/>
      <c r="EF2961" s="368"/>
      <c r="EG2961" s="367"/>
      <c r="EH2961" s="367"/>
      <c r="EI2961" s="367"/>
    </row>
    <row r="2962" spans="2:139">
      <c r="B2962" s="33"/>
      <c r="EC2962" s="366" t="str">
        <f t="shared" si="322"/>
        <v>_</v>
      </c>
      <c r="ED2962" s="367"/>
      <c r="EE2962" s="367"/>
      <c r="EF2962" s="368"/>
      <c r="EG2962" s="367"/>
      <c r="EH2962" s="367"/>
      <c r="EI2962" s="367"/>
    </row>
    <row r="2963" spans="2:139">
      <c r="B2963" s="33"/>
      <c r="EC2963" s="366" t="str">
        <f t="shared" si="322"/>
        <v>_</v>
      </c>
      <c r="ED2963" s="367"/>
      <c r="EE2963" s="367"/>
      <c r="EF2963" s="368"/>
      <c r="EG2963" s="367"/>
      <c r="EH2963" s="367"/>
      <c r="EI2963" s="367"/>
    </row>
    <row r="2964" spans="2:139">
      <c r="B2964" s="33"/>
      <c r="EC2964" s="366" t="str">
        <f t="shared" si="322"/>
        <v>_</v>
      </c>
      <c r="ED2964" s="367"/>
      <c r="EE2964" s="367"/>
      <c r="EF2964" s="368"/>
      <c r="EG2964" s="367"/>
      <c r="EH2964" s="367"/>
      <c r="EI2964" s="367"/>
    </row>
    <row r="2965" spans="2:139">
      <c r="B2965" s="33"/>
      <c r="EC2965" s="366" t="str">
        <f t="shared" si="322"/>
        <v>_</v>
      </c>
      <c r="ED2965" s="367"/>
      <c r="EE2965" s="367"/>
      <c r="EF2965" s="368"/>
      <c r="EG2965" s="367"/>
      <c r="EH2965" s="367"/>
      <c r="EI2965" s="367"/>
    </row>
    <row r="2966" spans="2:139">
      <c r="B2966" s="33"/>
      <c r="EC2966" s="366" t="str">
        <f t="shared" si="322"/>
        <v>_</v>
      </c>
      <c r="ED2966" s="367"/>
      <c r="EE2966" s="367"/>
      <c r="EF2966" s="368"/>
      <c r="EG2966" s="367"/>
      <c r="EH2966" s="367"/>
      <c r="EI2966" s="367"/>
    </row>
    <row r="2967" spans="2:139">
      <c r="B2967" s="33"/>
      <c r="EC2967" s="366" t="str">
        <f t="shared" ref="EC2967:EC3030" si="323">B2967&amp;"_"&amp;C2967</f>
        <v>_</v>
      </c>
      <c r="ED2967" s="367"/>
      <c r="EE2967" s="367"/>
      <c r="EF2967" s="368"/>
      <c r="EG2967" s="367"/>
      <c r="EH2967" s="367"/>
      <c r="EI2967" s="367"/>
    </row>
    <row r="2968" spans="2:139">
      <c r="B2968" s="33"/>
      <c r="EC2968" s="366" t="str">
        <f t="shared" si="323"/>
        <v>_</v>
      </c>
      <c r="ED2968" s="367"/>
      <c r="EE2968" s="367"/>
      <c r="EF2968" s="368"/>
      <c r="EG2968" s="367"/>
      <c r="EH2968" s="367"/>
      <c r="EI2968" s="367"/>
    </row>
    <row r="2969" spans="2:139">
      <c r="B2969" s="33"/>
      <c r="EC2969" s="366" t="str">
        <f t="shared" si="323"/>
        <v>_</v>
      </c>
      <c r="ED2969" s="367"/>
      <c r="EE2969" s="367"/>
      <c r="EF2969" s="368"/>
      <c r="EG2969" s="367"/>
      <c r="EH2969" s="367"/>
      <c r="EI2969" s="367"/>
    </row>
    <row r="2970" spans="2:139">
      <c r="B2970" s="33"/>
      <c r="EC2970" s="366" t="str">
        <f t="shared" si="323"/>
        <v>_</v>
      </c>
      <c r="ED2970" s="367"/>
      <c r="EE2970" s="367"/>
      <c r="EF2970" s="368"/>
      <c r="EG2970" s="367"/>
      <c r="EH2970" s="367"/>
      <c r="EI2970" s="367"/>
    </row>
    <row r="2971" spans="2:139">
      <c r="B2971" s="33"/>
      <c r="EC2971" s="366" t="str">
        <f t="shared" si="323"/>
        <v>_</v>
      </c>
      <c r="ED2971" s="367"/>
      <c r="EE2971" s="367"/>
      <c r="EF2971" s="368"/>
      <c r="EG2971" s="367"/>
      <c r="EH2971" s="367"/>
      <c r="EI2971" s="367"/>
    </row>
    <row r="2972" spans="2:139">
      <c r="B2972" s="33"/>
      <c r="EC2972" s="366" t="str">
        <f t="shared" si="323"/>
        <v>_</v>
      </c>
      <c r="ED2972" s="367"/>
      <c r="EE2972" s="367"/>
      <c r="EF2972" s="368"/>
      <c r="EG2972" s="367"/>
      <c r="EH2972" s="367"/>
      <c r="EI2972" s="367"/>
    </row>
    <row r="2973" spans="2:139">
      <c r="B2973" s="33"/>
      <c r="EC2973" s="366" t="str">
        <f t="shared" si="323"/>
        <v>_</v>
      </c>
      <c r="ED2973" s="367"/>
      <c r="EE2973" s="367"/>
      <c r="EF2973" s="368"/>
      <c r="EG2973" s="367"/>
      <c r="EH2973" s="367"/>
      <c r="EI2973" s="367"/>
    </row>
    <row r="2974" spans="2:139">
      <c r="B2974" s="33"/>
      <c r="EC2974" s="366" t="str">
        <f t="shared" si="323"/>
        <v>_</v>
      </c>
      <c r="ED2974" s="367"/>
      <c r="EE2974" s="367"/>
      <c r="EF2974" s="368"/>
      <c r="EG2974" s="367"/>
      <c r="EH2974" s="367"/>
      <c r="EI2974" s="367"/>
    </row>
    <row r="2975" spans="2:139">
      <c r="B2975" s="33"/>
      <c r="EC2975" s="366" t="str">
        <f t="shared" si="323"/>
        <v>_</v>
      </c>
      <c r="ED2975" s="367"/>
      <c r="EE2975" s="367"/>
      <c r="EF2975" s="368"/>
      <c r="EG2975" s="367"/>
      <c r="EH2975" s="367"/>
      <c r="EI2975" s="367"/>
    </row>
    <row r="2976" spans="2:139">
      <c r="B2976" s="33"/>
      <c r="EC2976" s="366" t="str">
        <f t="shared" si="323"/>
        <v>_</v>
      </c>
      <c r="ED2976" s="367"/>
      <c r="EE2976" s="367"/>
      <c r="EF2976" s="368"/>
      <c r="EG2976" s="367"/>
      <c r="EH2976" s="367"/>
      <c r="EI2976" s="367"/>
    </row>
    <row r="2977" spans="2:139">
      <c r="B2977" s="33"/>
      <c r="EC2977" s="366" t="str">
        <f t="shared" si="323"/>
        <v>_</v>
      </c>
      <c r="ED2977" s="367"/>
      <c r="EE2977" s="367"/>
      <c r="EF2977" s="368"/>
      <c r="EG2977" s="367"/>
      <c r="EH2977" s="367"/>
      <c r="EI2977" s="367"/>
    </row>
    <row r="2978" spans="2:139">
      <c r="B2978" s="33"/>
      <c r="EC2978" s="366" t="str">
        <f t="shared" si="323"/>
        <v>_</v>
      </c>
      <c r="ED2978" s="367"/>
      <c r="EE2978" s="367"/>
      <c r="EF2978" s="368"/>
      <c r="EG2978" s="367"/>
      <c r="EH2978" s="367"/>
      <c r="EI2978" s="367"/>
    </row>
    <row r="2979" spans="2:139">
      <c r="B2979" s="33"/>
      <c r="EC2979" s="366" t="str">
        <f t="shared" si="323"/>
        <v>_</v>
      </c>
      <c r="ED2979" s="367"/>
      <c r="EE2979" s="367"/>
      <c r="EF2979" s="368"/>
      <c r="EG2979" s="367"/>
      <c r="EH2979" s="367"/>
      <c r="EI2979" s="367"/>
    </row>
    <row r="2980" spans="2:139">
      <c r="B2980" s="33"/>
      <c r="EC2980" s="366" t="str">
        <f t="shared" si="323"/>
        <v>_</v>
      </c>
      <c r="ED2980" s="367"/>
      <c r="EE2980" s="367"/>
      <c r="EF2980" s="368"/>
      <c r="EG2980" s="367"/>
      <c r="EH2980" s="367"/>
      <c r="EI2980" s="367"/>
    </row>
    <row r="2981" spans="2:139">
      <c r="B2981" s="33"/>
      <c r="EC2981" s="366" t="str">
        <f t="shared" si="323"/>
        <v>_</v>
      </c>
      <c r="ED2981" s="367"/>
      <c r="EE2981" s="367"/>
      <c r="EF2981" s="368"/>
      <c r="EG2981" s="367"/>
      <c r="EH2981" s="367"/>
      <c r="EI2981" s="367"/>
    </row>
    <row r="2982" spans="2:139">
      <c r="B2982" s="33"/>
      <c r="EC2982" s="366" t="str">
        <f t="shared" si="323"/>
        <v>_</v>
      </c>
      <c r="ED2982" s="367"/>
      <c r="EE2982" s="367"/>
      <c r="EF2982" s="368"/>
      <c r="EG2982" s="367"/>
      <c r="EH2982" s="367"/>
      <c r="EI2982" s="367"/>
    </row>
    <row r="2983" spans="2:139">
      <c r="B2983" s="33"/>
      <c r="EC2983" s="366" t="str">
        <f t="shared" si="323"/>
        <v>_</v>
      </c>
      <c r="ED2983" s="367"/>
      <c r="EE2983" s="367"/>
      <c r="EF2983" s="368"/>
      <c r="EG2983" s="367"/>
      <c r="EH2983" s="367"/>
      <c r="EI2983" s="367"/>
    </row>
    <row r="2984" spans="2:139">
      <c r="B2984" s="33"/>
      <c r="EC2984" s="366" t="str">
        <f t="shared" si="323"/>
        <v>_</v>
      </c>
      <c r="ED2984" s="367"/>
      <c r="EE2984" s="367"/>
      <c r="EF2984" s="368"/>
      <c r="EG2984" s="367"/>
      <c r="EH2984" s="367"/>
      <c r="EI2984" s="367"/>
    </row>
    <row r="2985" spans="2:139">
      <c r="B2985" s="33"/>
      <c r="EC2985" s="366" t="str">
        <f t="shared" si="323"/>
        <v>_</v>
      </c>
      <c r="ED2985" s="367"/>
      <c r="EE2985" s="367"/>
      <c r="EF2985" s="368"/>
      <c r="EG2985" s="367"/>
      <c r="EH2985" s="367"/>
      <c r="EI2985" s="367"/>
    </row>
    <row r="2986" spans="2:139">
      <c r="B2986" s="33"/>
      <c r="EC2986" s="366" t="str">
        <f t="shared" si="323"/>
        <v>_</v>
      </c>
      <c r="ED2986" s="367"/>
      <c r="EE2986" s="367"/>
      <c r="EF2986" s="368"/>
      <c r="EG2986" s="367"/>
      <c r="EH2986" s="367"/>
      <c r="EI2986" s="367"/>
    </row>
    <row r="2987" spans="2:139">
      <c r="B2987" s="33"/>
      <c r="EC2987" s="366" t="str">
        <f t="shared" si="323"/>
        <v>_</v>
      </c>
      <c r="ED2987" s="367"/>
      <c r="EE2987" s="367"/>
      <c r="EF2987" s="368"/>
      <c r="EG2987" s="367"/>
      <c r="EH2987" s="367"/>
      <c r="EI2987" s="367"/>
    </row>
    <row r="2988" spans="2:139">
      <c r="B2988" s="33"/>
      <c r="EC2988" s="366" t="str">
        <f t="shared" si="323"/>
        <v>_</v>
      </c>
      <c r="ED2988" s="367"/>
      <c r="EE2988" s="367"/>
      <c r="EF2988" s="368"/>
      <c r="EG2988" s="367"/>
      <c r="EH2988" s="367"/>
      <c r="EI2988" s="367"/>
    </row>
    <row r="2989" spans="2:139">
      <c r="B2989" s="33"/>
      <c r="EC2989" s="366" t="str">
        <f t="shared" si="323"/>
        <v>_</v>
      </c>
      <c r="ED2989" s="367"/>
      <c r="EE2989" s="367"/>
      <c r="EF2989" s="368"/>
      <c r="EG2989" s="367"/>
      <c r="EH2989" s="367"/>
      <c r="EI2989" s="367"/>
    </row>
    <row r="2990" spans="2:139">
      <c r="B2990" s="33"/>
      <c r="EC2990" s="366" t="str">
        <f t="shared" si="323"/>
        <v>_</v>
      </c>
      <c r="ED2990" s="367"/>
      <c r="EE2990" s="367"/>
      <c r="EF2990" s="368"/>
      <c r="EG2990" s="367"/>
      <c r="EH2990" s="367"/>
      <c r="EI2990" s="367"/>
    </row>
    <row r="2991" spans="2:139">
      <c r="B2991" s="33"/>
      <c r="EC2991" s="366" t="str">
        <f t="shared" si="323"/>
        <v>_</v>
      </c>
      <c r="ED2991" s="367"/>
      <c r="EE2991" s="367"/>
      <c r="EF2991" s="368"/>
      <c r="EG2991" s="367"/>
      <c r="EH2991" s="367"/>
      <c r="EI2991" s="367"/>
    </row>
    <row r="2992" spans="2:139">
      <c r="B2992" s="33"/>
      <c r="EC2992" s="366" t="str">
        <f t="shared" si="323"/>
        <v>_</v>
      </c>
      <c r="ED2992" s="367"/>
      <c r="EE2992" s="367"/>
      <c r="EF2992" s="368"/>
      <c r="EG2992" s="367"/>
      <c r="EH2992" s="367"/>
      <c r="EI2992" s="367"/>
    </row>
    <row r="2993" spans="2:139">
      <c r="B2993" s="33"/>
      <c r="EC2993" s="366" t="str">
        <f t="shared" si="323"/>
        <v>_</v>
      </c>
      <c r="ED2993" s="367"/>
      <c r="EE2993" s="367"/>
      <c r="EF2993" s="368"/>
      <c r="EG2993" s="367"/>
      <c r="EH2993" s="367"/>
      <c r="EI2993" s="367"/>
    </row>
    <row r="2994" spans="2:139">
      <c r="B2994" s="33"/>
      <c r="EC2994" s="366" t="str">
        <f t="shared" si="323"/>
        <v>_</v>
      </c>
      <c r="ED2994" s="367"/>
      <c r="EE2994" s="367"/>
      <c r="EF2994" s="368"/>
      <c r="EG2994" s="367"/>
      <c r="EH2994" s="367"/>
      <c r="EI2994" s="367"/>
    </row>
    <row r="2995" spans="2:139">
      <c r="B2995" s="33"/>
      <c r="EC2995" s="366" t="str">
        <f t="shared" si="323"/>
        <v>_</v>
      </c>
      <c r="ED2995" s="367"/>
      <c r="EE2995" s="367"/>
      <c r="EF2995" s="368"/>
      <c r="EG2995" s="367"/>
      <c r="EH2995" s="367"/>
      <c r="EI2995" s="367"/>
    </row>
    <row r="2996" spans="2:139">
      <c r="B2996" s="33"/>
      <c r="EC2996" s="366" t="str">
        <f t="shared" si="323"/>
        <v>_</v>
      </c>
      <c r="ED2996" s="367"/>
      <c r="EE2996" s="367"/>
      <c r="EF2996" s="368"/>
      <c r="EG2996" s="367"/>
      <c r="EH2996" s="367"/>
      <c r="EI2996" s="367"/>
    </row>
    <row r="2997" spans="2:139">
      <c r="B2997" s="33"/>
      <c r="EC2997" s="366" t="str">
        <f t="shared" si="323"/>
        <v>_</v>
      </c>
      <c r="ED2997" s="367"/>
      <c r="EE2997" s="367"/>
      <c r="EF2997" s="368"/>
      <c r="EG2997" s="367"/>
      <c r="EH2997" s="367"/>
      <c r="EI2997" s="367"/>
    </row>
    <row r="2998" spans="2:139">
      <c r="B2998" s="33"/>
      <c r="EC2998" s="366" t="str">
        <f t="shared" si="323"/>
        <v>_</v>
      </c>
      <c r="ED2998" s="367"/>
      <c r="EE2998" s="367"/>
      <c r="EF2998" s="368"/>
      <c r="EG2998" s="367"/>
      <c r="EH2998" s="367"/>
      <c r="EI2998" s="367"/>
    </row>
    <row r="2999" spans="2:139">
      <c r="B2999" s="33"/>
      <c r="EC2999" s="366" t="str">
        <f t="shared" si="323"/>
        <v>_</v>
      </c>
      <c r="ED2999" s="367"/>
      <c r="EE2999" s="367"/>
      <c r="EF2999" s="368"/>
      <c r="EG2999" s="367"/>
      <c r="EH2999" s="367"/>
      <c r="EI2999" s="367"/>
    </row>
    <row r="3000" spans="2:139">
      <c r="B3000" s="33"/>
      <c r="EC3000" s="366" t="str">
        <f t="shared" si="323"/>
        <v>_</v>
      </c>
      <c r="ED3000" s="367"/>
      <c r="EE3000" s="367"/>
      <c r="EF3000" s="368"/>
      <c r="EG3000" s="367"/>
      <c r="EH3000" s="367"/>
      <c r="EI3000" s="367"/>
    </row>
    <row r="3001" spans="2:139">
      <c r="B3001" s="33"/>
      <c r="EC3001" s="366" t="str">
        <f t="shared" si="323"/>
        <v>_</v>
      </c>
      <c r="ED3001" s="367"/>
      <c r="EE3001" s="367"/>
      <c r="EF3001" s="368"/>
      <c r="EG3001" s="367"/>
      <c r="EH3001" s="367"/>
      <c r="EI3001" s="367"/>
    </row>
    <row r="3002" spans="2:139">
      <c r="B3002" s="33"/>
      <c r="EC3002" s="366" t="str">
        <f t="shared" si="323"/>
        <v>_</v>
      </c>
      <c r="ED3002" s="367"/>
      <c r="EE3002" s="367"/>
      <c r="EF3002" s="368"/>
      <c r="EG3002" s="367"/>
      <c r="EH3002" s="367"/>
      <c r="EI3002" s="367"/>
    </row>
    <row r="3003" spans="2:139">
      <c r="B3003" s="33"/>
      <c r="M3003" s="2" t="s">
        <v>622</v>
      </c>
      <c r="EC3003" s="366" t="str">
        <f t="shared" si="323"/>
        <v>_</v>
      </c>
      <c r="ED3003" s="367"/>
      <c r="EE3003" s="367"/>
      <c r="EF3003" s="368"/>
      <c r="EG3003" s="367"/>
      <c r="EH3003" s="367"/>
      <c r="EI3003" s="367"/>
    </row>
    <row r="3004" spans="2:139">
      <c r="B3004" s="33"/>
      <c r="M3004" s="2" t="s">
        <v>622</v>
      </c>
      <c r="EC3004" s="366" t="str">
        <f t="shared" si="323"/>
        <v>_</v>
      </c>
      <c r="ED3004" s="367"/>
      <c r="EE3004" s="367"/>
      <c r="EF3004" s="368"/>
      <c r="EG3004" s="367"/>
      <c r="EH3004" s="367"/>
      <c r="EI3004" s="367"/>
    </row>
    <row r="3005" spans="2:139">
      <c r="B3005" s="33"/>
      <c r="EC3005" s="366" t="str">
        <f t="shared" si="323"/>
        <v>_</v>
      </c>
      <c r="ED3005" s="367"/>
      <c r="EE3005" s="367"/>
      <c r="EF3005" s="368"/>
      <c r="EG3005" s="367"/>
      <c r="EH3005" s="367"/>
      <c r="EI3005" s="367"/>
    </row>
    <row r="3006" spans="2:139">
      <c r="B3006" s="33"/>
      <c r="EC3006" s="366" t="str">
        <f t="shared" si="323"/>
        <v>_</v>
      </c>
      <c r="ED3006" s="367"/>
      <c r="EE3006" s="367"/>
      <c r="EF3006" s="368"/>
      <c r="EG3006" s="367"/>
      <c r="EH3006" s="367"/>
      <c r="EI3006" s="367"/>
    </row>
    <row r="3007" spans="2:139">
      <c r="B3007" s="33"/>
      <c r="EC3007" s="366" t="str">
        <f t="shared" si="323"/>
        <v>_</v>
      </c>
      <c r="ED3007" s="367"/>
      <c r="EE3007" s="367"/>
      <c r="EF3007" s="368"/>
      <c r="EG3007" s="367"/>
      <c r="EH3007" s="367"/>
      <c r="EI3007" s="367"/>
    </row>
    <row r="3008" spans="2:139">
      <c r="B3008" s="33"/>
      <c r="EC3008" s="366" t="str">
        <f t="shared" si="323"/>
        <v>_</v>
      </c>
      <c r="ED3008" s="367"/>
      <c r="EE3008" s="367"/>
      <c r="EF3008" s="368"/>
      <c r="EG3008" s="367"/>
      <c r="EH3008" s="367"/>
      <c r="EI3008" s="367"/>
    </row>
    <row r="3009" spans="2:139">
      <c r="B3009" s="33"/>
      <c r="EC3009" s="366" t="str">
        <f t="shared" si="323"/>
        <v>_</v>
      </c>
      <c r="ED3009" s="367"/>
      <c r="EE3009" s="367"/>
      <c r="EF3009" s="368"/>
      <c r="EG3009" s="367"/>
      <c r="EH3009" s="367"/>
      <c r="EI3009" s="367"/>
    </row>
    <row r="3010" spans="2:139">
      <c r="B3010" s="33"/>
      <c r="EC3010" s="366" t="str">
        <f t="shared" si="323"/>
        <v>_</v>
      </c>
      <c r="ED3010" s="367"/>
      <c r="EE3010" s="367"/>
      <c r="EF3010" s="368"/>
      <c r="EG3010" s="367"/>
      <c r="EH3010" s="367"/>
      <c r="EI3010" s="367"/>
    </row>
    <row r="3011" spans="2:139">
      <c r="B3011" s="33"/>
      <c r="EC3011" s="366" t="str">
        <f t="shared" si="323"/>
        <v>_</v>
      </c>
      <c r="ED3011" s="367"/>
      <c r="EE3011" s="367"/>
      <c r="EF3011" s="368"/>
      <c r="EG3011" s="367"/>
      <c r="EH3011" s="367"/>
      <c r="EI3011" s="367"/>
    </row>
    <row r="3012" spans="2:139">
      <c r="B3012" s="33"/>
      <c r="EC3012" s="366" t="str">
        <f t="shared" si="323"/>
        <v>_</v>
      </c>
      <c r="ED3012" s="367"/>
      <c r="EE3012" s="367"/>
      <c r="EF3012" s="368"/>
      <c r="EG3012" s="367"/>
      <c r="EH3012" s="367"/>
      <c r="EI3012" s="367"/>
    </row>
    <row r="3013" spans="2:139">
      <c r="B3013" s="33"/>
      <c r="EC3013" s="366" t="str">
        <f t="shared" si="323"/>
        <v>_</v>
      </c>
      <c r="ED3013" s="367"/>
      <c r="EE3013" s="367"/>
      <c r="EF3013" s="368"/>
      <c r="EG3013" s="367"/>
      <c r="EH3013" s="367"/>
      <c r="EI3013" s="367"/>
    </row>
    <row r="3014" spans="2:139">
      <c r="B3014" s="33"/>
      <c r="EC3014" s="366" t="str">
        <f t="shared" si="323"/>
        <v>_</v>
      </c>
      <c r="ED3014" s="367"/>
      <c r="EE3014" s="367"/>
      <c r="EF3014" s="368"/>
      <c r="EG3014" s="367"/>
      <c r="EH3014" s="367"/>
      <c r="EI3014" s="367"/>
    </row>
    <row r="3015" spans="2:139">
      <c r="B3015" s="33"/>
      <c r="EC3015" s="366" t="str">
        <f t="shared" si="323"/>
        <v>_</v>
      </c>
      <c r="ED3015" s="367"/>
      <c r="EE3015" s="367"/>
      <c r="EF3015" s="368"/>
      <c r="EG3015" s="367"/>
      <c r="EH3015" s="367"/>
      <c r="EI3015" s="367"/>
    </row>
    <row r="3016" spans="2:139">
      <c r="B3016" s="33"/>
      <c r="EC3016" s="366" t="str">
        <f t="shared" si="323"/>
        <v>_</v>
      </c>
      <c r="ED3016" s="367"/>
      <c r="EE3016" s="367"/>
      <c r="EF3016" s="368"/>
      <c r="EG3016" s="367"/>
      <c r="EH3016" s="367"/>
      <c r="EI3016" s="367"/>
    </row>
    <row r="3017" spans="2:139">
      <c r="B3017" s="33"/>
      <c r="EC3017" s="366" t="str">
        <f t="shared" si="323"/>
        <v>_</v>
      </c>
      <c r="ED3017" s="367"/>
      <c r="EE3017" s="367"/>
      <c r="EF3017" s="368"/>
      <c r="EG3017" s="367"/>
      <c r="EH3017" s="367"/>
      <c r="EI3017" s="367"/>
    </row>
    <row r="3018" spans="2:139">
      <c r="B3018" s="33"/>
      <c r="EC3018" s="366" t="str">
        <f t="shared" si="323"/>
        <v>_</v>
      </c>
      <c r="ED3018" s="367"/>
      <c r="EE3018" s="367"/>
      <c r="EF3018" s="368"/>
      <c r="EG3018" s="367"/>
      <c r="EH3018" s="367"/>
      <c r="EI3018" s="367"/>
    </row>
    <row r="3019" spans="2:139">
      <c r="B3019" s="33"/>
      <c r="EC3019" s="366" t="str">
        <f t="shared" si="323"/>
        <v>_</v>
      </c>
      <c r="ED3019" s="367"/>
      <c r="EE3019" s="367"/>
      <c r="EF3019" s="368"/>
      <c r="EG3019" s="367"/>
      <c r="EH3019" s="367"/>
      <c r="EI3019" s="367"/>
    </row>
    <row r="3020" spans="2:139">
      <c r="B3020" s="33"/>
      <c r="EC3020" s="366" t="str">
        <f t="shared" si="323"/>
        <v>_</v>
      </c>
      <c r="ED3020" s="367"/>
      <c r="EE3020" s="367"/>
      <c r="EF3020" s="368"/>
      <c r="EG3020" s="367"/>
      <c r="EH3020" s="367"/>
      <c r="EI3020" s="367"/>
    </row>
    <row r="3021" spans="2:139">
      <c r="B3021" s="33"/>
      <c r="EC3021" s="366" t="str">
        <f t="shared" si="323"/>
        <v>_</v>
      </c>
      <c r="ED3021" s="367"/>
      <c r="EE3021" s="367"/>
      <c r="EF3021" s="368"/>
      <c r="EG3021" s="367"/>
      <c r="EH3021" s="367"/>
      <c r="EI3021" s="367"/>
    </row>
    <row r="3022" spans="2:139">
      <c r="B3022" s="33"/>
      <c r="EC3022" s="366" t="str">
        <f t="shared" si="323"/>
        <v>_</v>
      </c>
      <c r="ED3022" s="367"/>
      <c r="EE3022" s="367"/>
      <c r="EF3022" s="368"/>
      <c r="EG3022" s="367"/>
      <c r="EH3022" s="367"/>
      <c r="EI3022" s="367"/>
    </row>
    <row r="3023" spans="2:139">
      <c r="B3023" s="33"/>
      <c r="EC3023" s="366" t="str">
        <f t="shared" si="323"/>
        <v>_</v>
      </c>
      <c r="ED3023" s="367"/>
      <c r="EE3023" s="367"/>
      <c r="EF3023" s="368"/>
      <c r="EG3023" s="367"/>
      <c r="EH3023" s="367"/>
      <c r="EI3023" s="367"/>
    </row>
    <row r="3024" spans="2:139">
      <c r="B3024" s="33"/>
      <c r="EC3024" s="366" t="str">
        <f t="shared" si="323"/>
        <v>_</v>
      </c>
      <c r="ED3024" s="367"/>
      <c r="EE3024" s="367"/>
      <c r="EF3024" s="368"/>
      <c r="EG3024" s="367"/>
      <c r="EH3024" s="367"/>
      <c r="EI3024" s="367"/>
    </row>
    <row r="3025" spans="2:139">
      <c r="B3025" s="33"/>
      <c r="EC3025" s="366" t="str">
        <f t="shared" si="323"/>
        <v>_</v>
      </c>
      <c r="ED3025" s="367"/>
      <c r="EE3025" s="367"/>
      <c r="EF3025" s="368"/>
      <c r="EG3025" s="367"/>
      <c r="EH3025" s="367"/>
      <c r="EI3025" s="367"/>
    </row>
    <row r="3026" spans="2:139">
      <c r="B3026" s="33"/>
      <c r="EC3026" s="366" t="str">
        <f t="shared" si="323"/>
        <v>_</v>
      </c>
      <c r="ED3026" s="367"/>
      <c r="EE3026" s="367"/>
      <c r="EF3026" s="368"/>
      <c r="EG3026" s="367"/>
      <c r="EH3026" s="367"/>
      <c r="EI3026" s="367"/>
    </row>
    <row r="3027" spans="2:139">
      <c r="B3027" s="33"/>
      <c r="EC3027" s="366" t="str">
        <f t="shared" si="323"/>
        <v>_</v>
      </c>
      <c r="ED3027" s="367"/>
      <c r="EE3027" s="367"/>
      <c r="EF3027" s="368"/>
      <c r="EG3027" s="367"/>
      <c r="EH3027" s="367"/>
      <c r="EI3027" s="367"/>
    </row>
    <row r="3028" spans="2:139">
      <c r="B3028" s="33"/>
      <c r="EC3028" s="366" t="str">
        <f t="shared" si="323"/>
        <v>_</v>
      </c>
      <c r="ED3028" s="367"/>
      <c r="EE3028" s="367"/>
      <c r="EF3028" s="368"/>
      <c r="EG3028" s="367"/>
      <c r="EH3028" s="367"/>
      <c r="EI3028" s="367"/>
    </row>
    <row r="3029" spans="2:139">
      <c r="B3029" s="33"/>
      <c r="EC3029" s="366" t="str">
        <f t="shared" si="323"/>
        <v>_</v>
      </c>
      <c r="ED3029" s="367"/>
      <c r="EE3029" s="367"/>
      <c r="EF3029" s="368"/>
      <c r="EG3029" s="367"/>
      <c r="EH3029" s="367"/>
      <c r="EI3029" s="367"/>
    </row>
    <row r="3030" spans="2:139">
      <c r="B3030" s="33"/>
      <c r="EC3030" s="366" t="str">
        <f t="shared" si="323"/>
        <v>_</v>
      </c>
      <c r="ED3030" s="367"/>
      <c r="EE3030" s="367"/>
      <c r="EF3030" s="368"/>
      <c r="EG3030" s="367"/>
      <c r="EH3030" s="367"/>
      <c r="EI3030" s="367"/>
    </row>
    <row r="3031" spans="2:139">
      <c r="B3031" s="33"/>
      <c r="EC3031" s="366" t="str">
        <f t="shared" ref="EC3031:EC3094" si="324">B3031&amp;"_"&amp;C3031</f>
        <v>_</v>
      </c>
      <c r="ED3031" s="367"/>
      <c r="EE3031" s="367"/>
      <c r="EF3031" s="368"/>
      <c r="EG3031" s="367"/>
      <c r="EH3031" s="367"/>
      <c r="EI3031" s="367"/>
    </row>
    <row r="3032" spans="2:139">
      <c r="B3032" s="33"/>
      <c r="EC3032" s="366" t="str">
        <f t="shared" si="324"/>
        <v>_</v>
      </c>
      <c r="ED3032" s="367"/>
      <c r="EE3032" s="367"/>
      <c r="EF3032" s="368"/>
      <c r="EG3032" s="367"/>
      <c r="EH3032" s="367"/>
      <c r="EI3032" s="367"/>
    </row>
    <row r="3033" spans="2:139">
      <c r="B3033" s="33"/>
      <c r="EC3033" s="366" t="str">
        <f t="shared" si="324"/>
        <v>_</v>
      </c>
      <c r="ED3033" s="367"/>
      <c r="EE3033" s="367"/>
      <c r="EF3033" s="368"/>
      <c r="EG3033" s="367"/>
      <c r="EH3033" s="367"/>
      <c r="EI3033" s="367"/>
    </row>
    <row r="3034" spans="2:139">
      <c r="B3034" s="33"/>
      <c r="EC3034" s="366" t="str">
        <f t="shared" si="324"/>
        <v>_</v>
      </c>
      <c r="ED3034" s="367"/>
      <c r="EE3034" s="367"/>
      <c r="EF3034" s="368"/>
      <c r="EG3034" s="367"/>
      <c r="EH3034" s="367"/>
      <c r="EI3034" s="367"/>
    </row>
    <row r="3035" spans="2:139">
      <c r="B3035" s="33"/>
      <c r="EC3035" s="366" t="str">
        <f t="shared" si="324"/>
        <v>_</v>
      </c>
      <c r="ED3035" s="367"/>
      <c r="EE3035" s="367"/>
      <c r="EF3035" s="368"/>
      <c r="EG3035" s="367"/>
      <c r="EH3035" s="367"/>
      <c r="EI3035" s="367"/>
    </row>
    <row r="3036" spans="2:139">
      <c r="B3036" s="33"/>
      <c r="EC3036" s="366" t="str">
        <f t="shared" si="324"/>
        <v>_</v>
      </c>
      <c r="ED3036" s="367"/>
      <c r="EE3036" s="367"/>
      <c r="EF3036" s="368"/>
      <c r="EG3036" s="367"/>
      <c r="EH3036" s="367"/>
      <c r="EI3036" s="367"/>
    </row>
    <row r="3037" spans="2:139">
      <c r="B3037" s="33"/>
      <c r="EC3037" s="366" t="str">
        <f t="shared" si="324"/>
        <v>_</v>
      </c>
      <c r="ED3037" s="367"/>
      <c r="EE3037" s="367"/>
      <c r="EF3037" s="368"/>
      <c r="EG3037" s="367"/>
      <c r="EH3037" s="367"/>
      <c r="EI3037" s="367"/>
    </row>
    <row r="3038" spans="2:139">
      <c r="B3038" s="33"/>
      <c r="EC3038" s="366" t="str">
        <f t="shared" si="324"/>
        <v>_</v>
      </c>
      <c r="ED3038" s="367"/>
      <c r="EE3038" s="367"/>
      <c r="EF3038" s="368"/>
      <c r="EG3038" s="367"/>
      <c r="EH3038" s="367"/>
      <c r="EI3038" s="367"/>
    </row>
    <row r="3039" spans="2:139">
      <c r="B3039" s="33"/>
      <c r="EC3039" s="366" t="str">
        <f t="shared" si="324"/>
        <v>_</v>
      </c>
      <c r="ED3039" s="367"/>
      <c r="EE3039" s="367"/>
      <c r="EF3039" s="368"/>
      <c r="EG3039" s="367"/>
      <c r="EH3039" s="367"/>
      <c r="EI3039" s="367"/>
    </row>
    <row r="3040" spans="2:139">
      <c r="B3040" s="33"/>
      <c r="EC3040" s="366" t="str">
        <f t="shared" si="324"/>
        <v>_</v>
      </c>
      <c r="ED3040" s="367"/>
      <c r="EE3040" s="367"/>
      <c r="EF3040" s="368"/>
      <c r="EG3040" s="367"/>
      <c r="EH3040" s="367"/>
      <c r="EI3040" s="367"/>
    </row>
    <row r="3041" spans="2:139">
      <c r="B3041" s="33"/>
      <c r="EC3041" s="366" t="str">
        <f t="shared" si="324"/>
        <v>_</v>
      </c>
      <c r="ED3041" s="367"/>
      <c r="EE3041" s="367"/>
      <c r="EF3041" s="368"/>
      <c r="EG3041" s="367"/>
      <c r="EH3041" s="367"/>
      <c r="EI3041" s="367"/>
    </row>
    <row r="3042" spans="2:139">
      <c r="B3042" s="33"/>
      <c r="EC3042" s="366" t="str">
        <f t="shared" si="324"/>
        <v>_</v>
      </c>
      <c r="ED3042" s="367"/>
      <c r="EE3042" s="367"/>
      <c r="EF3042" s="368"/>
      <c r="EG3042" s="367"/>
      <c r="EH3042" s="367"/>
      <c r="EI3042" s="367"/>
    </row>
    <row r="3043" spans="2:139">
      <c r="B3043" s="33"/>
      <c r="EC3043" s="366" t="str">
        <f t="shared" si="324"/>
        <v>_</v>
      </c>
      <c r="ED3043" s="367"/>
      <c r="EE3043" s="367"/>
      <c r="EF3043" s="368"/>
      <c r="EG3043" s="367"/>
      <c r="EH3043" s="367"/>
      <c r="EI3043" s="367"/>
    </row>
    <row r="3044" spans="2:139">
      <c r="B3044" s="33"/>
      <c r="EC3044" s="366" t="str">
        <f t="shared" si="324"/>
        <v>_</v>
      </c>
      <c r="ED3044" s="367"/>
      <c r="EE3044" s="367"/>
      <c r="EF3044" s="368"/>
      <c r="EG3044" s="367"/>
      <c r="EH3044" s="367"/>
      <c r="EI3044" s="367"/>
    </row>
    <row r="3045" spans="2:139">
      <c r="B3045" s="33"/>
      <c r="EC3045" s="366" t="str">
        <f t="shared" si="324"/>
        <v>_</v>
      </c>
      <c r="ED3045" s="367"/>
      <c r="EE3045" s="367"/>
      <c r="EF3045" s="368"/>
      <c r="EG3045" s="367"/>
      <c r="EH3045" s="367"/>
      <c r="EI3045" s="367"/>
    </row>
    <row r="3046" spans="2:139">
      <c r="B3046" s="33"/>
      <c r="EC3046" s="366" t="str">
        <f t="shared" si="324"/>
        <v>_</v>
      </c>
      <c r="ED3046" s="367"/>
      <c r="EE3046" s="367"/>
      <c r="EF3046" s="368"/>
      <c r="EG3046" s="367"/>
      <c r="EH3046" s="367"/>
      <c r="EI3046" s="367"/>
    </row>
    <row r="3047" spans="2:139">
      <c r="B3047" s="33"/>
      <c r="EC3047" s="366" t="str">
        <f t="shared" si="324"/>
        <v>_</v>
      </c>
      <c r="ED3047" s="367"/>
      <c r="EE3047" s="367"/>
      <c r="EF3047" s="368"/>
      <c r="EG3047" s="367"/>
      <c r="EH3047" s="367"/>
      <c r="EI3047" s="367"/>
    </row>
    <row r="3048" spans="2:139">
      <c r="B3048" s="33"/>
      <c r="EC3048" s="366" t="str">
        <f t="shared" si="324"/>
        <v>_</v>
      </c>
      <c r="ED3048" s="367"/>
      <c r="EE3048" s="367"/>
      <c r="EF3048" s="368"/>
      <c r="EG3048" s="367"/>
      <c r="EH3048" s="367"/>
      <c r="EI3048" s="367"/>
    </row>
    <row r="3049" spans="2:139">
      <c r="B3049" s="33"/>
      <c r="EC3049" s="366" t="str">
        <f t="shared" si="324"/>
        <v>_</v>
      </c>
      <c r="ED3049" s="367"/>
      <c r="EE3049" s="367"/>
      <c r="EF3049" s="368"/>
      <c r="EG3049" s="367"/>
      <c r="EH3049" s="367"/>
      <c r="EI3049" s="367"/>
    </row>
    <row r="3050" spans="2:139">
      <c r="B3050" s="33"/>
      <c r="EC3050" s="366" t="str">
        <f t="shared" si="324"/>
        <v>_</v>
      </c>
      <c r="ED3050" s="367"/>
      <c r="EE3050" s="367"/>
      <c r="EF3050" s="368"/>
      <c r="EG3050" s="367"/>
      <c r="EH3050" s="367"/>
      <c r="EI3050" s="367"/>
    </row>
    <row r="3051" spans="2:139">
      <c r="B3051" s="33"/>
      <c r="EC3051" s="366" t="str">
        <f t="shared" si="324"/>
        <v>_</v>
      </c>
      <c r="ED3051" s="367"/>
      <c r="EE3051" s="367"/>
      <c r="EF3051" s="368"/>
      <c r="EG3051" s="367"/>
      <c r="EH3051" s="367"/>
      <c r="EI3051" s="367"/>
    </row>
    <row r="3052" spans="2:139">
      <c r="B3052" s="33"/>
      <c r="EC3052" s="366" t="str">
        <f t="shared" si="324"/>
        <v>_</v>
      </c>
      <c r="ED3052" s="367"/>
      <c r="EE3052" s="367"/>
      <c r="EF3052" s="368"/>
      <c r="EG3052" s="367"/>
      <c r="EH3052" s="367"/>
      <c r="EI3052" s="367"/>
    </row>
    <row r="3053" spans="2:139">
      <c r="B3053" s="33"/>
      <c r="EC3053" s="366" t="str">
        <f t="shared" si="324"/>
        <v>_</v>
      </c>
      <c r="ED3053" s="367"/>
      <c r="EE3053" s="367"/>
      <c r="EF3053" s="368"/>
      <c r="EG3053" s="367"/>
      <c r="EH3053" s="367"/>
      <c r="EI3053" s="367"/>
    </row>
    <row r="3054" spans="2:139">
      <c r="B3054" s="33"/>
      <c r="EC3054" s="366" t="str">
        <f t="shared" si="324"/>
        <v>_</v>
      </c>
      <c r="ED3054" s="367"/>
      <c r="EE3054" s="367"/>
      <c r="EF3054" s="368"/>
      <c r="EG3054" s="367"/>
      <c r="EH3054" s="367"/>
      <c r="EI3054" s="367"/>
    </row>
    <row r="3055" spans="2:139">
      <c r="B3055" s="33"/>
      <c r="EC3055" s="366" t="str">
        <f t="shared" si="324"/>
        <v>_</v>
      </c>
      <c r="ED3055" s="367"/>
      <c r="EE3055" s="367"/>
      <c r="EF3055" s="368"/>
      <c r="EG3055" s="367"/>
      <c r="EH3055" s="367"/>
      <c r="EI3055" s="367"/>
    </row>
    <row r="3056" spans="2:139">
      <c r="B3056" s="33"/>
      <c r="EC3056" s="366" t="str">
        <f t="shared" si="324"/>
        <v>_</v>
      </c>
      <c r="ED3056" s="367"/>
      <c r="EE3056" s="367"/>
      <c r="EF3056" s="368"/>
      <c r="EG3056" s="367"/>
      <c r="EH3056" s="367"/>
      <c r="EI3056" s="367"/>
    </row>
    <row r="3057" spans="2:139">
      <c r="B3057" s="33"/>
      <c r="EC3057" s="366" t="str">
        <f t="shared" si="324"/>
        <v>_</v>
      </c>
      <c r="ED3057" s="367"/>
      <c r="EE3057" s="367"/>
      <c r="EF3057" s="368"/>
      <c r="EG3057" s="367"/>
      <c r="EH3057" s="367"/>
      <c r="EI3057" s="367"/>
    </row>
    <row r="3058" spans="2:139">
      <c r="B3058" s="33"/>
      <c r="EC3058" s="366" t="str">
        <f t="shared" si="324"/>
        <v>_</v>
      </c>
      <c r="ED3058" s="367"/>
      <c r="EE3058" s="367"/>
      <c r="EF3058" s="368"/>
      <c r="EG3058" s="367"/>
      <c r="EH3058" s="367"/>
      <c r="EI3058" s="367"/>
    </row>
    <row r="3059" spans="2:139">
      <c r="B3059" s="33"/>
      <c r="EC3059" s="366" t="str">
        <f t="shared" si="324"/>
        <v>_</v>
      </c>
      <c r="ED3059" s="367"/>
      <c r="EE3059" s="367"/>
      <c r="EF3059" s="368"/>
      <c r="EG3059" s="367"/>
      <c r="EH3059" s="367"/>
      <c r="EI3059" s="367"/>
    </row>
    <row r="3060" spans="2:139">
      <c r="B3060" s="33"/>
      <c r="EC3060" s="366" t="str">
        <f t="shared" si="324"/>
        <v>_</v>
      </c>
      <c r="ED3060" s="367"/>
      <c r="EE3060" s="367"/>
      <c r="EF3060" s="368"/>
      <c r="EG3060" s="367"/>
      <c r="EH3060" s="367"/>
      <c r="EI3060" s="367"/>
    </row>
    <row r="3061" spans="2:139">
      <c r="B3061" s="33"/>
      <c r="EC3061" s="366" t="str">
        <f t="shared" si="324"/>
        <v>_</v>
      </c>
      <c r="ED3061" s="367"/>
      <c r="EE3061" s="367"/>
      <c r="EF3061" s="368"/>
      <c r="EG3061" s="367"/>
      <c r="EH3061" s="367"/>
      <c r="EI3061" s="367"/>
    </row>
    <row r="3062" spans="2:139">
      <c r="B3062" s="33"/>
      <c r="EC3062" s="366" t="str">
        <f t="shared" si="324"/>
        <v>_</v>
      </c>
      <c r="ED3062" s="367"/>
      <c r="EE3062" s="367"/>
      <c r="EF3062" s="368"/>
      <c r="EG3062" s="367"/>
      <c r="EH3062" s="367"/>
      <c r="EI3062" s="367"/>
    </row>
    <row r="3063" spans="2:139">
      <c r="B3063" s="33"/>
      <c r="EC3063" s="366" t="str">
        <f t="shared" si="324"/>
        <v>_</v>
      </c>
      <c r="ED3063" s="367"/>
      <c r="EE3063" s="367"/>
      <c r="EF3063" s="368"/>
      <c r="EG3063" s="367"/>
      <c r="EH3063" s="367"/>
      <c r="EI3063" s="367"/>
    </row>
    <row r="3064" spans="2:139">
      <c r="B3064" s="33"/>
      <c r="EC3064" s="366" t="str">
        <f t="shared" si="324"/>
        <v>_</v>
      </c>
      <c r="ED3064" s="367"/>
      <c r="EE3064" s="367"/>
      <c r="EF3064" s="368"/>
      <c r="EG3064" s="367"/>
      <c r="EH3064" s="367"/>
      <c r="EI3064" s="367"/>
    </row>
    <row r="3065" spans="2:139">
      <c r="B3065" s="33"/>
      <c r="EC3065" s="366" t="str">
        <f t="shared" si="324"/>
        <v>_</v>
      </c>
      <c r="ED3065" s="367"/>
      <c r="EE3065" s="367"/>
      <c r="EF3065" s="368"/>
      <c r="EG3065" s="367"/>
      <c r="EH3065" s="367"/>
      <c r="EI3065" s="367"/>
    </row>
    <row r="3066" spans="2:139">
      <c r="B3066" s="33"/>
      <c r="EC3066" s="366" t="str">
        <f t="shared" si="324"/>
        <v>_</v>
      </c>
      <c r="ED3066" s="367"/>
      <c r="EE3066" s="367"/>
      <c r="EF3066" s="368"/>
      <c r="EG3066" s="367"/>
      <c r="EH3066" s="367"/>
      <c r="EI3066" s="367"/>
    </row>
    <row r="3067" spans="2:139">
      <c r="B3067" s="33"/>
      <c r="EC3067" s="366" t="str">
        <f t="shared" si="324"/>
        <v>_</v>
      </c>
      <c r="ED3067" s="367"/>
      <c r="EE3067" s="367"/>
      <c r="EF3067" s="368"/>
      <c r="EG3067" s="367"/>
      <c r="EH3067" s="367"/>
      <c r="EI3067" s="367"/>
    </row>
    <row r="3068" spans="2:139">
      <c r="B3068" s="33"/>
      <c r="EC3068" s="366" t="str">
        <f t="shared" si="324"/>
        <v>_</v>
      </c>
      <c r="ED3068" s="367"/>
      <c r="EE3068" s="367"/>
      <c r="EF3068" s="368"/>
      <c r="EG3068" s="367"/>
      <c r="EH3068" s="367"/>
      <c r="EI3068" s="367"/>
    </row>
    <row r="3069" spans="2:139">
      <c r="B3069" s="33"/>
      <c r="EC3069" s="366" t="str">
        <f t="shared" si="324"/>
        <v>_</v>
      </c>
      <c r="ED3069" s="367"/>
      <c r="EE3069" s="367"/>
      <c r="EF3069" s="368"/>
      <c r="EG3069" s="367"/>
      <c r="EH3069" s="367"/>
      <c r="EI3069" s="367"/>
    </row>
    <row r="3070" spans="2:139">
      <c r="B3070" s="33"/>
      <c r="EC3070" s="366" t="str">
        <f t="shared" si="324"/>
        <v>_</v>
      </c>
      <c r="ED3070" s="367"/>
      <c r="EE3070" s="367"/>
      <c r="EF3070" s="368"/>
      <c r="EG3070" s="367"/>
      <c r="EH3070" s="367"/>
      <c r="EI3070" s="367"/>
    </row>
    <row r="3071" spans="2:139">
      <c r="B3071" s="33"/>
      <c r="EC3071" s="366" t="str">
        <f t="shared" si="324"/>
        <v>_</v>
      </c>
      <c r="ED3071" s="367"/>
      <c r="EE3071" s="367"/>
      <c r="EF3071" s="368"/>
      <c r="EG3071" s="367"/>
      <c r="EH3071" s="367"/>
      <c r="EI3071" s="367"/>
    </row>
    <row r="3072" spans="2:139">
      <c r="B3072" s="33"/>
      <c r="EC3072" s="366" t="str">
        <f t="shared" si="324"/>
        <v>_</v>
      </c>
      <c r="ED3072" s="367"/>
      <c r="EE3072" s="367"/>
      <c r="EF3072" s="368"/>
      <c r="EG3072" s="367"/>
      <c r="EH3072" s="367"/>
      <c r="EI3072" s="367"/>
    </row>
    <row r="3073" spans="2:139">
      <c r="B3073" s="33"/>
      <c r="EC3073" s="366" t="str">
        <f t="shared" si="324"/>
        <v>_</v>
      </c>
      <c r="ED3073" s="367"/>
      <c r="EE3073" s="367"/>
      <c r="EF3073" s="368"/>
      <c r="EG3073" s="367"/>
      <c r="EH3073" s="367"/>
      <c r="EI3073" s="367"/>
    </row>
    <row r="3074" spans="2:139">
      <c r="B3074" s="33"/>
      <c r="EC3074" s="366" t="str">
        <f t="shared" si="324"/>
        <v>_</v>
      </c>
      <c r="ED3074" s="367"/>
      <c r="EE3074" s="367"/>
      <c r="EF3074" s="368"/>
      <c r="EG3074" s="367"/>
      <c r="EH3074" s="367"/>
      <c r="EI3074" s="367"/>
    </row>
    <row r="3075" spans="2:139">
      <c r="B3075" s="33"/>
      <c r="EC3075" s="366" t="str">
        <f t="shared" si="324"/>
        <v>_</v>
      </c>
      <c r="ED3075" s="367"/>
      <c r="EE3075" s="367"/>
      <c r="EF3075" s="368"/>
      <c r="EG3075" s="367"/>
      <c r="EH3075" s="367"/>
      <c r="EI3075" s="367"/>
    </row>
    <row r="3076" spans="2:139">
      <c r="B3076" s="33"/>
      <c r="EC3076" s="366" t="str">
        <f t="shared" si="324"/>
        <v>_</v>
      </c>
      <c r="ED3076" s="367"/>
      <c r="EE3076" s="367"/>
      <c r="EF3076" s="368"/>
      <c r="EG3076" s="367"/>
      <c r="EH3076" s="367"/>
      <c r="EI3076" s="367"/>
    </row>
    <row r="3077" spans="2:139">
      <c r="B3077" s="33"/>
      <c r="EC3077" s="366" t="str">
        <f t="shared" si="324"/>
        <v>_</v>
      </c>
      <c r="ED3077" s="367"/>
      <c r="EE3077" s="367"/>
      <c r="EF3077" s="368"/>
      <c r="EG3077" s="367"/>
      <c r="EH3077" s="367"/>
      <c r="EI3077" s="367"/>
    </row>
    <row r="3078" spans="2:139">
      <c r="B3078" s="33"/>
      <c r="EC3078" s="366" t="str">
        <f t="shared" si="324"/>
        <v>_</v>
      </c>
      <c r="ED3078" s="367"/>
      <c r="EE3078" s="367"/>
      <c r="EF3078" s="368"/>
      <c r="EG3078" s="367"/>
      <c r="EH3078" s="367"/>
      <c r="EI3078" s="367"/>
    </row>
    <row r="3079" spans="2:139">
      <c r="B3079" s="33"/>
      <c r="EC3079" s="366" t="str">
        <f t="shared" si="324"/>
        <v>_</v>
      </c>
      <c r="ED3079" s="367"/>
      <c r="EE3079" s="367"/>
      <c r="EF3079" s="368"/>
      <c r="EG3079" s="367"/>
      <c r="EH3079" s="367"/>
      <c r="EI3079" s="367"/>
    </row>
    <row r="3080" spans="2:139">
      <c r="B3080" s="33"/>
      <c r="EC3080" s="366" t="str">
        <f t="shared" si="324"/>
        <v>_</v>
      </c>
      <c r="ED3080" s="367"/>
      <c r="EE3080" s="367"/>
      <c r="EF3080" s="368"/>
      <c r="EG3080" s="367"/>
      <c r="EH3080" s="367"/>
      <c r="EI3080" s="367"/>
    </row>
    <row r="3081" spans="2:139">
      <c r="B3081" s="33"/>
      <c r="EC3081" s="366" t="str">
        <f t="shared" si="324"/>
        <v>_</v>
      </c>
      <c r="ED3081" s="367"/>
      <c r="EE3081" s="367"/>
      <c r="EF3081" s="368"/>
      <c r="EG3081" s="367"/>
      <c r="EH3081" s="367"/>
      <c r="EI3081" s="367"/>
    </row>
    <row r="3082" spans="2:139">
      <c r="B3082" s="33"/>
      <c r="EC3082" s="366" t="str">
        <f t="shared" si="324"/>
        <v>_</v>
      </c>
      <c r="ED3082" s="367"/>
      <c r="EE3082" s="367"/>
      <c r="EF3082" s="368"/>
      <c r="EG3082" s="367"/>
      <c r="EH3082" s="367"/>
      <c r="EI3082" s="367"/>
    </row>
    <row r="3083" spans="2:139">
      <c r="B3083" s="33"/>
      <c r="EC3083" s="366" t="str">
        <f t="shared" si="324"/>
        <v>_</v>
      </c>
      <c r="ED3083" s="367"/>
      <c r="EE3083" s="367"/>
      <c r="EF3083" s="368"/>
      <c r="EG3083" s="367"/>
      <c r="EH3083" s="367"/>
      <c r="EI3083" s="367"/>
    </row>
    <row r="3084" spans="2:139">
      <c r="B3084" s="33"/>
      <c r="EC3084" s="366" t="str">
        <f t="shared" si="324"/>
        <v>_</v>
      </c>
      <c r="ED3084" s="367"/>
      <c r="EE3084" s="367"/>
      <c r="EF3084" s="368"/>
      <c r="EG3084" s="367"/>
      <c r="EH3084" s="367"/>
      <c r="EI3084" s="367"/>
    </row>
    <row r="3085" spans="2:139">
      <c r="B3085" s="33"/>
      <c r="EC3085" s="366" t="str">
        <f t="shared" si="324"/>
        <v>_</v>
      </c>
      <c r="ED3085" s="367"/>
      <c r="EE3085" s="367"/>
      <c r="EF3085" s="368"/>
      <c r="EG3085" s="367"/>
      <c r="EH3085" s="367"/>
      <c r="EI3085" s="367"/>
    </row>
    <row r="3086" spans="2:139">
      <c r="B3086" s="33"/>
      <c r="EC3086" s="366" t="str">
        <f t="shared" si="324"/>
        <v>_</v>
      </c>
      <c r="ED3086" s="367"/>
      <c r="EE3086" s="367"/>
      <c r="EF3086" s="368"/>
      <c r="EG3086" s="367"/>
      <c r="EH3086" s="367"/>
      <c r="EI3086" s="367"/>
    </row>
    <row r="3087" spans="2:139">
      <c r="B3087" s="33"/>
      <c r="EC3087" s="366" t="str">
        <f t="shared" si="324"/>
        <v>_</v>
      </c>
      <c r="ED3087" s="367"/>
      <c r="EE3087" s="367"/>
      <c r="EF3087" s="368"/>
      <c r="EG3087" s="367"/>
      <c r="EH3087" s="367"/>
      <c r="EI3087" s="367"/>
    </row>
    <row r="3088" spans="2:139">
      <c r="B3088" s="33"/>
      <c r="EC3088" s="366" t="str">
        <f t="shared" si="324"/>
        <v>_</v>
      </c>
      <c r="ED3088" s="367"/>
      <c r="EE3088" s="367"/>
      <c r="EF3088" s="368"/>
      <c r="EG3088" s="367"/>
      <c r="EH3088" s="367"/>
      <c r="EI3088" s="367"/>
    </row>
    <row r="3089" spans="2:139">
      <c r="B3089" s="33"/>
      <c r="EC3089" s="366" t="str">
        <f t="shared" si="324"/>
        <v>_</v>
      </c>
      <c r="ED3089" s="367"/>
      <c r="EE3089" s="367"/>
      <c r="EF3089" s="368"/>
      <c r="EG3089" s="367"/>
      <c r="EH3089" s="367"/>
      <c r="EI3089" s="367"/>
    </row>
    <row r="3090" spans="2:139">
      <c r="B3090" s="33"/>
      <c r="EC3090" s="366" t="str">
        <f t="shared" si="324"/>
        <v>_</v>
      </c>
      <c r="ED3090" s="367"/>
      <c r="EE3090" s="367"/>
      <c r="EF3090" s="368"/>
      <c r="EG3090" s="367"/>
      <c r="EH3090" s="367"/>
      <c r="EI3090" s="367"/>
    </row>
    <row r="3091" spans="2:139">
      <c r="B3091" s="33"/>
      <c r="EC3091" s="366" t="str">
        <f t="shared" si="324"/>
        <v>_</v>
      </c>
      <c r="ED3091" s="367"/>
      <c r="EE3091" s="367"/>
      <c r="EF3091" s="368"/>
      <c r="EG3091" s="367"/>
      <c r="EH3091" s="367"/>
      <c r="EI3091" s="367"/>
    </row>
    <row r="3092" spans="2:139">
      <c r="B3092" s="33"/>
      <c r="EC3092" s="366" t="str">
        <f t="shared" si="324"/>
        <v>_</v>
      </c>
      <c r="ED3092" s="367"/>
      <c r="EE3092" s="367"/>
      <c r="EF3092" s="368"/>
      <c r="EG3092" s="367"/>
      <c r="EH3092" s="367"/>
      <c r="EI3092" s="367"/>
    </row>
    <row r="3093" spans="2:139">
      <c r="B3093" s="33"/>
      <c r="EC3093" s="366" t="str">
        <f t="shared" si="324"/>
        <v>_</v>
      </c>
      <c r="ED3093" s="367"/>
      <c r="EE3093" s="367"/>
      <c r="EF3093" s="368"/>
      <c r="EG3093" s="367"/>
      <c r="EH3093" s="367"/>
      <c r="EI3093" s="367"/>
    </row>
    <row r="3094" spans="2:139">
      <c r="B3094" s="33"/>
      <c r="EC3094" s="366" t="str">
        <f t="shared" si="324"/>
        <v>_</v>
      </c>
      <c r="ED3094" s="367"/>
      <c r="EE3094" s="367"/>
      <c r="EF3094" s="368"/>
      <c r="EG3094" s="367"/>
      <c r="EH3094" s="367"/>
      <c r="EI3094" s="367"/>
    </row>
    <row r="3095" spans="2:139">
      <c r="B3095" s="33"/>
      <c r="EC3095" s="366" t="str">
        <f t="shared" ref="EC3095:EC3158" si="325">B3095&amp;"_"&amp;C3095</f>
        <v>_</v>
      </c>
      <c r="ED3095" s="367"/>
      <c r="EE3095" s="367"/>
      <c r="EF3095" s="368"/>
      <c r="EG3095" s="367"/>
      <c r="EH3095" s="367"/>
      <c r="EI3095" s="367"/>
    </row>
    <row r="3096" spans="2:139">
      <c r="B3096" s="33"/>
      <c r="EC3096" s="366" t="str">
        <f t="shared" si="325"/>
        <v>_</v>
      </c>
      <c r="ED3096" s="367"/>
      <c r="EE3096" s="367"/>
      <c r="EF3096" s="368"/>
      <c r="EG3096" s="367"/>
      <c r="EH3096" s="367"/>
      <c r="EI3096" s="367"/>
    </row>
    <row r="3097" spans="2:139">
      <c r="B3097" s="33"/>
      <c r="EC3097" s="366" t="str">
        <f t="shared" si="325"/>
        <v>_</v>
      </c>
      <c r="ED3097" s="367"/>
      <c r="EE3097" s="367"/>
      <c r="EF3097" s="368"/>
      <c r="EG3097" s="367"/>
      <c r="EH3097" s="367"/>
      <c r="EI3097" s="367"/>
    </row>
    <row r="3098" spans="2:139">
      <c r="B3098" s="33"/>
      <c r="EC3098" s="366" t="str">
        <f t="shared" si="325"/>
        <v>_</v>
      </c>
      <c r="ED3098" s="367"/>
      <c r="EE3098" s="367"/>
      <c r="EF3098" s="368"/>
      <c r="EG3098" s="367"/>
      <c r="EH3098" s="367"/>
      <c r="EI3098" s="367"/>
    </row>
    <row r="3099" spans="2:139">
      <c r="B3099" s="33"/>
      <c r="EC3099" s="366" t="str">
        <f t="shared" si="325"/>
        <v>_</v>
      </c>
      <c r="ED3099" s="367"/>
      <c r="EE3099" s="367"/>
      <c r="EF3099" s="368"/>
      <c r="EG3099" s="367"/>
      <c r="EH3099" s="367"/>
      <c r="EI3099" s="367"/>
    </row>
    <row r="3100" spans="2:139">
      <c r="B3100" s="33"/>
      <c r="EC3100" s="366" t="str">
        <f t="shared" si="325"/>
        <v>_</v>
      </c>
      <c r="ED3100" s="367"/>
      <c r="EE3100" s="367"/>
      <c r="EF3100" s="368"/>
      <c r="EG3100" s="367"/>
      <c r="EH3100" s="367"/>
      <c r="EI3100" s="367"/>
    </row>
    <row r="3101" spans="2:139">
      <c r="B3101" s="33"/>
      <c r="EC3101" s="366" t="str">
        <f t="shared" si="325"/>
        <v>_</v>
      </c>
      <c r="ED3101" s="367"/>
      <c r="EE3101" s="367"/>
      <c r="EF3101" s="368"/>
      <c r="EG3101" s="367"/>
      <c r="EH3101" s="367"/>
      <c r="EI3101" s="367"/>
    </row>
    <row r="3102" spans="2:139">
      <c r="B3102" s="33"/>
      <c r="EC3102" s="366" t="str">
        <f t="shared" si="325"/>
        <v>_</v>
      </c>
      <c r="ED3102" s="367"/>
      <c r="EE3102" s="367"/>
      <c r="EF3102" s="368"/>
      <c r="EG3102" s="367"/>
      <c r="EH3102" s="367"/>
      <c r="EI3102" s="367"/>
    </row>
    <row r="3103" spans="2:139">
      <c r="B3103" s="33"/>
      <c r="EC3103" s="366" t="str">
        <f t="shared" si="325"/>
        <v>_</v>
      </c>
      <c r="ED3103" s="367"/>
      <c r="EE3103" s="367"/>
      <c r="EF3103" s="368"/>
      <c r="EG3103" s="367"/>
      <c r="EH3103" s="367"/>
      <c r="EI3103" s="367"/>
    </row>
    <row r="3104" spans="2:139">
      <c r="B3104" s="33"/>
      <c r="EC3104" s="366" t="str">
        <f t="shared" si="325"/>
        <v>_</v>
      </c>
      <c r="ED3104" s="367"/>
      <c r="EE3104" s="367"/>
      <c r="EF3104" s="368"/>
      <c r="EG3104" s="367"/>
      <c r="EH3104" s="367"/>
      <c r="EI3104" s="367"/>
    </row>
    <row r="3105" spans="2:139">
      <c r="B3105" s="33"/>
      <c r="EC3105" s="366" t="str">
        <f t="shared" si="325"/>
        <v>_</v>
      </c>
      <c r="ED3105" s="367"/>
      <c r="EE3105" s="367"/>
      <c r="EF3105" s="368"/>
      <c r="EG3105" s="367"/>
      <c r="EH3105" s="367"/>
      <c r="EI3105" s="367"/>
    </row>
    <row r="3106" spans="2:139">
      <c r="B3106" s="33"/>
      <c r="EC3106" s="366" t="str">
        <f t="shared" si="325"/>
        <v>_</v>
      </c>
      <c r="ED3106" s="367"/>
      <c r="EE3106" s="367"/>
      <c r="EF3106" s="368"/>
      <c r="EG3106" s="367"/>
      <c r="EH3106" s="367"/>
      <c r="EI3106" s="367"/>
    </row>
    <row r="3107" spans="2:139">
      <c r="B3107" s="33"/>
      <c r="EC3107" s="366" t="str">
        <f t="shared" si="325"/>
        <v>_</v>
      </c>
      <c r="ED3107" s="367"/>
      <c r="EE3107" s="367"/>
      <c r="EF3107" s="368"/>
      <c r="EG3107" s="367"/>
      <c r="EH3107" s="367"/>
      <c r="EI3107" s="367"/>
    </row>
    <row r="3108" spans="2:139">
      <c r="B3108" s="33"/>
      <c r="EC3108" s="366" t="str">
        <f t="shared" si="325"/>
        <v>_</v>
      </c>
      <c r="ED3108" s="367"/>
      <c r="EE3108" s="367"/>
      <c r="EF3108" s="368"/>
      <c r="EG3108" s="367"/>
      <c r="EH3108" s="367"/>
      <c r="EI3108" s="367"/>
    </row>
    <row r="3109" spans="2:139">
      <c r="B3109" s="33"/>
      <c r="EC3109" s="366" t="str">
        <f t="shared" si="325"/>
        <v>_</v>
      </c>
      <c r="ED3109" s="367"/>
      <c r="EE3109" s="367"/>
      <c r="EF3109" s="368"/>
      <c r="EG3109" s="367"/>
      <c r="EH3109" s="367"/>
      <c r="EI3109" s="367"/>
    </row>
    <row r="3110" spans="2:139">
      <c r="B3110" s="33"/>
      <c r="EC3110" s="366" t="str">
        <f t="shared" si="325"/>
        <v>_</v>
      </c>
      <c r="ED3110" s="367"/>
      <c r="EE3110" s="367"/>
      <c r="EF3110" s="368"/>
      <c r="EG3110" s="367"/>
      <c r="EH3110" s="367"/>
      <c r="EI3110" s="367"/>
    </row>
    <row r="3111" spans="2:139">
      <c r="B3111" s="33"/>
      <c r="EC3111" s="366" t="str">
        <f t="shared" si="325"/>
        <v>_</v>
      </c>
      <c r="ED3111" s="367"/>
      <c r="EE3111" s="367"/>
      <c r="EF3111" s="368"/>
      <c r="EG3111" s="367"/>
      <c r="EH3111" s="367"/>
      <c r="EI3111" s="367"/>
    </row>
    <row r="3112" spans="2:139">
      <c r="B3112" s="33"/>
      <c r="EC3112" s="366" t="str">
        <f t="shared" si="325"/>
        <v>_</v>
      </c>
      <c r="ED3112" s="367"/>
      <c r="EE3112" s="367"/>
      <c r="EF3112" s="368"/>
      <c r="EG3112" s="367"/>
      <c r="EH3112" s="367"/>
      <c r="EI3112" s="367"/>
    </row>
    <row r="3113" spans="2:139">
      <c r="B3113" s="33"/>
      <c r="EC3113" s="366" t="str">
        <f t="shared" si="325"/>
        <v>_</v>
      </c>
      <c r="ED3113" s="367"/>
      <c r="EE3113" s="367"/>
      <c r="EF3113" s="368"/>
      <c r="EG3113" s="367"/>
      <c r="EH3113" s="367"/>
      <c r="EI3113" s="367"/>
    </row>
    <row r="3114" spans="2:139">
      <c r="B3114" s="33"/>
      <c r="EC3114" s="366" t="str">
        <f t="shared" si="325"/>
        <v>_</v>
      </c>
      <c r="ED3114" s="367"/>
      <c r="EE3114" s="367"/>
      <c r="EF3114" s="368"/>
      <c r="EG3114" s="367"/>
      <c r="EH3114" s="367"/>
      <c r="EI3114" s="367"/>
    </row>
    <row r="3115" spans="2:139">
      <c r="B3115" s="33"/>
      <c r="EC3115" s="366" t="str">
        <f t="shared" si="325"/>
        <v>_</v>
      </c>
      <c r="ED3115" s="367"/>
      <c r="EE3115" s="367"/>
      <c r="EF3115" s="368"/>
      <c r="EG3115" s="367"/>
      <c r="EH3115" s="367"/>
      <c r="EI3115" s="367"/>
    </row>
    <row r="3116" spans="2:139">
      <c r="B3116" s="33"/>
      <c r="EC3116" s="366" t="str">
        <f t="shared" si="325"/>
        <v>_</v>
      </c>
      <c r="ED3116" s="367"/>
      <c r="EE3116" s="367"/>
      <c r="EF3116" s="368"/>
      <c r="EG3116" s="367"/>
      <c r="EH3116" s="367"/>
      <c r="EI3116" s="367"/>
    </row>
    <row r="3117" spans="2:139">
      <c r="B3117" s="33"/>
      <c r="EC3117" s="366" t="str">
        <f t="shared" si="325"/>
        <v>_</v>
      </c>
      <c r="ED3117" s="367"/>
      <c r="EE3117" s="367"/>
      <c r="EF3117" s="368"/>
      <c r="EG3117" s="367"/>
      <c r="EH3117" s="367"/>
      <c r="EI3117" s="367"/>
    </row>
    <row r="3118" spans="2:139">
      <c r="B3118" s="33"/>
      <c r="EC3118" s="366" t="str">
        <f t="shared" si="325"/>
        <v>_</v>
      </c>
      <c r="ED3118" s="367"/>
      <c r="EE3118" s="367"/>
      <c r="EF3118" s="368"/>
      <c r="EG3118" s="367"/>
      <c r="EH3118" s="367"/>
      <c r="EI3118" s="367"/>
    </row>
    <row r="3119" spans="2:139">
      <c r="B3119" s="33"/>
      <c r="EC3119" s="366" t="str">
        <f t="shared" si="325"/>
        <v>_</v>
      </c>
      <c r="ED3119" s="367"/>
      <c r="EE3119" s="367"/>
      <c r="EF3119" s="368"/>
      <c r="EG3119" s="367"/>
      <c r="EH3119" s="367"/>
      <c r="EI3119" s="367"/>
    </row>
    <row r="3120" spans="2:139">
      <c r="B3120" s="33"/>
      <c r="EC3120" s="366" t="str">
        <f t="shared" si="325"/>
        <v>_</v>
      </c>
      <c r="ED3120" s="367"/>
      <c r="EE3120" s="367"/>
      <c r="EF3120" s="368"/>
      <c r="EG3120" s="367"/>
      <c r="EH3120" s="367"/>
      <c r="EI3120" s="367"/>
    </row>
    <row r="3121" spans="2:139">
      <c r="B3121" s="33"/>
      <c r="EC3121" s="366" t="str">
        <f t="shared" si="325"/>
        <v>_</v>
      </c>
      <c r="ED3121" s="367"/>
      <c r="EE3121" s="367"/>
      <c r="EF3121" s="368"/>
      <c r="EG3121" s="367"/>
      <c r="EH3121" s="367"/>
      <c r="EI3121" s="367"/>
    </row>
    <row r="3122" spans="2:139">
      <c r="B3122" s="33"/>
      <c r="EC3122" s="366" t="str">
        <f t="shared" si="325"/>
        <v>_</v>
      </c>
      <c r="ED3122" s="367"/>
      <c r="EE3122" s="367"/>
      <c r="EF3122" s="368"/>
      <c r="EG3122" s="367"/>
      <c r="EH3122" s="367"/>
      <c r="EI3122" s="367"/>
    </row>
    <row r="3123" spans="2:139">
      <c r="B3123" s="33"/>
      <c r="EC3123" s="366" t="str">
        <f t="shared" si="325"/>
        <v>_</v>
      </c>
      <c r="ED3123" s="367"/>
      <c r="EE3123" s="367"/>
      <c r="EF3123" s="368"/>
      <c r="EG3123" s="367"/>
      <c r="EH3123" s="367"/>
      <c r="EI3123" s="367"/>
    </row>
    <row r="3124" spans="2:139">
      <c r="B3124" s="33"/>
      <c r="EC3124" s="366" t="str">
        <f t="shared" si="325"/>
        <v>_</v>
      </c>
      <c r="ED3124" s="367"/>
      <c r="EE3124" s="367"/>
      <c r="EF3124" s="368"/>
      <c r="EG3124" s="367"/>
      <c r="EH3124" s="367"/>
      <c r="EI3124" s="367"/>
    </row>
    <row r="3125" spans="2:139">
      <c r="B3125" s="33"/>
      <c r="EC3125" s="366" t="str">
        <f t="shared" si="325"/>
        <v>_</v>
      </c>
      <c r="ED3125" s="367"/>
      <c r="EE3125" s="367"/>
      <c r="EF3125" s="368"/>
      <c r="EG3125" s="367"/>
      <c r="EH3125" s="367"/>
      <c r="EI3125" s="367"/>
    </row>
    <row r="3126" spans="2:139">
      <c r="B3126" s="33"/>
      <c r="EC3126" s="366" t="str">
        <f t="shared" si="325"/>
        <v>_</v>
      </c>
      <c r="ED3126" s="367"/>
      <c r="EE3126" s="367"/>
      <c r="EF3126" s="368"/>
      <c r="EG3126" s="367"/>
      <c r="EH3126" s="367"/>
      <c r="EI3126" s="367"/>
    </row>
    <row r="3127" spans="2:139">
      <c r="B3127" s="33"/>
      <c r="EC3127" s="366" t="str">
        <f t="shared" si="325"/>
        <v>_</v>
      </c>
      <c r="ED3127" s="367"/>
      <c r="EE3127" s="367"/>
      <c r="EF3127" s="368"/>
      <c r="EG3127" s="367"/>
      <c r="EH3127" s="367"/>
      <c r="EI3127" s="367"/>
    </row>
    <row r="3128" spans="2:139">
      <c r="B3128" s="33"/>
      <c r="EC3128" s="366" t="str">
        <f t="shared" si="325"/>
        <v>_</v>
      </c>
      <c r="ED3128" s="367"/>
      <c r="EE3128" s="367"/>
      <c r="EF3128" s="368"/>
      <c r="EG3128" s="367"/>
      <c r="EH3128" s="367"/>
      <c r="EI3128" s="367"/>
    </row>
    <row r="3129" spans="2:139">
      <c r="B3129" s="33"/>
      <c r="EC3129" s="366" t="str">
        <f t="shared" si="325"/>
        <v>_</v>
      </c>
      <c r="ED3129" s="367"/>
      <c r="EE3129" s="367"/>
      <c r="EF3129" s="368"/>
      <c r="EG3129" s="367"/>
      <c r="EH3129" s="367"/>
      <c r="EI3129" s="367"/>
    </row>
    <row r="3130" spans="2:139">
      <c r="B3130" s="33"/>
      <c r="EC3130" s="366" t="str">
        <f t="shared" si="325"/>
        <v>_</v>
      </c>
      <c r="ED3130" s="367"/>
      <c r="EE3130" s="367"/>
      <c r="EF3130" s="368"/>
      <c r="EG3130" s="367"/>
      <c r="EH3130" s="367"/>
      <c r="EI3130" s="367"/>
    </row>
    <row r="3131" spans="2:139">
      <c r="B3131" s="33"/>
      <c r="EC3131" s="366" t="str">
        <f t="shared" si="325"/>
        <v>_</v>
      </c>
      <c r="ED3131" s="367"/>
      <c r="EE3131" s="367"/>
      <c r="EF3131" s="368"/>
      <c r="EG3131" s="367"/>
      <c r="EH3131" s="367"/>
      <c r="EI3131" s="367"/>
    </row>
    <row r="3132" spans="2:139">
      <c r="B3132" s="33"/>
      <c r="EC3132" s="366" t="str">
        <f t="shared" si="325"/>
        <v>_</v>
      </c>
      <c r="ED3132" s="367"/>
      <c r="EE3132" s="367"/>
      <c r="EF3132" s="368"/>
      <c r="EG3132" s="367"/>
      <c r="EH3132" s="367"/>
      <c r="EI3132" s="367"/>
    </row>
    <row r="3133" spans="2:139">
      <c r="B3133" s="33"/>
      <c r="EC3133" s="366" t="str">
        <f t="shared" si="325"/>
        <v>_</v>
      </c>
      <c r="ED3133" s="367"/>
      <c r="EE3133" s="367"/>
      <c r="EF3133" s="368"/>
      <c r="EG3133" s="367"/>
      <c r="EH3133" s="367"/>
      <c r="EI3133" s="367"/>
    </row>
    <row r="3134" spans="2:139">
      <c r="B3134" s="33"/>
      <c r="EC3134" s="366" t="str">
        <f t="shared" si="325"/>
        <v>_</v>
      </c>
      <c r="ED3134" s="367"/>
      <c r="EE3134" s="367"/>
      <c r="EF3134" s="368"/>
      <c r="EG3134" s="367"/>
      <c r="EH3134" s="367"/>
      <c r="EI3134" s="367"/>
    </row>
    <row r="3135" spans="2:139">
      <c r="B3135" s="33"/>
      <c r="EC3135" s="366" t="str">
        <f t="shared" si="325"/>
        <v>_</v>
      </c>
      <c r="ED3135" s="367"/>
      <c r="EE3135" s="367"/>
      <c r="EF3135" s="368"/>
      <c r="EG3135" s="367"/>
      <c r="EH3135" s="367"/>
      <c r="EI3135" s="367"/>
    </row>
    <row r="3136" spans="2:139">
      <c r="B3136" s="33"/>
      <c r="EC3136" s="366" t="str">
        <f t="shared" si="325"/>
        <v>_</v>
      </c>
      <c r="ED3136" s="367"/>
      <c r="EE3136" s="367"/>
      <c r="EF3136" s="368"/>
      <c r="EG3136" s="367"/>
      <c r="EH3136" s="367"/>
      <c r="EI3136" s="367"/>
    </row>
    <row r="3137" spans="2:139">
      <c r="B3137" s="33"/>
      <c r="EC3137" s="366" t="str">
        <f t="shared" si="325"/>
        <v>_</v>
      </c>
      <c r="ED3137" s="367"/>
      <c r="EE3137" s="367"/>
      <c r="EF3137" s="368"/>
      <c r="EG3137" s="367"/>
      <c r="EH3137" s="367"/>
      <c r="EI3137" s="367"/>
    </row>
    <row r="3138" spans="2:139">
      <c r="B3138" s="33"/>
      <c r="EC3138" s="366" t="str">
        <f t="shared" si="325"/>
        <v>_</v>
      </c>
      <c r="ED3138" s="367"/>
      <c r="EE3138" s="367"/>
      <c r="EF3138" s="368"/>
      <c r="EG3138" s="367"/>
      <c r="EH3138" s="367"/>
      <c r="EI3138" s="367"/>
    </row>
    <row r="3139" spans="2:139">
      <c r="B3139" s="33"/>
      <c r="EC3139" s="366" t="str">
        <f t="shared" si="325"/>
        <v>_</v>
      </c>
      <c r="ED3139" s="367"/>
      <c r="EE3139" s="367"/>
      <c r="EF3139" s="368"/>
      <c r="EG3139" s="367"/>
      <c r="EH3139" s="367"/>
      <c r="EI3139" s="367"/>
    </row>
    <row r="3140" spans="2:139">
      <c r="B3140" s="33"/>
      <c r="EC3140" s="366" t="str">
        <f t="shared" si="325"/>
        <v>_</v>
      </c>
      <c r="ED3140" s="367"/>
      <c r="EE3140" s="367"/>
      <c r="EF3140" s="368"/>
      <c r="EG3140" s="367"/>
      <c r="EH3140" s="367"/>
      <c r="EI3140" s="367"/>
    </row>
    <row r="3141" spans="2:139">
      <c r="B3141" s="33"/>
      <c r="EC3141" s="366" t="str">
        <f t="shared" si="325"/>
        <v>_</v>
      </c>
      <c r="ED3141" s="367"/>
      <c r="EE3141" s="367"/>
      <c r="EF3141" s="368"/>
      <c r="EG3141" s="367"/>
      <c r="EH3141" s="367"/>
      <c r="EI3141" s="367"/>
    </row>
    <row r="3142" spans="2:139">
      <c r="B3142" s="33"/>
      <c r="EC3142" s="366" t="str">
        <f t="shared" si="325"/>
        <v>_</v>
      </c>
      <c r="ED3142" s="367"/>
      <c r="EE3142" s="367"/>
      <c r="EF3142" s="368"/>
      <c r="EG3142" s="367"/>
      <c r="EH3142" s="367"/>
      <c r="EI3142" s="367"/>
    </row>
    <row r="3143" spans="2:139">
      <c r="B3143" s="33"/>
      <c r="EC3143" s="366" t="str">
        <f t="shared" si="325"/>
        <v>_</v>
      </c>
      <c r="ED3143" s="367"/>
      <c r="EE3143" s="367"/>
      <c r="EF3143" s="368"/>
      <c r="EG3143" s="367"/>
      <c r="EH3143" s="367"/>
      <c r="EI3143" s="367"/>
    </row>
    <row r="3144" spans="2:139">
      <c r="B3144" s="33"/>
      <c r="EC3144" s="366" t="str">
        <f t="shared" si="325"/>
        <v>_</v>
      </c>
      <c r="ED3144" s="367"/>
      <c r="EE3144" s="367"/>
      <c r="EF3144" s="368"/>
      <c r="EG3144" s="367"/>
      <c r="EH3144" s="367"/>
      <c r="EI3144" s="367"/>
    </row>
    <row r="3145" spans="2:139">
      <c r="B3145" s="33"/>
      <c r="EC3145" s="366" t="str">
        <f t="shared" si="325"/>
        <v>_</v>
      </c>
      <c r="ED3145" s="367"/>
      <c r="EE3145" s="367"/>
      <c r="EF3145" s="368"/>
      <c r="EG3145" s="367"/>
      <c r="EH3145" s="367"/>
      <c r="EI3145" s="367"/>
    </row>
    <row r="3146" spans="2:139">
      <c r="B3146" s="33"/>
      <c r="EC3146" s="366" t="str">
        <f t="shared" si="325"/>
        <v>_</v>
      </c>
      <c r="ED3146" s="367"/>
      <c r="EE3146" s="367"/>
      <c r="EF3146" s="368"/>
      <c r="EG3146" s="367"/>
      <c r="EH3146" s="367"/>
      <c r="EI3146" s="367"/>
    </row>
    <row r="3147" spans="2:139">
      <c r="B3147" s="33"/>
      <c r="EC3147" s="366" t="str">
        <f t="shared" si="325"/>
        <v>_</v>
      </c>
      <c r="ED3147" s="367"/>
      <c r="EE3147" s="367"/>
      <c r="EF3147" s="368"/>
      <c r="EG3147" s="367"/>
      <c r="EH3147" s="367"/>
      <c r="EI3147" s="367"/>
    </row>
    <row r="3148" spans="2:139">
      <c r="B3148" s="33"/>
      <c r="EC3148" s="366" t="str">
        <f t="shared" si="325"/>
        <v>_</v>
      </c>
      <c r="ED3148" s="367"/>
      <c r="EE3148" s="367"/>
      <c r="EF3148" s="368"/>
      <c r="EG3148" s="367"/>
      <c r="EH3148" s="367"/>
      <c r="EI3148" s="367"/>
    </row>
    <row r="3149" spans="2:139">
      <c r="B3149" s="33"/>
      <c r="EC3149" s="366" t="str">
        <f t="shared" si="325"/>
        <v>_</v>
      </c>
      <c r="ED3149" s="367"/>
      <c r="EE3149" s="367"/>
      <c r="EF3149" s="368"/>
      <c r="EG3149" s="367"/>
      <c r="EH3149" s="367"/>
      <c r="EI3149" s="367"/>
    </row>
    <row r="3150" spans="2:139">
      <c r="B3150" s="33"/>
      <c r="EC3150" s="366" t="str">
        <f t="shared" si="325"/>
        <v>_</v>
      </c>
      <c r="ED3150" s="367"/>
      <c r="EE3150" s="367"/>
      <c r="EF3150" s="368"/>
      <c r="EG3150" s="367"/>
      <c r="EH3150" s="367"/>
      <c r="EI3150" s="367"/>
    </row>
    <row r="3151" spans="2:139">
      <c r="B3151" s="33"/>
      <c r="EC3151" s="366" t="str">
        <f t="shared" si="325"/>
        <v>_</v>
      </c>
      <c r="ED3151" s="367"/>
      <c r="EE3151" s="367"/>
      <c r="EF3151" s="368"/>
      <c r="EG3151" s="367"/>
      <c r="EH3151" s="367"/>
      <c r="EI3151" s="367"/>
    </row>
    <row r="3152" spans="2:139">
      <c r="B3152" s="33"/>
      <c r="EC3152" s="366" t="str">
        <f t="shared" si="325"/>
        <v>_</v>
      </c>
      <c r="ED3152" s="367"/>
      <c r="EE3152" s="367"/>
      <c r="EF3152" s="368"/>
      <c r="EG3152" s="367"/>
      <c r="EH3152" s="367"/>
      <c r="EI3152" s="367"/>
    </row>
    <row r="3153" spans="2:139">
      <c r="B3153" s="33"/>
      <c r="EC3153" s="366" t="str">
        <f t="shared" si="325"/>
        <v>_</v>
      </c>
      <c r="ED3153" s="367"/>
      <c r="EE3153" s="367"/>
      <c r="EF3153" s="368"/>
      <c r="EG3153" s="367"/>
      <c r="EH3153" s="367"/>
      <c r="EI3153" s="367"/>
    </row>
    <row r="3154" spans="2:139">
      <c r="B3154" s="33"/>
      <c r="EC3154" s="366" t="str">
        <f t="shared" si="325"/>
        <v>_</v>
      </c>
      <c r="ED3154" s="367"/>
      <c r="EE3154" s="367"/>
      <c r="EF3154" s="368"/>
      <c r="EG3154" s="367"/>
      <c r="EH3154" s="367"/>
      <c r="EI3154" s="367"/>
    </row>
    <row r="3155" spans="2:139">
      <c r="B3155" s="33"/>
      <c r="EC3155" s="366" t="str">
        <f t="shared" si="325"/>
        <v>_</v>
      </c>
      <c r="ED3155" s="367"/>
      <c r="EE3155" s="367"/>
      <c r="EF3155" s="368"/>
      <c r="EG3155" s="367"/>
      <c r="EH3155" s="367"/>
      <c r="EI3155" s="367"/>
    </row>
    <row r="3156" spans="2:139">
      <c r="B3156" s="33"/>
      <c r="EC3156" s="366" t="str">
        <f t="shared" si="325"/>
        <v>_</v>
      </c>
      <c r="ED3156" s="367"/>
      <c r="EE3156" s="367"/>
      <c r="EF3156" s="368"/>
      <c r="EG3156" s="367"/>
      <c r="EH3156" s="367"/>
      <c r="EI3156" s="367"/>
    </row>
    <row r="3157" spans="2:139">
      <c r="B3157" s="33"/>
      <c r="EC3157" s="366" t="str">
        <f t="shared" si="325"/>
        <v>_</v>
      </c>
      <c r="ED3157" s="367"/>
      <c r="EE3157" s="367"/>
      <c r="EF3157" s="368"/>
      <c r="EG3157" s="367"/>
      <c r="EH3157" s="367"/>
      <c r="EI3157" s="367"/>
    </row>
    <row r="3158" spans="2:139">
      <c r="B3158" s="33"/>
      <c r="EC3158" s="366" t="str">
        <f t="shared" si="325"/>
        <v>_</v>
      </c>
      <c r="ED3158" s="367"/>
      <c r="EE3158" s="367"/>
      <c r="EF3158" s="368"/>
      <c r="EG3158" s="367"/>
      <c r="EH3158" s="367"/>
      <c r="EI3158" s="367"/>
    </row>
    <row r="3159" spans="2:139">
      <c r="B3159" s="33"/>
      <c r="EC3159" s="366" t="str">
        <f t="shared" ref="EC3159:EC3222" si="326">B3159&amp;"_"&amp;C3159</f>
        <v>_</v>
      </c>
      <c r="ED3159" s="367"/>
      <c r="EE3159" s="367"/>
      <c r="EF3159" s="368"/>
      <c r="EG3159" s="367"/>
      <c r="EH3159" s="367"/>
      <c r="EI3159" s="367"/>
    </row>
    <row r="3160" spans="2:139">
      <c r="B3160" s="33"/>
      <c r="EC3160" s="366" t="str">
        <f t="shared" si="326"/>
        <v>_</v>
      </c>
      <c r="ED3160" s="367"/>
      <c r="EE3160" s="367"/>
      <c r="EF3160" s="368"/>
      <c r="EG3160" s="367"/>
      <c r="EH3160" s="367"/>
      <c r="EI3160" s="367"/>
    </row>
    <row r="3161" spans="2:139">
      <c r="B3161" s="33"/>
      <c r="EC3161" s="366" t="str">
        <f t="shared" si="326"/>
        <v>_</v>
      </c>
      <c r="ED3161" s="367"/>
      <c r="EE3161" s="367"/>
      <c r="EF3161" s="368"/>
      <c r="EG3161" s="367"/>
      <c r="EH3161" s="367"/>
      <c r="EI3161" s="367"/>
    </row>
    <row r="3162" spans="2:139">
      <c r="B3162" s="33"/>
      <c r="EC3162" s="366" t="str">
        <f t="shared" si="326"/>
        <v>_</v>
      </c>
      <c r="ED3162" s="367"/>
      <c r="EE3162" s="367"/>
      <c r="EF3162" s="368"/>
      <c r="EG3162" s="367"/>
      <c r="EH3162" s="367"/>
      <c r="EI3162" s="367"/>
    </row>
    <row r="3163" spans="2:139">
      <c r="B3163" s="33"/>
      <c r="EC3163" s="366" t="str">
        <f t="shared" si="326"/>
        <v>_</v>
      </c>
      <c r="ED3163" s="367"/>
      <c r="EE3163" s="367"/>
      <c r="EF3163" s="368"/>
      <c r="EG3163" s="367"/>
      <c r="EH3163" s="367"/>
      <c r="EI3163" s="367"/>
    </row>
    <row r="3164" spans="2:139">
      <c r="B3164" s="33"/>
      <c r="EC3164" s="366" t="str">
        <f t="shared" si="326"/>
        <v>_</v>
      </c>
      <c r="ED3164" s="367"/>
      <c r="EE3164" s="367"/>
      <c r="EF3164" s="368"/>
      <c r="EG3164" s="367"/>
      <c r="EH3164" s="367"/>
      <c r="EI3164" s="367"/>
    </row>
    <row r="3165" spans="2:139">
      <c r="B3165" s="33"/>
      <c r="EC3165" s="366" t="str">
        <f t="shared" si="326"/>
        <v>_</v>
      </c>
      <c r="ED3165" s="367"/>
      <c r="EE3165" s="367"/>
      <c r="EF3165" s="368"/>
      <c r="EG3165" s="367"/>
      <c r="EH3165" s="367"/>
      <c r="EI3165" s="367"/>
    </row>
    <row r="3166" spans="2:139">
      <c r="B3166" s="33"/>
      <c r="EC3166" s="366" t="str">
        <f t="shared" si="326"/>
        <v>_</v>
      </c>
      <c r="ED3166" s="367"/>
      <c r="EE3166" s="367"/>
      <c r="EF3166" s="368"/>
      <c r="EG3166" s="367"/>
      <c r="EH3166" s="367"/>
      <c r="EI3166" s="367"/>
    </row>
    <row r="3167" spans="2:139">
      <c r="B3167" s="33"/>
      <c r="EC3167" s="366" t="str">
        <f t="shared" si="326"/>
        <v>_</v>
      </c>
      <c r="ED3167" s="367"/>
      <c r="EE3167" s="367"/>
      <c r="EF3167" s="368"/>
      <c r="EG3167" s="367"/>
      <c r="EH3167" s="367"/>
      <c r="EI3167" s="367"/>
    </row>
    <row r="3168" spans="2:139">
      <c r="B3168" s="33"/>
      <c r="EC3168" s="366" t="str">
        <f t="shared" si="326"/>
        <v>_</v>
      </c>
      <c r="ED3168" s="367"/>
      <c r="EE3168" s="367"/>
      <c r="EF3168" s="368"/>
      <c r="EG3168" s="367"/>
      <c r="EH3168" s="367"/>
      <c r="EI3168" s="367"/>
    </row>
    <row r="3169" spans="2:139">
      <c r="B3169" s="33"/>
      <c r="EC3169" s="366" t="str">
        <f t="shared" si="326"/>
        <v>_</v>
      </c>
      <c r="ED3169" s="367"/>
      <c r="EE3169" s="367"/>
      <c r="EF3169" s="368"/>
      <c r="EG3169" s="367"/>
      <c r="EH3169" s="367"/>
      <c r="EI3169" s="367"/>
    </row>
    <row r="3170" spans="2:139">
      <c r="B3170" s="33"/>
      <c r="EC3170" s="366" t="str">
        <f t="shared" si="326"/>
        <v>_</v>
      </c>
      <c r="ED3170" s="367"/>
      <c r="EE3170" s="367"/>
      <c r="EF3170" s="368"/>
      <c r="EG3170" s="367"/>
      <c r="EH3170" s="367"/>
      <c r="EI3170" s="367"/>
    </row>
    <row r="3171" spans="2:139">
      <c r="B3171" s="33"/>
      <c r="EC3171" s="366" t="str">
        <f t="shared" si="326"/>
        <v>_</v>
      </c>
      <c r="ED3171" s="367"/>
      <c r="EE3171" s="367"/>
      <c r="EF3171" s="368"/>
      <c r="EG3171" s="367"/>
      <c r="EH3171" s="367"/>
      <c r="EI3171" s="367"/>
    </row>
    <row r="3172" spans="2:139">
      <c r="B3172" s="33"/>
      <c r="EC3172" s="366" t="str">
        <f t="shared" si="326"/>
        <v>_</v>
      </c>
      <c r="ED3172" s="367"/>
      <c r="EE3172" s="367"/>
      <c r="EF3172" s="368"/>
      <c r="EG3172" s="367"/>
      <c r="EH3172" s="367"/>
      <c r="EI3172" s="367"/>
    </row>
    <row r="3173" spans="2:139">
      <c r="B3173" s="33"/>
      <c r="EC3173" s="366" t="str">
        <f t="shared" si="326"/>
        <v>_</v>
      </c>
      <c r="ED3173" s="367"/>
      <c r="EE3173" s="367"/>
      <c r="EF3173" s="368"/>
      <c r="EG3173" s="367"/>
      <c r="EH3173" s="367"/>
      <c r="EI3173" s="367"/>
    </row>
    <row r="3174" spans="2:139">
      <c r="B3174" s="33"/>
      <c r="EC3174" s="366" t="str">
        <f t="shared" si="326"/>
        <v>_</v>
      </c>
      <c r="ED3174" s="367"/>
      <c r="EE3174" s="367"/>
      <c r="EF3174" s="368"/>
      <c r="EG3174" s="367"/>
      <c r="EH3174" s="367"/>
      <c r="EI3174" s="367"/>
    </row>
    <row r="3175" spans="2:139">
      <c r="B3175" s="33"/>
      <c r="EC3175" s="366" t="str">
        <f t="shared" si="326"/>
        <v>_</v>
      </c>
      <c r="ED3175" s="367"/>
      <c r="EE3175" s="367"/>
      <c r="EF3175" s="368"/>
      <c r="EG3175" s="367"/>
      <c r="EH3175" s="367"/>
      <c r="EI3175" s="367"/>
    </row>
    <row r="3176" spans="2:139">
      <c r="B3176" s="33"/>
      <c r="EC3176" s="366" t="str">
        <f t="shared" si="326"/>
        <v>_</v>
      </c>
      <c r="ED3176" s="367"/>
      <c r="EE3176" s="367"/>
      <c r="EF3176" s="368"/>
      <c r="EG3176" s="367"/>
      <c r="EH3176" s="367"/>
      <c r="EI3176" s="367"/>
    </row>
    <row r="3177" spans="2:139">
      <c r="B3177" s="33"/>
      <c r="EC3177" s="366" t="str">
        <f t="shared" si="326"/>
        <v>_</v>
      </c>
      <c r="ED3177" s="367"/>
      <c r="EE3177" s="367"/>
      <c r="EF3177" s="368"/>
      <c r="EG3177" s="367"/>
      <c r="EH3177" s="367"/>
      <c r="EI3177" s="367"/>
    </row>
    <row r="3178" spans="2:139">
      <c r="B3178" s="33"/>
      <c r="EC3178" s="366" t="str">
        <f t="shared" si="326"/>
        <v>_</v>
      </c>
      <c r="ED3178" s="367"/>
      <c r="EE3178" s="367"/>
      <c r="EF3178" s="368"/>
      <c r="EG3178" s="367"/>
      <c r="EH3178" s="367"/>
      <c r="EI3178" s="367"/>
    </row>
    <row r="3179" spans="2:139">
      <c r="B3179" s="33"/>
      <c r="EC3179" s="366" t="str">
        <f t="shared" si="326"/>
        <v>_</v>
      </c>
      <c r="ED3179" s="367"/>
      <c r="EE3179" s="367"/>
      <c r="EF3179" s="368"/>
      <c r="EG3179" s="367"/>
      <c r="EH3179" s="367"/>
      <c r="EI3179" s="367"/>
    </row>
    <row r="3180" spans="2:139">
      <c r="B3180" s="33"/>
      <c r="EC3180" s="366" t="str">
        <f t="shared" si="326"/>
        <v>_</v>
      </c>
      <c r="ED3180" s="367"/>
      <c r="EE3180" s="367"/>
      <c r="EF3180" s="368"/>
      <c r="EG3180" s="367"/>
      <c r="EH3180" s="367"/>
      <c r="EI3180" s="367"/>
    </row>
    <row r="3181" spans="2:139">
      <c r="B3181" s="33"/>
      <c r="EC3181" s="366" t="str">
        <f t="shared" si="326"/>
        <v>_</v>
      </c>
      <c r="ED3181" s="367"/>
      <c r="EE3181" s="367"/>
      <c r="EF3181" s="368"/>
      <c r="EG3181" s="367"/>
      <c r="EH3181" s="367"/>
      <c r="EI3181" s="367"/>
    </row>
    <row r="3182" spans="2:139">
      <c r="B3182" s="33"/>
      <c r="EC3182" s="366" t="str">
        <f t="shared" si="326"/>
        <v>_</v>
      </c>
      <c r="ED3182" s="367"/>
      <c r="EE3182" s="367"/>
      <c r="EF3182" s="368"/>
      <c r="EG3182" s="367"/>
      <c r="EH3182" s="367"/>
      <c r="EI3182" s="367"/>
    </row>
    <row r="3183" spans="2:139">
      <c r="B3183" s="33"/>
      <c r="EC3183" s="366" t="str">
        <f t="shared" si="326"/>
        <v>_</v>
      </c>
      <c r="ED3183" s="367"/>
      <c r="EE3183" s="367"/>
      <c r="EF3183" s="368"/>
      <c r="EG3183" s="367"/>
      <c r="EH3183" s="367"/>
      <c r="EI3183" s="367"/>
    </row>
    <row r="3184" spans="2:139">
      <c r="B3184" s="33"/>
      <c r="EC3184" s="366" t="str">
        <f t="shared" si="326"/>
        <v>_</v>
      </c>
      <c r="ED3184" s="367"/>
      <c r="EE3184" s="367"/>
      <c r="EF3184" s="368"/>
      <c r="EG3184" s="367"/>
      <c r="EH3184" s="367"/>
      <c r="EI3184" s="367"/>
    </row>
    <row r="3185" spans="2:139">
      <c r="B3185" s="33"/>
      <c r="EC3185" s="366" t="str">
        <f t="shared" si="326"/>
        <v>_</v>
      </c>
      <c r="ED3185" s="367"/>
      <c r="EE3185" s="367"/>
      <c r="EF3185" s="368"/>
      <c r="EG3185" s="367"/>
      <c r="EH3185" s="367"/>
      <c r="EI3185" s="367"/>
    </row>
    <row r="3186" spans="2:139">
      <c r="B3186" s="33"/>
      <c r="EC3186" s="366" t="str">
        <f t="shared" si="326"/>
        <v>_</v>
      </c>
      <c r="ED3186" s="367"/>
      <c r="EE3186" s="367"/>
      <c r="EF3186" s="368"/>
      <c r="EG3186" s="367"/>
      <c r="EH3186" s="367"/>
      <c r="EI3186" s="367"/>
    </row>
    <row r="3187" spans="2:139">
      <c r="B3187" s="33"/>
      <c r="EC3187" s="366" t="str">
        <f t="shared" si="326"/>
        <v>_</v>
      </c>
      <c r="ED3187" s="367"/>
      <c r="EE3187" s="367"/>
      <c r="EF3187" s="368"/>
      <c r="EG3187" s="367"/>
      <c r="EH3187" s="367"/>
      <c r="EI3187" s="367"/>
    </row>
    <row r="3188" spans="2:139">
      <c r="B3188" s="33"/>
      <c r="EC3188" s="366" t="str">
        <f t="shared" si="326"/>
        <v>_</v>
      </c>
      <c r="ED3188" s="367"/>
      <c r="EE3188" s="367"/>
      <c r="EF3188" s="368"/>
      <c r="EG3188" s="367"/>
      <c r="EH3188" s="367"/>
      <c r="EI3188" s="367"/>
    </row>
    <row r="3189" spans="2:139">
      <c r="B3189" s="33"/>
      <c r="EC3189" s="366" t="str">
        <f t="shared" si="326"/>
        <v>_</v>
      </c>
      <c r="ED3189" s="367"/>
      <c r="EE3189" s="367"/>
      <c r="EF3189" s="368"/>
      <c r="EG3189" s="367"/>
      <c r="EH3189" s="367"/>
      <c r="EI3189" s="367"/>
    </row>
    <row r="3190" spans="2:139">
      <c r="B3190" s="33"/>
      <c r="EC3190" s="366" t="str">
        <f t="shared" si="326"/>
        <v>_</v>
      </c>
      <c r="ED3190" s="367"/>
      <c r="EE3190" s="367"/>
      <c r="EF3190" s="368"/>
      <c r="EG3190" s="367"/>
      <c r="EH3190" s="367"/>
      <c r="EI3190" s="367"/>
    </row>
    <row r="3191" spans="2:139">
      <c r="B3191" s="33"/>
      <c r="EC3191" s="366" t="str">
        <f t="shared" si="326"/>
        <v>_</v>
      </c>
      <c r="ED3191" s="367"/>
      <c r="EE3191" s="367"/>
      <c r="EF3191" s="368"/>
      <c r="EG3191" s="367"/>
      <c r="EH3191" s="367"/>
      <c r="EI3191" s="367"/>
    </row>
    <row r="3192" spans="2:139">
      <c r="B3192" s="33"/>
      <c r="EC3192" s="366" t="str">
        <f t="shared" si="326"/>
        <v>_</v>
      </c>
      <c r="ED3192" s="367"/>
      <c r="EE3192" s="367"/>
      <c r="EF3192" s="368"/>
      <c r="EG3192" s="367"/>
      <c r="EH3192" s="367"/>
      <c r="EI3192" s="367"/>
    </row>
    <row r="3193" spans="2:139">
      <c r="B3193" s="33"/>
      <c r="EC3193" s="366" t="str">
        <f t="shared" si="326"/>
        <v>_</v>
      </c>
      <c r="ED3193" s="367"/>
      <c r="EE3193" s="367"/>
      <c r="EF3193" s="368"/>
      <c r="EG3193" s="367"/>
      <c r="EH3193" s="367"/>
      <c r="EI3193" s="367"/>
    </row>
    <row r="3194" spans="2:139">
      <c r="B3194" s="33"/>
      <c r="EC3194" s="366" t="str">
        <f t="shared" si="326"/>
        <v>_</v>
      </c>
      <c r="ED3194" s="367"/>
      <c r="EE3194" s="367"/>
      <c r="EF3194" s="368"/>
      <c r="EG3194" s="367"/>
      <c r="EH3194" s="367"/>
      <c r="EI3194" s="367"/>
    </row>
    <row r="3195" spans="2:139">
      <c r="B3195" s="33"/>
      <c r="EC3195" s="366" t="str">
        <f t="shared" si="326"/>
        <v>_</v>
      </c>
      <c r="ED3195" s="367"/>
      <c r="EE3195" s="367"/>
      <c r="EF3195" s="368"/>
      <c r="EG3195" s="367"/>
      <c r="EH3195" s="367"/>
      <c r="EI3195" s="367"/>
    </row>
    <row r="3196" spans="2:139">
      <c r="B3196" s="33"/>
      <c r="EC3196" s="366" t="str">
        <f t="shared" si="326"/>
        <v>_</v>
      </c>
      <c r="ED3196" s="367"/>
      <c r="EE3196" s="367"/>
      <c r="EF3196" s="368"/>
      <c r="EG3196" s="367"/>
      <c r="EH3196" s="367"/>
      <c r="EI3196" s="367"/>
    </row>
    <row r="3197" spans="2:139">
      <c r="B3197" s="33"/>
      <c r="EC3197" s="366" t="str">
        <f t="shared" si="326"/>
        <v>_</v>
      </c>
      <c r="ED3197" s="367"/>
      <c r="EE3197" s="367"/>
      <c r="EF3197" s="368"/>
      <c r="EG3197" s="367"/>
      <c r="EH3197" s="367"/>
      <c r="EI3197" s="367"/>
    </row>
    <row r="3198" spans="2:139">
      <c r="B3198" s="33"/>
      <c r="EC3198" s="366" t="str">
        <f t="shared" si="326"/>
        <v>_</v>
      </c>
      <c r="ED3198" s="367"/>
      <c r="EE3198" s="367"/>
      <c r="EF3198" s="368"/>
      <c r="EG3198" s="367"/>
      <c r="EH3198" s="367"/>
      <c r="EI3198" s="367"/>
    </row>
    <row r="3199" spans="2:139">
      <c r="B3199" s="33"/>
      <c r="EC3199" s="366" t="str">
        <f t="shared" si="326"/>
        <v>_</v>
      </c>
      <c r="ED3199" s="367"/>
      <c r="EE3199" s="367"/>
      <c r="EF3199" s="368"/>
      <c r="EG3199" s="367"/>
      <c r="EH3199" s="367"/>
      <c r="EI3199" s="367"/>
    </row>
    <row r="3200" spans="2:139">
      <c r="B3200" s="33"/>
      <c r="EC3200" s="366" t="str">
        <f t="shared" si="326"/>
        <v>_</v>
      </c>
      <c r="ED3200" s="367"/>
      <c r="EE3200" s="367"/>
      <c r="EF3200" s="368"/>
      <c r="EG3200" s="367"/>
      <c r="EH3200" s="367"/>
      <c r="EI3200" s="367"/>
    </row>
    <row r="3201" spans="2:139">
      <c r="B3201" s="33"/>
      <c r="EC3201" s="366" t="str">
        <f t="shared" si="326"/>
        <v>_</v>
      </c>
      <c r="ED3201" s="367"/>
      <c r="EE3201" s="367"/>
      <c r="EF3201" s="368"/>
      <c r="EG3201" s="367"/>
      <c r="EH3201" s="367"/>
      <c r="EI3201" s="367"/>
    </row>
    <row r="3202" spans="2:139">
      <c r="B3202" s="33"/>
      <c r="EC3202" s="366" t="str">
        <f t="shared" si="326"/>
        <v>_</v>
      </c>
      <c r="ED3202" s="367"/>
      <c r="EE3202" s="367"/>
      <c r="EF3202" s="368"/>
      <c r="EG3202" s="367"/>
      <c r="EH3202" s="367"/>
      <c r="EI3202" s="367"/>
    </row>
    <row r="3203" spans="2:139">
      <c r="B3203" s="33"/>
      <c r="EC3203" s="366" t="str">
        <f t="shared" si="326"/>
        <v>_</v>
      </c>
      <c r="ED3203" s="367"/>
      <c r="EE3203" s="367"/>
      <c r="EF3203" s="368"/>
      <c r="EG3203" s="367"/>
      <c r="EH3203" s="367"/>
      <c r="EI3203" s="367"/>
    </row>
    <row r="3204" spans="2:139">
      <c r="B3204" s="33"/>
      <c r="EC3204" s="366" t="str">
        <f t="shared" si="326"/>
        <v>_</v>
      </c>
      <c r="ED3204" s="367"/>
      <c r="EE3204" s="367"/>
      <c r="EF3204" s="368"/>
      <c r="EG3204" s="367"/>
      <c r="EH3204" s="367"/>
      <c r="EI3204" s="367"/>
    </row>
    <row r="3205" spans="2:139">
      <c r="B3205" s="33"/>
      <c r="EC3205" s="366" t="str">
        <f t="shared" si="326"/>
        <v>_</v>
      </c>
      <c r="ED3205" s="367"/>
      <c r="EE3205" s="367"/>
      <c r="EF3205" s="368"/>
      <c r="EG3205" s="367"/>
      <c r="EH3205" s="367"/>
      <c r="EI3205" s="367"/>
    </row>
    <row r="3206" spans="2:139">
      <c r="B3206" s="33"/>
      <c r="EC3206" s="366" t="str">
        <f t="shared" si="326"/>
        <v>_</v>
      </c>
      <c r="ED3206" s="367"/>
      <c r="EE3206" s="367"/>
      <c r="EF3206" s="368"/>
      <c r="EG3206" s="367"/>
      <c r="EH3206" s="367"/>
      <c r="EI3206" s="367"/>
    </row>
    <row r="3207" spans="2:139">
      <c r="B3207" s="33"/>
      <c r="EC3207" s="366" t="str">
        <f t="shared" si="326"/>
        <v>_</v>
      </c>
      <c r="ED3207" s="367"/>
      <c r="EE3207" s="367"/>
      <c r="EF3207" s="368"/>
      <c r="EG3207" s="367"/>
      <c r="EH3207" s="367"/>
      <c r="EI3207" s="367"/>
    </row>
    <row r="3208" spans="2:139">
      <c r="B3208" s="33"/>
      <c r="EC3208" s="366" t="str">
        <f t="shared" si="326"/>
        <v>_</v>
      </c>
      <c r="ED3208" s="367"/>
      <c r="EE3208" s="367"/>
      <c r="EF3208" s="368"/>
      <c r="EG3208" s="367"/>
      <c r="EH3208" s="367"/>
      <c r="EI3208" s="367"/>
    </row>
    <row r="3209" spans="2:139">
      <c r="B3209" s="33"/>
      <c r="EC3209" s="366" t="str">
        <f t="shared" si="326"/>
        <v>_</v>
      </c>
      <c r="ED3209" s="367"/>
      <c r="EE3209" s="367"/>
      <c r="EF3209" s="368"/>
      <c r="EG3209" s="367"/>
      <c r="EH3209" s="367"/>
      <c r="EI3209" s="367"/>
    </row>
    <row r="3210" spans="2:139">
      <c r="B3210" s="33"/>
      <c r="EC3210" s="366" t="str">
        <f t="shared" si="326"/>
        <v>_</v>
      </c>
      <c r="ED3210" s="367"/>
      <c r="EE3210" s="367"/>
      <c r="EF3210" s="368"/>
      <c r="EG3210" s="367"/>
      <c r="EH3210" s="367"/>
      <c r="EI3210" s="367"/>
    </row>
    <row r="3211" spans="2:139">
      <c r="B3211" s="33"/>
      <c r="EC3211" s="366" t="str">
        <f t="shared" si="326"/>
        <v>_</v>
      </c>
      <c r="ED3211" s="367"/>
      <c r="EE3211" s="367"/>
      <c r="EF3211" s="368"/>
      <c r="EG3211" s="367"/>
      <c r="EH3211" s="367"/>
      <c r="EI3211" s="367"/>
    </row>
    <row r="3212" spans="2:139">
      <c r="B3212" s="33"/>
      <c r="EC3212" s="366" t="str">
        <f t="shared" si="326"/>
        <v>_</v>
      </c>
      <c r="ED3212" s="367"/>
      <c r="EE3212" s="367"/>
      <c r="EF3212" s="368"/>
      <c r="EG3212" s="367"/>
      <c r="EH3212" s="367"/>
      <c r="EI3212" s="367"/>
    </row>
    <row r="3213" spans="2:139">
      <c r="B3213" s="33"/>
      <c r="EC3213" s="366" t="str">
        <f t="shared" si="326"/>
        <v>_</v>
      </c>
      <c r="ED3213" s="367"/>
      <c r="EE3213" s="367"/>
      <c r="EF3213" s="368"/>
      <c r="EG3213" s="367"/>
      <c r="EH3213" s="367"/>
      <c r="EI3213" s="367"/>
    </row>
    <row r="3214" spans="2:139">
      <c r="B3214" s="33"/>
      <c r="EC3214" s="366" t="str">
        <f t="shared" si="326"/>
        <v>_</v>
      </c>
      <c r="ED3214" s="367"/>
      <c r="EE3214" s="367"/>
      <c r="EF3214" s="368"/>
      <c r="EG3214" s="367"/>
      <c r="EH3214" s="367"/>
      <c r="EI3214" s="367"/>
    </row>
    <row r="3215" spans="2:139">
      <c r="B3215" s="33"/>
      <c r="EC3215" s="366" t="str">
        <f t="shared" si="326"/>
        <v>_</v>
      </c>
      <c r="ED3215" s="367"/>
      <c r="EE3215" s="367"/>
      <c r="EF3215" s="368"/>
      <c r="EG3215" s="367"/>
      <c r="EH3215" s="367"/>
      <c r="EI3215" s="367"/>
    </row>
    <row r="3216" spans="2:139">
      <c r="B3216" s="33"/>
      <c r="EC3216" s="366" t="str">
        <f t="shared" si="326"/>
        <v>_</v>
      </c>
      <c r="ED3216" s="367"/>
      <c r="EE3216" s="367"/>
      <c r="EF3216" s="368"/>
      <c r="EG3216" s="367"/>
      <c r="EH3216" s="367"/>
      <c r="EI3216" s="367"/>
    </row>
    <row r="3217" spans="2:139">
      <c r="B3217" s="33"/>
      <c r="EC3217" s="366" t="str">
        <f t="shared" si="326"/>
        <v>_</v>
      </c>
      <c r="ED3217" s="367"/>
      <c r="EE3217" s="367"/>
      <c r="EF3217" s="368"/>
      <c r="EG3217" s="367"/>
      <c r="EH3217" s="367"/>
      <c r="EI3217" s="367"/>
    </row>
    <row r="3218" spans="2:139">
      <c r="B3218" s="33"/>
      <c r="EC3218" s="366" t="str">
        <f t="shared" si="326"/>
        <v>_</v>
      </c>
      <c r="ED3218" s="367"/>
      <c r="EE3218" s="367"/>
      <c r="EF3218" s="368"/>
      <c r="EG3218" s="367"/>
      <c r="EH3218" s="367"/>
      <c r="EI3218" s="367"/>
    </row>
    <row r="3219" spans="2:139">
      <c r="B3219" s="33"/>
      <c r="EC3219" s="366" t="str">
        <f t="shared" si="326"/>
        <v>_</v>
      </c>
      <c r="ED3219" s="367"/>
      <c r="EE3219" s="367"/>
      <c r="EF3219" s="368"/>
      <c r="EG3219" s="367"/>
      <c r="EH3219" s="367"/>
      <c r="EI3219" s="367"/>
    </row>
    <row r="3220" spans="2:139">
      <c r="B3220" s="33"/>
      <c r="EC3220" s="366" t="str">
        <f t="shared" si="326"/>
        <v>_</v>
      </c>
      <c r="ED3220" s="367"/>
      <c r="EE3220" s="367"/>
      <c r="EF3220" s="368"/>
      <c r="EG3220" s="367"/>
      <c r="EH3220" s="367"/>
      <c r="EI3220" s="367"/>
    </row>
    <row r="3221" spans="2:139">
      <c r="B3221" s="33"/>
      <c r="EC3221" s="366" t="str">
        <f t="shared" si="326"/>
        <v>_</v>
      </c>
      <c r="ED3221" s="367"/>
      <c r="EE3221" s="367"/>
      <c r="EF3221" s="368"/>
      <c r="EG3221" s="367"/>
      <c r="EH3221" s="367"/>
      <c r="EI3221" s="367"/>
    </row>
    <row r="3222" spans="2:139">
      <c r="B3222" s="33"/>
      <c r="EC3222" s="366" t="str">
        <f t="shared" si="326"/>
        <v>_</v>
      </c>
      <c r="ED3222" s="367"/>
      <c r="EE3222" s="367"/>
      <c r="EF3222" s="368"/>
      <c r="EG3222" s="367"/>
      <c r="EH3222" s="367"/>
      <c r="EI3222" s="367"/>
    </row>
    <row r="3223" spans="2:139">
      <c r="B3223" s="33"/>
      <c r="EC3223" s="366" t="str">
        <f t="shared" ref="EC3223:EC3286" si="327">B3223&amp;"_"&amp;C3223</f>
        <v>_</v>
      </c>
      <c r="ED3223" s="367"/>
      <c r="EE3223" s="367"/>
      <c r="EF3223" s="368"/>
      <c r="EG3223" s="367"/>
      <c r="EH3223" s="367"/>
      <c r="EI3223" s="367"/>
    </row>
    <row r="3224" spans="2:139">
      <c r="B3224" s="33"/>
      <c r="EC3224" s="366" t="str">
        <f t="shared" si="327"/>
        <v>_</v>
      </c>
      <c r="ED3224" s="367"/>
      <c r="EE3224" s="367"/>
      <c r="EF3224" s="368"/>
      <c r="EG3224" s="367"/>
      <c r="EH3224" s="367"/>
      <c r="EI3224" s="367"/>
    </row>
    <row r="3225" spans="2:139">
      <c r="B3225" s="33"/>
      <c r="EC3225" s="366" t="str">
        <f t="shared" si="327"/>
        <v>_</v>
      </c>
      <c r="ED3225" s="367"/>
      <c r="EE3225" s="367"/>
      <c r="EF3225" s="368"/>
      <c r="EG3225" s="367"/>
      <c r="EH3225" s="367"/>
      <c r="EI3225" s="367"/>
    </row>
    <row r="3226" spans="2:139">
      <c r="B3226" s="33"/>
      <c r="EC3226" s="366" t="str">
        <f t="shared" si="327"/>
        <v>_</v>
      </c>
      <c r="ED3226" s="367"/>
      <c r="EE3226" s="367"/>
      <c r="EF3226" s="368"/>
      <c r="EG3226" s="367"/>
      <c r="EH3226" s="367"/>
      <c r="EI3226" s="367"/>
    </row>
    <row r="3227" spans="2:139">
      <c r="B3227" s="33"/>
      <c r="EC3227" s="366" t="str">
        <f t="shared" si="327"/>
        <v>_</v>
      </c>
      <c r="ED3227" s="367"/>
      <c r="EE3227" s="367"/>
      <c r="EF3227" s="368"/>
      <c r="EG3227" s="367"/>
      <c r="EH3227" s="367"/>
      <c r="EI3227" s="367"/>
    </row>
    <row r="3228" spans="2:139">
      <c r="B3228" s="33"/>
      <c r="EC3228" s="366" t="str">
        <f t="shared" si="327"/>
        <v>_</v>
      </c>
      <c r="ED3228" s="367"/>
      <c r="EE3228" s="367"/>
      <c r="EF3228" s="368"/>
      <c r="EG3228" s="367"/>
      <c r="EH3228" s="367"/>
      <c r="EI3228" s="367"/>
    </row>
    <row r="3229" spans="2:139">
      <c r="B3229" s="33"/>
      <c r="EC3229" s="366" t="str">
        <f t="shared" si="327"/>
        <v>_</v>
      </c>
      <c r="ED3229" s="367"/>
      <c r="EE3229" s="367"/>
      <c r="EF3229" s="368"/>
      <c r="EG3229" s="367"/>
      <c r="EH3229" s="367"/>
      <c r="EI3229" s="367"/>
    </row>
    <row r="3230" spans="2:139">
      <c r="B3230" s="33"/>
      <c r="EC3230" s="366" t="str">
        <f t="shared" si="327"/>
        <v>_</v>
      </c>
      <c r="ED3230" s="367"/>
      <c r="EE3230" s="367"/>
      <c r="EF3230" s="368"/>
      <c r="EG3230" s="367"/>
      <c r="EH3230" s="367"/>
      <c r="EI3230" s="367"/>
    </row>
    <row r="3231" spans="2:139">
      <c r="B3231" s="33"/>
      <c r="EC3231" s="366" t="str">
        <f t="shared" si="327"/>
        <v>_</v>
      </c>
      <c r="ED3231" s="367"/>
      <c r="EE3231" s="367"/>
      <c r="EF3231" s="368"/>
      <c r="EG3231" s="367"/>
      <c r="EH3231" s="367"/>
      <c r="EI3231" s="367"/>
    </row>
    <row r="3232" spans="2:139">
      <c r="B3232" s="33"/>
      <c r="EC3232" s="366" t="str">
        <f t="shared" si="327"/>
        <v>_</v>
      </c>
      <c r="ED3232" s="367"/>
      <c r="EE3232" s="367"/>
      <c r="EF3232" s="368"/>
      <c r="EG3232" s="367"/>
      <c r="EH3232" s="367"/>
      <c r="EI3232" s="367"/>
    </row>
    <row r="3233" spans="2:139">
      <c r="B3233" s="33"/>
      <c r="EC3233" s="366" t="str">
        <f t="shared" si="327"/>
        <v>_</v>
      </c>
      <c r="ED3233" s="367"/>
      <c r="EE3233" s="367"/>
      <c r="EF3233" s="368"/>
      <c r="EG3233" s="367"/>
      <c r="EH3233" s="367"/>
      <c r="EI3233" s="367"/>
    </row>
    <row r="3234" spans="2:139">
      <c r="B3234" s="33"/>
      <c r="EC3234" s="366" t="str">
        <f t="shared" si="327"/>
        <v>_</v>
      </c>
      <c r="ED3234" s="367"/>
      <c r="EE3234" s="367"/>
      <c r="EF3234" s="368"/>
      <c r="EG3234" s="367"/>
      <c r="EH3234" s="367"/>
      <c r="EI3234" s="367"/>
    </row>
    <row r="3235" spans="2:139">
      <c r="B3235" s="33"/>
      <c r="EC3235" s="366" t="str">
        <f t="shared" si="327"/>
        <v>_</v>
      </c>
      <c r="ED3235" s="367"/>
      <c r="EE3235" s="367"/>
      <c r="EF3235" s="368"/>
      <c r="EG3235" s="367"/>
      <c r="EH3235" s="367"/>
      <c r="EI3235" s="367"/>
    </row>
    <row r="3236" spans="2:139">
      <c r="B3236" s="33"/>
      <c r="EC3236" s="366" t="str">
        <f t="shared" si="327"/>
        <v>_</v>
      </c>
      <c r="ED3236" s="367"/>
      <c r="EE3236" s="367"/>
      <c r="EF3236" s="368"/>
      <c r="EG3236" s="367"/>
      <c r="EH3236" s="367"/>
      <c r="EI3236" s="367"/>
    </row>
    <row r="3237" spans="2:139">
      <c r="B3237" s="33"/>
      <c r="EC3237" s="366" t="str">
        <f t="shared" si="327"/>
        <v>_</v>
      </c>
      <c r="ED3237" s="367"/>
      <c r="EE3237" s="367"/>
      <c r="EF3237" s="368"/>
      <c r="EG3237" s="367"/>
      <c r="EH3237" s="367"/>
      <c r="EI3237" s="367"/>
    </row>
    <row r="3238" spans="2:139">
      <c r="B3238" s="33"/>
      <c r="EC3238" s="366" t="str">
        <f t="shared" si="327"/>
        <v>_</v>
      </c>
      <c r="ED3238" s="367"/>
      <c r="EE3238" s="367"/>
      <c r="EF3238" s="368"/>
      <c r="EG3238" s="367"/>
      <c r="EH3238" s="367"/>
      <c r="EI3238" s="367"/>
    </row>
    <row r="3239" spans="2:139">
      <c r="B3239" s="33"/>
      <c r="EC3239" s="366" t="str">
        <f t="shared" si="327"/>
        <v>_</v>
      </c>
      <c r="ED3239" s="367"/>
      <c r="EE3239" s="367"/>
      <c r="EF3239" s="368"/>
      <c r="EG3239" s="367"/>
      <c r="EH3239" s="367"/>
      <c r="EI3239" s="367"/>
    </row>
    <row r="3240" spans="2:139">
      <c r="B3240" s="33"/>
      <c r="EC3240" s="366" t="str">
        <f t="shared" si="327"/>
        <v>_</v>
      </c>
      <c r="ED3240" s="367"/>
      <c r="EE3240" s="367"/>
      <c r="EF3240" s="368"/>
      <c r="EG3240" s="367"/>
      <c r="EH3240" s="367"/>
      <c r="EI3240" s="367"/>
    </row>
    <row r="3241" spans="2:139">
      <c r="B3241" s="33"/>
      <c r="EC3241" s="366" t="str">
        <f t="shared" si="327"/>
        <v>_</v>
      </c>
      <c r="ED3241" s="367"/>
      <c r="EE3241" s="367"/>
      <c r="EF3241" s="368"/>
      <c r="EG3241" s="367"/>
      <c r="EH3241" s="367"/>
      <c r="EI3241" s="367"/>
    </row>
    <row r="3242" spans="2:139">
      <c r="B3242" s="33"/>
      <c r="EC3242" s="366" t="str">
        <f t="shared" si="327"/>
        <v>_</v>
      </c>
      <c r="ED3242" s="367"/>
      <c r="EE3242" s="367"/>
      <c r="EF3242" s="368"/>
      <c r="EG3242" s="367"/>
      <c r="EH3242" s="367"/>
      <c r="EI3242" s="367"/>
    </row>
    <row r="3243" spans="2:139">
      <c r="B3243" s="33"/>
      <c r="EC3243" s="366" t="str">
        <f t="shared" si="327"/>
        <v>_</v>
      </c>
      <c r="ED3243" s="367"/>
      <c r="EE3243" s="367"/>
      <c r="EF3243" s="368"/>
      <c r="EG3243" s="367"/>
      <c r="EH3243" s="367"/>
      <c r="EI3243" s="367"/>
    </row>
    <row r="3244" spans="2:139">
      <c r="B3244" s="33"/>
      <c r="EC3244" s="366" t="str">
        <f t="shared" si="327"/>
        <v>_</v>
      </c>
      <c r="ED3244" s="367"/>
      <c r="EE3244" s="367"/>
      <c r="EF3244" s="368"/>
      <c r="EG3244" s="367"/>
      <c r="EH3244" s="367"/>
      <c r="EI3244" s="367"/>
    </row>
    <row r="3245" spans="2:139">
      <c r="B3245" s="33"/>
      <c r="EC3245" s="366" t="str">
        <f t="shared" si="327"/>
        <v>_</v>
      </c>
      <c r="ED3245" s="367"/>
      <c r="EE3245" s="367"/>
      <c r="EF3245" s="368"/>
      <c r="EG3245" s="367"/>
      <c r="EH3245" s="367"/>
      <c r="EI3245" s="367"/>
    </row>
    <row r="3246" spans="2:139">
      <c r="B3246" s="33"/>
      <c r="EC3246" s="366" t="str">
        <f t="shared" si="327"/>
        <v>_</v>
      </c>
      <c r="ED3246" s="367"/>
      <c r="EE3246" s="367"/>
      <c r="EF3246" s="368"/>
      <c r="EG3246" s="367"/>
      <c r="EH3246" s="367"/>
      <c r="EI3246" s="367"/>
    </row>
    <row r="3247" spans="2:139">
      <c r="B3247" s="33"/>
      <c r="EC3247" s="366" t="str">
        <f t="shared" si="327"/>
        <v>_</v>
      </c>
      <c r="ED3247" s="367"/>
      <c r="EE3247" s="367"/>
      <c r="EF3247" s="368"/>
      <c r="EG3247" s="367"/>
      <c r="EH3247" s="367"/>
      <c r="EI3247" s="367"/>
    </row>
    <row r="3248" spans="2:139">
      <c r="B3248" s="33"/>
      <c r="EC3248" s="366" t="str">
        <f t="shared" si="327"/>
        <v>_</v>
      </c>
      <c r="ED3248" s="367"/>
      <c r="EE3248" s="367"/>
      <c r="EF3248" s="368"/>
      <c r="EG3248" s="367"/>
      <c r="EH3248" s="367"/>
      <c r="EI3248" s="367"/>
    </row>
    <row r="3249" spans="2:139">
      <c r="B3249" s="33"/>
      <c r="EC3249" s="366" t="str">
        <f t="shared" si="327"/>
        <v>_</v>
      </c>
      <c r="ED3249" s="367"/>
      <c r="EE3249" s="367"/>
      <c r="EF3249" s="368"/>
      <c r="EG3249" s="367"/>
      <c r="EH3249" s="367"/>
      <c r="EI3249" s="367"/>
    </row>
    <row r="3250" spans="2:139">
      <c r="B3250" s="33"/>
      <c r="EC3250" s="366" t="str">
        <f t="shared" si="327"/>
        <v>_</v>
      </c>
      <c r="ED3250" s="367"/>
      <c r="EE3250" s="367"/>
      <c r="EF3250" s="368"/>
      <c r="EG3250" s="367"/>
      <c r="EH3250" s="367"/>
      <c r="EI3250" s="367"/>
    </row>
    <row r="3251" spans="2:139">
      <c r="B3251" s="33"/>
      <c r="EC3251" s="366" t="str">
        <f t="shared" si="327"/>
        <v>_</v>
      </c>
      <c r="ED3251" s="367"/>
      <c r="EE3251" s="367"/>
      <c r="EF3251" s="368"/>
      <c r="EG3251" s="367"/>
      <c r="EH3251" s="367"/>
      <c r="EI3251" s="367"/>
    </row>
    <row r="3252" spans="2:139">
      <c r="B3252" s="33"/>
      <c r="EC3252" s="366" t="str">
        <f t="shared" si="327"/>
        <v>_</v>
      </c>
      <c r="ED3252" s="367"/>
      <c r="EE3252" s="367"/>
      <c r="EF3252" s="368"/>
      <c r="EG3252" s="367"/>
      <c r="EH3252" s="367"/>
      <c r="EI3252" s="367"/>
    </row>
    <row r="3253" spans="2:139">
      <c r="B3253" s="33"/>
      <c r="EC3253" s="366" t="str">
        <f t="shared" si="327"/>
        <v>_</v>
      </c>
      <c r="ED3253" s="367"/>
      <c r="EE3253" s="367"/>
      <c r="EF3253" s="368"/>
      <c r="EG3253" s="367"/>
      <c r="EH3253" s="367"/>
      <c r="EI3253" s="367"/>
    </row>
    <row r="3254" spans="2:139">
      <c r="B3254" s="33"/>
      <c r="EC3254" s="366" t="str">
        <f t="shared" si="327"/>
        <v>_</v>
      </c>
      <c r="ED3254" s="367"/>
      <c r="EE3254" s="367"/>
      <c r="EF3254" s="368"/>
      <c r="EG3254" s="367"/>
      <c r="EH3254" s="367"/>
      <c r="EI3254" s="367"/>
    </row>
    <row r="3255" spans="2:139">
      <c r="B3255" s="33"/>
      <c r="EC3255" s="366" t="str">
        <f t="shared" si="327"/>
        <v>_</v>
      </c>
      <c r="ED3255" s="367"/>
      <c r="EE3255" s="367"/>
      <c r="EF3255" s="368"/>
      <c r="EG3255" s="367"/>
      <c r="EH3255" s="367"/>
      <c r="EI3255" s="367"/>
    </row>
    <row r="3256" spans="2:139">
      <c r="B3256" s="33"/>
      <c r="EC3256" s="366" t="str">
        <f t="shared" si="327"/>
        <v>_</v>
      </c>
      <c r="ED3256" s="367"/>
      <c r="EE3256" s="367"/>
      <c r="EF3256" s="368"/>
      <c r="EG3256" s="367"/>
      <c r="EH3256" s="367"/>
      <c r="EI3256" s="367"/>
    </row>
    <row r="3257" spans="2:139">
      <c r="B3257" s="33"/>
      <c r="EC3257" s="366" t="str">
        <f t="shared" si="327"/>
        <v>_</v>
      </c>
      <c r="ED3257" s="367"/>
      <c r="EE3257" s="367"/>
      <c r="EF3257" s="368"/>
      <c r="EG3257" s="367"/>
      <c r="EH3257" s="367"/>
      <c r="EI3257" s="367"/>
    </row>
    <row r="3258" spans="2:139">
      <c r="B3258" s="33"/>
      <c r="EC3258" s="366" t="str">
        <f t="shared" si="327"/>
        <v>_</v>
      </c>
      <c r="ED3258" s="367"/>
      <c r="EE3258" s="367"/>
      <c r="EF3258" s="368"/>
      <c r="EG3258" s="367"/>
      <c r="EH3258" s="367"/>
      <c r="EI3258" s="367"/>
    </row>
    <row r="3259" spans="2:139">
      <c r="B3259" s="33"/>
      <c r="EC3259" s="366" t="str">
        <f t="shared" si="327"/>
        <v>_</v>
      </c>
      <c r="ED3259" s="367"/>
      <c r="EE3259" s="367"/>
      <c r="EF3259" s="368"/>
      <c r="EG3259" s="367"/>
      <c r="EH3259" s="367"/>
      <c r="EI3259" s="367"/>
    </row>
    <row r="3260" spans="2:139">
      <c r="B3260" s="33"/>
      <c r="EC3260" s="366" t="str">
        <f t="shared" si="327"/>
        <v>_</v>
      </c>
      <c r="ED3260" s="367"/>
      <c r="EE3260" s="367"/>
      <c r="EF3260" s="368"/>
      <c r="EG3260" s="367"/>
      <c r="EH3260" s="367"/>
      <c r="EI3260" s="367"/>
    </row>
    <row r="3261" spans="2:139">
      <c r="B3261" s="33"/>
      <c r="EC3261" s="366" t="str">
        <f t="shared" si="327"/>
        <v>_</v>
      </c>
      <c r="ED3261" s="367"/>
      <c r="EE3261" s="367"/>
      <c r="EF3261" s="368"/>
      <c r="EG3261" s="367"/>
      <c r="EH3261" s="367"/>
      <c r="EI3261" s="367"/>
    </row>
    <row r="3262" spans="2:139">
      <c r="B3262" s="33"/>
      <c r="EC3262" s="366" t="str">
        <f t="shared" si="327"/>
        <v>_</v>
      </c>
      <c r="ED3262" s="367"/>
      <c r="EE3262" s="367"/>
      <c r="EF3262" s="368"/>
      <c r="EG3262" s="367"/>
      <c r="EH3262" s="367"/>
      <c r="EI3262" s="367"/>
    </row>
    <row r="3263" spans="2:139">
      <c r="B3263" s="33"/>
      <c r="EC3263" s="366" t="str">
        <f t="shared" si="327"/>
        <v>_</v>
      </c>
      <c r="ED3263" s="367"/>
      <c r="EE3263" s="367"/>
      <c r="EF3263" s="368"/>
      <c r="EG3263" s="367"/>
      <c r="EH3263" s="367"/>
      <c r="EI3263" s="367"/>
    </row>
    <row r="3264" spans="2:139">
      <c r="B3264" s="33"/>
      <c r="EC3264" s="366" t="str">
        <f t="shared" si="327"/>
        <v>_</v>
      </c>
      <c r="ED3264" s="367"/>
      <c r="EE3264" s="367"/>
      <c r="EF3264" s="368"/>
      <c r="EG3264" s="367"/>
      <c r="EH3264" s="367"/>
      <c r="EI3264" s="367"/>
    </row>
    <row r="3265" spans="2:139">
      <c r="B3265" s="33"/>
      <c r="EC3265" s="366" t="str">
        <f t="shared" si="327"/>
        <v>_</v>
      </c>
      <c r="ED3265" s="367"/>
      <c r="EE3265" s="367"/>
      <c r="EF3265" s="368"/>
      <c r="EG3265" s="367"/>
      <c r="EH3265" s="367"/>
      <c r="EI3265" s="367"/>
    </row>
    <row r="3266" spans="2:139">
      <c r="B3266" s="33"/>
      <c r="EC3266" s="366" t="str">
        <f t="shared" si="327"/>
        <v>_</v>
      </c>
      <c r="ED3266" s="367"/>
      <c r="EE3266" s="367"/>
      <c r="EF3266" s="368"/>
      <c r="EG3266" s="367"/>
      <c r="EH3266" s="367"/>
      <c r="EI3266" s="367"/>
    </row>
    <row r="3267" spans="2:139">
      <c r="B3267" s="33"/>
      <c r="EC3267" s="366" t="str">
        <f t="shared" si="327"/>
        <v>_</v>
      </c>
      <c r="ED3267" s="367"/>
      <c r="EE3267" s="367"/>
      <c r="EF3267" s="368"/>
      <c r="EG3267" s="367"/>
      <c r="EH3267" s="367"/>
      <c r="EI3267" s="367"/>
    </row>
    <row r="3268" spans="2:139">
      <c r="B3268" s="33"/>
      <c r="EC3268" s="366" t="str">
        <f t="shared" si="327"/>
        <v>_</v>
      </c>
      <c r="ED3268" s="367"/>
      <c r="EE3268" s="367"/>
      <c r="EF3268" s="368"/>
      <c r="EG3268" s="367"/>
      <c r="EH3268" s="367"/>
      <c r="EI3268" s="367"/>
    </row>
    <row r="3269" spans="2:139">
      <c r="B3269" s="33"/>
      <c r="EC3269" s="366" t="str">
        <f t="shared" si="327"/>
        <v>_</v>
      </c>
      <c r="ED3269" s="367"/>
      <c r="EE3269" s="367"/>
      <c r="EF3269" s="368"/>
      <c r="EG3269" s="367"/>
      <c r="EH3269" s="367"/>
      <c r="EI3269" s="367"/>
    </row>
    <row r="3270" spans="2:139">
      <c r="B3270" s="33"/>
      <c r="EC3270" s="366" t="str">
        <f t="shared" si="327"/>
        <v>_</v>
      </c>
      <c r="ED3270" s="367"/>
      <c r="EE3270" s="367"/>
      <c r="EF3270" s="368"/>
      <c r="EG3270" s="367"/>
      <c r="EH3270" s="367"/>
      <c r="EI3270" s="367"/>
    </row>
    <row r="3271" spans="2:139">
      <c r="B3271" s="33"/>
      <c r="EC3271" s="366" t="str">
        <f t="shared" si="327"/>
        <v>_</v>
      </c>
      <c r="ED3271" s="367"/>
      <c r="EE3271" s="367"/>
      <c r="EF3271" s="368"/>
      <c r="EG3271" s="367"/>
      <c r="EH3271" s="367"/>
      <c r="EI3271" s="367"/>
    </row>
    <row r="3272" spans="2:139">
      <c r="B3272" s="33"/>
      <c r="EC3272" s="366" t="str">
        <f t="shared" si="327"/>
        <v>_</v>
      </c>
      <c r="ED3272" s="367"/>
      <c r="EE3272" s="367"/>
      <c r="EF3272" s="368"/>
      <c r="EG3272" s="367"/>
      <c r="EH3272" s="367"/>
      <c r="EI3272" s="367"/>
    </row>
    <row r="3273" spans="2:139">
      <c r="B3273" s="33"/>
      <c r="EC3273" s="366" t="str">
        <f t="shared" si="327"/>
        <v>_</v>
      </c>
      <c r="ED3273" s="367"/>
      <c r="EE3273" s="367"/>
      <c r="EF3273" s="368"/>
      <c r="EG3273" s="367"/>
      <c r="EH3273" s="367"/>
      <c r="EI3273" s="367"/>
    </row>
    <row r="3274" spans="2:139">
      <c r="B3274" s="33"/>
      <c r="EC3274" s="366" t="str">
        <f t="shared" si="327"/>
        <v>_</v>
      </c>
      <c r="ED3274" s="367"/>
      <c r="EE3274" s="367"/>
      <c r="EF3274" s="368"/>
      <c r="EG3274" s="367"/>
      <c r="EH3274" s="367"/>
      <c r="EI3274" s="367"/>
    </row>
    <row r="3275" spans="2:139">
      <c r="B3275" s="33"/>
      <c r="EC3275" s="366" t="str">
        <f t="shared" si="327"/>
        <v>_</v>
      </c>
      <c r="ED3275" s="367"/>
      <c r="EE3275" s="367"/>
      <c r="EF3275" s="368"/>
      <c r="EG3275" s="367"/>
      <c r="EH3275" s="367"/>
      <c r="EI3275" s="367"/>
    </row>
    <row r="3276" spans="2:139">
      <c r="B3276" s="33"/>
      <c r="EC3276" s="366" t="str">
        <f t="shared" si="327"/>
        <v>_</v>
      </c>
      <c r="ED3276" s="367"/>
      <c r="EE3276" s="367"/>
      <c r="EF3276" s="368"/>
      <c r="EG3276" s="367"/>
      <c r="EH3276" s="367"/>
      <c r="EI3276" s="367"/>
    </row>
    <row r="3277" spans="2:139">
      <c r="B3277" s="33"/>
      <c r="EC3277" s="366" t="str">
        <f t="shared" si="327"/>
        <v>_</v>
      </c>
      <c r="ED3277" s="367"/>
      <c r="EE3277" s="367"/>
      <c r="EF3277" s="368"/>
      <c r="EG3277" s="367"/>
      <c r="EH3277" s="367"/>
      <c r="EI3277" s="367"/>
    </row>
    <row r="3278" spans="2:139">
      <c r="B3278" s="33"/>
      <c r="EC3278" s="366" t="str">
        <f t="shared" si="327"/>
        <v>_</v>
      </c>
      <c r="ED3278" s="367"/>
      <c r="EE3278" s="367"/>
      <c r="EF3278" s="368"/>
      <c r="EG3278" s="367"/>
      <c r="EH3278" s="367"/>
      <c r="EI3278" s="367"/>
    </row>
    <row r="3279" spans="2:139">
      <c r="B3279" s="33"/>
      <c r="EC3279" s="366" t="str">
        <f t="shared" si="327"/>
        <v>_</v>
      </c>
      <c r="ED3279" s="367"/>
      <c r="EE3279" s="367"/>
      <c r="EF3279" s="368"/>
      <c r="EG3279" s="367"/>
      <c r="EH3279" s="367"/>
      <c r="EI3279" s="367"/>
    </row>
    <row r="3280" spans="2:139">
      <c r="B3280" s="33"/>
      <c r="EC3280" s="366" t="str">
        <f t="shared" si="327"/>
        <v>_</v>
      </c>
      <c r="ED3280" s="367"/>
      <c r="EE3280" s="367"/>
      <c r="EF3280" s="368"/>
      <c r="EG3280" s="367"/>
      <c r="EH3280" s="367"/>
      <c r="EI3280" s="367"/>
    </row>
    <row r="3281" spans="2:139">
      <c r="B3281" s="33"/>
      <c r="EC3281" s="366" t="str">
        <f t="shared" si="327"/>
        <v>_</v>
      </c>
      <c r="ED3281" s="367"/>
      <c r="EE3281" s="367"/>
      <c r="EF3281" s="368"/>
      <c r="EG3281" s="367"/>
      <c r="EH3281" s="367"/>
      <c r="EI3281" s="367"/>
    </row>
    <row r="3282" spans="2:139">
      <c r="B3282" s="33"/>
      <c r="EC3282" s="366" t="str">
        <f t="shared" si="327"/>
        <v>_</v>
      </c>
      <c r="ED3282" s="367"/>
      <c r="EE3282" s="367"/>
      <c r="EF3282" s="368"/>
      <c r="EG3282" s="367"/>
      <c r="EH3282" s="367"/>
      <c r="EI3282" s="367"/>
    </row>
    <row r="3283" spans="2:139">
      <c r="B3283" s="33"/>
      <c r="EC3283" s="366" t="str">
        <f t="shared" si="327"/>
        <v>_</v>
      </c>
      <c r="ED3283" s="367"/>
      <c r="EE3283" s="367"/>
      <c r="EF3283" s="368"/>
      <c r="EG3283" s="367"/>
      <c r="EH3283" s="367"/>
      <c r="EI3283" s="367"/>
    </row>
    <row r="3284" spans="2:139">
      <c r="B3284" s="33"/>
      <c r="EC3284" s="366" t="str">
        <f t="shared" si="327"/>
        <v>_</v>
      </c>
      <c r="ED3284" s="367"/>
      <c r="EE3284" s="367"/>
      <c r="EF3284" s="368"/>
      <c r="EG3284" s="367"/>
      <c r="EH3284" s="367"/>
      <c r="EI3284" s="367"/>
    </row>
    <row r="3285" spans="2:139">
      <c r="B3285" s="33"/>
      <c r="EC3285" s="366" t="str">
        <f t="shared" si="327"/>
        <v>_</v>
      </c>
      <c r="ED3285" s="367"/>
      <c r="EE3285" s="367"/>
      <c r="EF3285" s="368"/>
      <c r="EG3285" s="367"/>
      <c r="EH3285" s="367"/>
      <c r="EI3285" s="367"/>
    </row>
    <row r="3286" spans="2:139">
      <c r="B3286" s="33"/>
      <c r="EC3286" s="366" t="str">
        <f t="shared" si="327"/>
        <v>_</v>
      </c>
      <c r="ED3286" s="367"/>
      <c r="EE3286" s="367"/>
      <c r="EF3286" s="368"/>
      <c r="EG3286" s="367"/>
      <c r="EH3286" s="367"/>
      <c r="EI3286" s="367"/>
    </row>
    <row r="3287" spans="2:139">
      <c r="B3287" s="33"/>
      <c r="EC3287" s="366" t="str">
        <f t="shared" ref="EC3287:EC3350" si="328">B3287&amp;"_"&amp;C3287</f>
        <v>_</v>
      </c>
      <c r="ED3287" s="367"/>
      <c r="EE3287" s="367"/>
      <c r="EF3287" s="368"/>
      <c r="EG3287" s="367"/>
      <c r="EH3287" s="367"/>
      <c r="EI3287" s="367"/>
    </row>
    <row r="3288" spans="2:139">
      <c r="B3288" s="33"/>
      <c r="EC3288" s="366" t="str">
        <f t="shared" si="328"/>
        <v>_</v>
      </c>
      <c r="ED3288" s="367"/>
      <c r="EE3288" s="367"/>
      <c r="EF3288" s="368"/>
      <c r="EG3288" s="367"/>
      <c r="EH3288" s="367"/>
      <c r="EI3288" s="367"/>
    </row>
    <row r="3289" spans="2:139">
      <c r="B3289" s="33"/>
      <c r="EC3289" s="366" t="str">
        <f t="shared" si="328"/>
        <v>_</v>
      </c>
      <c r="ED3289" s="367"/>
      <c r="EE3289" s="367"/>
      <c r="EF3289" s="368"/>
      <c r="EG3289" s="367"/>
      <c r="EH3289" s="367"/>
      <c r="EI3289" s="367"/>
    </row>
    <row r="3290" spans="2:139">
      <c r="B3290" s="33"/>
      <c r="EC3290" s="366" t="str">
        <f t="shared" si="328"/>
        <v>_</v>
      </c>
      <c r="ED3290" s="367"/>
      <c r="EE3290" s="367"/>
      <c r="EF3290" s="368"/>
      <c r="EG3290" s="367"/>
      <c r="EH3290" s="367"/>
      <c r="EI3290" s="367"/>
    </row>
    <row r="3291" spans="2:139">
      <c r="B3291" s="33"/>
      <c r="EC3291" s="366" t="str">
        <f t="shared" si="328"/>
        <v>_</v>
      </c>
      <c r="ED3291" s="367"/>
      <c r="EE3291" s="367"/>
      <c r="EF3291" s="368"/>
      <c r="EG3291" s="367"/>
      <c r="EH3291" s="367"/>
      <c r="EI3291" s="367"/>
    </row>
    <row r="3292" spans="2:139">
      <c r="B3292" s="33"/>
      <c r="EC3292" s="372" t="str">
        <f t="shared" si="328"/>
        <v>_</v>
      </c>
      <c r="ED3292" s="373"/>
      <c r="EE3292" s="367"/>
      <c r="EF3292" s="368"/>
      <c r="EG3292" s="367"/>
      <c r="EH3292" s="367"/>
      <c r="EI3292" s="367"/>
    </row>
    <row r="3293" spans="2:139">
      <c r="B3293" s="33"/>
      <c r="EC3293" s="366" t="str">
        <f t="shared" si="328"/>
        <v>_</v>
      </c>
      <c r="ED3293" s="367"/>
      <c r="EE3293" s="367"/>
      <c r="EF3293" s="368"/>
      <c r="EG3293" s="367"/>
      <c r="EH3293" s="367"/>
      <c r="EI3293" s="367"/>
    </row>
    <row r="3294" spans="2:139">
      <c r="B3294" s="33"/>
      <c r="EC3294" s="366" t="str">
        <f t="shared" si="328"/>
        <v>_</v>
      </c>
      <c r="ED3294" s="367"/>
      <c r="EE3294" s="367"/>
      <c r="EF3294" s="368"/>
      <c r="EG3294" s="367"/>
      <c r="EH3294" s="367"/>
      <c r="EI3294" s="367"/>
    </row>
    <row r="3295" spans="2:139">
      <c r="B3295" s="33"/>
      <c r="EC3295" s="366" t="str">
        <f t="shared" si="328"/>
        <v>_</v>
      </c>
      <c r="ED3295" s="367"/>
      <c r="EE3295" s="367"/>
      <c r="EF3295" s="368"/>
      <c r="EG3295" s="367"/>
      <c r="EH3295" s="367"/>
      <c r="EI3295" s="367"/>
    </row>
    <row r="3296" spans="2:139">
      <c r="B3296" s="33"/>
      <c r="EC3296" s="366" t="str">
        <f t="shared" si="328"/>
        <v>_</v>
      </c>
      <c r="ED3296" s="367"/>
      <c r="EE3296" s="373"/>
      <c r="EF3296" s="374"/>
      <c r="EG3296" s="373"/>
      <c r="EH3296" s="373"/>
      <c r="EI3296" s="373"/>
    </row>
    <row r="3297" spans="2:139">
      <c r="B3297" s="33"/>
      <c r="EC3297" s="366" t="str">
        <f t="shared" si="328"/>
        <v>_</v>
      </c>
      <c r="ED3297" s="367"/>
      <c r="EE3297" s="367"/>
      <c r="EF3297" s="368"/>
      <c r="EG3297" s="367"/>
      <c r="EH3297" s="367"/>
      <c r="EI3297" s="367"/>
    </row>
    <row r="3298" spans="2:139">
      <c r="B3298" s="33"/>
      <c r="EC3298" s="366" t="str">
        <f t="shared" si="328"/>
        <v>_</v>
      </c>
      <c r="ED3298" s="367"/>
      <c r="EE3298" s="367"/>
      <c r="EF3298" s="368"/>
      <c r="EG3298" s="367"/>
      <c r="EH3298" s="367"/>
      <c r="EI3298" s="367"/>
    </row>
    <row r="3299" spans="2:139">
      <c r="B3299" s="33"/>
      <c r="EC3299" s="366" t="str">
        <f t="shared" si="328"/>
        <v>_</v>
      </c>
      <c r="ED3299" s="367"/>
      <c r="EE3299" s="367"/>
      <c r="EF3299" s="368"/>
      <c r="EG3299" s="367"/>
      <c r="EH3299" s="367"/>
      <c r="EI3299" s="367"/>
    </row>
    <row r="3300" spans="2:139">
      <c r="B3300" s="33"/>
      <c r="EC3300" s="366" t="str">
        <f t="shared" si="328"/>
        <v>_</v>
      </c>
      <c r="ED3300" s="367"/>
      <c r="EE3300" s="367"/>
      <c r="EF3300" s="368"/>
      <c r="EG3300" s="367"/>
      <c r="EH3300" s="367"/>
      <c r="EI3300" s="367"/>
    </row>
    <row r="3301" spans="2:139">
      <c r="B3301" s="33"/>
      <c r="EC3301" s="366" t="str">
        <f t="shared" si="328"/>
        <v>_</v>
      </c>
      <c r="ED3301" s="367"/>
      <c r="EE3301" s="367"/>
      <c r="EF3301" s="368"/>
      <c r="EG3301" s="367"/>
      <c r="EH3301" s="367"/>
      <c r="EI3301" s="367"/>
    </row>
    <row r="3302" spans="2:139">
      <c r="B3302" s="33"/>
      <c r="EC3302" s="366" t="str">
        <f t="shared" si="328"/>
        <v>_</v>
      </c>
      <c r="ED3302" s="367"/>
      <c r="EE3302" s="367"/>
      <c r="EF3302" s="368"/>
      <c r="EG3302" s="367"/>
      <c r="EH3302" s="367"/>
      <c r="EI3302" s="367"/>
    </row>
    <row r="3303" spans="2:139">
      <c r="B3303" s="33"/>
      <c r="EC3303" s="366" t="str">
        <f t="shared" si="328"/>
        <v>_</v>
      </c>
      <c r="ED3303" s="367"/>
      <c r="EE3303" s="367"/>
      <c r="EF3303" s="368"/>
      <c r="EG3303" s="367"/>
      <c r="EH3303" s="367"/>
      <c r="EI3303" s="367"/>
    </row>
    <row r="3304" spans="2:139">
      <c r="B3304" s="33"/>
      <c r="EC3304" s="366" t="str">
        <f t="shared" si="328"/>
        <v>_</v>
      </c>
      <c r="ED3304" s="367"/>
      <c r="EE3304" s="367"/>
      <c r="EF3304" s="368"/>
      <c r="EG3304" s="367"/>
      <c r="EH3304" s="367"/>
      <c r="EI3304" s="367"/>
    </row>
    <row r="3305" spans="2:139">
      <c r="B3305" s="33"/>
      <c r="EC3305" s="366" t="str">
        <f t="shared" si="328"/>
        <v>_</v>
      </c>
      <c r="ED3305" s="367"/>
      <c r="EE3305" s="367"/>
      <c r="EF3305" s="368"/>
      <c r="EG3305" s="367"/>
      <c r="EH3305" s="367"/>
      <c r="EI3305" s="367"/>
    </row>
    <row r="3306" spans="2:139">
      <c r="B3306" s="33"/>
      <c r="EC3306" s="366" t="str">
        <f t="shared" si="328"/>
        <v>_</v>
      </c>
      <c r="ED3306" s="367"/>
      <c r="EE3306" s="367"/>
      <c r="EF3306" s="368"/>
      <c r="EG3306" s="367"/>
      <c r="EH3306" s="367"/>
      <c r="EI3306" s="367"/>
    </row>
    <row r="3307" spans="2:139">
      <c r="B3307" s="33"/>
      <c r="EC3307" s="366" t="str">
        <f t="shared" si="328"/>
        <v>_</v>
      </c>
      <c r="ED3307" s="367"/>
      <c r="EE3307" s="367"/>
      <c r="EF3307" s="368"/>
      <c r="EG3307" s="367"/>
      <c r="EH3307" s="367"/>
      <c r="EI3307" s="367"/>
    </row>
    <row r="3308" spans="2:139">
      <c r="B3308" s="33"/>
      <c r="EC3308" s="366" t="str">
        <f t="shared" si="328"/>
        <v>_</v>
      </c>
      <c r="ED3308" s="367"/>
      <c r="EE3308" s="367"/>
      <c r="EF3308" s="368"/>
      <c r="EG3308" s="367"/>
      <c r="EH3308" s="367"/>
      <c r="EI3308" s="367"/>
    </row>
    <row r="3309" spans="2:139">
      <c r="B3309" s="33"/>
      <c r="EC3309" s="366" t="str">
        <f t="shared" si="328"/>
        <v>_</v>
      </c>
      <c r="ED3309" s="367"/>
      <c r="EE3309" s="367"/>
      <c r="EF3309" s="368"/>
      <c r="EG3309" s="367"/>
      <c r="EH3309" s="367"/>
      <c r="EI3309" s="367"/>
    </row>
    <row r="3310" spans="2:139">
      <c r="B3310" s="33"/>
      <c r="EC3310" s="366" t="str">
        <f t="shared" si="328"/>
        <v>_</v>
      </c>
      <c r="ED3310" s="367"/>
      <c r="EE3310" s="367"/>
      <c r="EF3310" s="368"/>
      <c r="EG3310" s="367"/>
      <c r="EH3310" s="367"/>
      <c r="EI3310" s="367"/>
    </row>
    <row r="3311" spans="2:139">
      <c r="B3311" s="33"/>
      <c r="Z3311" s="181"/>
      <c r="EC3311" s="366" t="str">
        <f t="shared" si="328"/>
        <v>_</v>
      </c>
      <c r="ED3311" s="367"/>
      <c r="EE3311" s="367"/>
      <c r="EF3311" s="368"/>
      <c r="EG3311" s="367"/>
      <c r="EH3311" s="367"/>
      <c r="EI3311" s="367"/>
    </row>
    <row r="3312" spans="2:139">
      <c r="B3312" s="33"/>
      <c r="EC3312" s="366" t="str">
        <f t="shared" si="328"/>
        <v>_</v>
      </c>
      <c r="ED3312" s="367"/>
      <c r="EE3312" s="367"/>
      <c r="EF3312" s="368"/>
      <c r="EG3312" s="367"/>
      <c r="EH3312" s="367"/>
      <c r="EI3312" s="367"/>
    </row>
    <row r="3313" spans="2:139">
      <c r="B3313" s="33"/>
      <c r="EC3313" s="366" t="str">
        <f t="shared" si="328"/>
        <v>_</v>
      </c>
      <c r="ED3313" s="367"/>
      <c r="EE3313" s="367"/>
      <c r="EF3313" s="368"/>
      <c r="EG3313" s="367"/>
      <c r="EH3313" s="367"/>
      <c r="EI3313" s="367"/>
    </row>
    <row r="3314" spans="2:139">
      <c r="B3314" s="33"/>
      <c r="EC3314" s="366" t="str">
        <f t="shared" si="328"/>
        <v>_</v>
      </c>
      <c r="ED3314" s="367"/>
      <c r="EE3314" s="367"/>
      <c r="EF3314" s="368"/>
      <c r="EG3314" s="367"/>
      <c r="EH3314" s="367"/>
      <c r="EI3314" s="367"/>
    </row>
    <row r="3315" spans="2:139">
      <c r="B3315" s="33"/>
      <c r="EC3315" s="366" t="str">
        <f t="shared" si="328"/>
        <v>_</v>
      </c>
      <c r="ED3315" s="367"/>
      <c r="EE3315" s="367"/>
      <c r="EF3315" s="368"/>
      <c r="EG3315" s="367"/>
      <c r="EH3315" s="367"/>
      <c r="EI3315" s="367"/>
    </row>
    <row r="3316" spans="2:139">
      <c r="B3316" s="33"/>
      <c r="EC3316" s="366" t="str">
        <f t="shared" si="328"/>
        <v>_</v>
      </c>
      <c r="ED3316" s="367"/>
      <c r="EE3316" s="367"/>
      <c r="EF3316" s="368"/>
      <c r="EG3316" s="367"/>
      <c r="EH3316" s="367"/>
      <c r="EI3316" s="367"/>
    </row>
    <row r="3317" spans="2:139">
      <c r="B3317" s="33"/>
      <c r="EC3317" s="366" t="str">
        <f t="shared" si="328"/>
        <v>_</v>
      </c>
      <c r="ED3317" s="367"/>
      <c r="EE3317" s="367"/>
      <c r="EF3317" s="368"/>
      <c r="EG3317" s="367"/>
      <c r="EH3317" s="367"/>
      <c r="EI3317" s="367"/>
    </row>
    <row r="3318" spans="2:139">
      <c r="B3318" s="33"/>
      <c r="EC3318" s="366" t="str">
        <f t="shared" si="328"/>
        <v>_</v>
      </c>
      <c r="ED3318" s="367"/>
      <c r="EE3318" s="367"/>
      <c r="EF3318" s="368"/>
      <c r="EG3318" s="367"/>
      <c r="EH3318" s="367"/>
      <c r="EI3318" s="367"/>
    </row>
    <row r="3319" spans="2:139">
      <c r="B3319" s="33"/>
      <c r="EC3319" s="366" t="str">
        <f t="shared" si="328"/>
        <v>_</v>
      </c>
      <c r="ED3319" s="367"/>
      <c r="EE3319" s="367"/>
      <c r="EF3319" s="368"/>
      <c r="EG3319" s="367"/>
      <c r="EH3319" s="367"/>
      <c r="EI3319" s="367"/>
    </row>
    <row r="3320" spans="2:139">
      <c r="B3320" s="33"/>
      <c r="EC3320" s="366" t="str">
        <f t="shared" si="328"/>
        <v>_</v>
      </c>
      <c r="ED3320" s="367"/>
      <c r="EE3320" s="367"/>
      <c r="EF3320" s="368"/>
      <c r="EG3320" s="367"/>
      <c r="EH3320" s="367"/>
      <c r="EI3320" s="367"/>
    </row>
    <row r="3321" spans="2:139">
      <c r="B3321" s="33"/>
      <c r="EC3321" s="366" t="str">
        <f t="shared" si="328"/>
        <v>_</v>
      </c>
      <c r="ED3321" s="367"/>
      <c r="EE3321" s="367"/>
      <c r="EF3321" s="368"/>
      <c r="EG3321" s="367"/>
      <c r="EH3321" s="367"/>
      <c r="EI3321" s="367"/>
    </row>
    <row r="3322" spans="2:139">
      <c r="B3322" s="33"/>
      <c r="EC3322" s="366" t="str">
        <f t="shared" si="328"/>
        <v>_</v>
      </c>
      <c r="ED3322" s="367"/>
      <c r="EE3322" s="367"/>
      <c r="EF3322" s="368"/>
      <c r="EG3322" s="367"/>
      <c r="EH3322" s="367"/>
      <c r="EI3322" s="367"/>
    </row>
    <row r="3323" spans="2:139">
      <c r="B3323" s="33"/>
      <c r="EC3323" s="366" t="str">
        <f t="shared" si="328"/>
        <v>_</v>
      </c>
      <c r="ED3323" s="367"/>
      <c r="EE3323" s="367"/>
      <c r="EF3323" s="368"/>
      <c r="EG3323" s="367"/>
      <c r="EH3323" s="367"/>
      <c r="EI3323" s="367"/>
    </row>
    <row r="3324" spans="2:139">
      <c r="B3324" s="33"/>
      <c r="EC3324" s="366" t="str">
        <f t="shared" si="328"/>
        <v>_</v>
      </c>
      <c r="ED3324" s="367"/>
      <c r="EE3324" s="367"/>
      <c r="EF3324" s="368"/>
      <c r="EG3324" s="367"/>
      <c r="EH3324" s="367"/>
      <c r="EI3324" s="367"/>
    </row>
    <row r="3325" spans="2:139">
      <c r="B3325" s="33"/>
      <c r="EC3325" s="366" t="str">
        <f t="shared" si="328"/>
        <v>_</v>
      </c>
      <c r="ED3325" s="367"/>
      <c r="EE3325" s="367"/>
      <c r="EF3325" s="368"/>
      <c r="EG3325" s="367"/>
      <c r="EH3325" s="367"/>
      <c r="EI3325" s="367"/>
    </row>
    <row r="3326" spans="2:139">
      <c r="B3326" s="33"/>
      <c r="EC3326" s="366" t="str">
        <f t="shared" si="328"/>
        <v>_</v>
      </c>
      <c r="ED3326" s="367"/>
      <c r="EE3326" s="367"/>
      <c r="EF3326" s="368"/>
      <c r="EG3326" s="367"/>
      <c r="EH3326" s="367"/>
      <c r="EI3326" s="367"/>
    </row>
    <row r="3327" spans="2:139">
      <c r="B3327" s="33"/>
      <c r="EC3327" s="366" t="str">
        <f t="shared" si="328"/>
        <v>_</v>
      </c>
      <c r="ED3327" s="367"/>
      <c r="EE3327" s="367"/>
      <c r="EF3327" s="368"/>
      <c r="EG3327" s="367"/>
      <c r="EH3327" s="367"/>
      <c r="EI3327" s="367"/>
    </row>
    <row r="3328" spans="2:139">
      <c r="B3328" s="33"/>
      <c r="EC3328" s="366" t="str">
        <f t="shared" si="328"/>
        <v>_</v>
      </c>
      <c r="ED3328" s="367"/>
      <c r="EE3328" s="367"/>
      <c r="EF3328" s="368"/>
      <c r="EG3328" s="367"/>
      <c r="EH3328" s="367"/>
      <c r="EI3328" s="367"/>
    </row>
    <row r="3329" spans="2:139">
      <c r="B3329" s="33"/>
      <c r="EC3329" s="366" t="str">
        <f t="shared" si="328"/>
        <v>_</v>
      </c>
      <c r="ED3329" s="367"/>
      <c r="EE3329" s="367"/>
      <c r="EF3329" s="368"/>
      <c r="EG3329" s="367"/>
      <c r="EH3329" s="367"/>
      <c r="EI3329" s="367"/>
    </row>
    <row r="3330" spans="2:139">
      <c r="B3330" s="33"/>
      <c r="EC3330" s="366" t="str">
        <f t="shared" si="328"/>
        <v>_</v>
      </c>
      <c r="ED3330" s="367"/>
      <c r="EE3330" s="367"/>
      <c r="EF3330" s="368"/>
      <c r="EG3330" s="367"/>
      <c r="EH3330" s="367"/>
      <c r="EI3330" s="367"/>
    </row>
    <row r="3331" spans="2:139">
      <c r="B3331" s="33"/>
      <c r="EC3331" s="366" t="str">
        <f t="shared" si="328"/>
        <v>_</v>
      </c>
      <c r="ED3331" s="367"/>
      <c r="EE3331" s="367"/>
      <c r="EF3331" s="368"/>
      <c r="EG3331" s="367"/>
      <c r="EH3331" s="367"/>
      <c r="EI3331" s="367"/>
    </row>
    <row r="3332" spans="2:139">
      <c r="B3332" s="33"/>
      <c r="EC3332" s="366" t="str">
        <f t="shared" si="328"/>
        <v>_</v>
      </c>
      <c r="ED3332" s="367"/>
      <c r="EE3332" s="367"/>
      <c r="EF3332" s="368"/>
      <c r="EG3332" s="367"/>
      <c r="EH3332" s="367"/>
      <c r="EI3332" s="367"/>
    </row>
    <row r="3333" spans="2:139">
      <c r="B3333" s="33"/>
      <c r="EC3333" s="366" t="str">
        <f t="shared" si="328"/>
        <v>_</v>
      </c>
      <c r="ED3333" s="367"/>
      <c r="EE3333" s="367"/>
      <c r="EF3333" s="368"/>
      <c r="EG3333" s="367"/>
      <c r="EH3333" s="367"/>
      <c r="EI3333" s="367"/>
    </row>
    <row r="3334" spans="2:139">
      <c r="B3334" s="33"/>
      <c r="EC3334" s="366" t="str">
        <f t="shared" si="328"/>
        <v>_</v>
      </c>
      <c r="ED3334" s="367"/>
      <c r="EE3334" s="367"/>
      <c r="EF3334" s="368"/>
      <c r="EG3334" s="367"/>
      <c r="EH3334" s="367"/>
      <c r="EI3334" s="367"/>
    </row>
    <row r="3335" spans="2:139">
      <c r="B3335" s="33"/>
      <c r="EC3335" s="366" t="str">
        <f t="shared" si="328"/>
        <v>_</v>
      </c>
      <c r="ED3335" s="367"/>
      <c r="EE3335" s="367"/>
      <c r="EF3335" s="368"/>
      <c r="EG3335" s="367"/>
      <c r="EH3335" s="367"/>
      <c r="EI3335" s="367"/>
    </row>
    <row r="3336" spans="2:139">
      <c r="B3336" s="33"/>
      <c r="EC3336" s="366" t="str">
        <f t="shared" si="328"/>
        <v>_</v>
      </c>
      <c r="ED3336" s="367"/>
      <c r="EE3336" s="367"/>
      <c r="EF3336" s="368"/>
      <c r="EG3336" s="367"/>
      <c r="EH3336" s="367"/>
      <c r="EI3336" s="367"/>
    </row>
    <row r="3337" spans="2:139">
      <c r="B3337" s="33"/>
      <c r="EC3337" s="366" t="str">
        <f t="shared" si="328"/>
        <v>_</v>
      </c>
      <c r="ED3337" s="367"/>
      <c r="EE3337" s="367"/>
      <c r="EF3337" s="368"/>
      <c r="EG3337" s="367"/>
      <c r="EH3337" s="367"/>
      <c r="EI3337" s="367"/>
    </row>
    <row r="3338" spans="2:139">
      <c r="B3338" s="33"/>
      <c r="EC3338" s="366" t="str">
        <f t="shared" si="328"/>
        <v>_</v>
      </c>
      <c r="ED3338" s="367"/>
      <c r="EE3338" s="367"/>
      <c r="EF3338" s="368"/>
      <c r="EG3338" s="367"/>
      <c r="EH3338" s="367"/>
      <c r="EI3338" s="367"/>
    </row>
    <row r="3339" spans="2:139">
      <c r="B3339" s="33"/>
      <c r="EC3339" s="366" t="str">
        <f t="shared" si="328"/>
        <v>_</v>
      </c>
      <c r="ED3339" s="367"/>
      <c r="EE3339" s="367"/>
      <c r="EF3339" s="368"/>
      <c r="EG3339" s="367"/>
      <c r="EH3339" s="367"/>
      <c r="EI3339" s="367"/>
    </row>
    <row r="3340" spans="2:139">
      <c r="B3340" s="33"/>
      <c r="EC3340" s="366" t="str">
        <f t="shared" si="328"/>
        <v>_</v>
      </c>
      <c r="ED3340" s="367"/>
      <c r="EE3340" s="367"/>
      <c r="EF3340" s="368"/>
      <c r="EG3340" s="367"/>
      <c r="EH3340" s="367"/>
      <c r="EI3340" s="367"/>
    </row>
    <row r="3341" spans="2:139">
      <c r="B3341" s="33"/>
      <c r="EC3341" s="366" t="str">
        <f t="shared" si="328"/>
        <v>_</v>
      </c>
      <c r="ED3341" s="367"/>
      <c r="EE3341" s="367"/>
      <c r="EF3341" s="368"/>
      <c r="EG3341" s="367"/>
      <c r="EH3341" s="367"/>
      <c r="EI3341" s="367"/>
    </row>
    <row r="3342" spans="2:139">
      <c r="B3342" s="33"/>
      <c r="EC3342" s="366" t="str">
        <f t="shared" si="328"/>
        <v>_</v>
      </c>
      <c r="ED3342" s="367"/>
      <c r="EE3342" s="367"/>
      <c r="EF3342" s="368"/>
      <c r="EG3342" s="367"/>
      <c r="EH3342" s="367"/>
      <c r="EI3342" s="367"/>
    </row>
    <row r="3343" spans="2:139">
      <c r="B3343" s="33"/>
      <c r="EC3343" s="366" t="str">
        <f t="shared" si="328"/>
        <v>_</v>
      </c>
      <c r="ED3343" s="367"/>
      <c r="EE3343" s="367"/>
      <c r="EF3343" s="368"/>
      <c r="EG3343" s="367"/>
      <c r="EH3343" s="367"/>
      <c r="EI3343" s="367"/>
    </row>
    <row r="3344" spans="2:139">
      <c r="B3344" s="33"/>
      <c r="EC3344" s="366" t="str">
        <f t="shared" si="328"/>
        <v>_</v>
      </c>
      <c r="ED3344" s="367"/>
      <c r="EE3344" s="367"/>
      <c r="EF3344" s="368"/>
      <c r="EG3344" s="367"/>
      <c r="EH3344" s="367"/>
      <c r="EI3344" s="367"/>
    </row>
    <row r="3345" spans="2:139">
      <c r="B3345" s="33"/>
      <c r="EC3345" s="366" t="str">
        <f t="shared" si="328"/>
        <v>_</v>
      </c>
      <c r="ED3345" s="367"/>
      <c r="EE3345" s="367"/>
      <c r="EF3345" s="368"/>
      <c r="EG3345" s="367"/>
      <c r="EH3345" s="367"/>
      <c r="EI3345" s="367"/>
    </row>
    <row r="3346" spans="2:139">
      <c r="B3346" s="33"/>
      <c r="EC3346" s="366" t="str">
        <f t="shared" si="328"/>
        <v>_</v>
      </c>
      <c r="ED3346" s="367"/>
      <c r="EE3346" s="367"/>
      <c r="EF3346" s="368"/>
      <c r="EG3346" s="367"/>
      <c r="EH3346" s="367"/>
      <c r="EI3346" s="367"/>
    </row>
    <row r="3347" spans="2:139">
      <c r="B3347" s="33"/>
      <c r="EC3347" s="366" t="str">
        <f t="shared" si="328"/>
        <v>_</v>
      </c>
      <c r="ED3347" s="367"/>
      <c r="EE3347" s="367"/>
      <c r="EF3347" s="368"/>
      <c r="EG3347" s="367"/>
      <c r="EH3347" s="367"/>
      <c r="EI3347" s="367"/>
    </row>
    <row r="3348" spans="2:139">
      <c r="B3348" s="33"/>
      <c r="EC3348" s="366" t="str">
        <f t="shared" si="328"/>
        <v>_</v>
      </c>
      <c r="ED3348" s="367"/>
      <c r="EE3348" s="367"/>
      <c r="EF3348" s="368"/>
      <c r="EG3348" s="367"/>
      <c r="EH3348" s="367"/>
      <c r="EI3348" s="367"/>
    </row>
    <row r="3349" spans="2:139">
      <c r="B3349" s="33"/>
      <c r="EC3349" s="366" t="str">
        <f t="shared" si="328"/>
        <v>_</v>
      </c>
      <c r="ED3349" s="367"/>
      <c r="EE3349" s="367"/>
      <c r="EF3349" s="368"/>
      <c r="EG3349" s="367"/>
      <c r="EH3349" s="367"/>
      <c r="EI3349" s="367"/>
    </row>
    <row r="3350" spans="2:139">
      <c r="B3350" s="33"/>
      <c r="EC3350" s="366" t="str">
        <f t="shared" si="328"/>
        <v>_</v>
      </c>
      <c r="ED3350" s="367"/>
      <c r="EE3350" s="367"/>
      <c r="EF3350" s="368"/>
      <c r="EG3350" s="367"/>
      <c r="EH3350" s="367"/>
      <c r="EI3350" s="367"/>
    </row>
    <row r="3351" spans="2:139">
      <c r="EC3351" s="366" t="str">
        <f t="shared" ref="EC3351:EC3414" si="329">B3351&amp;"_"&amp;C3351</f>
        <v>_</v>
      </c>
      <c r="ED3351" s="367"/>
      <c r="EE3351" s="367"/>
      <c r="EF3351" s="368"/>
      <c r="EG3351" s="367"/>
      <c r="EH3351" s="367"/>
      <c r="EI3351" s="367"/>
    </row>
    <row r="3352" spans="2:139">
      <c r="EC3352" s="366" t="str">
        <f t="shared" si="329"/>
        <v>_</v>
      </c>
      <c r="ED3352" s="367"/>
      <c r="EE3352" s="367"/>
      <c r="EF3352" s="368"/>
      <c r="EG3352" s="367"/>
      <c r="EH3352" s="367"/>
      <c r="EI3352" s="367"/>
    </row>
    <row r="3353" spans="2:139">
      <c r="EC3353" s="366" t="str">
        <f t="shared" si="329"/>
        <v>_</v>
      </c>
      <c r="ED3353" s="367"/>
      <c r="EE3353" s="367"/>
      <c r="EF3353" s="368"/>
      <c r="EG3353" s="367"/>
      <c r="EH3353" s="367"/>
      <c r="EI3353" s="367"/>
    </row>
    <row r="3354" spans="2:139">
      <c r="EC3354" s="366" t="str">
        <f t="shared" si="329"/>
        <v>_</v>
      </c>
      <c r="ED3354" s="367"/>
      <c r="EE3354" s="367"/>
      <c r="EF3354" s="368"/>
      <c r="EG3354" s="367"/>
      <c r="EH3354" s="367"/>
      <c r="EI3354" s="367"/>
    </row>
    <row r="3355" spans="2:139">
      <c r="EC3355" s="366" t="str">
        <f t="shared" si="329"/>
        <v>_</v>
      </c>
      <c r="ED3355" s="367"/>
      <c r="EE3355" s="367"/>
      <c r="EF3355" s="368"/>
      <c r="EG3355" s="367"/>
      <c r="EH3355" s="367"/>
      <c r="EI3355" s="367"/>
    </row>
    <row r="3356" spans="2:139">
      <c r="EC3356" s="366" t="str">
        <f t="shared" si="329"/>
        <v>_</v>
      </c>
      <c r="ED3356" s="367"/>
      <c r="EE3356" s="367"/>
      <c r="EF3356" s="368"/>
      <c r="EG3356" s="367"/>
      <c r="EH3356" s="367"/>
      <c r="EI3356" s="367"/>
    </row>
    <row r="3357" spans="2:139">
      <c r="EC3357" s="366" t="str">
        <f t="shared" si="329"/>
        <v>_</v>
      </c>
      <c r="ED3357" s="367"/>
      <c r="EE3357" s="367"/>
      <c r="EF3357" s="368"/>
      <c r="EG3357" s="367"/>
      <c r="EH3357" s="367"/>
      <c r="EI3357" s="367"/>
    </row>
    <row r="3358" spans="2:139">
      <c r="EC3358" s="366" t="str">
        <f t="shared" si="329"/>
        <v>_</v>
      </c>
      <c r="ED3358" s="367"/>
      <c r="EE3358" s="367"/>
      <c r="EF3358" s="368"/>
      <c r="EG3358" s="367"/>
      <c r="EH3358" s="367"/>
      <c r="EI3358" s="367"/>
    </row>
    <row r="3359" spans="2:139">
      <c r="EC3359" s="366" t="str">
        <f t="shared" si="329"/>
        <v>_</v>
      </c>
      <c r="ED3359" s="367"/>
      <c r="EE3359" s="367"/>
      <c r="EF3359" s="368"/>
      <c r="EG3359" s="367"/>
      <c r="EH3359" s="367"/>
      <c r="EI3359" s="367"/>
    </row>
    <row r="3360" spans="2:139">
      <c r="EC3360" s="366" t="str">
        <f t="shared" si="329"/>
        <v>_</v>
      </c>
      <c r="ED3360" s="367"/>
      <c r="EE3360" s="367"/>
      <c r="EF3360" s="368"/>
      <c r="EG3360" s="367"/>
      <c r="EH3360" s="367"/>
      <c r="EI3360" s="367"/>
    </row>
    <row r="3361" spans="133:139">
      <c r="EC3361" s="366" t="str">
        <f t="shared" si="329"/>
        <v>_</v>
      </c>
      <c r="ED3361" s="367"/>
      <c r="EE3361" s="367"/>
      <c r="EF3361" s="368"/>
      <c r="EG3361" s="367"/>
      <c r="EH3361" s="367"/>
      <c r="EI3361" s="367"/>
    </row>
    <row r="3362" spans="133:139">
      <c r="EC3362" s="366" t="str">
        <f t="shared" si="329"/>
        <v>_</v>
      </c>
      <c r="ED3362" s="367"/>
      <c r="EE3362" s="367"/>
      <c r="EF3362" s="368"/>
      <c r="EG3362" s="367"/>
      <c r="EH3362" s="367"/>
      <c r="EI3362" s="367"/>
    </row>
    <row r="3363" spans="133:139">
      <c r="EC3363" s="366" t="str">
        <f t="shared" si="329"/>
        <v>_</v>
      </c>
      <c r="ED3363" s="367"/>
      <c r="EE3363" s="367"/>
      <c r="EF3363" s="368"/>
      <c r="EG3363" s="367"/>
      <c r="EH3363" s="367"/>
      <c r="EI3363" s="367"/>
    </row>
    <row r="3364" spans="133:139">
      <c r="EC3364" s="366" t="str">
        <f t="shared" si="329"/>
        <v>_</v>
      </c>
      <c r="ED3364" s="367"/>
      <c r="EE3364" s="367"/>
      <c r="EF3364" s="368"/>
      <c r="EG3364" s="367"/>
      <c r="EH3364" s="367"/>
      <c r="EI3364" s="367"/>
    </row>
    <row r="3365" spans="133:139">
      <c r="EC3365" s="366" t="str">
        <f t="shared" si="329"/>
        <v>_</v>
      </c>
      <c r="ED3365" s="367"/>
      <c r="EE3365" s="367"/>
      <c r="EF3365" s="368"/>
      <c r="EG3365" s="367"/>
      <c r="EH3365" s="367"/>
      <c r="EI3365" s="367"/>
    </row>
    <row r="3366" spans="133:139">
      <c r="EC3366" s="366" t="str">
        <f t="shared" si="329"/>
        <v>_</v>
      </c>
      <c r="ED3366" s="367"/>
      <c r="EE3366" s="367"/>
      <c r="EF3366" s="368"/>
      <c r="EG3366" s="367"/>
      <c r="EH3366" s="367"/>
      <c r="EI3366" s="367"/>
    </row>
    <row r="3367" spans="133:139">
      <c r="EC3367" s="366" t="str">
        <f t="shared" si="329"/>
        <v>_</v>
      </c>
      <c r="ED3367" s="367"/>
      <c r="EE3367" s="367"/>
      <c r="EF3367" s="368"/>
      <c r="EG3367" s="367"/>
      <c r="EH3367" s="367"/>
      <c r="EI3367" s="367"/>
    </row>
    <row r="3368" spans="133:139">
      <c r="EC3368" s="366" t="str">
        <f t="shared" si="329"/>
        <v>_</v>
      </c>
      <c r="ED3368" s="367"/>
      <c r="EE3368" s="367"/>
      <c r="EF3368" s="368"/>
      <c r="EG3368" s="367"/>
      <c r="EH3368" s="367"/>
      <c r="EI3368" s="367"/>
    </row>
    <row r="3369" spans="133:139">
      <c r="EC3369" s="366" t="str">
        <f t="shared" si="329"/>
        <v>_</v>
      </c>
      <c r="ED3369" s="367"/>
      <c r="EE3369" s="367"/>
      <c r="EF3369" s="368"/>
      <c r="EG3369" s="367"/>
      <c r="EH3369" s="367"/>
      <c r="EI3369" s="367"/>
    </row>
    <row r="3370" spans="133:139">
      <c r="EC3370" s="366" t="str">
        <f t="shared" si="329"/>
        <v>_</v>
      </c>
      <c r="ED3370" s="367"/>
      <c r="EE3370" s="367"/>
      <c r="EF3370" s="368"/>
      <c r="EG3370" s="367"/>
      <c r="EH3370" s="367"/>
      <c r="EI3370" s="367"/>
    </row>
    <row r="3371" spans="133:139">
      <c r="EC3371" s="366" t="str">
        <f t="shared" si="329"/>
        <v>_</v>
      </c>
      <c r="ED3371" s="367"/>
      <c r="EE3371" s="367"/>
      <c r="EF3371" s="368"/>
      <c r="EG3371" s="367"/>
      <c r="EH3371" s="367"/>
      <c r="EI3371" s="367"/>
    </row>
    <row r="3372" spans="133:139">
      <c r="EC3372" s="366" t="str">
        <f t="shared" si="329"/>
        <v>_</v>
      </c>
      <c r="ED3372" s="367"/>
      <c r="EE3372" s="367"/>
      <c r="EF3372" s="368"/>
      <c r="EG3372" s="367"/>
      <c r="EH3372" s="367"/>
      <c r="EI3372" s="367"/>
    </row>
    <row r="3373" spans="133:139">
      <c r="EC3373" s="366" t="str">
        <f t="shared" si="329"/>
        <v>_</v>
      </c>
      <c r="ED3373" s="367"/>
      <c r="EE3373" s="367"/>
      <c r="EF3373" s="368"/>
      <c r="EG3373" s="367"/>
      <c r="EH3373" s="367"/>
      <c r="EI3373" s="367"/>
    </row>
    <row r="3374" spans="133:139">
      <c r="EC3374" s="366" t="str">
        <f t="shared" si="329"/>
        <v>_</v>
      </c>
      <c r="ED3374" s="367"/>
      <c r="EE3374" s="367"/>
      <c r="EF3374" s="368"/>
      <c r="EG3374" s="367"/>
      <c r="EH3374" s="367"/>
      <c r="EI3374" s="367"/>
    </row>
    <row r="3375" spans="133:139">
      <c r="EC3375" s="366" t="str">
        <f t="shared" si="329"/>
        <v>_</v>
      </c>
      <c r="ED3375" s="367"/>
      <c r="EE3375" s="367"/>
      <c r="EF3375" s="368"/>
      <c r="EG3375" s="367"/>
      <c r="EH3375" s="367"/>
      <c r="EI3375" s="367"/>
    </row>
    <row r="3376" spans="133:139">
      <c r="EC3376" s="366" t="str">
        <f t="shared" si="329"/>
        <v>_</v>
      </c>
      <c r="ED3376" s="367"/>
      <c r="EE3376" s="367"/>
      <c r="EF3376" s="368"/>
      <c r="EG3376" s="367"/>
      <c r="EH3376" s="367"/>
      <c r="EI3376" s="367"/>
    </row>
    <row r="3377" spans="133:139">
      <c r="EC3377" s="366" t="str">
        <f t="shared" si="329"/>
        <v>_</v>
      </c>
      <c r="ED3377" s="367"/>
      <c r="EE3377" s="367"/>
      <c r="EF3377" s="368"/>
      <c r="EG3377" s="367"/>
      <c r="EH3377" s="367"/>
      <c r="EI3377" s="367"/>
    </row>
    <row r="3378" spans="133:139">
      <c r="EC3378" s="366" t="str">
        <f t="shared" si="329"/>
        <v>_</v>
      </c>
      <c r="ED3378" s="367"/>
      <c r="EE3378" s="367"/>
      <c r="EF3378" s="368"/>
      <c r="EG3378" s="367"/>
      <c r="EH3378" s="367"/>
      <c r="EI3378" s="367"/>
    </row>
    <row r="3379" spans="133:139">
      <c r="EC3379" s="366" t="str">
        <f t="shared" si="329"/>
        <v>_</v>
      </c>
      <c r="ED3379" s="367"/>
      <c r="EE3379" s="367"/>
      <c r="EF3379" s="368"/>
      <c r="EG3379" s="367"/>
      <c r="EH3379" s="367"/>
      <c r="EI3379" s="367"/>
    </row>
    <row r="3380" spans="133:139">
      <c r="EC3380" s="366" t="str">
        <f t="shared" si="329"/>
        <v>_</v>
      </c>
      <c r="ED3380" s="367"/>
      <c r="EE3380" s="367"/>
      <c r="EF3380" s="368"/>
      <c r="EG3380" s="367"/>
      <c r="EH3380" s="367"/>
      <c r="EI3380" s="367"/>
    </row>
    <row r="3381" spans="133:139">
      <c r="EC3381" s="366" t="str">
        <f t="shared" si="329"/>
        <v>_</v>
      </c>
      <c r="ED3381" s="367"/>
      <c r="EE3381" s="367"/>
      <c r="EF3381" s="368"/>
      <c r="EG3381" s="367"/>
      <c r="EH3381" s="367"/>
      <c r="EI3381" s="367"/>
    </row>
    <row r="3382" spans="133:139">
      <c r="EC3382" s="366" t="str">
        <f t="shared" si="329"/>
        <v>_</v>
      </c>
      <c r="ED3382" s="367"/>
      <c r="EE3382" s="367"/>
      <c r="EF3382" s="368"/>
      <c r="EG3382" s="367"/>
      <c r="EH3382" s="367"/>
      <c r="EI3382" s="367"/>
    </row>
    <row r="3383" spans="133:139">
      <c r="EC3383" s="366" t="str">
        <f t="shared" si="329"/>
        <v>_</v>
      </c>
      <c r="ED3383" s="367"/>
      <c r="EE3383" s="367"/>
      <c r="EF3383" s="368"/>
      <c r="EG3383" s="367"/>
      <c r="EH3383" s="367"/>
      <c r="EI3383" s="367"/>
    </row>
    <row r="3384" spans="133:139">
      <c r="EC3384" s="366" t="str">
        <f t="shared" si="329"/>
        <v>_</v>
      </c>
      <c r="ED3384" s="367"/>
      <c r="EE3384" s="367"/>
      <c r="EF3384" s="368"/>
      <c r="EG3384" s="367"/>
      <c r="EH3384" s="367"/>
      <c r="EI3384" s="367"/>
    </row>
    <row r="3385" spans="133:139">
      <c r="EC3385" s="366" t="str">
        <f t="shared" si="329"/>
        <v>_</v>
      </c>
      <c r="ED3385" s="367"/>
      <c r="EE3385" s="367"/>
      <c r="EF3385" s="368"/>
      <c r="EG3385" s="367"/>
      <c r="EH3385" s="367"/>
      <c r="EI3385" s="367"/>
    </row>
    <row r="3386" spans="133:139">
      <c r="EC3386" s="366" t="str">
        <f t="shared" si="329"/>
        <v>_</v>
      </c>
      <c r="ED3386" s="367"/>
      <c r="EE3386" s="367"/>
      <c r="EF3386" s="368"/>
      <c r="EG3386" s="367"/>
      <c r="EH3386" s="367"/>
      <c r="EI3386" s="367"/>
    </row>
    <row r="3387" spans="133:139">
      <c r="EC3387" s="366" t="str">
        <f t="shared" si="329"/>
        <v>_</v>
      </c>
      <c r="ED3387" s="367"/>
      <c r="EE3387" s="367"/>
      <c r="EF3387" s="368"/>
      <c r="EG3387" s="367"/>
      <c r="EH3387" s="367"/>
      <c r="EI3387" s="367"/>
    </row>
    <row r="3388" spans="133:139">
      <c r="EC3388" s="366" t="str">
        <f t="shared" si="329"/>
        <v>_</v>
      </c>
      <c r="ED3388" s="367"/>
      <c r="EE3388" s="367"/>
      <c r="EF3388" s="368"/>
      <c r="EG3388" s="367"/>
      <c r="EH3388" s="367"/>
      <c r="EI3388" s="367"/>
    </row>
    <row r="3389" spans="133:139">
      <c r="EC3389" s="366" t="str">
        <f t="shared" si="329"/>
        <v>_</v>
      </c>
      <c r="ED3389" s="367"/>
      <c r="EE3389" s="367"/>
      <c r="EF3389" s="368"/>
      <c r="EG3389" s="367"/>
      <c r="EH3389" s="367"/>
      <c r="EI3389" s="367"/>
    </row>
    <row r="3390" spans="133:139">
      <c r="EC3390" s="366" t="str">
        <f t="shared" si="329"/>
        <v>_</v>
      </c>
      <c r="ED3390" s="367"/>
      <c r="EE3390" s="367"/>
      <c r="EF3390" s="368"/>
      <c r="EG3390" s="367"/>
      <c r="EH3390" s="367"/>
      <c r="EI3390" s="367"/>
    </row>
    <row r="3391" spans="133:139">
      <c r="EC3391" s="366" t="str">
        <f t="shared" si="329"/>
        <v>_</v>
      </c>
      <c r="ED3391" s="367"/>
      <c r="EE3391" s="367"/>
      <c r="EF3391" s="368"/>
      <c r="EG3391" s="367"/>
      <c r="EH3391" s="367"/>
      <c r="EI3391" s="367"/>
    </row>
    <row r="3392" spans="133:139">
      <c r="EC3392" s="366" t="str">
        <f t="shared" si="329"/>
        <v>_</v>
      </c>
      <c r="ED3392" s="367"/>
      <c r="EE3392" s="367"/>
      <c r="EF3392" s="368"/>
      <c r="EG3392" s="367"/>
      <c r="EH3392" s="367"/>
      <c r="EI3392" s="367"/>
    </row>
    <row r="3393" spans="133:139">
      <c r="EC3393" s="366" t="str">
        <f t="shared" si="329"/>
        <v>_</v>
      </c>
      <c r="ED3393" s="367"/>
      <c r="EE3393" s="367"/>
      <c r="EF3393" s="368"/>
      <c r="EG3393" s="367"/>
      <c r="EH3393" s="367"/>
      <c r="EI3393" s="367"/>
    </row>
    <row r="3394" spans="133:139">
      <c r="EC3394" s="366" t="str">
        <f t="shared" si="329"/>
        <v>_</v>
      </c>
      <c r="ED3394" s="367"/>
      <c r="EE3394" s="367"/>
      <c r="EF3394" s="368"/>
      <c r="EG3394" s="367"/>
      <c r="EH3394" s="367"/>
      <c r="EI3394" s="367"/>
    </row>
    <row r="3395" spans="133:139">
      <c r="EC3395" s="366" t="str">
        <f t="shared" si="329"/>
        <v>_</v>
      </c>
      <c r="ED3395" s="367"/>
      <c r="EE3395" s="367"/>
      <c r="EF3395" s="368"/>
      <c r="EG3395" s="367"/>
      <c r="EH3395" s="367"/>
      <c r="EI3395" s="367"/>
    </row>
    <row r="3396" spans="133:139">
      <c r="EC3396" s="366" t="str">
        <f t="shared" si="329"/>
        <v>_</v>
      </c>
      <c r="ED3396" s="367"/>
      <c r="EE3396" s="367"/>
      <c r="EF3396" s="368"/>
      <c r="EG3396" s="367"/>
      <c r="EH3396" s="367"/>
      <c r="EI3396" s="367"/>
    </row>
    <row r="3397" spans="133:139">
      <c r="EC3397" s="366" t="str">
        <f t="shared" si="329"/>
        <v>_</v>
      </c>
      <c r="ED3397" s="367"/>
      <c r="EE3397" s="367"/>
      <c r="EF3397" s="368"/>
      <c r="EG3397" s="367"/>
      <c r="EH3397" s="367"/>
      <c r="EI3397" s="367"/>
    </row>
    <row r="3398" spans="133:139">
      <c r="EC3398" s="366" t="str">
        <f t="shared" si="329"/>
        <v>_</v>
      </c>
      <c r="ED3398" s="367"/>
      <c r="EE3398" s="367"/>
      <c r="EF3398" s="368"/>
      <c r="EG3398" s="367"/>
      <c r="EH3398" s="367"/>
      <c r="EI3398" s="367"/>
    </row>
    <row r="3399" spans="133:139">
      <c r="EC3399" s="366" t="str">
        <f t="shared" si="329"/>
        <v>_</v>
      </c>
      <c r="ED3399" s="367"/>
      <c r="EE3399" s="367"/>
      <c r="EF3399" s="368"/>
      <c r="EG3399" s="367"/>
      <c r="EH3399" s="367"/>
      <c r="EI3399" s="367"/>
    </row>
    <row r="3400" spans="133:139">
      <c r="EC3400" s="366" t="str">
        <f t="shared" si="329"/>
        <v>_</v>
      </c>
      <c r="ED3400" s="367"/>
      <c r="EE3400" s="367"/>
      <c r="EF3400" s="368"/>
      <c r="EG3400" s="367"/>
      <c r="EH3400" s="367"/>
      <c r="EI3400" s="367"/>
    </row>
    <row r="3401" spans="133:139">
      <c r="EC3401" s="366" t="str">
        <f t="shared" si="329"/>
        <v>_</v>
      </c>
      <c r="ED3401" s="367"/>
      <c r="EE3401" s="367"/>
      <c r="EF3401" s="368"/>
      <c r="EG3401" s="367"/>
      <c r="EH3401" s="367"/>
      <c r="EI3401" s="367"/>
    </row>
    <row r="3402" spans="133:139">
      <c r="EC3402" s="366" t="str">
        <f t="shared" si="329"/>
        <v>_</v>
      </c>
      <c r="ED3402" s="367"/>
      <c r="EE3402" s="367"/>
      <c r="EF3402" s="368"/>
      <c r="EG3402" s="367"/>
      <c r="EH3402" s="367"/>
      <c r="EI3402" s="367"/>
    </row>
    <row r="3403" spans="133:139">
      <c r="EC3403" s="366" t="str">
        <f t="shared" si="329"/>
        <v>_</v>
      </c>
      <c r="ED3403" s="367"/>
      <c r="EE3403" s="367"/>
      <c r="EF3403" s="368"/>
      <c r="EG3403" s="367"/>
      <c r="EH3403" s="367"/>
      <c r="EI3403" s="367"/>
    </row>
    <row r="3404" spans="133:139">
      <c r="EC3404" s="366" t="str">
        <f t="shared" si="329"/>
        <v>_</v>
      </c>
      <c r="ED3404" s="367"/>
      <c r="EE3404" s="367"/>
      <c r="EF3404" s="368"/>
      <c r="EG3404" s="367"/>
      <c r="EH3404" s="367"/>
      <c r="EI3404" s="367"/>
    </row>
    <row r="3405" spans="133:139">
      <c r="EC3405" s="366" t="str">
        <f t="shared" si="329"/>
        <v>_</v>
      </c>
      <c r="ED3405" s="367"/>
      <c r="EE3405" s="367"/>
      <c r="EF3405" s="368"/>
      <c r="EG3405" s="367"/>
      <c r="EH3405" s="367"/>
      <c r="EI3405" s="367"/>
    </row>
    <row r="3406" spans="133:139">
      <c r="EC3406" s="366" t="str">
        <f t="shared" si="329"/>
        <v>_</v>
      </c>
      <c r="ED3406" s="367"/>
      <c r="EE3406" s="367"/>
      <c r="EF3406" s="368"/>
      <c r="EG3406" s="367"/>
      <c r="EH3406" s="367"/>
      <c r="EI3406" s="367"/>
    </row>
    <row r="3407" spans="133:139">
      <c r="EC3407" s="366" t="str">
        <f t="shared" si="329"/>
        <v>_</v>
      </c>
      <c r="ED3407" s="367"/>
      <c r="EE3407" s="367"/>
      <c r="EF3407" s="368"/>
      <c r="EG3407" s="367"/>
      <c r="EH3407" s="367"/>
      <c r="EI3407" s="367"/>
    </row>
    <row r="3408" spans="133:139">
      <c r="EC3408" s="366" t="str">
        <f t="shared" si="329"/>
        <v>_</v>
      </c>
      <c r="ED3408" s="367"/>
      <c r="EE3408" s="367"/>
      <c r="EF3408" s="368"/>
      <c r="EG3408" s="367"/>
      <c r="EH3408" s="367"/>
      <c r="EI3408" s="367"/>
    </row>
    <row r="3409" spans="133:139">
      <c r="EC3409" s="366" t="str">
        <f t="shared" si="329"/>
        <v>_</v>
      </c>
      <c r="ED3409" s="367"/>
      <c r="EE3409" s="367"/>
      <c r="EF3409" s="368"/>
      <c r="EG3409" s="367"/>
      <c r="EH3409" s="367"/>
      <c r="EI3409" s="367"/>
    </row>
    <row r="3410" spans="133:139">
      <c r="EC3410" s="366" t="str">
        <f t="shared" si="329"/>
        <v>_</v>
      </c>
      <c r="ED3410" s="367"/>
      <c r="EE3410" s="367"/>
      <c r="EF3410" s="368"/>
      <c r="EG3410" s="367"/>
      <c r="EH3410" s="367"/>
      <c r="EI3410" s="367"/>
    </row>
    <row r="3411" spans="133:139">
      <c r="EC3411" s="366" t="str">
        <f t="shared" si="329"/>
        <v>_</v>
      </c>
      <c r="ED3411" s="367"/>
      <c r="EE3411" s="367"/>
      <c r="EF3411" s="368"/>
      <c r="EG3411" s="367"/>
      <c r="EH3411" s="367"/>
      <c r="EI3411" s="367"/>
    </row>
    <row r="3412" spans="133:139">
      <c r="EC3412" s="366" t="str">
        <f t="shared" si="329"/>
        <v>_</v>
      </c>
      <c r="ED3412" s="367"/>
      <c r="EE3412" s="367"/>
      <c r="EF3412" s="368"/>
      <c r="EG3412" s="367"/>
      <c r="EH3412" s="367"/>
      <c r="EI3412" s="367"/>
    </row>
    <row r="3413" spans="133:139">
      <c r="EC3413" s="366" t="str">
        <f t="shared" si="329"/>
        <v>_</v>
      </c>
      <c r="ED3413" s="367"/>
      <c r="EE3413" s="367"/>
      <c r="EF3413" s="368"/>
      <c r="EG3413" s="367"/>
      <c r="EH3413" s="367"/>
      <c r="EI3413" s="367"/>
    </row>
    <row r="3414" spans="133:139">
      <c r="EC3414" s="366" t="str">
        <f t="shared" si="329"/>
        <v>_</v>
      </c>
      <c r="ED3414" s="367"/>
      <c r="EE3414" s="367"/>
      <c r="EF3414" s="368"/>
      <c r="EG3414" s="367"/>
      <c r="EH3414" s="367"/>
      <c r="EI3414" s="367"/>
    </row>
    <row r="3415" spans="133:139">
      <c r="EC3415" s="366" t="str">
        <f t="shared" ref="EC3415:EC3478" si="330">B3415&amp;"_"&amp;C3415</f>
        <v>_</v>
      </c>
      <c r="ED3415" s="367"/>
      <c r="EE3415" s="367"/>
      <c r="EF3415" s="368"/>
      <c r="EG3415" s="367"/>
      <c r="EH3415" s="367"/>
      <c r="EI3415" s="367"/>
    </row>
    <row r="3416" spans="133:139">
      <c r="EC3416" s="366" t="str">
        <f t="shared" si="330"/>
        <v>_</v>
      </c>
      <c r="ED3416" s="367"/>
      <c r="EE3416" s="367"/>
      <c r="EF3416" s="368"/>
      <c r="EG3416" s="367"/>
      <c r="EH3416" s="367"/>
      <c r="EI3416" s="367"/>
    </row>
    <row r="3417" spans="133:139">
      <c r="EC3417" s="366" t="str">
        <f t="shared" si="330"/>
        <v>_</v>
      </c>
      <c r="ED3417" s="367"/>
      <c r="EE3417" s="367"/>
      <c r="EF3417" s="368"/>
      <c r="EG3417" s="367"/>
      <c r="EH3417" s="367"/>
      <c r="EI3417" s="367"/>
    </row>
    <row r="3418" spans="133:139">
      <c r="EC3418" s="366" t="str">
        <f t="shared" si="330"/>
        <v>_</v>
      </c>
      <c r="ED3418" s="367"/>
      <c r="EE3418" s="367"/>
      <c r="EF3418" s="368"/>
      <c r="EG3418" s="367"/>
      <c r="EH3418" s="367"/>
      <c r="EI3418" s="367"/>
    </row>
    <row r="3419" spans="133:139">
      <c r="EC3419" s="366" t="str">
        <f t="shared" si="330"/>
        <v>_</v>
      </c>
      <c r="ED3419" s="367"/>
      <c r="EE3419" s="367"/>
      <c r="EF3419" s="368"/>
      <c r="EG3419" s="367"/>
      <c r="EH3419" s="367"/>
      <c r="EI3419" s="367"/>
    </row>
    <row r="3420" spans="133:139">
      <c r="EC3420" s="366" t="str">
        <f t="shared" si="330"/>
        <v>_</v>
      </c>
      <c r="ED3420" s="367"/>
      <c r="EE3420" s="367"/>
      <c r="EF3420" s="368"/>
      <c r="EG3420" s="367"/>
      <c r="EH3420" s="367"/>
      <c r="EI3420" s="367"/>
    </row>
    <row r="3421" spans="133:139">
      <c r="EC3421" s="366" t="str">
        <f t="shared" si="330"/>
        <v>_</v>
      </c>
      <c r="ED3421" s="367"/>
      <c r="EE3421" s="367"/>
      <c r="EF3421" s="368"/>
      <c r="EG3421" s="367"/>
      <c r="EH3421" s="367"/>
      <c r="EI3421" s="367"/>
    </row>
    <row r="3422" spans="133:139">
      <c r="EC3422" s="366" t="str">
        <f t="shared" si="330"/>
        <v>_</v>
      </c>
      <c r="ED3422" s="367"/>
      <c r="EE3422" s="367"/>
      <c r="EF3422" s="368"/>
      <c r="EG3422" s="367"/>
      <c r="EH3422" s="367"/>
      <c r="EI3422" s="367"/>
    </row>
    <row r="3423" spans="133:139">
      <c r="EC3423" s="366" t="str">
        <f t="shared" si="330"/>
        <v>_</v>
      </c>
      <c r="ED3423" s="367"/>
      <c r="EE3423" s="367"/>
      <c r="EF3423" s="368"/>
      <c r="EG3423" s="367"/>
      <c r="EH3423" s="367"/>
      <c r="EI3423" s="367"/>
    </row>
    <row r="3424" spans="133:139">
      <c r="EC3424" s="366" t="str">
        <f t="shared" si="330"/>
        <v>_</v>
      </c>
      <c r="ED3424" s="367"/>
      <c r="EE3424" s="367"/>
      <c r="EF3424" s="368"/>
      <c r="EG3424" s="367"/>
      <c r="EH3424" s="367"/>
      <c r="EI3424" s="367"/>
    </row>
    <row r="3425" spans="133:139">
      <c r="EC3425" s="366" t="str">
        <f t="shared" si="330"/>
        <v>_</v>
      </c>
      <c r="ED3425" s="367"/>
      <c r="EE3425" s="367"/>
      <c r="EF3425" s="368"/>
      <c r="EG3425" s="367"/>
      <c r="EH3425" s="367"/>
      <c r="EI3425" s="367"/>
    </row>
    <row r="3426" spans="133:139">
      <c r="EC3426" s="366" t="str">
        <f t="shared" si="330"/>
        <v>_</v>
      </c>
      <c r="ED3426" s="367"/>
      <c r="EE3426" s="367"/>
      <c r="EF3426" s="368"/>
      <c r="EG3426" s="367"/>
      <c r="EH3426" s="367"/>
      <c r="EI3426" s="367"/>
    </row>
    <row r="3427" spans="133:139">
      <c r="EC3427" s="366" t="str">
        <f t="shared" si="330"/>
        <v>_</v>
      </c>
      <c r="ED3427" s="367"/>
      <c r="EE3427" s="367"/>
      <c r="EF3427" s="368"/>
      <c r="EG3427" s="367"/>
      <c r="EH3427" s="367"/>
      <c r="EI3427" s="367"/>
    </row>
    <row r="3428" spans="133:139">
      <c r="EC3428" s="366" t="str">
        <f t="shared" si="330"/>
        <v>_</v>
      </c>
      <c r="ED3428" s="367"/>
      <c r="EE3428" s="367"/>
      <c r="EF3428" s="368"/>
      <c r="EG3428" s="367"/>
      <c r="EH3428" s="367"/>
      <c r="EI3428" s="367"/>
    </row>
    <row r="3429" spans="133:139">
      <c r="EC3429" s="366" t="str">
        <f t="shared" si="330"/>
        <v>_</v>
      </c>
      <c r="ED3429" s="367"/>
      <c r="EE3429" s="367"/>
      <c r="EF3429" s="368"/>
      <c r="EG3429" s="367"/>
      <c r="EH3429" s="367"/>
      <c r="EI3429" s="367"/>
    </row>
    <row r="3430" spans="133:139">
      <c r="EC3430" s="366" t="str">
        <f t="shared" si="330"/>
        <v>_</v>
      </c>
      <c r="ED3430" s="367"/>
      <c r="EE3430" s="367"/>
      <c r="EF3430" s="368"/>
      <c r="EG3430" s="367"/>
      <c r="EH3430" s="367"/>
      <c r="EI3430" s="367"/>
    </row>
    <row r="3431" spans="133:139">
      <c r="EC3431" s="366" t="str">
        <f t="shared" si="330"/>
        <v>_</v>
      </c>
      <c r="ED3431" s="367"/>
      <c r="EE3431" s="367"/>
      <c r="EF3431" s="368"/>
      <c r="EG3431" s="367"/>
      <c r="EH3431" s="367"/>
      <c r="EI3431" s="367"/>
    </row>
    <row r="3432" spans="133:139">
      <c r="EC3432" s="366" t="str">
        <f t="shared" si="330"/>
        <v>_</v>
      </c>
      <c r="ED3432" s="367"/>
      <c r="EE3432" s="367"/>
      <c r="EF3432" s="368"/>
      <c r="EG3432" s="367"/>
      <c r="EH3432" s="367"/>
      <c r="EI3432" s="367"/>
    </row>
    <row r="3433" spans="133:139">
      <c r="EC3433" s="366" t="str">
        <f t="shared" si="330"/>
        <v>_</v>
      </c>
      <c r="ED3433" s="367"/>
      <c r="EE3433" s="367"/>
      <c r="EF3433" s="368"/>
      <c r="EG3433" s="367"/>
      <c r="EH3433" s="367"/>
      <c r="EI3433" s="367"/>
    </row>
    <row r="3434" spans="133:139">
      <c r="EC3434" s="366" t="str">
        <f t="shared" si="330"/>
        <v>_</v>
      </c>
      <c r="ED3434" s="367"/>
      <c r="EE3434" s="367"/>
      <c r="EF3434" s="368"/>
      <c r="EG3434" s="367"/>
      <c r="EH3434" s="367"/>
      <c r="EI3434" s="367"/>
    </row>
    <row r="3435" spans="133:139">
      <c r="EC3435" s="366" t="str">
        <f t="shared" si="330"/>
        <v>_</v>
      </c>
      <c r="ED3435" s="367"/>
      <c r="EE3435" s="367"/>
      <c r="EF3435" s="368"/>
      <c r="EG3435" s="367"/>
      <c r="EH3435" s="367"/>
      <c r="EI3435" s="367"/>
    </row>
    <row r="3436" spans="133:139">
      <c r="EC3436" s="366" t="str">
        <f t="shared" si="330"/>
        <v>_</v>
      </c>
      <c r="ED3436" s="367"/>
      <c r="EE3436" s="367"/>
      <c r="EF3436" s="368"/>
      <c r="EG3436" s="367"/>
      <c r="EH3436" s="367"/>
      <c r="EI3436" s="367"/>
    </row>
    <row r="3437" spans="133:139">
      <c r="EC3437" s="366" t="str">
        <f t="shared" si="330"/>
        <v>_</v>
      </c>
      <c r="ED3437" s="367"/>
      <c r="EE3437" s="367"/>
      <c r="EF3437" s="368"/>
      <c r="EG3437" s="367"/>
      <c r="EH3437" s="367"/>
      <c r="EI3437" s="367"/>
    </row>
    <row r="3438" spans="133:139">
      <c r="EC3438" s="366" t="str">
        <f t="shared" si="330"/>
        <v>_</v>
      </c>
      <c r="ED3438" s="367"/>
      <c r="EE3438" s="367"/>
      <c r="EF3438" s="368"/>
      <c r="EG3438" s="367"/>
      <c r="EH3438" s="367"/>
      <c r="EI3438" s="367"/>
    </row>
    <row r="3439" spans="133:139">
      <c r="EC3439" s="366" t="str">
        <f t="shared" si="330"/>
        <v>_</v>
      </c>
      <c r="ED3439" s="367"/>
      <c r="EE3439" s="367"/>
      <c r="EF3439" s="368"/>
      <c r="EG3439" s="367"/>
      <c r="EH3439" s="367"/>
      <c r="EI3439" s="367"/>
    </row>
    <row r="3440" spans="133:139">
      <c r="EC3440" s="366" t="str">
        <f t="shared" si="330"/>
        <v>_</v>
      </c>
      <c r="ED3440" s="367"/>
      <c r="EE3440" s="367"/>
      <c r="EF3440" s="368"/>
      <c r="EG3440" s="367"/>
      <c r="EH3440" s="367"/>
      <c r="EI3440" s="367"/>
    </row>
    <row r="3441" spans="133:139">
      <c r="EC3441" s="366" t="str">
        <f t="shared" si="330"/>
        <v>_</v>
      </c>
      <c r="ED3441" s="367"/>
      <c r="EE3441" s="367"/>
      <c r="EF3441" s="368"/>
      <c r="EG3441" s="367"/>
      <c r="EH3441" s="367"/>
      <c r="EI3441" s="367"/>
    </row>
    <row r="3442" spans="133:139">
      <c r="EC3442" s="366" t="str">
        <f t="shared" si="330"/>
        <v>_</v>
      </c>
      <c r="ED3442" s="367"/>
      <c r="EE3442" s="367"/>
      <c r="EF3442" s="368"/>
      <c r="EG3442" s="367"/>
      <c r="EH3442" s="367"/>
      <c r="EI3442" s="367"/>
    </row>
    <row r="3443" spans="133:139">
      <c r="EC3443" s="366" t="str">
        <f t="shared" si="330"/>
        <v>_</v>
      </c>
      <c r="ED3443" s="367"/>
      <c r="EE3443" s="367"/>
      <c r="EF3443" s="368"/>
      <c r="EG3443" s="367"/>
      <c r="EH3443" s="367"/>
      <c r="EI3443" s="367"/>
    </row>
    <row r="3444" spans="133:139">
      <c r="EC3444" s="366" t="str">
        <f t="shared" si="330"/>
        <v>_</v>
      </c>
      <c r="ED3444" s="367"/>
      <c r="EE3444" s="367"/>
      <c r="EF3444" s="368"/>
      <c r="EG3444" s="367"/>
      <c r="EH3444" s="367"/>
      <c r="EI3444" s="367"/>
    </row>
    <row r="3445" spans="133:139">
      <c r="EC3445" s="366" t="str">
        <f t="shared" si="330"/>
        <v>_</v>
      </c>
      <c r="ED3445" s="367"/>
      <c r="EE3445" s="367"/>
      <c r="EF3445" s="368"/>
      <c r="EG3445" s="367"/>
      <c r="EH3445" s="367"/>
      <c r="EI3445" s="367"/>
    </row>
    <row r="3446" spans="133:139">
      <c r="EC3446" s="366" t="str">
        <f t="shared" si="330"/>
        <v>_</v>
      </c>
      <c r="ED3446" s="367"/>
      <c r="EE3446" s="367"/>
      <c r="EF3446" s="368"/>
      <c r="EG3446" s="367"/>
      <c r="EH3446" s="367"/>
      <c r="EI3446" s="367"/>
    </row>
    <row r="3447" spans="133:139">
      <c r="EC3447" s="366" t="str">
        <f t="shared" si="330"/>
        <v>_</v>
      </c>
      <c r="ED3447" s="367"/>
      <c r="EE3447" s="367"/>
      <c r="EF3447" s="368"/>
      <c r="EG3447" s="367"/>
      <c r="EH3447" s="367"/>
      <c r="EI3447" s="367"/>
    </row>
    <row r="3448" spans="133:139">
      <c r="EC3448" s="366" t="str">
        <f t="shared" si="330"/>
        <v>_</v>
      </c>
      <c r="ED3448" s="367"/>
      <c r="EE3448" s="367"/>
      <c r="EF3448" s="368"/>
      <c r="EG3448" s="367"/>
      <c r="EH3448" s="367"/>
      <c r="EI3448" s="367"/>
    </row>
    <row r="3449" spans="133:139">
      <c r="EC3449" s="366" t="str">
        <f t="shared" si="330"/>
        <v>_</v>
      </c>
      <c r="ED3449" s="367"/>
      <c r="EE3449" s="367"/>
      <c r="EF3449" s="368"/>
      <c r="EG3449" s="367"/>
      <c r="EH3449" s="367"/>
      <c r="EI3449" s="367"/>
    </row>
    <row r="3450" spans="133:139">
      <c r="EC3450" s="366" t="str">
        <f t="shared" si="330"/>
        <v>_</v>
      </c>
      <c r="ED3450" s="367"/>
      <c r="EE3450" s="367"/>
      <c r="EF3450" s="368"/>
      <c r="EG3450" s="367"/>
      <c r="EH3450" s="367"/>
      <c r="EI3450" s="367"/>
    </row>
    <row r="3451" spans="133:139">
      <c r="EC3451" s="375" t="str">
        <f t="shared" si="330"/>
        <v>_</v>
      </c>
      <c r="ED3451" s="376"/>
      <c r="EE3451" s="367"/>
      <c r="EF3451" s="368"/>
      <c r="EG3451" s="367"/>
      <c r="EH3451" s="367"/>
      <c r="EI3451" s="367"/>
    </row>
    <row r="3452" spans="133:139">
      <c r="EC3452" s="375" t="str">
        <f t="shared" si="330"/>
        <v>_</v>
      </c>
      <c r="ED3452" s="376"/>
      <c r="EE3452" s="367"/>
      <c r="EF3452" s="368"/>
      <c r="EG3452" s="367"/>
      <c r="EH3452" s="367"/>
      <c r="EI3452" s="367"/>
    </row>
    <row r="3453" spans="133:139">
      <c r="EC3453" s="375" t="str">
        <f t="shared" si="330"/>
        <v>_</v>
      </c>
      <c r="ED3453" s="376"/>
      <c r="EE3453" s="367"/>
      <c r="EF3453" s="368"/>
      <c r="EG3453" s="367"/>
      <c r="EH3453" s="367"/>
      <c r="EI3453" s="367"/>
    </row>
    <row r="3454" spans="133:139">
      <c r="EC3454" s="375" t="str">
        <f t="shared" si="330"/>
        <v>_</v>
      </c>
      <c r="ED3454" s="376"/>
      <c r="EE3454" s="367"/>
      <c r="EF3454" s="368"/>
      <c r="EG3454" s="367"/>
      <c r="EH3454" s="367"/>
      <c r="EI3454" s="367"/>
    </row>
    <row r="3455" spans="133:139">
      <c r="EC3455" s="366" t="str">
        <f t="shared" si="330"/>
        <v>_</v>
      </c>
      <c r="ED3455" s="367"/>
      <c r="EE3455" s="376"/>
      <c r="EF3455" s="377"/>
      <c r="EG3455" s="376"/>
      <c r="EH3455" s="376"/>
      <c r="EI3455" s="376"/>
    </row>
    <row r="3456" spans="133:139">
      <c r="EC3456" s="366" t="str">
        <f t="shared" si="330"/>
        <v>_</v>
      </c>
      <c r="ED3456" s="367"/>
      <c r="EE3456" s="376"/>
      <c r="EF3456" s="377"/>
      <c r="EG3456" s="376"/>
      <c r="EH3456" s="376"/>
      <c r="EI3456" s="376"/>
    </row>
    <row r="3457" spans="133:139">
      <c r="EC3457" s="366" t="str">
        <f t="shared" si="330"/>
        <v>_</v>
      </c>
      <c r="ED3457" s="367"/>
      <c r="EE3457" s="376"/>
      <c r="EF3457" s="377"/>
      <c r="EG3457" s="376"/>
      <c r="EH3457" s="376"/>
      <c r="EI3457" s="376"/>
    </row>
    <row r="3458" spans="133:139">
      <c r="EC3458" s="366" t="str">
        <f t="shared" si="330"/>
        <v>_</v>
      </c>
      <c r="ED3458" s="367"/>
      <c r="EE3458" s="376"/>
      <c r="EF3458" s="377"/>
      <c r="EG3458" s="376"/>
      <c r="EH3458" s="376"/>
      <c r="EI3458" s="376"/>
    </row>
    <row r="3459" spans="133:139">
      <c r="EC3459" s="366" t="str">
        <f t="shared" si="330"/>
        <v>_</v>
      </c>
      <c r="ED3459" s="367"/>
      <c r="EE3459" s="367"/>
      <c r="EF3459" s="368"/>
      <c r="EG3459" s="367"/>
      <c r="EH3459" s="367"/>
      <c r="EI3459" s="367"/>
    </row>
    <row r="3460" spans="133:139">
      <c r="EC3460" s="366" t="str">
        <f t="shared" si="330"/>
        <v>_</v>
      </c>
      <c r="ED3460" s="367"/>
      <c r="EE3460" s="367"/>
      <c r="EF3460" s="368"/>
      <c r="EG3460" s="367"/>
      <c r="EH3460" s="367"/>
      <c r="EI3460" s="367"/>
    </row>
    <row r="3461" spans="133:139">
      <c r="EC3461" s="366" t="str">
        <f t="shared" si="330"/>
        <v>_</v>
      </c>
      <c r="ED3461" s="367"/>
      <c r="EE3461" s="367"/>
      <c r="EF3461" s="368"/>
      <c r="EG3461" s="367"/>
      <c r="EH3461" s="367"/>
      <c r="EI3461" s="367"/>
    </row>
    <row r="3462" spans="133:139">
      <c r="EC3462" s="375" t="str">
        <f t="shared" si="330"/>
        <v>_</v>
      </c>
      <c r="ED3462" s="376"/>
      <c r="EE3462" s="367"/>
      <c r="EF3462" s="368"/>
      <c r="EG3462" s="367"/>
      <c r="EH3462" s="367"/>
      <c r="EI3462" s="367"/>
    </row>
    <row r="3463" spans="133:139">
      <c r="EC3463" s="375" t="str">
        <f t="shared" si="330"/>
        <v>_</v>
      </c>
      <c r="ED3463" s="376"/>
      <c r="EE3463" s="367"/>
      <c r="EF3463" s="368"/>
      <c r="EG3463" s="367"/>
      <c r="EH3463" s="367"/>
      <c r="EI3463" s="367"/>
    </row>
    <row r="3464" spans="133:139">
      <c r="EC3464" s="375" t="str">
        <f t="shared" si="330"/>
        <v>_</v>
      </c>
      <c r="ED3464" s="376"/>
      <c r="EE3464" s="367"/>
      <c r="EF3464" s="368"/>
      <c r="EG3464" s="367"/>
      <c r="EH3464" s="367"/>
      <c r="EI3464" s="367"/>
    </row>
    <row r="3465" spans="133:139">
      <c r="EC3465" s="366" t="str">
        <f t="shared" si="330"/>
        <v>_</v>
      </c>
      <c r="ED3465" s="367"/>
      <c r="EE3465" s="367"/>
      <c r="EF3465" s="368"/>
      <c r="EG3465" s="367"/>
      <c r="EH3465" s="367"/>
      <c r="EI3465" s="367"/>
    </row>
    <row r="3466" spans="133:139">
      <c r="EC3466" s="366" t="str">
        <f t="shared" si="330"/>
        <v>_</v>
      </c>
      <c r="ED3466" s="367"/>
      <c r="EE3466" s="376"/>
      <c r="EF3466" s="377"/>
      <c r="EG3466" s="376"/>
      <c r="EH3466" s="376"/>
      <c r="EI3466" s="376"/>
    </row>
    <row r="3467" spans="133:139">
      <c r="EC3467" s="366" t="str">
        <f t="shared" si="330"/>
        <v>_</v>
      </c>
      <c r="ED3467" s="367"/>
      <c r="EE3467" s="376"/>
      <c r="EF3467" s="377"/>
      <c r="EG3467" s="376"/>
      <c r="EH3467" s="376"/>
      <c r="EI3467" s="376"/>
    </row>
    <row r="3468" spans="133:139">
      <c r="EC3468" s="366" t="str">
        <f t="shared" si="330"/>
        <v>_</v>
      </c>
      <c r="ED3468" s="367"/>
      <c r="EE3468" s="376"/>
      <c r="EF3468" s="377"/>
      <c r="EG3468" s="376"/>
      <c r="EH3468" s="376"/>
      <c r="EI3468" s="376"/>
    </row>
    <row r="3469" spans="133:139">
      <c r="EC3469" s="375" t="str">
        <f t="shared" si="330"/>
        <v>_</v>
      </c>
      <c r="ED3469" s="376"/>
      <c r="EE3469" s="367"/>
      <c r="EF3469" s="368"/>
      <c r="EG3469" s="367"/>
      <c r="EH3469" s="367"/>
      <c r="EI3469" s="367"/>
    </row>
    <row r="3470" spans="133:139">
      <c r="EC3470" s="375" t="str">
        <f t="shared" si="330"/>
        <v>_</v>
      </c>
      <c r="ED3470" s="376"/>
      <c r="EE3470" s="367"/>
      <c r="EF3470" s="368"/>
      <c r="EG3470" s="367"/>
      <c r="EH3470" s="367"/>
      <c r="EI3470" s="367"/>
    </row>
    <row r="3471" spans="133:139">
      <c r="EC3471" s="375" t="str">
        <f t="shared" si="330"/>
        <v>_</v>
      </c>
      <c r="ED3471" s="376"/>
      <c r="EE3471" s="367"/>
      <c r="EF3471" s="368"/>
      <c r="EG3471" s="367"/>
      <c r="EH3471" s="367"/>
      <c r="EI3471" s="367"/>
    </row>
    <row r="3472" spans="133:139">
      <c r="EC3472" s="375" t="str">
        <f t="shared" si="330"/>
        <v>_</v>
      </c>
      <c r="ED3472" s="376"/>
      <c r="EE3472" s="367"/>
      <c r="EF3472" s="368"/>
      <c r="EG3472" s="367"/>
      <c r="EH3472" s="367"/>
      <c r="EI3472" s="367"/>
    </row>
    <row r="3473" spans="133:139">
      <c r="EC3473" s="375" t="str">
        <f t="shared" si="330"/>
        <v>_</v>
      </c>
      <c r="ED3473" s="376"/>
      <c r="EE3473" s="376"/>
      <c r="EF3473" s="377"/>
      <c r="EG3473" s="376"/>
      <c r="EH3473" s="376"/>
      <c r="EI3473" s="376"/>
    </row>
    <row r="3474" spans="133:139">
      <c r="EC3474" s="375" t="str">
        <f t="shared" si="330"/>
        <v>_</v>
      </c>
      <c r="ED3474" s="376"/>
      <c r="EE3474" s="376"/>
      <c r="EF3474" s="377"/>
      <c r="EG3474" s="376"/>
      <c r="EH3474" s="376"/>
      <c r="EI3474" s="376"/>
    </row>
    <row r="3475" spans="133:139">
      <c r="EC3475" s="375" t="str">
        <f t="shared" si="330"/>
        <v>_</v>
      </c>
      <c r="ED3475" s="376"/>
      <c r="EE3475" s="376"/>
      <c r="EF3475" s="377"/>
      <c r="EG3475" s="376"/>
      <c r="EH3475" s="376"/>
      <c r="EI3475" s="376"/>
    </row>
    <row r="3476" spans="133:139">
      <c r="EC3476" s="375" t="str">
        <f t="shared" si="330"/>
        <v>_</v>
      </c>
      <c r="ED3476" s="376"/>
      <c r="EE3476" s="376"/>
      <c r="EF3476" s="377"/>
      <c r="EG3476" s="376"/>
      <c r="EH3476" s="376"/>
      <c r="EI3476" s="376"/>
    </row>
    <row r="3477" spans="133:139">
      <c r="EC3477" s="366" t="str">
        <f t="shared" si="330"/>
        <v>_</v>
      </c>
      <c r="ED3477" s="367"/>
      <c r="EE3477" s="376"/>
      <c r="EF3477" s="377"/>
      <c r="EG3477" s="376"/>
      <c r="EH3477" s="376"/>
      <c r="EI3477" s="376"/>
    </row>
    <row r="3478" spans="133:139">
      <c r="EC3478" s="375" t="str">
        <f t="shared" si="330"/>
        <v>_</v>
      </c>
      <c r="ED3478" s="376"/>
      <c r="EE3478" s="376"/>
      <c r="EF3478" s="377"/>
      <c r="EG3478" s="376"/>
      <c r="EH3478" s="376"/>
      <c r="EI3478" s="376"/>
    </row>
    <row r="3479" spans="133:139">
      <c r="EC3479" s="375" t="str">
        <f t="shared" ref="EC3479:EC3542" si="331">B3479&amp;"_"&amp;C3479</f>
        <v>_</v>
      </c>
      <c r="ED3479" s="376"/>
      <c r="EE3479" s="376"/>
      <c r="EF3479" s="377"/>
      <c r="EG3479" s="376"/>
      <c r="EH3479" s="376"/>
      <c r="EI3479" s="376"/>
    </row>
    <row r="3480" spans="133:139">
      <c r="EC3480" s="375" t="str">
        <f t="shared" si="331"/>
        <v>_</v>
      </c>
      <c r="ED3480" s="376"/>
      <c r="EE3480" s="376"/>
      <c r="EF3480" s="377"/>
      <c r="EG3480" s="376"/>
      <c r="EH3480" s="376"/>
      <c r="EI3480" s="376"/>
    </row>
    <row r="3481" spans="133:139">
      <c r="EC3481" s="375" t="str">
        <f t="shared" si="331"/>
        <v>_</v>
      </c>
      <c r="ED3481" s="376"/>
      <c r="EE3481" s="367"/>
      <c r="EF3481" s="368"/>
      <c r="EG3481" s="367"/>
      <c r="EH3481" s="367"/>
      <c r="EI3481" s="367"/>
    </row>
    <row r="3482" spans="133:139">
      <c r="EC3482" s="375" t="str">
        <f t="shared" si="331"/>
        <v>_</v>
      </c>
      <c r="ED3482" s="376"/>
      <c r="EE3482" s="376"/>
      <c r="EF3482" s="377"/>
      <c r="EG3482" s="376"/>
      <c r="EH3482" s="376"/>
      <c r="EI3482" s="376"/>
    </row>
    <row r="3483" spans="133:139">
      <c r="EC3483" s="366" t="str">
        <f t="shared" si="331"/>
        <v>_</v>
      </c>
      <c r="ED3483" s="367"/>
      <c r="EE3483" s="376"/>
      <c r="EF3483" s="377"/>
      <c r="EG3483" s="376"/>
      <c r="EH3483" s="376"/>
      <c r="EI3483" s="376"/>
    </row>
    <row r="3484" spans="133:139">
      <c r="EC3484" s="366" t="str">
        <f t="shared" si="331"/>
        <v>_</v>
      </c>
      <c r="ED3484" s="367"/>
      <c r="EE3484" s="376"/>
      <c r="EF3484" s="377"/>
      <c r="EG3484" s="376"/>
      <c r="EH3484" s="376"/>
      <c r="EI3484" s="376"/>
    </row>
    <row r="3485" spans="133:139">
      <c r="EC3485" s="366" t="str">
        <f t="shared" si="331"/>
        <v>_</v>
      </c>
      <c r="ED3485" s="367"/>
      <c r="EE3485" s="376"/>
      <c r="EF3485" s="377"/>
      <c r="EG3485" s="376"/>
      <c r="EH3485" s="376"/>
      <c r="EI3485" s="376"/>
    </row>
    <row r="3486" spans="133:139">
      <c r="EC3486" s="375" t="str">
        <f t="shared" si="331"/>
        <v>_</v>
      </c>
      <c r="ED3486" s="376"/>
      <c r="EE3486" s="376"/>
      <c r="EF3486" s="377"/>
      <c r="EG3486" s="376"/>
      <c r="EH3486" s="376"/>
      <c r="EI3486" s="376"/>
    </row>
    <row r="3487" spans="133:139">
      <c r="EC3487" s="375" t="str">
        <f t="shared" si="331"/>
        <v>_</v>
      </c>
      <c r="ED3487" s="376"/>
      <c r="EE3487" s="367"/>
      <c r="EF3487" s="368"/>
      <c r="EG3487" s="367"/>
      <c r="EH3487" s="367"/>
      <c r="EI3487" s="367"/>
    </row>
    <row r="3488" spans="133:139">
      <c r="EC3488" s="375" t="str">
        <f t="shared" si="331"/>
        <v>_</v>
      </c>
      <c r="ED3488" s="376"/>
      <c r="EE3488" s="367"/>
      <c r="EF3488" s="368"/>
      <c r="EG3488" s="367"/>
      <c r="EH3488" s="367"/>
      <c r="EI3488" s="367"/>
    </row>
    <row r="3489" spans="133:139">
      <c r="EC3489" s="375" t="str">
        <f t="shared" si="331"/>
        <v>_</v>
      </c>
      <c r="ED3489" s="376"/>
      <c r="EE3489" s="367"/>
      <c r="EF3489" s="368"/>
      <c r="EG3489" s="367"/>
      <c r="EH3489" s="367"/>
      <c r="EI3489" s="367"/>
    </row>
    <row r="3490" spans="133:139">
      <c r="EC3490" s="366" t="str">
        <f t="shared" si="331"/>
        <v>_</v>
      </c>
      <c r="ED3490" s="367"/>
      <c r="EE3490" s="376"/>
      <c r="EF3490" s="377"/>
      <c r="EG3490" s="376"/>
      <c r="EH3490" s="376"/>
      <c r="EI3490" s="376"/>
    </row>
    <row r="3491" spans="133:139">
      <c r="EC3491" s="366" t="str">
        <f t="shared" si="331"/>
        <v>_</v>
      </c>
      <c r="ED3491" s="367"/>
      <c r="EE3491" s="376"/>
      <c r="EF3491" s="377"/>
      <c r="EG3491" s="376"/>
      <c r="EH3491" s="376"/>
      <c r="EI3491" s="376"/>
    </row>
    <row r="3492" spans="133:139">
      <c r="EC3492" s="366" t="str">
        <f t="shared" si="331"/>
        <v>_</v>
      </c>
      <c r="ED3492" s="367"/>
      <c r="EE3492" s="376"/>
      <c r="EF3492" s="377"/>
      <c r="EG3492" s="376"/>
      <c r="EH3492" s="376"/>
      <c r="EI3492" s="376"/>
    </row>
    <row r="3493" spans="133:139">
      <c r="EC3493" s="366" t="str">
        <f t="shared" si="331"/>
        <v>_</v>
      </c>
      <c r="ED3493" s="367"/>
      <c r="EE3493" s="376"/>
      <c r="EF3493" s="377"/>
      <c r="EG3493" s="376"/>
      <c r="EH3493" s="376"/>
      <c r="EI3493" s="376"/>
    </row>
    <row r="3494" spans="133:139">
      <c r="EC3494" s="366" t="str">
        <f t="shared" si="331"/>
        <v>_</v>
      </c>
      <c r="ED3494" s="367"/>
      <c r="EE3494" s="367"/>
      <c r="EF3494" s="368"/>
      <c r="EG3494" s="367"/>
      <c r="EH3494" s="367"/>
      <c r="EI3494" s="367"/>
    </row>
    <row r="3495" spans="133:139">
      <c r="EC3495" s="366" t="str">
        <f t="shared" si="331"/>
        <v>_</v>
      </c>
      <c r="ED3495" s="367"/>
      <c r="EE3495" s="367"/>
      <c r="EF3495" s="368"/>
      <c r="EG3495" s="367"/>
      <c r="EH3495" s="367"/>
      <c r="EI3495" s="367"/>
    </row>
    <row r="3496" spans="133:139">
      <c r="EC3496" s="366" t="str">
        <f t="shared" si="331"/>
        <v>_</v>
      </c>
      <c r="ED3496" s="367"/>
      <c r="EE3496" s="367"/>
      <c r="EF3496" s="368"/>
      <c r="EG3496" s="367"/>
      <c r="EH3496" s="367"/>
      <c r="EI3496" s="367"/>
    </row>
    <row r="3497" spans="133:139">
      <c r="EC3497" s="366" t="str">
        <f t="shared" si="331"/>
        <v>_</v>
      </c>
      <c r="ED3497" s="367"/>
      <c r="EE3497" s="367"/>
      <c r="EF3497" s="368"/>
      <c r="EG3497" s="367"/>
      <c r="EH3497" s="367"/>
      <c r="EI3497" s="367"/>
    </row>
    <row r="3498" spans="133:139">
      <c r="EC3498" s="366" t="str">
        <f t="shared" si="331"/>
        <v>_</v>
      </c>
      <c r="ED3498" s="367"/>
      <c r="EE3498" s="367"/>
      <c r="EF3498" s="368"/>
      <c r="EG3498" s="367"/>
      <c r="EH3498" s="367"/>
      <c r="EI3498" s="367"/>
    </row>
    <row r="3499" spans="133:139">
      <c r="EC3499" s="366" t="str">
        <f t="shared" si="331"/>
        <v>_</v>
      </c>
      <c r="ED3499" s="367"/>
      <c r="EE3499" s="367"/>
      <c r="EF3499" s="368"/>
      <c r="EG3499" s="367"/>
      <c r="EH3499" s="367"/>
      <c r="EI3499" s="367"/>
    </row>
    <row r="3500" spans="133:139">
      <c r="EC3500" s="366" t="str">
        <f t="shared" si="331"/>
        <v>_</v>
      </c>
      <c r="ED3500" s="367"/>
      <c r="EE3500" s="367"/>
      <c r="EF3500" s="368"/>
      <c r="EG3500" s="367"/>
      <c r="EH3500" s="367"/>
      <c r="EI3500" s="367"/>
    </row>
    <row r="3501" spans="133:139">
      <c r="EC3501" s="366" t="str">
        <f t="shared" si="331"/>
        <v>_</v>
      </c>
      <c r="ED3501" s="367"/>
      <c r="EE3501" s="367"/>
      <c r="EF3501" s="368"/>
      <c r="EG3501" s="367"/>
      <c r="EH3501" s="367"/>
      <c r="EI3501" s="367"/>
    </row>
    <row r="3502" spans="133:139">
      <c r="EC3502" s="366" t="str">
        <f t="shared" si="331"/>
        <v>_</v>
      </c>
      <c r="ED3502" s="367"/>
      <c r="EE3502" s="367"/>
      <c r="EF3502" s="368"/>
      <c r="EG3502" s="367"/>
      <c r="EH3502" s="367"/>
      <c r="EI3502" s="367"/>
    </row>
    <row r="3503" spans="133:139">
      <c r="EC3503" s="366" t="str">
        <f t="shared" si="331"/>
        <v>_</v>
      </c>
      <c r="ED3503" s="367"/>
      <c r="EE3503" s="367"/>
      <c r="EF3503" s="368"/>
      <c r="EG3503" s="367"/>
      <c r="EH3503" s="367"/>
      <c r="EI3503" s="367"/>
    </row>
    <row r="3504" spans="133:139">
      <c r="EC3504" s="366" t="str">
        <f t="shared" si="331"/>
        <v>_</v>
      </c>
      <c r="ED3504" s="367"/>
      <c r="EE3504" s="367"/>
      <c r="EF3504" s="368"/>
      <c r="EG3504" s="367"/>
      <c r="EH3504" s="367"/>
      <c r="EI3504" s="367"/>
    </row>
    <row r="3505" spans="133:139">
      <c r="EC3505" s="366" t="str">
        <f t="shared" si="331"/>
        <v>_</v>
      </c>
      <c r="ED3505" s="367"/>
      <c r="EE3505" s="367"/>
      <c r="EF3505" s="368"/>
      <c r="EG3505" s="367"/>
      <c r="EH3505" s="367"/>
      <c r="EI3505" s="367"/>
    </row>
    <row r="3506" spans="133:139">
      <c r="EC3506" s="366" t="str">
        <f t="shared" si="331"/>
        <v>_</v>
      </c>
      <c r="ED3506" s="367"/>
      <c r="EE3506" s="367"/>
      <c r="EF3506" s="368"/>
      <c r="EG3506" s="367"/>
      <c r="EH3506" s="367"/>
      <c r="EI3506" s="367"/>
    </row>
    <row r="3507" spans="133:139">
      <c r="EC3507" s="366" t="str">
        <f t="shared" si="331"/>
        <v>_</v>
      </c>
      <c r="ED3507" s="367"/>
      <c r="EE3507" s="367"/>
      <c r="EF3507" s="368"/>
      <c r="EG3507" s="367"/>
      <c r="EH3507" s="367"/>
      <c r="EI3507" s="367"/>
    </row>
    <row r="3508" spans="133:139">
      <c r="EC3508" s="366" t="str">
        <f t="shared" si="331"/>
        <v>_</v>
      </c>
      <c r="ED3508" s="367"/>
      <c r="EE3508" s="367"/>
      <c r="EF3508" s="368"/>
      <c r="EG3508" s="367"/>
      <c r="EH3508" s="367"/>
      <c r="EI3508" s="367"/>
    </row>
    <row r="3509" spans="133:139">
      <c r="EC3509" s="366" t="str">
        <f t="shared" si="331"/>
        <v>_</v>
      </c>
      <c r="ED3509" s="367"/>
      <c r="EE3509" s="367"/>
      <c r="EF3509" s="368"/>
      <c r="EG3509" s="367"/>
      <c r="EH3509" s="367"/>
      <c r="EI3509" s="367"/>
    </row>
    <row r="3510" spans="133:139">
      <c r="EC3510" s="366" t="str">
        <f t="shared" si="331"/>
        <v>_</v>
      </c>
      <c r="ED3510" s="367"/>
      <c r="EE3510" s="367"/>
      <c r="EF3510" s="368"/>
      <c r="EG3510" s="367"/>
      <c r="EH3510" s="367"/>
      <c r="EI3510" s="367"/>
    </row>
    <row r="3511" spans="133:139">
      <c r="EC3511" s="366" t="str">
        <f t="shared" si="331"/>
        <v>_</v>
      </c>
      <c r="ED3511" s="367"/>
      <c r="EE3511" s="367"/>
      <c r="EF3511" s="368"/>
      <c r="EG3511" s="367"/>
      <c r="EH3511" s="367"/>
      <c r="EI3511" s="367"/>
    </row>
    <row r="3512" spans="133:139">
      <c r="EC3512" s="366" t="str">
        <f t="shared" si="331"/>
        <v>_</v>
      </c>
      <c r="ED3512" s="367"/>
      <c r="EE3512" s="367"/>
      <c r="EF3512" s="368"/>
      <c r="EG3512" s="367"/>
      <c r="EH3512" s="367"/>
      <c r="EI3512" s="367"/>
    </row>
    <row r="3513" spans="133:139">
      <c r="EC3513" s="366" t="str">
        <f t="shared" si="331"/>
        <v>_</v>
      </c>
      <c r="ED3513" s="367"/>
      <c r="EE3513" s="367"/>
      <c r="EF3513" s="368"/>
      <c r="EG3513" s="367"/>
      <c r="EH3513" s="367"/>
      <c r="EI3513" s="367"/>
    </row>
    <row r="3514" spans="133:139">
      <c r="EC3514" s="366" t="str">
        <f t="shared" si="331"/>
        <v>_</v>
      </c>
      <c r="ED3514" s="367"/>
      <c r="EE3514" s="367"/>
      <c r="EF3514" s="368"/>
      <c r="EG3514" s="367"/>
      <c r="EH3514" s="367"/>
      <c r="EI3514" s="367"/>
    </row>
    <row r="3515" spans="133:139">
      <c r="EC3515" s="366" t="str">
        <f t="shared" si="331"/>
        <v>_</v>
      </c>
      <c r="ED3515" s="367"/>
      <c r="EE3515" s="367"/>
      <c r="EF3515" s="368"/>
      <c r="EG3515" s="367"/>
      <c r="EH3515" s="367"/>
      <c r="EI3515" s="367"/>
    </row>
    <row r="3516" spans="133:139">
      <c r="EC3516" s="366" t="str">
        <f t="shared" si="331"/>
        <v>_</v>
      </c>
      <c r="ED3516" s="367"/>
      <c r="EE3516" s="367"/>
      <c r="EF3516" s="368"/>
      <c r="EG3516" s="367"/>
      <c r="EH3516" s="367"/>
      <c r="EI3516" s="367"/>
    </row>
    <row r="3517" spans="133:139">
      <c r="EC3517" s="366" t="str">
        <f t="shared" si="331"/>
        <v>_</v>
      </c>
      <c r="ED3517" s="367"/>
      <c r="EE3517" s="367"/>
      <c r="EF3517" s="368"/>
      <c r="EG3517" s="367"/>
      <c r="EH3517" s="367"/>
      <c r="EI3517" s="367"/>
    </row>
    <row r="3518" spans="133:139">
      <c r="EC3518" s="366" t="str">
        <f t="shared" si="331"/>
        <v>_</v>
      </c>
      <c r="ED3518" s="367"/>
      <c r="EE3518" s="367"/>
      <c r="EF3518" s="368"/>
      <c r="EG3518" s="367"/>
      <c r="EH3518" s="367"/>
      <c r="EI3518" s="367"/>
    </row>
    <row r="3519" spans="133:139">
      <c r="EC3519" s="366" t="str">
        <f t="shared" si="331"/>
        <v>_</v>
      </c>
      <c r="ED3519" s="367"/>
      <c r="EE3519" s="367"/>
      <c r="EF3519" s="368"/>
      <c r="EG3519" s="367"/>
      <c r="EH3519" s="367"/>
      <c r="EI3519" s="367"/>
    </row>
    <row r="3520" spans="133:139">
      <c r="EC3520" s="366" t="str">
        <f t="shared" si="331"/>
        <v>_</v>
      </c>
      <c r="ED3520" s="367"/>
      <c r="EE3520" s="367"/>
      <c r="EF3520" s="368"/>
      <c r="EG3520" s="367"/>
      <c r="EH3520" s="367"/>
      <c r="EI3520" s="367"/>
    </row>
    <row r="3521" spans="133:139">
      <c r="EC3521" s="366" t="str">
        <f t="shared" si="331"/>
        <v>_</v>
      </c>
      <c r="ED3521" s="367"/>
      <c r="EE3521" s="367"/>
      <c r="EF3521" s="368"/>
      <c r="EG3521" s="367"/>
      <c r="EH3521" s="367"/>
      <c r="EI3521" s="367"/>
    </row>
    <row r="3522" spans="133:139">
      <c r="EC3522" s="366" t="str">
        <f t="shared" si="331"/>
        <v>_</v>
      </c>
      <c r="ED3522" s="367"/>
      <c r="EE3522" s="367"/>
      <c r="EF3522" s="368"/>
      <c r="EG3522" s="367"/>
      <c r="EH3522" s="367"/>
      <c r="EI3522" s="367"/>
    </row>
    <row r="3523" spans="133:139">
      <c r="EC3523" s="366" t="str">
        <f t="shared" si="331"/>
        <v>_</v>
      </c>
      <c r="ED3523" s="367"/>
      <c r="EE3523" s="367"/>
      <c r="EF3523" s="368"/>
      <c r="EG3523" s="367"/>
      <c r="EH3523" s="367"/>
      <c r="EI3523" s="367"/>
    </row>
    <row r="3524" spans="133:139">
      <c r="EC3524" s="366" t="str">
        <f t="shared" si="331"/>
        <v>_</v>
      </c>
      <c r="ED3524" s="367"/>
      <c r="EE3524" s="367"/>
      <c r="EF3524" s="368"/>
      <c r="EG3524" s="367"/>
      <c r="EH3524" s="367"/>
      <c r="EI3524" s="367"/>
    </row>
    <row r="3525" spans="133:139">
      <c r="EC3525" s="366" t="str">
        <f t="shared" si="331"/>
        <v>_</v>
      </c>
      <c r="ED3525" s="367"/>
      <c r="EE3525" s="367"/>
      <c r="EF3525" s="368"/>
      <c r="EG3525" s="367"/>
      <c r="EH3525" s="367"/>
      <c r="EI3525" s="367"/>
    </row>
    <row r="3526" spans="133:139">
      <c r="EC3526" s="366" t="str">
        <f t="shared" si="331"/>
        <v>_</v>
      </c>
      <c r="ED3526" s="367"/>
      <c r="EE3526" s="367"/>
      <c r="EF3526" s="368"/>
      <c r="EG3526" s="367"/>
      <c r="EH3526" s="367"/>
      <c r="EI3526" s="367"/>
    </row>
    <row r="3527" spans="133:139">
      <c r="EC3527" s="366" t="str">
        <f t="shared" si="331"/>
        <v>_</v>
      </c>
      <c r="ED3527" s="367"/>
      <c r="EE3527" s="367"/>
      <c r="EF3527" s="368"/>
      <c r="EG3527" s="367"/>
      <c r="EH3527" s="367"/>
      <c r="EI3527" s="367"/>
    </row>
    <row r="3528" spans="133:139">
      <c r="EC3528" s="366" t="str">
        <f t="shared" si="331"/>
        <v>_</v>
      </c>
      <c r="ED3528" s="367"/>
      <c r="EE3528" s="367"/>
      <c r="EF3528" s="368"/>
      <c r="EG3528" s="367"/>
      <c r="EH3528" s="367"/>
      <c r="EI3528" s="367"/>
    </row>
    <row r="3529" spans="133:139">
      <c r="EC3529" s="366" t="str">
        <f t="shared" si="331"/>
        <v>_</v>
      </c>
      <c r="ED3529" s="367"/>
      <c r="EE3529" s="367"/>
      <c r="EF3529" s="368"/>
      <c r="EG3529" s="367"/>
      <c r="EH3529" s="367"/>
      <c r="EI3529" s="367"/>
    </row>
    <row r="3530" spans="133:139">
      <c r="EC3530" s="366" t="str">
        <f t="shared" si="331"/>
        <v>_</v>
      </c>
      <c r="ED3530" s="367"/>
      <c r="EE3530" s="367"/>
      <c r="EF3530" s="368"/>
      <c r="EG3530" s="367"/>
      <c r="EH3530" s="367"/>
      <c r="EI3530" s="367"/>
    </row>
    <row r="3531" spans="133:139">
      <c r="EC3531" s="366" t="str">
        <f t="shared" si="331"/>
        <v>_</v>
      </c>
      <c r="ED3531" s="367"/>
      <c r="EE3531" s="367"/>
      <c r="EF3531" s="368"/>
      <c r="EG3531" s="367"/>
      <c r="EH3531" s="367"/>
      <c r="EI3531" s="367"/>
    </row>
    <row r="3532" spans="133:139">
      <c r="EC3532" s="366" t="str">
        <f t="shared" si="331"/>
        <v>_</v>
      </c>
      <c r="ED3532" s="367"/>
      <c r="EE3532" s="367"/>
      <c r="EF3532" s="368"/>
      <c r="EG3532" s="367"/>
      <c r="EH3532" s="367"/>
      <c r="EI3532" s="367"/>
    </row>
    <row r="3533" spans="133:139">
      <c r="EC3533" s="366" t="str">
        <f t="shared" si="331"/>
        <v>_</v>
      </c>
      <c r="ED3533" s="367"/>
      <c r="EE3533" s="367"/>
      <c r="EF3533" s="368"/>
      <c r="EG3533" s="367"/>
      <c r="EH3533" s="367"/>
      <c r="EI3533" s="367"/>
    </row>
    <row r="3534" spans="133:139">
      <c r="EC3534" s="366" t="str">
        <f t="shared" si="331"/>
        <v>_</v>
      </c>
      <c r="ED3534" s="367"/>
      <c r="EE3534" s="367"/>
      <c r="EF3534" s="368"/>
      <c r="EG3534" s="367"/>
      <c r="EH3534" s="367"/>
      <c r="EI3534" s="367"/>
    </row>
    <row r="3535" spans="133:139">
      <c r="EC3535" s="366" t="str">
        <f t="shared" si="331"/>
        <v>_</v>
      </c>
      <c r="ED3535" s="367"/>
      <c r="EE3535" s="367"/>
      <c r="EF3535" s="368"/>
      <c r="EG3535" s="367"/>
      <c r="EH3535" s="367"/>
      <c r="EI3535" s="367"/>
    </row>
    <row r="3536" spans="133:139">
      <c r="EC3536" s="366" t="str">
        <f t="shared" si="331"/>
        <v>_</v>
      </c>
      <c r="ED3536" s="367"/>
      <c r="EE3536" s="367"/>
      <c r="EF3536" s="368"/>
      <c r="EG3536" s="367"/>
      <c r="EH3536" s="367"/>
      <c r="EI3536" s="367"/>
    </row>
    <row r="3537" spans="133:139">
      <c r="EC3537" s="366" t="str">
        <f t="shared" si="331"/>
        <v>_</v>
      </c>
      <c r="ED3537" s="367"/>
      <c r="EE3537" s="367"/>
      <c r="EF3537" s="368"/>
      <c r="EG3537" s="367"/>
      <c r="EH3537" s="367"/>
      <c r="EI3537" s="367"/>
    </row>
    <row r="3538" spans="133:139">
      <c r="EC3538" s="366" t="str">
        <f t="shared" si="331"/>
        <v>_</v>
      </c>
      <c r="ED3538" s="367"/>
      <c r="EE3538" s="367"/>
      <c r="EF3538" s="368"/>
      <c r="EG3538" s="367"/>
      <c r="EH3538" s="367"/>
      <c r="EI3538" s="367"/>
    </row>
    <row r="3539" spans="133:139">
      <c r="EC3539" s="366" t="str">
        <f t="shared" si="331"/>
        <v>_</v>
      </c>
      <c r="ED3539" s="367"/>
      <c r="EE3539" s="367"/>
      <c r="EF3539" s="368"/>
      <c r="EG3539" s="367"/>
      <c r="EH3539" s="367"/>
      <c r="EI3539" s="367"/>
    </row>
    <row r="3540" spans="133:139">
      <c r="EC3540" s="366" t="str">
        <f t="shared" si="331"/>
        <v>_</v>
      </c>
      <c r="ED3540" s="367"/>
      <c r="EE3540" s="367"/>
      <c r="EF3540" s="368"/>
      <c r="EG3540" s="367"/>
      <c r="EH3540" s="367"/>
      <c r="EI3540" s="367"/>
    </row>
    <row r="3541" spans="133:139">
      <c r="EC3541" s="366" t="str">
        <f t="shared" si="331"/>
        <v>_</v>
      </c>
      <c r="ED3541" s="367"/>
      <c r="EE3541" s="367"/>
      <c r="EF3541" s="368"/>
      <c r="EG3541" s="367"/>
      <c r="EH3541" s="367"/>
      <c r="EI3541" s="367"/>
    </row>
    <row r="3542" spans="133:139">
      <c r="EC3542" s="366" t="str">
        <f t="shared" si="331"/>
        <v>_</v>
      </c>
      <c r="ED3542" s="367"/>
      <c r="EE3542" s="367"/>
      <c r="EF3542" s="368"/>
      <c r="EG3542" s="367"/>
      <c r="EH3542" s="367"/>
      <c r="EI3542" s="367"/>
    </row>
    <row r="3543" spans="133:139">
      <c r="EC3543" s="366" t="str">
        <f t="shared" ref="EC3543:EC3606" si="332">B3543&amp;"_"&amp;C3543</f>
        <v>_</v>
      </c>
      <c r="ED3543" s="367"/>
      <c r="EE3543" s="367"/>
      <c r="EF3543" s="368"/>
      <c r="EG3543" s="367"/>
      <c r="EH3543" s="367"/>
      <c r="EI3543" s="367"/>
    </row>
    <row r="3544" spans="133:139">
      <c r="EC3544" s="366" t="str">
        <f t="shared" si="332"/>
        <v>_</v>
      </c>
      <c r="ED3544" s="367"/>
      <c r="EE3544" s="367"/>
      <c r="EF3544" s="368"/>
      <c r="EG3544" s="367"/>
      <c r="EH3544" s="367"/>
      <c r="EI3544" s="367"/>
    </row>
    <row r="3545" spans="133:139">
      <c r="EC3545" s="366" t="str">
        <f t="shared" si="332"/>
        <v>_</v>
      </c>
      <c r="ED3545" s="367"/>
      <c r="EE3545" s="367"/>
      <c r="EF3545" s="368"/>
      <c r="EG3545" s="367"/>
      <c r="EH3545" s="367"/>
      <c r="EI3545" s="367"/>
    </row>
    <row r="3546" spans="133:139">
      <c r="EC3546" s="366" t="str">
        <f t="shared" si="332"/>
        <v>_</v>
      </c>
      <c r="ED3546" s="367"/>
      <c r="EE3546" s="367"/>
      <c r="EF3546" s="368"/>
      <c r="EG3546" s="367"/>
      <c r="EH3546" s="367"/>
      <c r="EI3546" s="367"/>
    </row>
    <row r="3547" spans="133:139">
      <c r="EC3547" s="366" t="str">
        <f t="shared" si="332"/>
        <v>_</v>
      </c>
      <c r="ED3547" s="367"/>
      <c r="EE3547" s="367"/>
      <c r="EF3547" s="368"/>
      <c r="EG3547" s="367"/>
      <c r="EH3547" s="367"/>
      <c r="EI3547" s="367"/>
    </row>
    <row r="3548" spans="133:139">
      <c r="EC3548" s="366" t="str">
        <f t="shared" si="332"/>
        <v>_</v>
      </c>
      <c r="ED3548" s="367"/>
      <c r="EE3548" s="367"/>
      <c r="EF3548" s="368"/>
      <c r="EG3548" s="367"/>
      <c r="EH3548" s="367"/>
      <c r="EI3548" s="367"/>
    </row>
    <row r="3549" spans="133:139">
      <c r="EC3549" s="366" t="str">
        <f t="shared" si="332"/>
        <v>_</v>
      </c>
      <c r="ED3549" s="367"/>
      <c r="EE3549" s="367"/>
      <c r="EF3549" s="368"/>
      <c r="EG3549" s="367"/>
      <c r="EH3549" s="367"/>
      <c r="EI3549" s="367"/>
    </row>
    <row r="3550" spans="133:139">
      <c r="EC3550" s="366" t="str">
        <f t="shared" si="332"/>
        <v>_</v>
      </c>
      <c r="ED3550" s="367"/>
      <c r="EE3550" s="367"/>
      <c r="EF3550" s="368"/>
      <c r="EG3550" s="367"/>
      <c r="EH3550" s="367"/>
      <c r="EI3550" s="367"/>
    </row>
    <row r="3551" spans="133:139">
      <c r="EC3551" s="366" t="str">
        <f t="shared" si="332"/>
        <v>_</v>
      </c>
      <c r="ED3551" s="367"/>
      <c r="EE3551" s="367"/>
      <c r="EF3551" s="368"/>
      <c r="EG3551" s="367"/>
      <c r="EH3551" s="367"/>
      <c r="EI3551" s="367"/>
    </row>
    <row r="3552" spans="133:139">
      <c r="EC3552" s="366" t="str">
        <f t="shared" si="332"/>
        <v>_</v>
      </c>
      <c r="ED3552" s="367"/>
      <c r="EE3552" s="367"/>
      <c r="EF3552" s="368"/>
      <c r="EG3552" s="367"/>
      <c r="EH3552" s="367"/>
      <c r="EI3552" s="367"/>
    </row>
    <row r="3553" spans="133:139">
      <c r="EC3553" s="366" t="str">
        <f t="shared" si="332"/>
        <v>_</v>
      </c>
      <c r="ED3553" s="367"/>
      <c r="EE3553" s="367"/>
      <c r="EF3553" s="368"/>
      <c r="EG3553" s="367"/>
      <c r="EH3553" s="367"/>
      <c r="EI3553" s="367"/>
    </row>
    <row r="3554" spans="133:139">
      <c r="EC3554" s="366" t="str">
        <f t="shared" si="332"/>
        <v>_</v>
      </c>
      <c r="ED3554" s="367"/>
      <c r="EE3554" s="367"/>
      <c r="EF3554" s="368"/>
      <c r="EG3554" s="367"/>
      <c r="EH3554" s="367"/>
      <c r="EI3554" s="367"/>
    </row>
    <row r="3555" spans="133:139">
      <c r="EC3555" s="366" t="str">
        <f t="shared" si="332"/>
        <v>_</v>
      </c>
      <c r="ED3555" s="367"/>
      <c r="EE3555" s="367"/>
      <c r="EF3555" s="368"/>
      <c r="EG3555" s="367"/>
      <c r="EH3555" s="367"/>
      <c r="EI3555" s="367"/>
    </row>
    <row r="3556" spans="133:139">
      <c r="EC3556" s="366" t="str">
        <f t="shared" si="332"/>
        <v>_</v>
      </c>
      <c r="ED3556" s="367"/>
      <c r="EE3556" s="367"/>
      <c r="EF3556" s="368"/>
      <c r="EG3556" s="367"/>
      <c r="EH3556" s="367"/>
      <c r="EI3556" s="367"/>
    </row>
    <row r="3557" spans="133:139">
      <c r="EC3557" s="366" t="str">
        <f t="shared" si="332"/>
        <v>_</v>
      </c>
      <c r="ED3557" s="367"/>
      <c r="EE3557" s="367"/>
      <c r="EF3557" s="368"/>
      <c r="EG3557" s="367"/>
      <c r="EH3557" s="367"/>
      <c r="EI3557" s="367"/>
    </row>
    <row r="3558" spans="133:139">
      <c r="EC3558" s="366" t="str">
        <f t="shared" si="332"/>
        <v>_</v>
      </c>
      <c r="ED3558" s="367"/>
      <c r="EE3558" s="367"/>
      <c r="EF3558" s="368"/>
      <c r="EG3558" s="367"/>
      <c r="EH3558" s="367"/>
      <c r="EI3558" s="367"/>
    </row>
    <row r="3559" spans="133:139">
      <c r="EC3559" s="366" t="str">
        <f t="shared" si="332"/>
        <v>_</v>
      </c>
      <c r="ED3559" s="367"/>
      <c r="EE3559" s="367"/>
      <c r="EF3559" s="368"/>
      <c r="EG3559" s="367"/>
      <c r="EH3559" s="367"/>
      <c r="EI3559" s="367"/>
    </row>
    <row r="3560" spans="133:139">
      <c r="EC3560" s="366" t="str">
        <f t="shared" si="332"/>
        <v>_</v>
      </c>
      <c r="ED3560" s="367"/>
      <c r="EE3560" s="367"/>
      <c r="EF3560" s="368"/>
      <c r="EG3560" s="367"/>
      <c r="EH3560" s="367"/>
      <c r="EI3560" s="367"/>
    </row>
    <row r="3561" spans="133:139">
      <c r="EC3561" s="366" t="str">
        <f t="shared" si="332"/>
        <v>_</v>
      </c>
      <c r="ED3561" s="367"/>
      <c r="EE3561" s="367"/>
      <c r="EF3561" s="368"/>
      <c r="EG3561" s="367"/>
      <c r="EH3561" s="367"/>
      <c r="EI3561" s="367"/>
    </row>
    <row r="3562" spans="133:139">
      <c r="EC3562" s="366" t="str">
        <f t="shared" si="332"/>
        <v>_</v>
      </c>
      <c r="ED3562" s="367"/>
      <c r="EE3562" s="367"/>
      <c r="EF3562" s="368"/>
      <c r="EG3562" s="367"/>
      <c r="EH3562" s="367"/>
      <c r="EI3562" s="367"/>
    </row>
    <row r="3563" spans="133:139">
      <c r="EC3563" s="366" t="str">
        <f t="shared" si="332"/>
        <v>_</v>
      </c>
      <c r="ED3563" s="367"/>
      <c r="EE3563" s="367"/>
      <c r="EF3563" s="368"/>
      <c r="EG3563" s="367"/>
      <c r="EH3563" s="367"/>
      <c r="EI3563" s="367"/>
    </row>
    <row r="3564" spans="133:139">
      <c r="EC3564" s="366" t="str">
        <f t="shared" si="332"/>
        <v>_</v>
      </c>
      <c r="ED3564" s="367"/>
      <c r="EE3564" s="367"/>
      <c r="EF3564" s="368"/>
      <c r="EG3564" s="367"/>
      <c r="EH3564" s="367"/>
      <c r="EI3564" s="367"/>
    </row>
    <row r="3565" spans="133:139">
      <c r="EC3565" s="366" t="str">
        <f t="shared" si="332"/>
        <v>_</v>
      </c>
      <c r="ED3565" s="367"/>
      <c r="EE3565" s="367"/>
      <c r="EF3565" s="368"/>
      <c r="EG3565" s="367"/>
      <c r="EH3565" s="367"/>
      <c r="EI3565" s="367"/>
    </row>
    <row r="3566" spans="133:139">
      <c r="EC3566" s="366" t="str">
        <f t="shared" si="332"/>
        <v>_</v>
      </c>
      <c r="ED3566" s="367"/>
      <c r="EE3566" s="367"/>
      <c r="EF3566" s="368"/>
      <c r="EG3566" s="367"/>
      <c r="EH3566" s="367"/>
      <c r="EI3566" s="367"/>
    </row>
    <row r="3567" spans="133:139">
      <c r="EC3567" s="366" t="str">
        <f t="shared" si="332"/>
        <v>_</v>
      </c>
      <c r="ED3567" s="367"/>
      <c r="EE3567" s="367"/>
      <c r="EF3567" s="368"/>
      <c r="EG3567" s="367"/>
      <c r="EH3567" s="367"/>
      <c r="EI3567" s="367"/>
    </row>
    <row r="3568" spans="133:139">
      <c r="EC3568" s="366" t="str">
        <f t="shared" si="332"/>
        <v>_</v>
      </c>
      <c r="ED3568" s="367"/>
      <c r="EE3568" s="367"/>
      <c r="EF3568" s="368"/>
      <c r="EG3568" s="367"/>
      <c r="EH3568" s="367"/>
      <c r="EI3568" s="367"/>
    </row>
    <row r="3569" spans="133:139">
      <c r="EC3569" s="366" t="str">
        <f t="shared" si="332"/>
        <v>_</v>
      </c>
      <c r="ED3569" s="367"/>
      <c r="EE3569" s="367"/>
      <c r="EF3569" s="368"/>
      <c r="EG3569" s="367"/>
      <c r="EH3569" s="367"/>
      <c r="EI3569" s="367"/>
    </row>
    <row r="3570" spans="133:139">
      <c r="EC3570" s="366" t="str">
        <f t="shared" si="332"/>
        <v>_</v>
      </c>
      <c r="ED3570" s="367"/>
      <c r="EE3570" s="367"/>
      <c r="EF3570" s="368"/>
      <c r="EG3570" s="367"/>
      <c r="EH3570" s="367"/>
      <c r="EI3570" s="367"/>
    </row>
    <row r="3571" spans="133:139">
      <c r="EC3571" s="366" t="str">
        <f t="shared" si="332"/>
        <v>_</v>
      </c>
      <c r="ED3571" s="367"/>
      <c r="EE3571" s="367"/>
      <c r="EF3571" s="368"/>
      <c r="EG3571" s="367"/>
      <c r="EH3571" s="367"/>
      <c r="EI3571" s="367"/>
    </row>
    <row r="3572" spans="133:139">
      <c r="EC3572" s="366" t="str">
        <f t="shared" si="332"/>
        <v>_</v>
      </c>
      <c r="ED3572" s="367"/>
      <c r="EE3572" s="367"/>
      <c r="EF3572" s="368"/>
      <c r="EG3572" s="367"/>
      <c r="EH3572" s="367"/>
      <c r="EI3572" s="367"/>
    </row>
    <row r="3573" spans="133:139">
      <c r="EC3573" s="366" t="str">
        <f t="shared" si="332"/>
        <v>_</v>
      </c>
      <c r="ED3573" s="367"/>
      <c r="EE3573" s="367"/>
      <c r="EF3573" s="368"/>
      <c r="EG3573" s="367"/>
      <c r="EH3573" s="367"/>
      <c r="EI3573" s="367"/>
    </row>
    <row r="3574" spans="133:139">
      <c r="EC3574" s="366" t="str">
        <f t="shared" si="332"/>
        <v>_</v>
      </c>
      <c r="ED3574" s="367"/>
      <c r="EE3574" s="367"/>
      <c r="EF3574" s="368"/>
      <c r="EG3574" s="367"/>
      <c r="EH3574" s="367"/>
      <c r="EI3574" s="367"/>
    </row>
    <row r="3575" spans="133:139">
      <c r="EC3575" s="366" t="str">
        <f t="shared" si="332"/>
        <v>_</v>
      </c>
      <c r="ED3575" s="367"/>
      <c r="EE3575" s="367"/>
      <c r="EF3575" s="368"/>
      <c r="EG3575" s="367"/>
      <c r="EH3575" s="367"/>
      <c r="EI3575" s="367"/>
    </row>
    <row r="3576" spans="133:139">
      <c r="EC3576" s="366" t="str">
        <f t="shared" si="332"/>
        <v>_</v>
      </c>
      <c r="ED3576" s="367"/>
      <c r="EE3576" s="367"/>
      <c r="EF3576" s="368"/>
      <c r="EG3576" s="367"/>
      <c r="EH3576" s="367"/>
      <c r="EI3576" s="367"/>
    </row>
    <row r="3577" spans="133:139">
      <c r="EC3577" s="366" t="str">
        <f t="shared" si="332"/>
        <v>_</v>
      </c>
      <c r="ED3577" s="367"/>
      <c r="EE3577" s="367"/>
      <c r="EF3577" s="368"/>
      <c r="EG3577" s="367"/>
      <c r="EH3577" s="367"/>
      <c r="EI3577" s="367"/>
    </row>
    <row r="3578" spans="133:139">
      <c r="EC3578" s="366" t="str">
        <f t="shared" si="332"/>
        <v>_</v>
      </c>
      <c r="ED3578" s="367"/>
      <c r="EE3578" s="367"/>
      <c r="EF3578" s="368"/>
      <c r="EG3578" s="367"/>
      <c r="EH3578" s="367"/>
      <c r="EI3578" s="367"/>
    </row>
    <row r="3579" spans="133:139">
      <c r="EC3579" s="366" t="str">
        <f t="shared" si="332"/>
        <v>_</v>
      </c>
      <c r="ED3579" s="367"/>
      <c r="EE3579" s="367"/>
      <c r="EF3579" s="368"/>
      <c r="EG3579" s="367"/>
      <c r="EH3579" s="367"/>
      <c r="EI3579" s="367"/>
    </row>
    <row r="3580" spans="133:139">
      <c r="EC3580" s="366" t="str">
        <f t="shared" si="332"/>
        <v>_</v>
      </c>
      <c r="ED3580" s="367"/>
      <c r="EE3580" s="367"/>
      <c r="EF3580" s="368"/>
      <c r="EG3580" s="367"/>
      <c r="EH3580" s="367"/>
      <c r="EI3580" s="367"/>
    </row>
    <row r="3581" spans="133:139">
      <c r="EC3581" s="366" t="str">
        <f t="shared" si="332"/>
        <v>_</v>
      </c>
      <c r="ED3581" s="367"/>
      <c r="EE3581" s="367"/>
      <c r="EF3581" s="368"/>
      <c r="EG3581" s="367"/>
      <c r="EH3581" s="367"/>
      <c r="EI3581" s="367"/>
    </row>
    <row r="3582" spans="133:139">
      <c r="EC3582" s="366" t="str">
        <f t="shared" si="332"/>
        <v>_</v>
      </c>
      <c r="ED3582" s="367"/>
      <c r="EE3582" s="367"/>
      <c r="EF3582" s="368"/>
      <c r="EG3582" s="367"/>
      <c r="EH3582" s="367"/>
      <c r="EI3582" s="367"/>
    </row>
    <row r="3583" spans="133:139">
      <c r="EC3583" s="366" t="str">
        <f t="shared" si="332"/>
        <v>_</v>
      </c>
      <c r="ED3583" s="367"/>
      <c r="EE3583" s="367"/>
      <c r="EF3583" s="368"/>
      <c r="EG3583" s="367"/>
      <c r="EH3583" s="367"/>
      <c r="EI3583" s="367"/>
    </row>
    <row r="3584" spans="133:139">
      <c r="EC3584" s="366" t="str">
        <f t="shared" si="332"/>
        <v>_</v>
      </c>
      <c r="ED3584" s="367"/>
      <c r="EE3584" s="367"/>
      <c r="EF3584" s="368"/>
      <c r="EG3584" s="367"/>
      <c r="EH3584" s="367"/>
      <c r="EI3584" s="367"/>
    </row>
    <row r="3585" spans="133:139">
      <c r="EC3585" s="366" t="str">
        <f t="shared" si="332"/>
        <v>_</v>
      </c>
      <c r="ED3585" s="367"/>
      <c r="EE3585" s="367"/>
      <c r="EF3585" s="368"/>
      <c r="EG3585" s="367"/>
      <c r="EH3585" s="367"/>
      <c r="EI3585" s="367"/>
    </row>
    <row r="3586" spans="133:139">
      <c r="EC3586" s="366" t="str">
        <f t="shared" si="332"/>
        <v>_</v>
      </c>
      <c r="ED3586" s="367"/>
      <c r="EE3586" s="367"/>
      <c r="EF3586" s="368"/>
      <c r="EG3586" s="367"/>
      <c r="EH3586" s="367"/>
      <c r="EI3586" s="367"/>
    </row>
    <row r="3587" spans="133:139">
      <c r="EC3587" s="366" t="str">
        <f t="shared" si="332"/>
        <v>_</v>
      </c>
      <c r="ED3587" s="367"/>
      <c r="EE3587" s="367"/>
      <c r="EF3587" s="368"/>
      <c r="EG3587" s="367"/>
      <c r="EH3587" s="367"/>
      <c r="EI3587" s="367"/>
    </row>
    <row r="3588" spans="133:139">
      <c r="EC3588" s="366" t="str">
        <f t="shared" si="332"/>
        <v>_</v>
      </c>
      <c r="ED3588" s="367"/>
      <c r="EE3588" s="367"/>
      <c r="EF3588" s="368"/>
      <c r="EG3588" s="367"/>
      <c r="EH3588" s="367"/>
      <c r="EI3588" s="367"/>
    </row>
    <row r="3589" spans="133:139">
      <c r="EC3589" s="366" t="str">
        <f t="shared" si="332"/>
        <v>_</v>
      </c>
      <c r="ED3589" s="367"/>
      <c r="EE3589" s="367"/>
      <c r="EF3589" s="368"/>
      <c r="EG3589" s="367"/>
      <c r="EH3589" s="367"/>
      <c r="EI3589" s="367"/>
    </row>
    <row r="3590" spans="133:139">
      <c r="EC3590" s="366" t="str">
        <f t="shared" si="332"/>
        <v>_</v>
      </c>
      <c r="ED3590" s="367"/>
      <c r="EE3590" s="367"/>
      <c r="EF3590" s="368"/>
      <c r="EG3590" s="367"/>
      <c r="EH3590" s="367"/>
      <c r="EI3590" s="367"/>
    </row>
    <row r="3591" spans="133:139">
      <c r="EC3591" s="366" t="str">
        <f t="shared" si="332"/>
        <v>_</v>
      </c>
      <c r="ED3591" s="367"/>
      <c r="EE3591" s="367"/>
      <c r="EF3591" s="368"/>
      <c r="EG3591" s="367"/>
      <c r="EH3591" s="367"/>
      <c r="EI3591" s="367"/>
    </row>
    <row r="3592" spans="133:139">
      <c r="EC3592" s="366" t="str">
        <f t="shared" si="332"/>
        <v>_</v>
      </c>
      <c r="ED3592" s="367"/>
      <c r="EE3592" s="367"/>
      <c r="EF3592" s="368"/>
      <c r="EG3592" s="367"/>
      <c r="EH3592" s="367"/>
      <c r="EI3592" s="367"/>
    </row>
    <row r="3593" spans="133:139">
      <c r="EC3593" s="366" t="str">
        <f t="shared" si="332"/>
        <v>_</v>
      </c>
      <c r="ED3593" s="367"/>
      <c r="EE3593" s="367"/>
      <c r="EF3593" s="368"/>
      <c r="EG3593" s="367"/>
      <c r="EH3593" s="367"/>
      <c r="EI3593" s="367"/>
    </row>
    <row r="3594" spans="133:139">
      <c r="EC3594" s="366" t="str">
        <f t="shared" si="332"/>
        <v>_</v>
      </c>
      <c r="ED3594" s="367"/>
      <c r="EE3594" s="367"/>
      <c r="EF3594" s="368"/>
      <c r="EG3594" s="367"/>
      <c r="EH3594" s="367"/>
      <c r="EI3594" s="367"/>
    </row>
    <row r="3595" spans="133:139">
      <c r="EC3595" s="366" t="str">
        <f t="shared" si="332"/>
        <v>_</v>
      </c>
      <c r="ED3595" s="367"/>
      <c r="EE3595" s="367"/>
      <c r="EF3595" s="368"/>
      <c r="EG3595" s="367"/>
      <c r="EH3595" s="367"/>
      <c r="EI3595" s="367"/>
    </row>
    <row r="3596" spans="133:139">
      <c r="EC3596" s="366" t="str">
        <f t="shared" si="332"/>
        <v>_</v>
      </c>
      <c r="ED3596" s="367"/>
      <c r="EE3596" s="367"/>
      <c r="EF3596" s="368"/>
      <c r="EG3596" s="367"/>
      <c r="EH3596" s="367"/>
      <c r="EI3596" s="367"/>
    </row>
    <row r="3597" spans="133:139">
      <c r="EC3597" s="366" t="str">
        <f t="shared" si="332"/>
        <v>_</v>
      </c>
      <c r="ED3597" s="367"/>
      <c r="EE3597" s="367"/>
      <c r="EF3597" s="368"/>
      <c r="EG3597" s="367"/>
      <c r="EH3597" s="367"/>
      <c r="EI3597" s="367"/>
    </row>
    <row r="3598" spans="133:139">
      <c r="EC3598" s="366" t="str">
        <f t="shared" si="332"/>
        <v>_</v>
      </c>
      <c r="ED3598" s="367"/>
      <c r="EE3598" s="367"/>
      <c r="EF3598" s="368"/>
      <c r="EG3598" s="367"/>
      <c r="EH3598" s="367"/>
      <c r="EI3598" s="367"/>
    </row>
    <row r="3599" spans="133:139">
      <c r="EC3599" s="366" t="str">
        <f t="shared" si="332"/>
        <v>_</v>
      </c>
      <c r="ED3599" s="367"/>
      <c r="EE3599" s="367"/>
      <c r="EF3599" s="368"/>
      <c r="EG3599" s="367"/>
      <c r="EH3599" s="367"/>
      <c r="EI3599" s="367"/>
    </row>
    <row r="3600" spans="133:139">
      <c r="EC3600" s="366" t="str">
        <f t="shared" si="332"/>
        <v>_</v>
      </c>
      <c r="ED3600" s="367"/>
      <c r="EE3600" s="367"/>
      <c r="EF3600" s="368"/>
      <c r="EG3600" s="367"/>
      <c r="EH3600" s="367"/>
      <c r="EI3600" s="367"/>
    </row>
    <row r="3601" spans="133:139">
      <c r="EC3601" s="366" t="str">
        <f t="shared" si="332"/>
        <v>_</v>
      </c>
      <c r="ED3601" s="367"/>
      <c r="EE3601" s="367"/>
      <c r="EF3601" s="368"/>
      <c r="EG3601" s="367"/>
      <c r="EH3601" s="367"/>
      <c r="EI3601" s="367"/>
    </row>
    <row r="3602" spans="133:139">
      <c r="EC3602" s="366" t="str">
        <f t="shared" si="332"/>
        <v>_</v>
      </c>
      <c r="ED3602" s="367"/>
      <c r="EE3602" s="367"/>
      <c r="EF3602" s="368"/>
      <c r="EG3602" s="367"/>
      <c r="EH3602" s="367"/>
      <c r="EI3602" s="367"/>
    </row>
    <row r="3603" spans="133:139">
      <c r="EC3603" s="366" t="str">
        <f t="shared" si="332"/>
        <v>_</v>
      </c>
      <c r="ED3603" s="367"/>
      <c r="EE3603" s="367"/>
      <c r="EF3603" s="368"/>
      <c r="EG3603" s="367"/>
      <c r="EH3603" s="367"/>
      <c r="EI3603" s="367"/>
    </row>
    <row r="3604" spans="133:139">
      <c r="EC3604" s="366" t="str">
        <f t="shared" si="332"/>
        <v>_</v>
      </c>
      <c r="ED3604" s="367"/>
      <c r="EE3604" s="367"/>
      <c r="EF3604" s="368"/>
      <c r="EG3604" s="367"/>
      <c r="EH3604" s="367"/>
      <c r="EI3604" s="367"/>
    </row>
    <row r="3605" spans="133:139">
      <c r="EC3605" s="366" t="str">
        <f t="shared" si="332"/>
        <v>_</v>
      </c>
      <c r="ED3605" s="367"/>
      <c r="EE3605" s="367"/>
      <c r="EF3605" s="368"/>
      <c r="EG3605" s="367"/>
      <c r="EH3605" s="367"/>
      <c r="EI3605" s="367"/>
    </row>
    <row r="3606" spans="133:139">
      <c r="EC3606" s="366" t="str">
        <f t="shared" si="332"/>
        <v>_</v>
      </c>
      <c r="ED3606" s="367"/>
      <c r="EE3606" s="367"/>
      <c r="EF3606" s="368"/>
      <c r="EG3606" s="367"/>
      <c r="EH3606" s="367"/>
      <c r="EI3606" s="367"/>
    </row>
    <row r="3607" spans="133:139">
      <c r="EC3607" s="366" t="str">
        <f t="shared" ref="EC3607:EC3670" si="333">B3607&amp;"_"&amp;C3607</f>
        <v>_</v>
      </c>
      <c r="ED3607" s="367"/>
      <c r="EE3607" s="367"/>
      <c r="EF3607" s="368"/>
      <c r="EG3607" s="367"/>
      <c r="EH3607" s="367"/>
      <c r="EI3607" s="367"/>
    </row>
    <row r="3608" spans="133:139">
      <c r="EC3608" s="366" t="str">
        <f t="shared" si="333"/>
        <v>_</v>
      </c>
      <c r="ED3608" s="367"/>
      <c r="EE3608" s="367"/>
      <c r="EF3608" s="368"/>
      <c r="EG3608" s="367"/>
      <c r="EH3608" s="367"/>
      <c r="EI3608" s="367"/>
    </row>
    <row r="3609" spans="133:139">
      <c r="EC3609" s="366" t="str">
        <f t="shared" si="333"/>
        <v>_</v>
      </c>
      <c r="ED3609" s="367"/>
      <c r="EE3609" s="367"/>
      <c r="EF3609" s="368"/>
      <c r="EG3609" s="367"/>
      <c r="EH3609" s="367"/>
      <c r="EI3609" s="367"/>
    </row>
    <row r="3610" spans="133:139">
      <c r="EC3610" s="366" t="str">
        <f t="shared" si="333"/>
        <v>_</v>
      </c>
      <c r="ED3610" s="367"/>
      <c r="EE3610" s="367"/>
      <c r="EF3610" s="368"/>
      <c r="EG3610" s="367"/>
      <c r="EH3610" s="367"/>
      <c r="EI3610" s="367"/>
    </row>
    <row r="3611" spans="133:139">
      <c r="EC3611" s="366" t="str">
        <f t="shared" si="333"/>
        <v>_</v>
      </c>
      <c r="ED3611" s="367"/>
      <c r="EE3611" s="367"/>
      <c r="EF3611" s="368"/>
      <c r="EG3611" s="367"/>
      <c r="EH3611" s="367"/>
      <c r="EI3611" s="367"/>
    </row>
    <row r="3612" spans="133:139">
      <c r="EC3612" s="366" t="str">
        <f t="shared" si="333"/>
        <v>_</v>
      </c>
      <c r="ED3612" s="367"/>
      <c r="EE3612" s="367"/>
      <c r="EF3612" s="368"/>
      <c r="EG3612" s="367"/>
      <c r="EH3612" s="367"/>
      <c r="EI3612" s="367"/>
    </row>
    <row r="3613" spans="133:139">
      <c r="EC3613" s="366" t="str">
        <f t="shared" si="333"/>
        <v>_</v>
      </c>
      <c r="ED3613" s="367"/>
      <c r="EE3613" s="367"/>
      <c r="EF3613" s="368"/>
      <c r="EG3613" s="367"/>
      <c r="EH3613" s="367"/>
      <c r="EI3613" s="367"/>
    </row>
    <row r="3614" spans="133:139">
      <c r="EC3614" s="366" t="str">
        <f t="shared" si="333"/>
        <v>_</v>
      </c>
      <c r="ED3614" s="367"/>
      <c r="EE3614" s="367"/>
      <c r="EF3614" s="368"/>
      <c r="EG3614" s="367"/>
      <c r="EH3614" s="367"/>
      <c r="EI3614" s="367"/>
    </row>
    <row r="3615" spans="133:139">
      <c r="EC3615" s="366" t="str">
        <f t="shared" si="333"/>
        <v>_</v>
      </c>
      <c r="ED3615" s="367"/>
      <c r="EE3615" s="367"/>
      <c r="EF3615" s="368"/>
      <c r="EG3615" s="367"/>
      <c r="EH3615" s="367"/>
      <c r="EI3615" s="367"/>
    </row>
    <row r="3616" spans="133:139">
      <c r="EC3616" s="366" t="str">
        <f t="shared" si="333"/>
        <v>_</v>
      </c>
      <c r="ED3616" s="367"/>
      <c r="EE3616" s="367"/>
      <c r="EF3616" s="368"/>
      <c r="EG3616" s="367"/>
      <c r="EH3616" s="367"/>
      <c r="EI3616" s="367"/>
    </row>
    <row r="3617" spans="133:139">
      <c r="EC3617" s="366" t="str">
        <f t="shared" si="333"/>
        <v>_</v>
      </c>
      <c r="ED3617" s="367"/>
      <c r="EE3617" s="367"/>
      <c r="EF3617" s="368"/>
      <c r="EG3617" s="367"/>
      <c r="EH3617" s="367"/>
      <c r="EI3617" s="367"/>
    </row>
    <row r="3618" spans="133:139">
      <c r="EC3618" s="366" t="str">
        <f t="shared" si="333"/>
        <v>_</v>
      </c>
      <c r="ED3618" s="367"/>
      <c r="EE3618" s="367"/>
      <c r="EF3618" s="368"/>
      <c r="EG3618" s="367"/>
      <c r="EH3618" s="367"/>
      <c r="EI3618" s="367"/>
    </row>
    <row r="3619" spans="133:139">
      <c r="EC3619" s="366" t="str">
        <f t="shared" si="333"/>
        <v>_</v>
      </c>
      <c r="ED3619" s="367"/>
      <c r="EE3619" s="367"/>
      <c r="EF3619" s="368"/>
      <c r="EG3619" s="367"/>
      <c r="EH3619" s="367"/>
      <c r="EI3619" s="367"/>
    </row>
    <row r="3620" spans="133:139">
      <c r="EC3620" s="366" t="str">
        <f t="shared" si="333"/>
        <v>_</v>
      </c>
      <c r="ED3620" s="367"/>
      <c r="EE3620" s="367"/>
      <c r="EF3620" s="368"/>
      <c r="EG3620" s="367"/>
      <c r="EH3620" s="367"/>
      <c r="EI3620" s="367"/>
    </row>
    <row r="3621" spans="133:139">
      <c r="EC3621" s="366" t="str">
        <f t="shared" si="333"/>
        <v>_</v>
      </c>
      <c r="ED3621" s="367"/>
      <c r="EE3621" s="367"/>
      <c r="EF3621" s="368"/>
      <c r="EG3621" s="367"/>
      <c r="EH3621" s="367"/>
      <c r="EI3621" s="367"/>
    </row>
    <row r="3622" spans="133:139">
      <c r="EC3622" s="366" t="str">
        <f t="shared" si="333"/>
        <v>_</v>
      </c>
      <c r="ED3622" s="367"/>
      <c r="EE3622" s="367"/>
      <c r="EF3622" s="368"/>
      <c r="EG3622" s="367"/>
      <c r="EH3622" s="367"/>
      <c r="EI3622" s="367"/>
    </row>
    <row r="3623" spans="133:139">
      <c r="EC3623" s="366" t="str">
        <f t="shared" si="333"/>
        <v>_</v>
      </c>
      <c r="ED3623" s="367"/>
      <c r="EE3623" s="367"/>
      <c r="EF3623" s="368"/>
      <c r="EG3623" s="367"/>
      <c r="EH3623" s="367"/>
      <c r="EI3623" s="367"/>
    </row>
    <row r="3624" spans="133:139">
      <c r="EC3624" s="366" t="str">
        <f t="shared" si="333"/>
        <v>_</v>
      </c>
      <c r="ED3624" s="367"/>
      <c r="EE3624" s="367"/>
      <c r="EF3624" s="368"/>
      <c r="EG3624" s="367"/>
      <c r="EH3624" s="367"/>
      <c r="EI3624" s="367"/>
    </row>
    <row r="3625" spans="133:139">
      <c r="EC3625" s="366" t="str">
        <f t="shared" si="333"/>
        <v>_</v>
      </c>
      <c r="ED3625" s="367"/>
      <c r="EE3625" s="367"/>
      <c r="EF3625" s="368"/>
      <c r="EG3625" s="367"/>
      <c r="EH3625" s="367"/>
      <c r="EI3625" s="367"/>
    </row>
    <row r="3626" spans="133:139">
      <c r="EC3626" s="366" t="str">
        <f t="shared" si="333"/>
        <v>_</v>
      </c>
      <c r="ED3626" s="367"/>
      <c r="EE3626" s="367"/>
      <c r="EF3626" s="368"/>
      <c r="EG3626" s="367"/>
      <c r="EH3626" s="367"/>
      <c r="EI3626" s="367"/>
    </row>
    <row r="3627" spans="133:139">
      <c r="EC3627" s="366" t="str">
        <f t="shared" si="333"/>
        <v>_</v>
      </c>
      <c r="ED3627" s="367"/>
      <c r="EE3627" s="367"/>
      <c r="EF3627" s="368"/>
      <c r="EG3627" s="367"/>
      <c r="EH3627" s="367"/>
      <c r="EI3627" s="367"/>
    </row>
    <row r="3628" spans="133:139">
      <c r="EC3628" s="366" t="str">
        <f t="shared" si="333"/>
        <v>_</v>
      </c>
      <c r="ED3628" s="367"/>
      <c r="EE3628" s="367"/>
      <c r="EF3628" s="368"/>
      <c r="EG3628" s="367"/>
      <c r="EH3628" s="367"/>
      <c r="EI3628" s="367"/>
    </row>
    <row r="3629" spans="133:139">
      <c r="EC3629" s="366" t="str">
        <f t="shared" si="333"/>
        <v>_</v>
      </c>
      <c r="ED3629" s="367"/>
      <c r="EE3629" s="367"/>
      <c r="EF3629" s="368"/>
      <c r="EG3629" s="367"/>
      <c r="EH3629" s="367"/>
      <c r="EI3629" s="367"/>
    </row>
    <row r="3630" spans="133:139">
      <c r="EC3630" s="366" t="str">
        <f t="shared" si="333"/>
        <v>_</v>
      </c>
      <c r="ED3630" s="367"/>
      <c r="EE3630" s="367"/>
      <c r="EF3630" s="368"/>
      <c r="EG3630" s="367"/>
      <c r="EH3630" s="367"/>
      <c r="EI3630" s="367"/>
    </row>
    <row r="3631" spans="133:139">
      <c r="EC3631" s="366" t="str">
        <f t="shared" si="333"/>
        <v>_</v>
      </c>
      <c r="ED3631" s="367"/>
      <c r="EE3631" s="367"/>
      <c r="EF3631" s="368"/>
      <c r="EG3631" s="367"/>
      <c r="EH3631" s="367"/>
      <c r="EI3631" s="367"/>
    </row>
    <row r="3632" spans="133:139">
      <c r="EC3632" s="366" t="str">
        <f t="shared" si="333"/>
        <v>_</v>
      </c>
      <c r="ED3632" s="367"/>
      <c r="EE3632" s="367"/>
      <c r="EF3632" s="368"/>
      <c r="EG3632" s="367"/>
      <c r="EH3632" s="367"/>
      <c r="EI3632" s="367"/>
    </row>
    <row r="3633" spans="133:139">
      <c r="EC3633" s="366" t="str">
        <f t="shared" si="333"/>
        <v>_</v>
      </c>
      <c r="ED3633" s="367"/>
      <c r="EE3633" s="367"/>
      <c r="EF3633" s="368"/>
      <c r="EG3633" s="367"/>
      <c r="EH3633" s="367"/>
      <c r="EI3633" s="367"/>
    </row>
    <row r="3634" spans="133:139">
      <c r="EC3634" s="366" t="str">
        <f t="shared" si="333"/>
        <v>_</v>
      </c>
      <c r="ED3634" s="367"/>
      <c r="EE3634" s="367"/>
      <c r="EF3634" s="368"/>
      <c r="EG3634" s="367"/>
      <c r="EH3634" s="367"/>
      <c r="EI3634" s="367"/>
    </row>
    <row r="3635" spans="133:139">
      <c r="EC3635" s="366" t="str">
        <f t="shared" si="333"/>
        <v>_</v>
      </c>
      <c r="ED3635" s="367"/>
      <c r="EE3635" s="367"/>
      <c r="EF3635" s="368"/>
      <c r="EG3635" s="367"/>
      <c r="EH3635" s="367"/>
      <c r="EI3635" s="367"/>
    </row>
    <row r="3636" spans="133:139">
      <c r="EC3636" s="366" t="str">
        <f t="shared" si="333"/>
        <v>_</v>
      </c>
      <c r="ED3636" s="367"/>
      <c r="EE3636" s="367"/>
      <c r="EF3636" s="368"/>
      <c r="EG3636" s="367"/>
      <c r="EH3636" s="367"/>
      <c r="EI3636" s="367"/>
    </row>
    <row r="3637" spans="133:139">
      <c r="EC3637" s="366" t="str">
        <f t="shared" si="333"/>
        <v>_</v>
      </c>
      <c r="ED3637" s="367"/>
      <c r="EE3637" s="367"/>
      <c r="EF3637" s="368"/>
      <c r="EG3637" s="367"/>
      <c r="EH3637" s="367"/>
      <c r="EI3637" s="367"/>
    </row>
    <row r="3638" spans="133:139">
      <c r="EC3638" s="366" t="str">
        <f t="shared" si="333"/>
        <v>_</v>
      </c>
      <c r="ED3638" s="367"/>
      <c r="EE3638" s="367"/>
      <c r="EF3638" s="368"/>
      <c r="EG3638" s="367"/>
      <c r="EH3638" s="367"/>
      <c r="EI3638" s="367"/>
    </row>
    <row r="3639" spans="133:139">
      <c r="EC3639" s="366" t="str">
        <f t="shared" si="333"/>
        <v>_</v>
      </c>
      <c r="ED3639" s="367"/>
      <c r="EE3639" s="367"/>
      <c r="EF3639" s="368"/>
      <c r="EG3639" s="367"/>
      <c r="EH3639" s="367"/>
      <c r="EI3639" s="367"/>
    </row>
    <row r="3640" spans="133:139">
      <c r="EC3640" s="366" t="str">
        <f t="shared" si="333"/>
        <v>_</v>
      </c>
      <c r="ED3640" s="367"/>
      <c r="EE3640" s="367"/>
      <c r="EF3640" s="368"/>
      <c r="EG3640" s="367"/>
      <c r="EH3640" s="367"/>
      <c r="EI3640" s="367"/>
    </row>
    <row r="3641" spans="133:139">
      <c r="EC3641" s="366" t="str">
        <f t="shared" si="333"/>
        <v>_</v>
      </c>
      <c r="ED3641" s="367"/>
      <c r="EE3641" s="367"/>
      <c r="EF3641" s="368"/>
      <c r="EG3641" s="367"/>
      <c r="EH3641" s="367"/>
      <c r="EI3641" s="367"/>
    </row>
    <row r="3642" spans="133:139">
      <c r="EC3642" s="366" t="str">
        <f t="shared" si="333"/>
        <v>_</v>
      </c>
      <c r="ED3642" s="367"/>
      <c r="EE3642" s="367"/>
      <c r="EF3642" s="368"/>
      <c r="EG3642" s="367"/>
      <c r="EH3642" s="367"/>
      <c r="EI3642" s="367"/>
    </row>
    <row r="3643" spans="133:139">
      <c r="EC3643" s="366" t="str">
        <f t="shared" si="333"/>
        <v>_</v>
      </c>
      <c r="ED3643" s="367"/>
      <c r="EE3643" s="367"/>
      <c r="EF3643" s="368"/>
      <c r="EG3643" s="367"/>
      <c r="EH3643" s="367"/>
      <c r="EI3643" s="367"/>
    </row>
    <row r="3644" spans="133:139">
      <c r="EC3644" s="366" t="str">
        <f t="shared" si="333"/>
        <v>_</v>
      </c>
      <c r="ED3644" s="367"/>
      <c r="EE3644" s="367"/>
      <c r="EF3644" s="368"/>
      <c r="EG3644" s="367"/>
      <c r="EH3644" s="367"/>
      <c r="EI3644" s="367"/>
    </row>
    <row r="3645" spans="133:139">
      <c r="EC3645" s="366" t="str">
        <f t="shared" si="333"/>
        <v>_</v>
      </c>
      <c r="ED3645" s="367"/>
      <c r="EE3645" s="367"/>
      <c r="EF3645" s="368"/>
      <c r="EG3645" s="367"/>
      <c r="EH3645" s="367"/>
      <c r="EI3645" s="367"/>
    </row>
    <row r="3646" spans="133:139">
      <c r="EC3646" s="366" t="str">
        <f t="shared" si="333"/>
        <v>_</v>
      </c>
      <c r="ED3646" s="367"/>
      <c r="EE3646" s="367"/>
      <c r="EF3646" s="368"/>
      <c r="EG3646" s="367"/>
      <c r="EH3646" s="367"/>
      <c r="EI3646" s="367"/>
    </row>
    <row r="3647" spans="133:139">
      <c r="EC3647" s="366" t="str">
        <f t="shared" si="333"/>
        <v>_</v>
      </c>
      <c r="ED3647" s="367"/>
      <c r="EE3647" s="367"/>
      <c r="EF3647" s="368"/>
      <c r="EG3647" s="367"/>
      <c r="EH3647" s="367"/>
      <c r="EI3647" s="367"/>
    </row>
    <row r="3648" spans="133:139">
      <c r="EC3648" s="366" t="str">
        <f t="shared" si="333"/>
        <v>_</v>
      </c>
      <c r="ED3648" s="367"/>
      <c r="EE3648" s="367"/>
      <c r="EF3648" s="368"/>
      <c r="EG3648" s="367"/>
      <c r="EH3648" s="367"/>
      <c r="EI3648" s="367"/>
    </row>
    <row r="3649" spans="133:139">
      <c r="EC3649" s="366" t="str">
        <f t="shared" si="333"/>
        <v>_</v>
      </c>
      <c r="ED3649" s="367"/>
      <c r="EE3649" s="367"/>
      <c r="EF3649" s="368"/>
      <c r="EG3649" s="367"/>
      <c r="EH3649" s="367"/>
      <c r="EI3649" s="367"/>
    </row>
    <row r="3650" spans="133:139">
      <c r="EC3650" s="366" t="str">
        <f t="shared" si="333"/>
        <v>_</v>
      </c>
      <c r="ED3650" s="367"/>
      <c r="EE3650" s="367"/>
      <c r="EF3650" s="368"/>
      <c r="EG3650" s="367"/>
      <c r="EH3650" s="367"/>
      <c r="EI3650" s="367"/>
    </row>
    <row r="3651" spans="133:139">
      <c r="EC3651" s="366" t="str">
        <f t="shared" si="333"/>
        <v>_</v>
      </c>
      <c r="ED3651" s="367"/>
      <c r="EE3651" s="367"/>
      <c r="EF3651" s="368"/>
      <c r="EG3651" s="367"/>
      <c r="EH3651" s="367"/>
      <c r="EI3651" s="367"/>
    </row>
    <row r="3652" spans="133:139">
      <c r="EC3652" s="366" t="str">
        <f t="shared" si="333"/>
        <v>_</v>
      </c>
      <c r="ED3652" s="367"/>
      <c r="EE3652" s="367"/>
      <c r="EF3652" s="368"/>
      <c r="EG3652" s="367"/>
      <c r="EH3652" s="367"/>
      <c r="EI3652" s="367"/>
    </row>
    <row r="3653" spans="133:139">
      <c r="EC3653" s="366" t="str">
        <f t="shared" si="333"/>
        <v>_</v>
      </c>
      <c r="ED3653" s="367"/>
      <c r="EE3653" s="367"/>
      <c r="EF3653" s="368"/>
      <c r="EG3653" s="367"/>
      <c r="EH3653" s="367"/>
      <c r="EI3653" s="367"/>
    </row>
    <row r="3654" spans="133:139">
      <c r="EC3654" s="366" t="str">
        <f t="shared" si="333"/>
        <v>_</v>
      </c>
      <c r="ED3654" s="367"/>
      <c r="EE3654" s="367"/>
      <c r="EF3654" s="368"/>
      <c r="EG3654" s="367"/>
      <c r="EH3654" s="367"/>
      <c r="EI3654" s="367"/>
    </row>
    <row r="3655" spans="133:139">
      <c r="EC3655" s="366" t="str">
        <f t="shared" si="333"/>
        <v>_</v>
      </c>
      <c r="ED3655" s="367"/>
      <c r="EE3655" s="367"/>
      <c r="EF3655" s="368"/>
      <c r="EG3655" s="367"/>
      <c r="EH3655" s="367"/>
      <c r="EI3655" s="367"/>
    </row>
    <row r="3656" spans="133:139">
      <c r="EC3656" s="366" t="str">
        <f t="shared" si="333"/>
        <v>_</v>
      </c>
      <c r="ED3656" s="367"/>
      <c r="EE3656" s="367"/>
      <c r="EF3656" s="368"/>
      <c r="EG3656" s="367"/>
      <c r="EH3656" s="367"/>
      <c r="EI3656" s="367"/>
    </row>
    <row r="3657" spans="133:139">
      <c r="EC3657" s="366" t="str">
        <f t="shared" si="333"/>
        <v>_</v>
      </c>
      <c r="ED3657" s="367"/>
      <c r="EE3657" s="367"/>
      <c r="EF3657" s="368"/>
      <c r="EG3657" s="367"/>
      <c r="EH3657" s="367"/>
      <c r="EI3657" s="367"/>
    </row>
    <row r="3658" spans="133:139">
      <c r="EC3658" s="366" t="str">
        <f t="shared" si="333"/>
        <v>_</v>
      </c>
      <c r="ED3658" s="367"/>
      <c r="EE3658" s="367"/>
      <c r="EF3658" s="368"/>
      <c r="EG3658" s="367"/>
      <c r="EH3658" s="367"/>
      <c r="EI3658" s="367"/>
    </row>
    <row r="3659" spans="133:139">
      <c r="EC3659" s="366" t="str">
        <f t="shared" si="333"/>
        <v>_</v>
      </c>
      <c r="ED3659" s="367"/>
      <c r="EE3659" s="367"/>
      <c r="EF3659" s="368"/>
      <c r="EG3659" s="367"/>
      <c r="EH3659" s="367"/>
      <c r="EI3659" s="367"/>
    </row>
    <row r="3660" spans="133:139">
      <c r="EC3660" s="366" t="str">
        <f t="shared" si="333"/>
        <v>_</v>
      </c>
      <c r="ED3660" s="367"/>
      <c r="EE3660" s="367"/>
      <c r="EF3660" s="368"/>
      <c r="EG3660" s="367"/>
      <c r="EH3660" s="367"/>
      <c r="EI3660" s="367"/>
    </row>
    <row r="3661" spans="133:139">
      <c r="EC3661" s="366" t="str">
        <f t="shared" si="333"/>
        <v>_</v>
      </c>
      <c r="ED3661" s="367"/>
      <c r="EE3661" s="367"/>
      <c r="EF3661" s="368"/>
      <c r="EG3661" s="367"/>
      <c r="EH3661" s="367"/>
      <c r="EI3661" s="367"/>
    </row>
    <row r="3662" spans="133:139">
      <c r="EC3662" s="366" t="str">
        <f t="shared" si="333"/>
        <v>_</v>
      </c>
      <c r="ED3662" s="367"/>
      <c r="EE3662" s="367"/>
      <c r="EF3662" s="368"/>
      <c r="EG3662" s="367"/>
      <c r="EH3662" s="367"/>
      <c r="EI3662" s="367"/>
    </row>
    <row r="3663" spans="133:139">
      <c r="EC3663" s="366" t="str">
        <f t="shared" si="333"/>
        <v>_</v>
      </c>
      <c r="ED3663" s="367"/>
      <c r="EE3663" s="367"/>
      <c r="EF3663" s="368"/>
      <c r="EG3663" s="367"/>
      <c r="EH3663" s="367"/>
      <c r="EI3663" s="367"/>
    </row>
    <row r="3664" spans="133:139">
      <c r="EC3664" s="366" t="str">
        <f t="shared" si="333"/>
        <v>_</v>
      </c>
      <c r="ED3664" s="367"/>
      <c r="EE3664" s="367"/>
      <c r="EF3664" s="368"/>
      <c r="EG3664" s="367"/>
      <c r="EH3664" s="367"/>
      <c r="EI3664" s="367"/>
    </row>
    <row r="3665" spans="133:139">
      <c r="EC3665" s="366" t="str">
        <f t="shared" si="333"/>
        <v>_</v>
      </c>
      <c r="ED3665" s="367"/>
      <c r="EE3665" s="367"/>
      <c r="EF3665" s="368"/>
      <c r="EG3665" s="367"/>
      <c r="EH3665" s="367"/>
      <c r="EI3665" s="367"/>
    </row>
    <row r="3666" spans="133:139">
      <c r="EC3666" s="366" t="str">
        <f t="shared" si="333"/>
        <v>_</v>
      </c>
      <c r="ED3666" s="367"/>
      <c r="EE3666" s="367"/>
      <c r="EF3666" s="368"/>
      <c r="EG3666" s="367"/>
      <c r="EH3666" s="367"/>
      <c r="EI3666" s="367"/>
    </row>
    <row r="3667" spans="133:139">
      <c r="EC3667" s="366" t="str">
        <f t="shared" si="333"/>
        <v>_</v>
      </c>
      <c r="ED3667" s="367"/>
      <c r="EE3667" s="367"/>
      <c r="EF3667" s="368"/>
      <c r="EG3667" s="367"/>
      <c r="EH3667" s="367"/>
      <c r="EI3667" s="367"/>
    </row>
    <row r="3668" spans="133:139">
      <c r="EC3668" s="366" t="str">
        <f t="shared" si="333"/>
        <v>_</v>
      </c>
      <c r="ED3668" s="367"/>
      <c r="EE3668" s="367"/>
      <c r="EF3668" s="368"/>
      <c r="EG3668" s="367"/>
      <c r="EH3668" s="367"/>
      <c r="EI3668" s="367"/>
    </row>
    <row r="3669" spans="133:139">
      <c r="EC3669" s="366" t="str">
        <f t="shared" si="333"/>
        <v>_</v>
      </c>
      <c r="ED3669" s="367"/>
      <c r="EE3669" s="367"/>
      <c r="EF3669" s="368"/>
      <c r="EG3669" s="367"/>
      <c r="EH3669" s="367"/>
      <c r="EI3669" s="367"/>
    </row>
    <row r="3670" spans="133:139">
      <c r="EC3670" s="366" t="str">
        <f t="shared" si="333"/>
        <v>_</v>
      </c>
      <c r="ED3670" s="367"/>
      <c r="EE3670" s="367"/>
      <c r="EF3670" s="368"/>
      <c r="EG3670" s="367"/>
      <c r="EH3670" s="367"/>
      <c r="EI3670" s="367"/>
    </row>
    <row r="3671" spans="133:139">
      <c r="EC3671" s="366" t="str">
        <f t="shared" ref="EC3671:EC3734" si="334">B3671&amp;"_"&amp;C3671</f>
        <v>_</v>
      </c>
      <c r="ED3671" s="367"/>
      <c r="EE3671" s="367"/>
      <c r="EF3671" s="368"/>
      <c r="EG3671" s="367"/>
      <c r="EH3671" s="367"/>
      <c r="EI3671" s="367"/>
    </row>
    <row r="3672" spans="133:139">
      <c r="EC3672" s="366" t="str">
        <f t="shared" si="334"/>
        <v>_</v>
      </c>
      <c r="ED3672" s="367"/>
      <c r="EE3672" s="367"/>
      <c r="EF3672" s="368"/>
      <c r="EG3672" s="367"/>
      <c r="EH3672" s="367"/>
      <c r="EI3672" s="367"/>
    </row>
    <row r="3673" spans="133:139">
      <c r="EC3673" s="366" t="str">
        <f t="shared" si="334"/>
        <v>_</v>
      </c>
      <c r="ED3673" s="367"/>
      <c r="EE3673" s="367"/>
      <c r="EF3673" s="368"/>
      <c r="EG3673" s="367"/>
      <c r="EH3673" s="367"/>
      <c r="EI3673" s="367"/>
    </row>
    <row r="3674" spans="133:139">
      <c r="EC3674" s="366" t="str">
        <f t="shared" si="334"/>
        <v>_</v>
      </c>
      <c r="ED3674" s="367"/>
      <c r="EE3674" s="367"/>
      <c r="EF3674" s="368"/>
      <c r="EG3674" s="367"/>
      <c r="EH3674" s="367"/>
      <c r="EI3674" s="367"/>
    </row>
    <row r="3675" spans="133:139">
      <c r="EC3675" s="366" t="str">
        <f t="shared" si="334"/>
        <v>_</v>
      </c>
      <c r="ED3675" s="367"/>
      <c r="EE3675" s="367"/>
      <c r="EF3675" s="368"/>
      <c r="EG3675" s="367"/>
      <c r="EH3675" s="367"/>
      <c r="EI3675" s="367"/>
    </row>
    <row r="3676" spans="133:139">
      <c r="EC3676" s="366" t="str">
        <f t="shared" si="334"/>
        <v>_</v>
      </c>
      <c r="ED3676" s="367"/>
      <c r="EE3676" s="367"/>
      <c r="EF3676" s="368"/>
      <c r="EG3676" s="367"/>
      <c r="EH3676" s="367"/>
      <c r="EI3676" s="367"/>
    </row>
    <row r="3677" spans="133:139">
      <c r="EC3677" s="366" t="str">
        <f t="shared" si="334"/>
        <v>_</v>
      </c>
      <c r="ED3677" s="367"/>
      <c r="EE3677" s="367"/>
      <c r="EF3677" s="368"/>
      <c r="EG3677" s="367"/>
      <c r="EH3677" s="367"/>
      <c r="EI3677" s="367"/>
    </row>
    <row r="3678" spans="133:139">
      <c r="EC3678" s="366" t="str">
        <f t="shared" si="334"/>
        <v>_</v>
      </c>
      <c r="ED3678" s="367"/>
      <c r="EE3678" s="367"/>
      <c r="EF3678" s="368"/>
      <c r="EG3678" s="367"/>
      <c r="EH3678" s="367"/>
      <c r="EI3678" s="367"/>
    </row>
    <row r="3679" spans="133:139">
      <c r="EC3679" s="366" t="str">
        <f t="shared" si="334"/>
        <v>_</v>
      </c>
      <c r="ED3679" s="367"/>
      <c r="EE3679" s="367"/>
      <c r="EF3679" s="368"/>
      <c r="EG3679" s="367"/>
      <c r="EH3679" s="367"/>
      <c r="EI3679" s="367"/>
    </row>
    <row r="3680" spans="133:139">
      <c r="EC3680" s="366" t="str">
        <f t="shared" si="334"/>
        <v>_</v>
      </c>
      <c r="ED3680" s="367"/>
      <c r="EE3680" s="367"/>
      <c r="EF3680" s="368"/>
      <c r="EG3680" s="367"/>
      <c r="EH3680" s="367"/>
      <c r="EI3680" s="367"/>
    </row>
    <row r="3681" spans="133:139">
      <c r="EC3681" s="366" t="str">
        <f t="shared" si="334"/>
        <v>_</v>
      </c>
      <c r="ED3681" s="367"/>
      <c r="EE3681" s="367"/>
      <c r="EF3681" s="368"/>
      <c r="EG3681" s="367"/>
      <c r="EH3681" s="367"/>
      <c r="EI3681" s="367"/>
    </row>
    <row r="3682" spans="133:139">
      <c r="EC3682" s="366" t="str">
        <f t="shared" si="334"/>
        <v>_</v>
      </c>
      <c r="ED3682" s="367"/>
      <c r="EE3682" s="367"/>
      <c r="EF3682" s="368"/>
      <c r="EG3682" s="367"/>
      <c r="EH3682" s="367"/>
      <c r="EI3682" s="367"/>
    </row>
    <row r="3683" spans="133:139">
      <c r="EC3683" s="366" t="str">
        <f t="shared" si="334"/>
        <v>_</v>
      </c>
      <c r="ED3683" s="367"/>
      <c r="EE3683" s="367"/>
      <c r="EF3683" s="368"/>
      <c r="EG3683" s="367"/>
      <c r="EH3683" s="367"/>
      <c r="EI3683" s="367"/>
    </row>
    <row r="3684" spans="133:139">
      <c r="EC3684" s="366" t="str">
        <f t="shared" si="334"/>
        <v>_</v>
      </c>
      <c r="ED3684" s="367"/>
      <c r="EE3684" s="367"/>
      <c r="EF3684" s="368"/>
      <c r="EG3684" s="367"/>
      <c r="EH3684" s="367"/>
      <c r="EI3684" s="367"/>
    </row>
    <row r="3685" spans="133:139">
      <c r="EC3685" s="366" t="str">
        <f t="shared" si="334"/>
        <v>_</v>
      </c>
      <c r="ED3685" s="367"/>
      <c r="EE3685" s="367"/>
      <c r="EF3685" s="368"/>
      <c r="EG3685" s="367"/>
      <c r="EH3685" s="367"/>
      <c r="EI3685" s="367"/>
    </row>
    <row r="3686" spans="133:139">
      <c r="EC3686" s="366" t="str">
        <f t="shared" si="334"/>
        <v>_</v>
      </c>
      <c r="ED3686" s="367"/>
      <c r="EE3686" s="367"/>
      <c r="EF3686" s="368"/>
      <c r="EG3686" s="367"/>
      <c r="EH3686" s="367"/>
      <c r="EI3686" s="367"/>
    </row>
    <row r="3687" spans="133:139">
      <c r="EC3687" s="366" t="str">
        <f t="shared" si="334"/>
        <v>_</v>
      </c>
      <c r="ED3687" s="367"/>
      <c r="EE3687" s="367"/>
      <c r="EF3687" s="368"/>
      <c r="EG3687" s="367"/>
      <c r="EH3687" s="367"/>
      <c r="EI3687" s="367"/>
    </row>
    <row r="3688" spans="133:139">
      <c r="EC3688" s="366" t="str">
        <f t="shared" si="334"/>
        <v>_</v>
      </c>
      <c r="ED3688" s="367"/>
      <c r="EE3688" s="367"/>
      <c r="EF3688" s="368"/>
      <c r="EG3688" s="367"/>
      <c r="EH3688" s="367"/>
      <c r="EI3688" s="367"/>
    </row>
    <row r="3689" spans="133:139">
      <c r="EC3689" s="366" t="str">
        <f t="shared" si="334"/>
        <v>_</v>
      </c>
      <c r="ED3689" s="367"/>
      <c r="EE3689" s="367"/>
      <c r="EF3689" s="368"/>
      <c r="EG3689" s="367"/>
      <c r="EH3689" s="367"/>
      <c r="EI3689" s="367"/>
    </row>
    <row r="3690" spans="133:139">
      <c r="EC3690" s="366" t="str">
        <f t="shared" si="334"/>
        <v>_</v>
      </c>
      <c r="ED3690" s="367"/>
      <c r="EE3690" s="367"/>
      <c r="EF3690" s="368"/>
      <c r="EG3690" s="367"/>
      <c r="EH3690" s="367"/>
      <c r="EI3690" s="367"/>
    </row>
    <row r="3691" spans="133:139">
      <c r="EC3691" s="366" t="str">
        <f t="shared" si="334"/>
        <v>_</v>
      </c>
      <c r="ED3691" s="367"/>
      <c r="EE3691" s="367"/>
      <c r="EF3691" s="368"/>
      <c r="EG3691" s="367"/>
      <c r="EH3691" s="367"/>
      <c r="EI3691" s="367"/>
    </row>
    <row r="3692" spans="133:139">
      <c r="EC3692" s="366" t="str">
        <f t="shared" si="334"/>
        <v>_</v>
      </c>
      <c r="ED3692" s="367"/>
      <c r="EE3692" s="367"/>
      <c r="EF3692" s="368"/>
      <c r="EG3692" s="367"/>
      <c r="EH3692" s="367"/>
      <c r="EI3692" s="367"/>
    </row>
    <row r="3693" spans="133:139">
      <c r="EC3693" s="366" t="str">
        <f t="shared" si="334"/>
        <v>_</v>
      </c>
      <c r="ED3693" s="367"/>
      <c r="EE3693" s="367"/>
      <c r="EF3693" s="368"/>
      <c r="EG3693" s="367"/>
      <c r="EH3693" s="367"/>
      <c r="EI3693" s="367"/>
    </row>
    <row r="3694" spans="133:139">
      <c r="EC3694" s="366" t="str">
        <f t="shared" si="334"/>
        <v>_</v>
      </c>
      <c r="ED3694" s="367"/>
      <c r="EE3694" s="367"/>
      <c r="EF3694" s="368"/>
      <c r="EG3694" s="367"/>
      <c r="EH3694" s="367"/>
      <c r="EI3694" s="367"/>
    </row>
    <row r="3695" spans="133:139">
      <c r="EC3695" s="366" t="str">
        <f t="shared" si="334"/>
        <v>_</v>
      </c>
      <c r="ED3695" s="367"/>
      <c r="EE3695" s="367"/>
      <c r="EF3695" s="368"/>
      <c r="EG3695" s="367"/>
      <c r="EH3695" s="367"/>
      <c r="EI3695" s="367"/>
    </row>
    <row r="3696" spans="133:139">
      <c r="EC3696" s="366" t="str">
        <f t="shared" si="334"/>
        <v>_</v>
      </c>
      <c r="ED3696" s="367"/>
      <c r="EE3696" s="367"/>
      <c r="EF3696" s="368"/>
      <c r="EG3696" s="367"/>
      <c r="EH3696" s="367"/>
      <c r="EI3696" s="367"/>
    </row>
    <row r="3697" spans="133:139">
      <c r="EC3697" s="366" t="str">
        <f t="shared" si="334"/>
        <v>_</v>
      </c>
      <c r="ED3697" s="367"/>
      <c r="EE3697" s="367"/>
      <c r="EF3697" s="368"/>
      <c r="EG3697" s="367"/>
      <c r="EH3697" s="367"/>
      <c r="EI3697" s="367"/>
    </row>
    <row r="3698" spans="133:139">
      <c r="EC3698" s="366" t="str">
        <f t="shared" si="334"/>
        <v>_</v>
      </c>
      <c r="ED3698" s="367"/>
      <c r="EE3698" s="367"/>
      <c r="EF3698" s="368"/>
      <c r="EG3698" s="367"/>
      <c r="EH3698" s="367"/>
      <c r="EI3698" s="367"/>
    </row>
    <row r="3699" spans="133:139">
      <c r="EC3699" s="366" t="str">
        <f t="shared" si="334"/>
        <v>_</v>
      </c>
      <c r="ED3699" s="367"/>
      <c r="EE3699" s="367"/>
      <c r="EF3699" s="368"/>
      <c r="EG3699" s="367"/>
      <c r="EH3699" s="367"/>
      <c r="EI3699" s="367"/>
    </row>
    <row r="3700" spans="133:139">
      <c r="EC3700" s="366" t="str">
        <f t="shared" si="334"/>
        <v>_</v>
      </c>
      <c r="ED3700" s="367"/>
      <c r="EE3700" s="367"/>
      <c r="EF3700" s="368"/>
      <c r="EG3700" s="367"/>
      <c r="EH3700" s="367"/>
      <c r="EI3700" s="367"/>
    </row>
    <row r="3701" spans="133:139">
      <c r="EC3701" s="366" t="str">
        <f t="shared" si="334"/>
        <v>_</v>
      </c>
      <c r="ED3701" s="367"/>
      <c r="EE3701" s="367"/>
      <c r="EF3701" s="368"/>
      <c r="EG3701" s="367"/>
      <c r="EH3701" s="367"/>
      <c r="EI3701" s="367"/>
    </row>
    <row r="3702" spans="133:139">
      <c r="EC3702" s="366" t="str">
        <f t="shared" si="334"/>
        <v>_</v>
      </c>
      <c r="ED3702" s="367"/>
      <c r="EE3702" s="367"/>
      <c r="EF3702" s="368"/>
      <c r="EG3702" s="367"/>
      <c r="EH3702" s="367"/>
      <c r="EI3702" s="367"/>
    </row>
    <row r="3703" spans="133:139">
      <c r="EC3703" s="366" t="str">
        <f t="shared" si="334"/>
        <v>_</v>
      </c>
      <c r="ED3703" s="367"/>
      <c r="EE3703" s="367"/>
      <c r="EF3703" s="368"/>
      <c r="EG3703" s="367"/>
      <c r="EH3703" s="367"/>
      <c r="EI3703" s="367"/>
    </row>
    <row r="3704" spans="133:139">
      <c r="EC3704" s="366" t="str">
        <f t="shared" si="334"/>
        <v>_</v>
      </c>
      <c r="ED3704" s="367"/>
      <c r="EE3704" s="367"/>
      <c r="EF3704" s="368"/>
      <c r="EG3704" s="367"/>
      <c r="EH3704" s="367"/>
      <c r="EI3704" s="367"/>
    </row>
    <row r="3705" spans="133:139">
      <c r="EC3705" s="366" t="str">
        <f t="shared" si="334"/>
        <v>_</v>
      </c>
      <c r="ED3705" s="367"/>
      <c r="EE3705" s="367"/>
      <c r="EF3705" s="368"/>
      <c r="EG3705" s="367"/>
      <c r="EH3705" s="367"/>
      <c r="EI3705" s="367"/>
    </row>
    <row r="3706" spans="133:139">
      <c r="EC3706" s="366" t="str">
        <f t="shared" si="334"/>
        <v>_</v>
      </c>
      <c r="ED3706" s="367"/>
      <c r="EE3706" s="367"/>
      <c r="EF3706" s="368"/>
      <c r="EG3706" s="367"/>
      <c r="EH3706" s="367"/>
      <c r="EI3706" s="367"/>
    </row>
    <row r="3707" spans="133:139">
      <c r="EC3707" s="366" t="str">
        <f t="shared" si="334"/>
        <v>_</v>
      </c>
      <c r="ED3707" s="367"/>
      <c r="EE3707" s="367"/>
      <c r="EF3707" s="368"/>
      <c r="EG3707" s="367"/>
      <c r="EH3707" s="367"/>
      <c r="EI3707" s="367"/>
    </row>
    <row r="3708" spans="133:139">
      <c r="EC3708" s="366" t="str">
        <f t="shared" si="334"/>
        <v>_</v>
      </c>
      <c r="ED3708" s="367"/>
      <c r="EE3708" s="367"/>
      <c r="EF3708" s="368"/>
      <c r="EG3708" s="367"/>
      <c r="EH3708" s="367"/>
      <c r="EI3708" s="367"/>
    </row>
    <row r="3709" spans="133:139">
      <c r="EC3709" s="366" t="str">
        <f t="shared" si="334"/>
        <v>_</v>
      </c>
      <c r="ED3709" s="367"/>
      <c r="EE3709" s="367"/>
      <c r="EF3709" s="368"/>
      <c r="EG3709" s="367"/>
      <c r="EH3709" s="367"/>
      <c r="EI3709" s="367"/>
    </row>
    <row r="3710" spans="133:139">
      <c r="EC3710" s="366" t="str">
        <f t="shared" si="334"/>
        <v>_</v>
      </c>
      <c r="ED3710" s="367"/>
      <c r="EE3710" s="367"/>
      <c r="EF3710" s="368"/>
      <c r="EG3710" s="367"/>
      <c r="EH3710" s="367"/>
      <c r="EI3710" s="367"/>
    </row>
    <row r="3711" spans="133:139">
      <c r="EC3711" s="366" t="str">
        <f t="shared" si="334"/>
        <v>_</v>
      </c>
      <c r="ED3711" s="367"/>
      <c r="EE3711" s="367"/>
      <c r="EF3711" s="368"/>
      <c r="EG3711" s="367"/>
      <c r="EH3711" s="367"/>
      <c r="EI3711" s="367"/>
    </row>
    <row r="3712" spans="133:139">
      <c r="EC3712" s="366" t="str">
        <f t="shared" si="334"/>
        <v>_</v>
      </c>
      <c r="ED3712" s="367"/>
      <c r="EE3712" s="367"/>
      <c r="EF3712" s="368"/>
      <c r="EG3712" s="367"/>
      <c r="EH3712" s="367"/>
      <c r="EI3712" s="367"/>
    </row>
    <row r="3713" spans="133:139">
      <c r="EC3713" s="366" t="str">
        <f t="shared" si="334"/>
        <v>_</v>
      </c>
      <c r="ED3713" s="367"/>
      <c r="EE3713" s="367"/>
      <c r="EF3713" s="368"/>
      <c r="EG3713" s="367"/>
      <c r="EH3713" s="367"/>
      <c r="EI3713" s="367"/>
    </row>
    <row r="3714" spans="133:139">
      <c r="EC3714" s="366" t="str">
        <f t="shared" si="334"/>
        <v>_</v>
      </c>
      <c r="ED3714" s="367"/>
      <c r="EE3714" s="367"/>
      <c r="EF3714" s="368"/>
      <c r="EG3714" s="367"/>
      <c r="EH3714" s="367"/>
      <c r="EI3714" s="367"/>
    </row>
    <row r="3715" spans="133:139">
      <c r="EC3715" s="366" t="str">
        <f t="shared" si="334"/>
        <v>_</v>
      </c>
      <c r="ED3715" s="367"/>
      <c r="EE3715" s="367"/>
      <c r="EF3715" s="368"/>
      <c r="EG3715" s="367"/>
      <c r="EH3715" s="367"/>
      <c r="EI3715" s="367"/>
    </row>
    <row r="3716" spans="133:139">
      <c r="EC3716" s="366" t="str">
        <f t="shared" si="334"/>
        <v>_</v>
      </c>
      <c r="ED3716" s="367"/>
      <c r="EE3716" s="367"/>
      <c r="EF3716" s="368"/>
      <c r="EG3716" s="367"/>
      <c r="EH3716" s="367"/>
      <c r="EI3716" s="367"/>
    </row>
    <row r="3717" spans="133:139">
      <c r="EC3717" s="366" t="str">
        <f t="shared" si="334"/>
        <v>_</v>
      </c>
      <c r="ED3717" s="367"/>
      <c r="EE3717" s="367"/>
      <c r="EF3717" s="368"/>
      <c r="EG3717" s="367"/>
      <c r="EH3717" s="367"/>
      <c r="EI3717" s="367"/>
    </row>
    <row r="3718" spans="133:139">
      <c r="EC3718" s="366" t="str">
        <f t="shared" si="334"/>
        <v>_</v>
      </c>
      <c r="ED3718" s="367"/>
      <c r="EE3718" s="367"/>
      <c r="EF3718" s="368"/>
      <c r="EG3718" s="367"/>
      <c r="EH3718" s="367"/>
      <c r="EI3718" s="367"/>
    </row>
    <row r="3719" spans="133:139">
      <c r="EC3719" s="366" t="str">
        <f t="shared" si="334"/>
        <v>_</v>
      </c>
      <c r="ED3719" s="367"/>
      <c r="EE3719" s="367"/>
      <c r="EF3719" s="368"/>
      <c r="EG3719" s="367"/>
      <c r="EH3719" s="367"/>
      <c r="EI3719" s="367"/>
    </row>
    <row r="3720" spans="133:139">
      <c r="EC3720" s="366" t="str">
        <f t="shared" si="334"/>
        <v>_</v>
      </c>
      <c r="ED3720" s="367"/>
      <c r="EE3720" s="367"/>
      <c r="EF3720" s="368"/>
      <c r="EG3720" s="367"/>
      <c r="EH3720" s="367"/>
      <c r="EI3720" s="367"/>
    </row>
    <row r="3721" spans="133:139">
      <c r="EC3721" s="366" t="str">
        <f t="shared" si="334"/>
        <v>_</v>
      </c>
      <c r="ED3721" s="367"/>
      <c r="EE3721" s="367"/>
      <c r="EF3721" s="368"/>
      <c r="EG3721" s="367"/>
      <c r="EH3721" s="367"/>
      <c r="EI3721" s="367"/>
    </row>
    <row r="3722" spans="133:139">
      <c r="EC3722" s="366" t="str">
        <f t="shared" si="334"/>
        <v>_</v>
      </c>
      <c r="ED3722" s="367"/>
      <c r="EE3722" s="367"/>
      <c r="EF3722" s="368"/>
      <c r="EG3722" s="367"/>
      <c r="EH3722" s="367"/>
      <c r="EI3722" s="367"/>
    </row>
    <row r="3723" spans="133:139">
      <c r="EC3723" s="366" t="str">
        <f t="shared" si="334"/>
        <v>_</v>
      </c>
      <c r="ED3723" s="367"/>
      <c r="EE3723" s="367"/>
      <c r="EF3723" s="368"/>
      <c r="EG3723" s="367"/>
      <c r="EH3723" s="367"/>
      <c r="EI3723" s="367"/>
    </row>
    <row r="3724" spans="133:139">
      <c r="EC3724" s="366" t="str">
        <f t="shared" si="334"/>
        <v>_</v>
      </c>
      <c r="ED3724" s="367"/>
      <c r="EE3724" s="367"/>
      <c r="EF3724" s="368"/>
      <c r="EG3724" s="367"/>
      <c r="EH3724" s="367"/>
      <c r="EI3724" s="367"/>
    </row>
    <row r="3725" spans="133:139">
      <c r="EC3725" s="366" t="str">
        <f t="shared" si="334"/>
        <v>_</v>
      </c>
      <c r="ED3725" s="367"/>
      <c r="EE3725" s="367"/>
      <c r="EF3725" s="368"/>
      <c r="EG3725" s="367"/>
      <c r="EH3725" s="367"/>
      <c r="EI3725" s="367"/>
    </row>
    <row r="3726" spans="133:139">
      <c r="EC3726" s="366" t="str">
        <f t="shared" si="334"/>
        <v>_</v>
      </c>
      <c r="ED3726" s="367"/>
      <c r="EE3726" s="367"/>
      <c r="EF3726" s="368"/>
      <c r="EG3726" s="367"/>
      <c r="EH3726" s="367"/>
      <c r="EI3726" s="367"/>
    </row>
    <row r="3727" spans="133:139">
      <c r="EC3727" s="366" t="str">
        <f t="shared" si="334"/>
        <v>_</v>
      </c>
      <c r="ED3727" s="367"/>
      <c r="EE3727" s="367"/>
      <c r="EF3727" s="368"/>
      <c r="EG3727" s="367"/>
      <c r="EH3727" s="367"/>
      <c r="EI3727" s="367"/>
    </row>
    <row r="3728" spans="133:139">
      <c r="EC3728" s="366" t="str">
        <f t="shared" si="334"/>
        <v>_</v>
      </c>
      <c r="ED3728" s="367"/>
      <c r="EE3728" s="367"/>
      <c r="EF3728" s="368"/>
      <c r="EG3728" s="367"/>
      <c r="EH3728" s="367"/>
      <c r="EI3728" s="367"/>
    </row>
    <row r="3729" spans="133:139">
      <c r="EC3729" s="366" t="str">
        <f t="shared" si="334"/>
        <v>_</v>
      </c>
      <c r="ED3729" s="367"/>
      <c r="EE3729" s="367"/>
      <c r="EF3729" s="368"/>
      <c r="EG3729" s="367"/>
      <c r="EH3729" s="367"/>
      <c r="EI3729" s="367"/>
    </row>
    <row r="3730" spans="133:139">
      <c r="EC3730" s="366" t="str">
        <f t="shared" si="334"/>
        <v>_</v>
      </c>
      <c r="ED3730" s="367"/>
      <c r="EE3730" s="367"/>
      <c r="EF3730" s="368"/>
      <c r="EG3730" s="367"/>
      <c r="EH3730" s="367"/>
      <c r="EI3730" s="367"/>
    </row>
    <row r="3731" spans="133:139">
      <c r="EC3731" s="366" t="str">
        <f t="shared" si="334"/>
        <v>_</v>
      </c>
      <c r="ED3731" s="367"/>
      <c r="EE3731" s="367"/>
      <c r="EF3731" s="368"/>
      <c r="EG3731" s="367"/>
      <c r="EH3731" s="367"/>
      <c r="EI3731" s="367"/>
    </row>
    <row r="3732" spans="133:139">
      <c r="EC3732" s="366" t="str">
        <f t="shared" si="334"/>
        <v>_</v>
      </c>
      <c r="ED3732" s="367"/>
      <c r="EE3732" s="367"/>
      <c r="EF3732" s="368"/>
      <c r="EG3732" s="367"/>
      <c r="EH3732" s="367"/>
      <c r="EI3732" s="367"/>
    </row>
    <row r="3733" spans="133:139">
      <c r="EC3733" s="366" t="str">
        <f t="shared" si="334"/>
        <v>_</v>
      </c>
      <c r="ED3733" s="367"/>
      <c r="EE3733" s="367"/>
      <c r="EF3733" s="368"/>
      <c r="EG3733" s="367"/>
      <c r="EH3733" s="367"/>
      <c r="EI3733" s="367"/>
    </row>
    <row r="3734" spans="133:139">
      <c r="EC3734" s="366" t="str">
        <f t="shared" si="334"/>
        <v>_</v>
      </c>
      <c r="ED3734" s="367"/>
      <c r="EE3734" s="367"/>
      <c r="EF3734" s="368"/>
      <c r="EG3734" s="367"/>
      <c r="EH3734" s="367"/>
      <c r="EI3734" s="367"/>
    </row>
    <row r="3735" spans="133:139">
      <c r="EC3735" s="366" t="str">
        <f t="shared" ref="EC3735:EC3798" si="335">B3735&amp;"_"&amp;C3735</f>
        <v>_</v>
      </c>
      <c r="ED3735" s="367"/>
      <c r="EE3735" s="367"/>
      <c r="EF3735" s="368"/>
      <c r="EG3735" s="367"/>
      <c r="EH3735" s="367"/>
      <c r="EI3735" s="367"/>
    </row>
    <row r="3736" spans="133:139">
      <c r="EC3736" s="366" t="str">
        <f t="shared" si="335"/>
        <v>_</v>
      </c>
      <c r="ED3736" s="367"/>
      <c r="EE3736" s="367"/>
      <c r="EF3736" s="368"/>
      <c r="EG3736" s="367"/>
      <c r="EH3736" s="367"/>
      <c r="EI3736" s="367"/>
    </row>
    <row r="3737" spans="133:139">
      <c r="EC3737" s="366" t="str">
        <f t="shared" si="335"/>
        <v>_</v>
      </c>
      <c r="ED3737" s="367"/>
      <c r="EE3737" s="367"/>
      <c r="EF3737" s="368"/>
      <c r="EG3737" s="367"/>
      <c r="EH3737" s="367"/>
      <c r="EI3737" s="367"/>
    </row>
    <row r="3738" spans="133:139">
      <c r="EC3738" s="366" t="str">
        <f t="shared" si="335"/>
        <v>_</v>
      </c>
      <c r="ED3738" s="367"/>
      <c r="EE3738" s="367"/>
      <c r="EF3738" s="368"/>
      <c r="EG3738" s="367"/>
      <c r="EH3738" s="367"/>
      <c r="EI3738" s="367"/>
    </row>
    <row r="3739" spans="133:139">
      <c r="EC3739" s="366" t="str">
        <f t="shared" si="335"/>
        <v>_</v>
      </c>
      <c r="ED3739" s="367"/>
      <c r="EE3739" s="367"/>
      <c r="EF3739" s="368"/>
      <c r="EG3739" s="367"/>
      <c r="EH3739" s="367"/>
      <c r="EI3739" s="367"/>
    </row>
    <row r="3740" spans="133:139">
      <c r="EC3740" s="366" t="str">
        <f t="shared" si="335"/>
        <v>_</v>
      </c>
      <c r="ED3740" s="367"/>
      <c r="EE3740" s="367"/>
      <c r="EF3740" s="368"/>
      <c r="EG3740" s="367"/>
      <c r="EH3740" s="367"/>
      <c r="EI3740" s="367"/>
    </row>
    <row r="3741" spans="133:139">
      <c r="EC3741" s="366" t="str">
        <f t="shared" si="335"/>
        <v>_</v>
      </c>
      <c r="ED3741" s="367"/>
      <c r="EE3741" s="367"/>
      <c r="EF3741" s="368"/>
      <c r="EG3741" s="367"/>
      <c r="EH3741" s="367"/>
      <c r="EI3741" s="367"/>
    </row>
    <row r="3742" spans="133:139">
      <c r="EC3742" s="366" t="str">
        <f t="shared" si="335"/>
        <v>_</v>
      </c>
      <c r="ED3742" s="367"/>
      <c r="EE3742" s="367"/>
      <c r="EF3742" s="368"/>
      <c r="EG3742" s="367"/>
      <c r="EH3742" s="367"/>
      <c r="EI3742" s="367"/>
    </row>
    <row r="3743" spans="133:139">
      <c r="EC3743" s="366" t="str">
        <f t="shared" si="335"/>
        <v>_</v>
      </c>
      <c r="ED3743" s="367"/>
      <c r="EE3743" s="367"/>
      <c r="EF3743" s="368"/>
      <c r="EG3743" s="367"/>
      <c r="EH3743" s="367"/>
      <c r="EI3743" s="367"/>
    </row>
    <row r="3744" spans="133:139">
      <c r="EC3744" s="366" t="str">
        <f t="shared" si="335"/>
        <v>_</v>
      </c>
      <c r="ED3744" s="367"/>
      <c r="EE3744" s="367"/>
      <c r="EF3744" s="368"/>
      <c r="EG3744" s="367"/>
      <c r="EH3744" s="367"/>
      <c r="EI3744" s="367"/>
    </row>
    <row r="3745" spans="133:139">
      <c r="EC3745" s="366" t="str">
        <f t="shared" si="335"/>
        <v>_</v>
      </c>
      <c r="ED3745" s="367"/>
      <c r="EE3745" s="367"/>
      <c r="EF3745" s="368"/>
      <c r="EG3745" s="367"/>
      <c r="EH3745" s="367"/>
      <c r="EI3745" s="367"/>
    </row>
    <row r="3746" spans="133:139">
      <c r="EC3746" s="366" t="str">
        <f t="shared" si="335"/>
        <v>_</v>
      </c>
      <c r="ED3746" s="367"/>
      <c r="EE3746" s="367"/>
      <c r="EF3746" s="368"/>
      <c r="EG3746" s="367"/>
      <c r="EH3746" s="367"/>
      <c r="EI3746" s="367"/>
    </row>
    <row r="3747" spans="133:139">
      <c r="EC3747" s="366" t="str">
        <f t="shared" si="335"/>
        <v>_</v>
      </c>
      <c r="ED3747" s="367"/>
      <c r="EE3747" s="367"/>
      <c r="EF3747" s="368"/>
      <c r="EG3747" s="367"/>
      <c r="EH3747" s="367"/>
      <c r="EI3747" s="367"/>
    </row>
    <row r="3748" spans="133:139">
      <c r="EC3748" s="366" t="str">
        <f t="shared" si="335"/>
        <v>_</v>
      </c>
      <c r="ED3748" s="367"/>
      <c r="EE3748" s="367"/>
      <c r="EF3748" s="368"/>
      <c r="EG3748" s="367"/>
      <c r="EH3748" s="367"/>
      <c r="EI3748" s="367"/>
    </row>
    <row r="3749" spans="133:139">
      <c r="EC3749" s="366" t="str">
        <f t="shared" si="335"/>
        <v>_</v>
      </c>
      <c r="ED3749" s="367"/>
      <c r="EE3749" s="367"/>
      <c r="EF3749" s="368"/>
      <c r="EG3749" s="367"/>
      <c r="EH3749" s="367"/>
      <c r="EI3749" s="367"/>
    </row>
    <row r="3750" spans="133:139">
      <c r="EC3750" s="366" t="str">
        <f t="shared" si="335"/>
        <v>_</v>
      </c>
      <c r="ED3750" s="367"/>
      <c r="EE3750" s="367"/>
      <c r="EF3750" s="368"/>
      <c r="EG3750" s="367"/>
      <c r="EH3750" s="367"/>
      <c r="EI3750" s="367"/>
    </row>
    <row r="3751" spans="133:139">
      <c r="EC3751" s="366" t="str">
        <f t="shared" si="335"/>
        <v>_</v>
      </c>
      <c r="ED3751" s="367"/>
      <c r="EE3751" s="367"/>
      <c r="EF3751" s="368"/>
      <c r="EG3751" s="367"/>
      <c r="EH3751" s="367"/>
      <c r="EI3751" s="367"/>
    </row>
    <row r="3752" spans="133:139">
      <c r="EC3752" s="366" t="str">
        <f t="shared" si="335"/>
        <v>_</v>
      </c>
      <c r="ED3752" s="367"/>
      <c r="EE3752" s="367"/>
      <c r="EF3752" s="368"/>
      <c r="EG3752" s="367"/>
      <c r="EH3752" s="367"/>
      <c r="EI3752" s="367"/>
    </row>
    <row r="3753" spans="133:139">
      <c r="EC3753" s="366" t="str">
        <f t="shared" si="335"/>
        <v>_</v>
      </c>
      <c r="ED3753" s="367"/>
      <c r="EE3753" s="367"/>
      <c r="EF3753" s="368"/>
      <c r="EG3753" s="367"/>
      <c r="EH3753" s="367"/>
      <c r="EI3753" s="367"/>
    </row>
    <row r="3754" spans="133:139">
      <c r="EC3754" s="366" t="str">
        <f t="shared" si="335"/>
        <v>_</v>
      </c>
      <c r="ED3754" s="367"/>
      <c r="EE3754" s="367"/>
      <c r="EF3754" s="368"/>
      <c r="EG3754" s="367"/>
      <c r="EH3754" s="367"/>
      <c r="EI3754" s="367"/>
    </row>
    <row r="3755" spans="133:139">
      <c r="EC3755" s="366" t="str">
        <f t="shared" si="335"/>
        <v>_</v>
      </c>
      <c r="ED3755" s="367"/>
      <c r="EE3755" s="367"/>
      <c r="EF3755" s="368"/>
      <c r="EG3755" s="367"/>
      <c r="EH3755" s="367"/>
      <c r="EI3755" s="367"/>
    </row>
    <row r="3756" spans="133:139">
      <c r="EC3756" s="366" t="str">
        <f t="shared" si="335"/>
        <v>_</v>
      </c>
      <c r="ED3756" s="367"/>
      <c r="EE3756" s="367"/>
      <c r="EF3756" s="368"/>
      <c r="EG3756" s="367"/>
      <c r="EH3756" s="367"/>
      <c r="EI3756" s="367"/>
    </row>
    <row r="3757" spans="133:139">
      <c r="EC3757" s="366" t="str">
        <f t="shared" si="335"/>
        <v>_</v>
      </c>
      <c r="ED3757" s="367"/>
      <c r="EE3757" s="367"/>
      <c r="EF3757" s="368"/>
      <c r="EG3757" s="367"/>
      <c r="EH3757" s="367"/>
      <c r="EI3757" s="367"/>
    </row>
    <row r="3758" spans="133:139">
      <c r="EC3758" s="366" t="str">
        <f t="shared" si="335"/>
        <v>_</v>
      </c>
      <c r="ED3758" s="367"/>
      <c r="EE3758" s="367"/>
      <c r="EF3758" s="368"/>
      <c r="EG3758" s="367"/>
      <c r="EH3758" s="367"/>
      <c r="EI3758" s="367"/>
    </row>
    <row r="3759" spans="133:139">
      <c r="EC3759" s="366" t="str">
        <f t="shared" si="335"/>
        <v>_</v>
      </c>
      <c r="ED3759" s="367"/>
      <c r="EE3759" s="367"/>
      <c r="EF3759" s="368"/>
      <c r="EG3759" s="367"/>
      <c r="EH3759" s="367"/>
      <c r="EI3759" s="367"/>
    </row>
    <row r="3760" spans="133:139">
      <c r="EC3760" s="366" t="str">
        <f t="shared" si="335"/>
        <v>_</v>
      </c>
      <c r="ED3760" s="367"/>
      <c r="EE3760" s="367"/>
      <c r="EF3760" s="368"/>
      <c r="EG3760" s="367"/>
      <c r="EH3760" s="367"/>
      <c r="EI3760" s="367"/>
    </row>
    <row r="3761" spans="133:139">
      <c r="EC3761" s="366" t="str">
        <f t="shared" si="335"/>
        <v>_</v>
      </c>
      <c r="ED3761" s="367"/>
      <c r="EE3761" s="367"/>
      <c r="EF3761" s="368"/>
      <c r="EG3761" s="367"/>
      <c r="EH3761" s="367"/>
      <c r="EI3761" s="367"/>
    </row>
    <row r="3762" spans="133:139">
      <c r="EC3762" s="366" t="str">
        <f t="shared" si="335"/>
        <v>_</v>
      </c>
      <c r="ED3762" s="367"/>
      <c r="EE3762" s="367"/>
      <c r="EF3762" s="368"/>
      <c r="EG3762" s="367"/>
      <c r="EH3762" s="367"/>
      <c r="EI3762" s="367"/>
    </row>
    <row r="3763" spans="133:139">
      <c r="EC3763" s="366" t="str">
        <f t="shared" si="335"/>
        <v>_</v>
      </c>
      <c r="ED3763" s="367"/>
      <c r="EE3763" s="367"/>
      <c r="EF3763" s="368"/>
      <c r="EG3763" s="367"/>
      <c r="EH3763" s="367"/>
      <c r="EI3763" s="367"/>
    </row>
    <row r="3764" spans="133:139">
      <c r="EC3764" s="366" t="str">
        <f t="shared" si="335"/>
        <v>_</v>
      </c>
      <c r="ED3764" s="367"/>
      <c r="EE3764" s="367"/>
      <c r="EF3764" s="368"/>
      <c r="EG3764" s="367"/>
      <c r="EH3764" s="367"/>
      <c r="EI3764" s="367"/>
    </row>
    <row r="3765" spans="133:139">
      <c r="EC3765" s="366" t="str">
        <f t="shared" si="335"/>
        <v>_</v>
      </c>
      <c r="ED3765" s="367"/>
      <c r="EE3765" s="367"/>
      <c r="EF3765" s="368"/>
      <c r="EG3765" s="367"/>
      <c r="EH3765" s="367"/>
      <c r="EI3765" s="367"/>
    </row>
    <row r="3766" spans="133:139">
      <c r="EC3766" s="366" t="str">
        <f t="shared" si="335"/>
        <v>_</v>
      </c>
      <c r="ED3766" s="367"/>
      <c r="EE3766" s="367"/>
      <c r="EF3766" s="368"/>
      <c r="EG3766" s="367"/>
      <c r="EH3766" s="367"/>
      <c r="EI3766" s="367"/>
    </row>
    <row r="3767" spans="133:139">
      <c r="EC3767" s="366" t="str">
        <f t="shared" si="335"/>
        <v>_</v>
      </c>
      <c r="ED3767" s="367"/>
      <c r="EE3767" s="367"/>
      <c r="EF3767" s="368"/>
      <c r="EG3767" s="367"/>
      <c r="EH3767" s="367"/>
      <c r="EI3767" s="367"/>
    </row>
    <row r="3768" spans="133:139">
      <c r="EC3768" s="366" t="str">
        <f t="shared" si="335"/>
        <v>_</v>
      </c>
      <c r="ED3768" s="367"/>
      <c r="EE3768" s="367"/>
      <c r="EF3768" s="368"/>
      <c r="EG3768" s="367"/>
      <c r="EH3768" s="367"/>
      <c r="EI3768" s="367"/>
    </row>
    <row r="3769" spans="133:139">
      <c r="EC3769" s="366" t="str">
        <f t="shared" si="335"/>
        <v>_</v>
      </c>
      <c r="ED3769" s="367"/>
      <c r="EE3769" s="367"/>
      <c r="EF3769" s="368"/>
      <c r="EG3769" s="367"/>
      <c r="EH3769" s="367"/>
      <c r="EI3769" s="367"/>
    </row>
    <row r="3770" spans="133:139">
      <c r="EC3770" s="366" t="str">
        <f t="shared" si="335"/>
        <v>_</v>
      </c>
      <c r="ED3770" s="367"/>
      <c r="EE3770" s="367"/>
      <c r="EF3770" s="368"/>
      <c r="EG3770" s="367"/>
      <c r="EH3770" s="367"/>
      <c r="EI3770" s="367"/>
    </row>
    <row r="3771" spans="133:139">
      <c r="EC3771" s="366" t="str">
        <f t="shared" si="335"/>
        <v>_</v>
      </c>
      <c r="ED3771" s="367"/>
      <c r="EE3771" s="367"/>
      <c r="EF3771" s="368"/>
      <c r="EG3771" s="367"/>
      <c r="EH3771" s="367"/>
      <c r="EI3771" s="367"/>
    </row>
    <row r="3772" spans="133:139">
      <c r="EC3772" s="366" t="str">
        <f t="shared" si="335"/>
        <v>_</v>
      </c>
      <c r="ED3772" s="367"/>
      <c r="EE3772" s="367"/>
      <c r="EF3772" s="368"/>
      <c r="EG3772" s="367"/>
      <c r="EH3772" s="367"/>
      <c r="EI3772" s="367"/>
    </row>
    <row r="3773" spans="133:139">
      <c r="EC3773" s="366" t="str">
        <f t="shared" si="335"/>
        <v>_</v>
      </c>
      <c r="ED3773" s="367"/>
      <c r="EE3773" s="367"/>
      <c r="EF3773" s="368"/>
      <c r="EG3773" s="367"/>
      <c r="EH3773" s="367"/>
      <c r="EI3773" s="367"/>
    </row>
    <row r="3774" spans="133:139">
      <c r="EC3774" s="366" t="str">
        <f t="shared" si="335"/>
        <v>_</v>
      </c>
      <c r="ED3774" s="367"/>
      <c r="EE3774" s="367"/>
      <c r="EF3774" s="368"/>
      <c r="EG3774" s="367"/>
      <c r="EH3774" s="367"/>
      <c r="EI3774" s="367"/>
    </row>
    <row r="3775" spans="133:139">
      <c r="EC3775" s="366" t="str">
        <f t="shared" si="335"/>
        <v>_</v>
      </c>
      <c r="ED3775" s="367"/>
      <c r="EE3775" s="367"/>
      <c r="EF3775" s="368"/>
      <c r="EG3775" s="367"/>
      <c r="EH3775" s="367"/>
      <c r="EI3775" s="367"/>
    </row>
    <row r="3776" spans="133:139">
      <c r="EC3776" s="366" t="str">
        <f t="shared" si="335"/>
        <v>_</v>
      </c>
      <c r="ED3776" s="367"/>
      <c r="EE3776" s="367"/>
      <c r="EF3776" s="368"/>
      <c r="EG3776" s="367"/>
      <c r="EH3776" s="367"/>
      <c r="EI3776" s="367"/>
    </row>
    <row r="3777" spans="133:139">
      <c r="EC3777" s="366" t="str">
        <f t="shared" si="335"/>
        <v>_</v>
      </c>
      <c r="ED3777" s="367"/>
      <c r="EE3777" s="367"/>
      <c r="EF3777" s="368"/>
      <c r="EG3777" s="367"/>
      <c r="EH3777" s="367"/>
      <c r="EI3777" s="367"/>
    </row>
    <row r="3778" spans="133:139">
      <c r="EC3778" s="366" t="str">
        <f t="shared" si="335"/>
        <v>_</v>
      </c>
      <c r="ED3778" s="367"/>
      <c r="EE3778" s="367"/>
      <c r="EF3778" s="368"/>
      <c r="EG3778" s="367"/>
      <c r="EH3778" s="367"/>
      <c r="EI3778" s="367"/>
    </row>
    <row r="3779" spans="133:139">
      <c r="EC3779" s="375" t="str">
        <f t="shared" si="335"/>
        <v>_</v>
      </c>
      <c r="ED3779" s="376"/>
      <c r="EE3779" s="367"/>
      <c r="EF3779" s="368"/>
      <c r="EG3779" s="367"/>
      <c r="EH3779" s="367"/>
      <c r="EI3779" s="367"/>
    </row>
    <row r="3780" spans="133:139">
      <c r="EC3780" s="375" t="str">
        <f t="shared" si="335"/>
        <v>_</v>
      </c>
      <c r="ED3780" s="376"/>
      <c r="EE3780" s="367"/>
      <c r="EF3780" s="368"/>
      <c r="EG3780" s="367"/>
      <c r="EH3780" s="367"/>
      <c r="EI3780" s="367"/>
    </row>
    <row r="3781" spans="133:139">
      <c r="EC3781" s="366" t="str">
        <f t="shared" si="335"/>
        <v>_</v>
      </c>
      <c r="ED3781" s="367"/>
      <c r="EE3781" s="367"/>
      <c r="EF3781" s="368"/>
      <c r="EG3781" s="367"/>
      <c r="EH3781" s="367"/>
      <c r="EI3781" s="367"/>
    </row>
    <row r="3782" spans="133:139">
      <c r="EC3782" s="366" t="str">
        <f t="shared" si="335"/>
        <v>_</v>
      </c>
      <c r="ED3782" s="367"/>
      <c r="EE3782" s="367"/>
      <c r="EF3782" s="368"/>
      <c r="EG3782" s="367"/>
      <c r="EH3782" s="367"/>
      <c r="EI3782" s="367"/>
    </row>
    <row r="3783" spans="133:139">
      <c r="EC3783" s="366" t="str">
        <f t="shared" si="335"/>
        <v>_</v>
      </c>
      <c r="ED3783" s="367"/>
      <c r="EE3783" s="376"/>
      <c r="EF3783" s="377"/>
      <c r="EG3783" s="376"/>
      <c r="EH3783" s="376"/>
      <c r="EI3783" s="376"/>
    </row>
    <row r="3784" spans="133:139">
      <c r="EC3784" s="366" t="str">
        <f t="shared" si="335"/>
        <v>_</v>
      </c>
      <c r="ED3784" s="367"/>
      <c r="EE3784" s="376"/>
      <c r="EF3784" s="377"/>
      <c r="EG3784" s="376"/>
      <c r="EH3784" s="376"/>
      <c r="EI3784" s="376"/>
    </row>
    <row r="3785" spans="133:139">
      <c r="EC3785" s="366" t="str">
        <f t="shared" si="335"/>
        <v>_</v>
      </c>
      <c r="ED3785" s="367"/>
      <c r="EE3785" s="367"/>
      <c r="EF3785" s="368"/>
      <c r="EG3785" s="367"/>
      <c r="EH3785" s="367"/>
      <c r="EI3785" s="367"/>
    </row>
    <row r="3786" spans="133:139">
      <c r="EC3786" s="366" t="str">
        <f t="shared" si="335"/>
        <v>_</v>
      </c>
      <c r="ED3786" s="367"/>
      <c r="EE3786" s="367"/>
      <c r="EF3786" s="368"/>
      <c r="EG3786" s="367"/>
      <c r="EH3786" s="367"/>
      <c r="EI3786" s="367"/>
    </row>
    <row r="3787" spans="133:139">
      <c r="EC3787" s="366" t="str">
        <f t="shared" si="335"/>
        <v>_</v>
      </c>
      <c r="ED3787" s="367"/>
      <c r="EE3787" s="367"/>
      <c r="EF3787" s="368"/>
      <c r="EG3787" s="367"/>
      <c r="EH3787" s="367"/>
      <c r="EI3787" s="367"/>
    </row>
    <row r="3788" spans="133:139">
      <c r="EC3788" s="366" t="str">
        <f t="shared" si="335"/>
        <v>_</v>
      </c>
      <c r="ED3788" s="367"/>
      <c r="EE3788" s="367"/>
      <c r="EF3788" s="368"/>
      <c r="EG3788" s="367"/>
      <c r="EH3788" s="367"/>
      <c r="EI3788" s="367"/>
    </row>
    <row r="3789" spans="133:139">
      <c r="EC3789" s="366" t="str">
        <f t="shared" si="335"/>
        <v>_</v>
      </c>
      <c r="ED3789" s="367"/>
      <c r="EE3789" s="367"/>
      <c r="EF3789" s="368"/>
      <c r="EG3789" s="367"/>
      <c r="EH3789" s="367"/>
      <c r="EI3789" s="367"/>
    </row>
    <row r="3790" spans="133:139">
      <c r="EC3790" s="366" t="str">
        <f t="shared" si="335"/>
        <v>_</v>
      </c>
      <c r="ED3790" s="367"/>
      <c r="EE3790" s="367"/>
      <c r="EF3790" s="368"/>
      <c r="EG3790" s="367"/>
      <c r="EH3790" s="367"/>
      <c r="EI3790" s="367"/>
    </row>
    <row r="3791" spans="133:139">
      <c r="EC3791" s="366" t="str">
        <f t="shared" si="335"/>
        <v>_</v>
      </c>
      <c r="ED3791" s="367"/>
      <c r="EE3791" s="367"/>
      <c r="EF3791" s="368"/>
      <c r="EG3791" s="367"/>
      <c r="EH3791" s="367"/>
      <c r="EI3791" s="367"/>
    </row>
    <row r="3792" spans="133:139">
      <c r="EC3792" s="366" t="str">
        <f t="shared" si="335"/>
        <v>_</v>
      </c>
      <c r="ED3792" s="367"/>
      <c r="EE3792" s="367"/>
      <c r="EF3792" s="368"/>
      <c r="EG3792" s="367"/>
      <c r="EH3792" s="367"/>
      <c r="EI3792" s="367"/>
    </row>
    <row r="3793" spans="133:139">
      <c r="EC3793" s="366" t="str">
        <f t="shared" si="335"/>
        <v>_</v>
      </c>
      <c r="ED3793" s="367"/>
      <c r="EE3793" s="367"/>
      <c r="EF3793" s="368"/>
      <c r="EG3793" s="367"/>
      <c r="EH3793" s="367"/>
      <c r="EI3793" s="367"/>
    </row>
    <row r="3794" spans="133:139">
      <c r="EC3794" s="366" t="str">
        <f t="shared" si="335"/>
        <v>_</v>
      </c>
      <c r="ED3794" s="367"/>
      <c r="EE3794" s="367"/>
      <c r="EF3794" s="368"/>
      <c r="EG3794" s="367"/>
      <c r="EH3794" s="367"/>
      <c r="EI3794" s="367"/>
    </row>
    <row r="3795" spans="133:139">
      <c r="EC3795" s="366" t="str">
        <f t="shared" si="335"/>
        <v>_</v>
      </c>
      <c r="ED3795" s="367"/>
      <c r="EE3795" s="367"/>
      <c r="EF3795" s="368"/>
      <c r="EG3795" s="367"/>
      <c r="EH3795" s="367"/>
      <c r="EI3795" s="367"/>
    </row>
    <row r="3796" spans="133:139">
      <c r="EC3796" s="366" t="str">
        <f t="shared" si="335"/>
        <v>_</v>
      </c>
      <c r="ED3796" s="367"/>
      <c r="EE3796" s="367"/>
      <c r="EF3796" s="368"/>
      <c r="EG3796" s="367"/>
      <c r="EH3796" s="367"/>
      <c r="EI3796" s="367"/>
    </row>
    <row r="3797" spans="133:139">
      <c r="EC3797" s="366" t="str">
        <f t="shared" si="335"/>
        <v>_</v>
      </c>
      <c r="ED3797" s="367"/>
      <c r="EE3797" s="367"/>
      <c r="EF3797" s="368"/>
      <c r="EG3797" s="367"/>
      <c r="EH3797" s="367"/>
      <c r="EI3797" s="367"/>
    </row>
    <row r="3798" spans="133:139">
      <c r="EC3798" s="366" t="str">
        <f t="shared" si="335"/>
        <v>_</v>
      </c>
      <c r="ED3798" s="367"/>
      <c r="EE3798" s="367"/>
      <c r="EF3798" s="368"/>
      <c r="EG3798" s="367"/>
      <c r="EH3798" s="367"/>
      <c r="EI3798" s="367"/>
    </row>
    <row r="3799" spans="133:139">
      <c r="EC3799" s="366" t="str">
        <f t="shared" ref="EC3799:EC3862" si="336">B3799&amp;"_"&amp;C3799</f>
        <v>_</v>
      </c>
      <c r="ED3799" s="367"/>
      <c r="EE3799" s="367"/>
      <c r="EF3799" s="368"/>
      <c r="EG3799" s="367"/>
      <c r="EH3799" s="367"/>
      <c r="EI3799" s="367"/>
    </row>
    <row r="3800" spans="133:139">
      <c r="EC3800" s="366" t="str">
        <f t="shared" si="336"/>
        <v>_</v>
      </c>
      <c r="ED3800" s="367"/>
      <c r="EE3800" s="367"/>
      <c r="EF3800" s="368"/>
      <c r="EG3800" s="367"/>
      <c r="EH3800" s="367"/>
      <c r="EI3800" s="367"/>
    </row>
    <row r="3801" spans="133:139">
      <c r="EC3801" s="366" t="str">
        <f t="shared" si="336"/>
        <v>_</v>
      </c>
      <c r="ED3801" s="367"/>
      <c r="EE3801" s="367"/>
      <c r="EF3801" s="368"/>
      <c r="EG3801" s="367"/>
      <c r="EH3801" s="367"/>
      <c r="EI3801" s="367"/>
    </row>
    <row r="3802" spans="133:139">
      <c r="EC3802" s="366" t="str">
        <f t="shared" si="336"/>
        <v>_</v>
      </c>
      <c r="ED3802" s="367"/>
      <c r="EE3802" s="367"/>
      <c r="EF3802" s="368"/>
      <c r="EG3802" s="367"/>
      <c r="EH3802" s="367"/>
      <c r="EI3802" s="367"/>
    </row>
    <row r="3803" spans="133:139">
      <c r="EC3803" s="366" t="str">
        <f t="shared" si="336"/>
        <v>_</v>
      </c>
      <c r="ED3803" s="367"/>
      <c r="EE3803" s="367"/>
      <c r="EF3803" s="368"/>
      <c r="EG3803" s="367"/>
      <c r="EH3803" s="367"/>
      <c r="EI3803" s="367"/>
    </row>
    <row r="3804" spans="133:139">
      <c r="EC3804" s="366" t="str">
        <f t="shared" si="336"/>
        <v>_</v>
      </c>
      <c r="ED3804" s="367"/>
      <c r="EE3804" s="367"/>
      <c r="EF3804" s="368"/>
      <c r="EG3804" s="367"/>
      <c r="EH3804" s="367"/>
      <c r="EI3804" s="367"/>
    </row>
    <row r="3805" spans="133:139">
      <c r="EC3805" s="366" t="str">
        <f t="shared" si="336"/>
        <v>_</v>
      </c>
      <c r="ED3805" s="367"/>
      <c r="EE3805" s="367"/>
      <c r="EF3805" s="368"/>
      <c r="EG3805" s="367"/>
      <c r="EH3805" s="367"/>
      <c r="EI3805" s="367"/>
    </row>
    <row r="3806" spans="133:139">
      <c r="EC3806" s="366" t="str">
        <f t="shared" si="336"/>
        <v>_</v>
      </c>
      <c r="ED3806" s="367"/>
      <c r="EE3806" s="367"/>
      <c r="EF3806" s="368"/>
      <c r="EG3806" s="367"/>
      <c r="EH3806" s="367"/>
      <c r="EI3806" s="367"/>
    </row>
    <row r="3807" spans="133:139">
      <c r="EC3807" s="366" t="str">
        <f t="shared" si="336"/>
        <v>_</v>
      </c>
      <c r="ED3807" s="367"/>
      <c r="EE3807" s="367"/>
      <c r="EF3807" s="368"/>
      <c r="EG3807" s="367"/>
      <c r="EH3807" s="367"/>
      <c r="EI3807" s="367"/>
    </row>
    <row r="3808" spans="133:139">
      <c r="EC3808" s="366" t="str">
        <f t="shared" si="336"/>
        <v>_</v>
      </c>
      <c r="ED3808" s="367"/>
      <c r="EE3808" s="367"/>
      <c r="EF3808" s="368"/>
      <c r="EG3808" s="367"/>
      <c r="EH3808" s="367"/>
      <c r="EI3808" s="367"/>
    </row>
    <row r="3809" spans="133:139">
      <c r="EC3809" s="366" t="str">
        <f t="shared" si="336"/>
        <v>_</v>
      </c>
      <c r="ED3809" s="367"/>
      <c r="EE3809" s="367"/>
      <c r="EF3809" s="368"/>
      <c r="EG3809" s="367"/>
      <c r="EH3809" s="367"/>
      <c r="EI3809" s="367"/>
    </row>
    <row r="3810" spans="133:139">
      <c r="EC3810" s="366" t="str">
        <f t="shared" si="336"/>
        <v>_</v>
      </c>
      <c r="ED3810" s="367"/>
      <c r="EE3810" s="367"/>
      <c r="EF3810" s="368"/>
      <c r="EG3810" s="367"/>
      <c r="EH3810" s="367"/>
      <c r="EI3810" s="367"/>
    </row>
    <row r="3811" spans="133:139">
      <c r="EC3811" s="366" t="str">
        <f t="shared" si="336"/>
        <v>_</v>
      </c>
      <c r="ED3811" s="367"/>
      <c r="EE3811" s="367"/>
      <c r="EF3811" s="368"/>
      <c r="EG3811" s="367"/>
      <c r="EH3811" s="367"/>
      <c r="EI3811" s="367"/>
    </row>
    <row r="3812" spans="133:139">
      <c r="EC3812" s="366" t="str">
        <f t="shared" si="336"/>
        <v>_</v>
      </c>
      <c r="ED3812" s="367"/>
      <c r="EE3812" s="367"/>
      <c r="EF3812" s="368"/>
      <c r="EG3812" s="367"/>
      <c r="EH3812" s="367"/>
      <c r="EI3812" s="367"/>
    </row>
    <row r="3813" spans="133:139">
      <c r="EC3813" s="366" t="str">
        <f t="shared" si="336"/>
        <v>_</v>
      </c>
      <c r="ED3813" s="367"/>
      <c r="EE3813" s="367"/>
      <c r="EF3813" s="368"/>
      <c r="EG3813" s="367"/>
      <c r="EH3813" s="367"/>
      <c r="EI3813" s="367"/>
    </row>
    <row r="3814" spans="133:139">
      <c r="EC3814" s="366" t="str">
        <f t="shared" si="336"/>
        <v>_</v>
      </c>
      <c r="ED3814" s="367"/>
      <c r="EE3814" s="367"/>
      <c r="EF3814" s="368"/>
      <c r="EG3814" s="367"/>
      <c r="EH3814" s="367"/>
      <c r="EI3814" s="367"/>
    </row>
    <row r="3815" spans="133:139">
      <c r="EC3815" s="366" t="str">
        <f t="shared" si="336"/>
        <v>_</v>
      </c>
      <c r="ED3815" s="367"/>
      <c r="EE3815" s="367"/>
      <c r="EF3815" s="368"/>
      <c r="EG3815" s="367"/>
      <c r="EH3815" s="367"/>
      <c r="EI3815" s="367"/>
    </row>
    <row r="3816" spans="133:139">
      <c r="EC3816" s="366" t="str">
        <f t="shared" si="336"/>
        <v>_</v>
      </c>
      <c r="ED3816" s="367"/>
      <c r="EE3816" s="367"/>
      <c r="EF3816" s="368"/>
      <c r="EG3816" s="367"/>
      <c r="EH3816" s="367"/>
      <c r="EI3816" s="367"/>
    </row>
    <row r="3817" spans="133:139">
      <c r="EC3817" s="366" t="str">
        <f t="shared" si="336"/>
        <v>_</v>
      </c>
      <c r="ED3817" s="367"/>
      <c r="EE3817" s="367"/>
      <c r="EF3817" s="368"/>
      <c r="EG3817" s="367"/>
      <c r="EH3817" s="367"/>
      <c r="EI3817" s="367"/>
    </row>
    <row r="3818" spans="133:139">
      <c r="EC3818" s="366" t="str">
        <f t="shared" si="336"/>
        <v>_</v>
      </c>
      <c r="ED3818" s="367"/>
      <c r="EE3818" s="367"/>
      <c r="EF3818" s="368"/>
      <c r="EG3818" s="367"/>
      <c r="EH3818" s="367"/>
      <c r="EI3818" s="367"/>
    </row>
    <row r="3819" spans="133:139">
      <c r="EC3819" s="366" t="str">
        <f t="shared" si="336"/>
        <v>_</v>
      </c>
      <c r="ED3819" s="367"/>
      <c r="EE3819" s="367"/>
      <c r="EF3819" s="368"/>
      <c r="EG3819" s="367"/>
      <c r="EH3819" s="367"/>
      <c r="EI3819" s="367"/>
    </row>
    <row r="3820" spans="133:139">
      <c r="EC3820" s="366" t="str">
        <f t="shared" si="336"/>
        <v>_</v>
      </c>
      <c r="ED3820" s="367"/>
      <c r="EE3820" s="367"/>
      <c r="EF3820" s="368"/>
      <c r="EG3820" s="367"/>
      <c r="EH3820" s="367"/>
      <c r="EI3820" s="367"/>
    </row>
    <row r="3821" spans="133:139">
      <c r="EC3821" s="366" t="str">
        <f t="shared" si="336"/>
        <v>_</v>
      </c>
      <c r="ED3821" s="367"/>
      <c r="EE3821" s="367"/>
      <c r="EF3821" s="368"/>
      <c r="EG3821" s="367"/>
      <c r="EH3821" s="367"/>
      <c r="EI3821" s="367"/>
    </row>
    <row r="3822" spans="133:139">
      <c r="EC3822" s="366" t="str">
        <f t="shared" si="336"/>
        <v>_</v>
      </c>
      <c r="ED3822" s="367"/>
      <c r="EE3822" s="367"/>
      <c r="EF3822" s="368"/>
      <c r="EG3822" s="367"/>
      <c r="EH3822" s="367"/>
      <c r="EI3822" s="367"/>
    </row>
    <row r="3823" spans="133:139">
      <c r="EC3823" s="366" t="str">
        <f t="shared" si="336"/>
        <v>_</v>
      </c>
      <c r="ED3823" s="367"/>
      <c r="EE3823" s="367"/>
      <c r="EF3823" s="368"/>
      <c r="EG3823" s="367"/>
      <c r="EH3823" s="367"/>
      <c r="EI3823" s="367"/>
    </row>
    <row r="3824" spans="133:139">
      <c r="EC3824" s="366" t="str">
        <f t="shared" si="336"/>
        <v>_</v>
      </c>
      <c r="ED3824" s="367"/>
      <c r="EE3824" s="367"/>
      <c r="EF3824" s="368"/>
      <c r="EG3824" s="367"/>
      <c r="EH3824" s="367"/>
      <c r="EI3824" s="367"/>
    </row>
    <row r="3825" spans="133:139">
      <c r="EC3825" s="366" t="str">
        <f t="shared" si="336"/>
        <v>_</v>
      </c>
      <c r="ED3825" s="367"/>
      <c r="EE3825" s="367"/>
      <c r="EF3825" s="368"/>
      <c r="EG3825" s="367"/>
      <c r="EH3825" s="367"/>
      <c r="EI3825" s="367"/>
    </row>
    <row r="3826" spans="133:139">
      <c r="EC3826" s="366" t="str">
        <f t="shared" si="336"/>
        <v>_</v>
      </c>
      <c r="ED3826" s="367"/>
      <c r="EE3826" s="367"/>
      <c r="EF3826" s="368"/>
      <c r="EG3826" s="367"/>
      <c r="EH3826" s="367"/>
      <c r="EI3826" s="367"/>
    </row>
    <row r="3827" spans="133:139">
      <c r="EC3827" s="366" t="str">
        <f t="shared" si="336"/>
        <v>_</v>
      </c>
      <c r="ED3827" s="367"/>
      <c r="EE3827" s="367"/>
      <c r="EF3827" s="368"/>
      <c r="EG3827" s="367"/>
      <c r="EH3827" s="367"/>
      <c r="EI3827" s="367"/>
    </row>
    <row r="3828" spans="133:139">
      <c r="EC3828" s="366" t="str">
        <f t="shared" si="336"/>
        <v>_</v>
      </c>
      <c r="ED3828" s="367"/>
      <c r="EE3828" s="367"/>
      <c r="EF3828" s="368"/>
      <c r="EG3828" s="367"/>
      <c r="EH3828" s="367"/>
      <c r="EI3828" s="367"/>
    </row>
    <row r="3829" spans="133:139">
      <c r="EC3829" s="366" t="str">
        <f t="shared" si="336"/>
        <v>_</v>
      </c>
      <c r="ED3829" s="367"/>
      <c r="EE3829" s="367"/>
      <c r="EF3829" s="368"/>
      <c r="EG3829" s="367"/>
      <c r="EH3829" s="367"/>
      <c r="EI3829" s="367"/>
    </row>
    <row r="3830" spans="133:139">
      <c r="EC3830" s="366" t="str">
        <f t="shared" si="336"/>
        <v>_</v>
      </c>
      <c r="ED3830" s="367"/>
      <c r="EE3830" s="367"/>
      <c r="EF3830" s="368"/>
      <c r="EG3830" s="367"/>
      <c r="EH3830" s="367"/>
      <c r="EI3830" s="367"/>
    </row>
    <row r="3831" spans="133:139">
      <c r="EC3831" s="366" t="str">
        <f t="shared" si="336"/>
        <v>_</v>
      </c>
      <c r="ED3831" s="367"/>
      <c r="EE3831" s="367"/>
      <c r="EF3831" s="368"/>
      <c r="EG3831" s="367"/>
      <c r="EH3831" s="367"/>
      <c r="EI3831" s="367"/>
    </row>
    <row r="3832" spans="133:139">
      <c r="EC3832" s="366" t="str">
        <f t="shared" si="336"/>
        <v>_</v>
      </c>
      <c r="ED3832" s="367"/>
      <c r="EE3832" s="367"/>
      <c r="EF3832" s="368"/>
      <c r="EG3832" s="367"/>
      <c r="EH3832" s="367"/>
      <c r="EI3832" s="367"/>
    </row>
    <row r="3833" spans="133:139">
      <c r="EC3833" s="366" t="str">
        <f t="shared" si="336"/>
        <v>_</v>
      </c>
      <c r="ED3833" s="367"/>
      <c r="EE3833" s="367"/>
      <c r="EF3833" s="368"/>
      <c r="EG3833" s="367"/>
      <c r="EH3833" s="367"/>
      <c r="EI3833" s="367"/>
    </row>
    <row r="3834" spans="133:139">
      <c r="EC3834" s="366" t="str">
        <f t="shared" si="336"/>
        <v>_</v>
      </c>
      <c r="ED3834" s="367"/>
      <c r="EE3834" s="367"/>
      <c r="EF3834" s="368"/>
      <c r="EG3834" s="367"/>
      <c r="EH3834" s="367"/>
      <c r="EI3834" s="367"/>
    </row>
    <row r="3835" spans="133:139">
      <c r="EC3835" s="366" t="str">
        <f t="shared" si="336"/>
        <v>_</v>
      </c>
      <c r="ED3835" s="367"/>
      <c r="EE3835" s="367"/>
      <c r="EF3835" s="368"/>
      <c r="EG3835" s="367"/>
      <c r="EH3835" s="367"/>
      <c r="EI3835" s="367"/>
    </row>
    <row r="3836" spans="133:139">
      <c r="EC3836" s="366" t="str">
        <f t="shared" si="336"/>
        <v>_</v>
      </c>
      <c r="ED3836" s="367"/>
      <c r="EE3836" s="367"/>
      <c r="EF3836" s="368"/>
      <c r="EG3836" s="367"/>
      <c r="EH3836" s="367"/>
      <c r="EI3836" s="367"/>
    </row>
    <row r="3837" spans="133:139">
      <c r="EC3837" s="366" t="str">
        <f t="shared" si="336"/>
        <v>_</v>
      </c>
      <c r="ED3837" s="367"/>
      <c r="EE3837" s="367"/>
      <c r="EF3837" s="368"/>
      <c r="EG3837" s="367"/>
      <c r="EH3837" s="367"/>
      <c r="EI3837" s="367"/>
    </row>
    <row r="3838" spans="133:139">
      <c r="EC3838" s="366" t="str">
        <f t="shared" si="336"/>
        <v>_</v>
      </c>
      <c r="ED3838" s="367"/>
      <c r="EE3838" s="367"/>
      <c r="EF3838" s="368"/>
      <c r="EG3838" s="367"/>
      <c r="EH3838" s="367"/>
      <c r="EI3838" s="367"/>
    </row>
    <row r="3839" spans="133:139">
      <c r="EC3839" s="366" t="str">
        <f t="shared" si="336"/>
        <v>_</v>
      </c>
      <c r="ED3839" s="367"/>
      <c r="EE3839" s="367"/>
      <c r="EF3839" s="368"/>
      <c r="EG3839" s="367"/>
      <c r="EH3839" s="367"/>
      <c r="EI3839" s="367"/>
    </row>
    <row r="3840" spans="133:139">
      <c r="EC3840" s="366" t="str">
        <f t="shared" si="336"/>
        <v>_</v>
      </c>
      <c r="ED3840" s="367"/>
      <c r="EE3840" s="367"/>
      <c r="EF3840" s="368"/>
      <c r="EG3840" s="367"/>
      <c r="EH3840" s="367"/>
      <c r="EI3840" s="367"/>
    </row>
    <row r="3841" spans="39:139">
      <c r="EC3841" s="366" t="str">
        <f t="shared" si="336"/>
        <v>_</v>
      </c>
      <c r="ED3841" s="367"/>
      <c r="EE3841" s="367"/>
      <c r="EF3841" s="368"/>
      <c r="EG3841" s="367"/>
      <c r="EH3841" s="367"/>
      <c r="EI3841" s="367"/>
    </row>
    <row r="3842" spans="39:139">
      <c r="EC3842" s="366" t="str">
        <f t="shared" si="336"/>
        <v>_</v>
      </c>
      <c r="ED3842" s="367"/>
      <c r="EE3842" s="367"/>
      <c r="EF3842" s="368"/>
      <c r="EG3842" s="367"/>
      <c r="EH3842" s="367"/>
      <c r="EI3842" s="367"/>
    </row>
    <row r="3843" spans="39:139">
      <c r="EC3843" s="366" t="str">
        <f t="shared" si="336"/>
        <v>_</v>
      </c>
      <c r="ED3843" s="367"/>
      <c r="EE3843" s="367"/>
      <c r="EF3843" s="368"/>
      <c r="EG3843" s="367"/>
      <c r="EH3843" s="367"/>
      <c r="EI3843" s="367"/>
    </row>
    <row r="3844" spans="39:139">
      <c r="EC3844" s="366" t="str">
        <f t="shared" si="336"/>
        <v>_</v>
      </c>
      <c r="ED3844" s="367"/>
      <c r="EE3844" s="367"/>
      <c r="EF3844" s="368"/>
      <c r="EG3844" s="367"/>
      <c r="EH3844" s="367"/>
      <c r="EI3844" s="367"/>
    </row>
    <row r="3845" spans="39:139">
      <c r="EC3845" s="366" t="str">
        <f t="shared" si="336"/>
        <v>_</v>
      </c>
      <c r="ED3845" s="367"/>
      <c r="EE3845" s="367"/>
      <c r="EF3845" s="368"/>
      <c r="EG3845" s="367"/>
      <c r="EH3845" s="367"/>
      <c r="EI3845" s="367"/>
    </row>
    <row r="3846" spans="39:139">
      <c r="EC3846" s="366" t="str">
        <f t="shared" si="336"/>
        <v>_</v>
      </c>
      <c r="ED3846" s="367"/>
      <c r="EE3846" s="367"/>
      <c r="EF3846" s="368"/>
      <c r="EG3846" s="367"/>
      <c r="EH3846" s="367"/>
      <c r="EI3846" s="367"/>
    </row>
    <row r="3847" spans="39:139">
      <c r="EC3847" s="366" t="str">
        <f t="shared" si="336"/>
        <v>_</v>
      </c>
      <c r="ED3847" s="367"/>
      <c r="EE3847" s="367"/>
      <c r="EF3847" s="368"/>
      <c r="EG3847" s="367"/>
      <c r="EH3847" s="367"/>
      <c r="EI3847" s="367"/>
    </row>
    <row r="3848" spans="39:139">
      <c r="AM3848" s="2">
        <v>0</v>
      </c>
      <c r="EC3848" s="366" t="str">
        <f t="shared" si="336"/>
        <v>_</v>
      </c>
      <c r="ED3848" s="367"/>
      <c r="EE3848" s="367"/>
      <c r="EF3848" s="368"/>
      <c r="EG3848" s="367"/>
      <c r="EH3848" s="367"/>
      <c r="EI3848" s="367"/>
    </row>
    <row r="3849" spans="39:139">
      <c r="AM3849" s="2">
        <v>0</v>
      </c>
      <c r="EC3849" s="366" t="str">
        <f t="shared" si="336"/>
        <v>_</v>
      </c>
      <c r="ED3849" s="367"/>
      <c r="EE3849" s="367"/>
      <c r="EF3849" s="368"/>
      <c r="EG3849" s="367"/>
      <c r="EH3849" s="367"/>
      <c r="EI3849" s="367"/>
    </row>
    <row r="3850" spans="39:139">
      <c r="EC3850" s="366" t="str">
        <f t="shared" si="336"/>
        <v>_</v>
      </c>
      <c r="ED3850" s="367"/>
      <c r="EE3850" s="367"/>
      <c r="EF3850" s="368"/>
      <c r="EG3850" s="367"/>
      <c r="EH3850" s="367"/>
      <c r="EI3850" s="367"/>
    </row>
    <row r="3851" spans="39:139">
      <c r="EC3851" s="366" t="str">
        <f t="shared" si="336"/>
        <v>_</v>
      </c>
      <c r="ED3851" s="367"/>
      <c r="EE3851" s="367"/>
      <c r="EF3851" s="368"/>
      <c r="EG3851" s="367"/>
      <c r="EH3851" s="367"/>
      <c r="EI3851" s="367"/>
    </row>
    <row r="3852" spans="39:139">
      <c r="EC3852" s="366" t="str">
        <f t="shared" si="336"/>
        <v>_</v>
      </c>
      <c r="ED3852" s="367"/>
      <c r="EE3852" s="367"/>
      <c r="EF3852" s="368"/>
      <c r="EG3852" s="367"/>
      <c r="EH3852" s="367"/>
      <c r="EI3852" s="367"/>
    </row>
    <row r="3853" spans="39:139">
      <c r="EC3853" s="366" t="str">
        <f t="shared" si="336"/>
        <v>_</v>
      </c>
      <c r="ED3853" s="367"/>
      <c r="EE3853" s="367"/>
      <c r="EF3853" s="368"/>
      <c r="EG3853" s="367"/>
      <c r="EH3853" s="367"/>
      <c r="EI3853" s="367"/>
    </row>
    <row r="3854" spans="39:139">
      <c r="EC3854" s="366" t="str">
        <f t="shared" si="336"/>
        <v>_</v>
      </c>
      <c r="ED3854" s="367"/>
      <c r="EE3854" s="367"/>
      <c r="EF3854" s="368"/>
      <c r="EG3854" s="367"/>
      <c r="EH3854" s="367"/>
      <c r="EI3854" s="367"/>
    </row>
    <row r="3855" spans="39:139">
      <c r="EC3855" s="366" t="str">
        <f t="shared" si="336"/>
        <v>_</v>
      </c>
      <c r="ED3855" s="367"/>
      <c r="EE3855" s="367"/>
      <c r="EF3855" s="368"/>
      <c r="EG3855" s="367"/>
      <c r="EH3855" s="367"/>
      <c r="EI3855" s="367"/>
    </row>
    <row r="3856" spans="39:139">
      <c r="EC3856" s="366" t="str">
        <f t="shared" si="336"/>
        <v>_</v>
      </c>
      <c r="ED3856" s="367"/>
      <c r="EE3856" s="367"/>
      <c r="EF3856" s="368"/>
      <c r="EG3856" s="367"/>
      <c r="EH3856" s="367"/>
      <c r="EI3856" s="367"/>
    </row>
    <row r="3857" spans="133:139">
      <c r="EC3857" s="366" t="str">
        <f t="shared" si="336"/>
        <v>_</v>
      </c>
      <c r="ED3857" s="367"/>
      <c r="EE3857" s="367"/>
      <c r="EF3857" s="368"/>
      <c r="EG3857" s="367"/>
      <c r="EH3857" s="367"/>
      <c r="EI3857" s="367"/>
    </row>
    <row r="3858" spans="133:139">
      <c r="EC3858" s="366" t="str">
        <f t="shared" si="336"/>
        <v>_</v>
      </c>
      <c r="ED3858" s="367"/>
      <c r="EE3858" s="367"/>
      <c r="EF3858" s="368"/>
      <c r="EG3858" s="367"/>
      <c r="EH3858" s="367"/>
      <c r="EI3858" s="367"/>
    </row>
    <row r="3859" spans="133:139">
      <c r="EC3859" s="366" t="str">
        <f t="shared" si="336"/>
        <v>_</v>
      </c>
      <c r="ED3859" s="367"/>
      <c r="EE3859" s="367"/>
      <c r="EF3859" s="368"/>
      <c r="EG3859" s="367"/>
      <c r="EH3859" s="367"/>
      <c r="EI3859" s="367"/>
    </row>
    <row r="3860" spans="133:139">
      <c r="EC3860" s="366" t="str">
        <f t="shared" si="336"/>
        <v>_</v>
      </c>
      <c r="ED3860" s="367"/>
      <c r="EE3860" s="367"/>
      <c r="EF3860" s="368"/>
      <c r="EG3860" s="367"/>
      <c r="EH3860" s="367"/>
      <c r="EI3860" s="367"/>
    </row>
    <row r="3861" spans="133:139">
      <c r="EC3861" s="366" t="str">
        <f t="shared" si="336"/>
        <v>_</v>
      </c>
      <c r="ED3861" s="367"/>
      <c r="EE3861" s="367"/>
      <c r="EF3861" s="368"/>
      <c r="EG3861" s="367"/>
      <c r="EH3861" s="367"/>
      <c r="EI3861" s="367"/>
    </row>
    <row r="3862" spans="133:139">
      <c r="EC3862" s="366" t="str">
        <f t="shared" si="336"/>
        <v>_</v>
      </c>
      <c r="ED3862" s="367"/>
      <c r="EE3862" s="367"/>
      <c r="EF3862" s="368"/>
      <c r="EG3862" s="367"/>
      <c r="EH3862" s="367"/>
      <c r="EI3862" s="367"/>
    </row>
    <row r="3863" spans="133:139">
      <c r="EC3863" s="366" t="str">
        <f t="shared" ref="EC3863:EC3893" si="337">B3863&amp;"_"&amp;C3863</f>
        <v>_</v>
      </c>
      <c r="ED3863" s="367"/>
      <c r="EE3863" s="367"/>
      <c r="EF3863" s="368"/>
      <c r="EG3863" s="367"/>
      <c r="EH3863" s="367"/>
      <c r="EI3863" s="367"/>
    </row>
    <row r="3864" spans="133:139">
      <c r="EC3864" s="366" t="str">
        <f t="shared" si="337"/>
        <v>_</v>
      </c>
      <c r="ED3864" s="367"/>
      <c r="EE3864" s="367"/>
      <c r="EF3864" s="368"/>
      <c r="EG3864" s="367"/>
      <c r="EH3864" s="367"/>
      <c r="EI3864" s="367"/>
    </row>
    <row r="3865" spans="133:139">
      <c r="EC3865" s="366" t="str">
        <f t="shared" si="337"/>
        <v>_</v>
      </c>
      <c r="ED3865" s="367"/>
      <c r="EE3865" s="367"/>
      <c r="EF3865" s="368"/>
      <c r="EG3865" s="367"/>
      <c r="EH3865" s="367"/>
      <c r="EI3865" s="367"/>
    </row>
    <row r="3866" spans="133:139">
      <c r="EC3866" s="366" t="str">
        <f t="shared" si="337"/>
        <v>_</v>
      </c>
      <c r="ED3866" s="367"/>
      <c r="EE3866" s="367"/>
      <c r="EF3866" s="368"/>
      <c r="EG3866" s="367"/>
      <c r="EH3866" s="367"/>
      <c r="EI3866" s="367"/>
    </row>
    <row r="3867" spans="133:139">
      <c r="EC3867" s="366" t="str">
        <f t="shared" si="337"/>
        <v>_</v>
      </c>
      <c r="ED3867" s="367"/>
      <c r="EE3867" s="367"/>
      <c r="EF3867" s="368"/>
      <c r="EG3867" s="367"/>
      <c r="EH3867" s="367"/>
      <c r="EI3867" s="367"/>
    </row>
    <row r="3868" spans="133:139">
      <c r="EC3868" s="366" t="str">
        <f t="shared" si="337"/>
        <v>_</v>
      </c>
      <c r="ED3868" s="367"/>
      <c r="EE3868" s="367"/>
      <c r="EF3868" s="368"/>
      <c r="EG3868" s="367"/>
      <c r="EH3868" s="367"/>
      <c r="EI3868" s="367"/>
    </row>
    <row r="3869" spans="133:139">
      <c r="EC3869" s="366" t="str">
        <f t="shared" si="337"/>
        <v>_</v>
      </c>
      <c r="ED3869" s="367"/>
      <c r="EE3869" s="367"/>
      <c r="EF3869" s="368"/>
      <c r="EG3869" s="367"/>
      <c r="EH3869" s="367"/>
      <c r="EI3869" s="367"/>
    </row>
    <row r="3870" spans="133:139">
      <c r="EC3870" s="366" t="str">
        <f t="shared" si="337"/>
        <v>_</v>
      </c>
      <c r="ED3870" s="367"/>
      <c r="EE3870" s="367"/>
      <c r="EF3870" s="368"/>
      <c r="EG3870" s="367"/>
      <c r="EH3870" s="367"/>
      <c r="EI3870" s="367"/>
    </row>
    <row r="3871" spans="133:139">
      <c r="EC3871" s="366" t="str">
        <f t="shared" si="337"/>
        <v>_</v>
      </c>
      <c r="ED3871" s="367"/>
      <c r="EE3871" s="367"/>
      <c r="EF3871" s="368"/>
      <c r="EG3871" s="367"/>
      <c r="EH3871" s="367"/>
      <c r="EI3871" s="367"/>
    </row>
    <row r="3872" spans="133:139">
      <c r="EC3872" s="366" t="str">
        <f t="shared" si="337"/>
        <v>_</v>
      </c>
      <c r="ED3872" s="367"/>
      <c r="EE3872" s="367"/>
      <c r="EF3872" s="368"/>
      <c r="EG3872" s="367"/>
      <c r="EH3872" s="367"/>
      <c r="EI3872" s="367"/>
    </row>
    <row r="3873" spans="133:139">
      <c r="EC3873" s="366" t="str">
        <f t="shared" si="337"/>
        <v>_</v>
      </c>
      <c r="ED3873" s="367"/>
      <c r="EE3873" s="367"/>
      <c r="EF3873" s="368"/>
      <c r="EG3873" s="367"/>
      <c r="EH3873" s="367"/>
      <c r="EI3873" s="367"/>
    </row>
    <row r="3874" spans="133:139">
      <c r="EC3874" s="366" t="str">
        <f t="shared" si="337"/>
        <v>_</v>
      </c>
      <c r="ED3874" s="367"/>
      <c r="EE3874" s="367"/>
      <c r="EF3874" s="368"/>
      <c r="EG3874" s="367"/>
      <c r="EH3874" s="367"/>
      <c r="EI3874" s="367"/>
    </row>
    <row r="3875" spans="133:139">
      <c r="EC3875" s="366" t="str">
        <f t="shared" si="337"/>
        <v>_</v>
      </c>
      <c r="ED3875" s="367"/>
      <c r="EE3875" s="367"/>
      <c r="EF3875" s="368"/>
      <c r="EG3875" s="367"/>
      <c r="EH3875" s="367"/>
      <c r="EI3875" s="367"/>
    </row>
    <row r="3876" spans="133:139">
      <c r="EC3876" s="366" t="str">
        <f t="shared" si="337"/>
        <v>_</v>
      </c>
      <c r="ED3876" s="367"/>
      <c r="EE3876" s="367"/>
      <c r="EF3876" s="368"/>
      <c r="EG3876" s="367"/>
      <c r="EH3876" s="367"/>
      <c r="EI3876" s="367"/>
    </row>
    <row r="3877" spans="133:139">
      <c r="EC3877" s="366" t="str">
        <f t="shared" si="337"/>
        <v>_</v>
      </c>
      <c r="ED3877" s="367"/>
      <c r="EE3877" s="367"/>
      <c r="EF3877" s="368"/>
      <c r="EG3877" s="367"/>
      <c r="EH3877" s="367"/>
      <c r="EI3877" s="367"/>
    </row>
    <row r="3878" spans="133:139">
      <c r="EC3878" s="366" t="str">
        <f t="shared" si="337"/>
        <v>_</v>
      </c>
      <c r="ED3878" s="367"/>
      <c r="EE3878" s="367"/>
      <c r="EF3878" s="368"/>
      <c r="EG3878" s="367"/>
      <c r="EH3878" s="367"/>
      <c r="EI3878" s="367"/>
    </row>
    <row r="3879" spans="133:139">
      <c r="EC3879" s="366" t="str">
        <f t="shared" si="337"/>
        <v>_</v>
      </c>
      <c r="ED3879" s="367"/>
      <c r="EE3879" s="367"/>
      <c r="EF3879" s="368"/>
      <c r="EG3879" s="367"/>
      <c r="EH3879" s="367"/>
      <c r="EI3879" s="367"/>
    </row>
    <row r="3880" spans="133:139">
      <c r="EC3880" s="366" t="str">
        <f t="shared" si="337"/>
        <v>_</v>
      </c>
      <c r="ED3880" s="367"/>
      <c r="EE3880" s="367"/>
      <c r="EF3880" s="368"/>
      <c r="EG3880" s="367"/>
      <c r="EH3880" s="367"/>
      <c r="EI3880" s="367"/>
    </row>
    <row r="3881" spans="133:139">
      <c r="EC3881" s="366" t="str">
        <f t="shared" si="337"/>
        <v>_</v>
      </c>
      <c r="ED3881" s="367"/>
      <c r="EE3881" s="367"/>
      <c r="EF3881" s="368"/>
      <c r="EG3881" s="367"/>
      <c r="EH3881" s="367"/>
      <c r="EI3881" s="367"/>
    </row>
    <row r="3882" spans="133:139">
      <c r="EC3882" s="366" t="str">
        <f t="shared" si="337"/>
        <v>_</v>
      </c>
      <c r="ED3882" s="367"/>
      <c r="EE3882" s="367"/>
      <c r="EF3882" s="368"/>
      <c r="EG3882" s="367"/>
      <c r="EH3882" s="367"/>
      <c r="EI3882" s="367"/>
    </row>
    <row r="3883" spans="133:139">
      <c r="EC3883" s="366" t="str">
        <f t="shared" si="337"/>
        <v>_</v>
      </c>
      <c r="ED3883" s="367"/>
      <c r="EE3883" s="367"/>
      <c r="EF3883" s="368"/>
      <c r="EG3883" s="367"/>
      <c r="EH3883" s="367"/>
      <c r="EI3883" s="367"/>
    </row>
    <row r="3884" spans="133:139">
      <c r="EC3884" s="366" t="str">
        <f t="shared" si="337"/>
        <v>_</v>
      </c>
      <c r="ED3884" s="367"/>
      <c r="EE3884" s="367"/>
      <c r="EF3884" s="368"/>
      <c r="EG3884" s="367"/>
      <c r="EH3884" s="367"/>
      <c r="EI3884" s="367"/>
    </row>
    <row r="3885" spans="133:139">
      <c r="EC3885" s="366" t="str">
        <f t="shared" si="337"/>
        <v>_</v>
      </c>
      <c r="ED3885" s="367"/>
      <c r="EE3885" s="367"/>
      <c r="EF3885" s="368"/>
      <c r="EG3885" s="367"/>
      <c r="EH3885" s="367"/>
      <c r="EI3885" s="367"/>
    </row>
    <row r="3886" spans="133:139">
      <c r="EC3886" s="366" t="str">
        <f t="shared" si="337"/>
        <v>_</v>
      </c>
      <c r="ED3886" s="367"/>
      <c r="EE3886" s="367"/>
      <c r="EF3886" s="368"/>
      <c r="EG3886" s="367"/>
      <c r="EH3886" s="367"/>
      <c r="EI3886" s="367"/>
    </row>
    <row r="3887" spans="133:139">
      <c r="EC3887" s="366" t="str">
        <f t="shared" si="337"/>
        <v>_</v>
      </c>
      <c r="ED3887" s="367"/>
      <c r="EE3887" s="367"/>
      <c r="EF3887" s="368"/>
      <c r="EG3887" s="367"/>
      <c r="EH3887" s="367"/>
      <c r="EI3887" s="367"/>
    </row>
    <row r="3888" spans="133:139">
      <c r="EC3888" s="366" t="str">
        <f t="shared" si="337"/>
        <v>_</v>
      </c>
      <c r="ED3888" s="367"/>
      <c r="EE3888" s="367"/>
      <c r="EF3888" s="368"/>
      <c r="EG3888" s="367"/>
      <c r="EH3888" s="367"/>
      <c r="EI3888" s="367"/>
    </row>
    <row r="3889" spans="133:139">
      <c r="EC3889" s="366" t="str">
        <f t="shared" si="337"/>
        <v>_</v>
      </c>
      <c r="ED3889" s="367"/>
      <c r="EE3889" s="367"/>
      <c r="EF3889" s="368"/>
      <c r="EG3889" s="367"/>
      <c r="EH3889" s="367"/>
      <c r="EI3889" s="367"/>
    </row>
    <row r="3890" spans="133:139">
      <c r="EC3890" s="366" t="str">
        <f t="shared" si="337"/>
        <v>_</v>
      </c>
      <c r="ED3890" s="367"/>
      <c r="EE3890" s="367"/>
      <c r="EF3890" s="368"/>
      <c r="EG3890" s="367"/>
      <c r="EH3890" s="367"/>
      <c r="EI3890" s="367"/>
    </row>
    <row r="3891" spans="133:139">
      <c r="EC3891" s="366" t="str">
        <f t="shared" si="337"/>
        <v>_</v>
      </c>
      <c r="ED3891" s="367"/>
      <c r="EE3891" s="367"/>
      <c r="EF3891" s="368"/>
      <c r="EG3891" s="367"/>
      <c r="EH3891" s="367"/>
      <c r="EI3891" s="367"/>
    </row>
    <row r="3892" spans="133:139">
      <c r="EC3892" s="366" t="str">
        <f t="shared" si="337"/>
        <v>_</v>
      </c>
      <c r="ED3892" s="367"/>
      <c r="EE3892" s="367"/>
      <c r="EF3892" s="368"/>
      <c r="EG3892" s="367"/>
      <c r="EH3892" s="367"/>
      <c r="EI3892" s="367"/>
    </row>
    <row r="3893" spans="133:139">
      <c r="EC3893" s="366" t="str">
        <f t="shared" si="337"/>
        <v>_</v>
      </c>
      <c r="ED3893" s="367"/>
      <c r="EE3893" s="367"/>
      <c r="EF3893" s="368"/>
      <c r="EG3893" s="367"/>
      <c r="EH3893" s="367"/>
      <c r="EI3893" s="367"/>
    </row>
    <row r="4650" spans="18:18">
      <c r="R4650" s="2" t="s">
        <v>615</v>
      </c>
    </row>
    <row r="9670" spans="27:27">
      <c r="AA9670" s="167" t="s">
        <v>615</v>
      </c>
    </row>
    <row r="9690" spans="27:27">
      <c r="AA9690" s="167" t="s">
        <v>615</v>
      </c>
    </row>
  </sheetData>
  <dataConsolidate/>
  <mergeCells count="40">
    <mergeCell ref="AH1:AI1"/>
    <mergeCell ref="AJ1:AK1"/>
    <mergeCell ref="L1:T1"/>
    <mergeCell ref="AB1:AC1"/>
    <mergeCell ref="U1:AA1"/>
    <mergeCell ref="AD1:AE1"/>
    <mergeCell ref="AF1:AG1"/>
    <mergeCell ref="CB1:CC1"/>
    <mergeCell ref="AN1:AO1"/>
    <mergeCell ref="BR1:BS1"/>
    <mergeCell ref="CD1:CE1"/>
    <mergeCell ref="BD1:BE1"/>
    <mergeCell ref="BL1:BM1"/>
    <mergeCell ref="BF1:BG1"/>
    <mergeCell ref="BH1:BI1"/>
    <mergeCell ref="AT1:AU1"/>
    <mergeCell ref="BN1:BO1"/>
    <mergeCell ref="BX1:BY1"/>
    <mergeCell ref="CQ1:CR1"/>
    <mergeCell ref="CF1:CG1"/>
    <mergeCell ref="CH1:CI1"/>
    <mergeCell ref="CK1:CL1"/>
    <mergeCell ref="CM1:CN1"/>
    <mergeCell ref="CO1:CP1"/>
    <mergeCell ref="A2428:D2428"/>
    <mergeCell ref="A2426:D2426"/>
    <mergeCell ref="A1:D1"/>
    <mergeCell ref="G1:K1"/>
    <mergeCell ref="BZ1:CA1"/>
    <mergeCell ref="BT1:BU1"/>
    <mergeCell ref="AX1:AY1"/>
    <mergeCell ref="AZ1:BA1"/>
    <mergeCell ref="BB1:BC1"/>
    <mergeCell ref="AR1:AS1"/>
    <mergeCell ref="AP1:AQ1"/>
    <mergeCell ref="AL1:AM1"/>
    <mergeCell ref="AV1:AW1"/>
    <mergeCell ref="BP1:BQ1"/>
    <mergeCell ref="BJ1:BK1"/>
    <mergeCell ref="BV1:BW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&amp;C&amp;"Arial,Negrita"&amp;14MINISTERIO DEL INTERIOR Y DE JUSTICIA&amp;"Arial,Negrita Cursiva"&amp;12
&amp;16DIRECCION DE GESTION DEL RIESGO&amp;12
REPORTE DE EMERGENCIAS Y APOYO DEL F.N.C.  AÑO 2010
</oddHeader>
    <oddFooter>&amp;R&amp;P,/ &amp;N, &amp;D,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 DE EMERGENCIAS</vt:lpstr>
      <vt:lpstr>'REPORTE DE EMERGENCIAS'!Área_de_impresión</vt:lpstr>
      <vt:lpstr>'REPORTE DE EMERGENCIAS'!Títulos_a_imprimir</vt:lpstr>
    </vt:vector>
  </TitlesOfParts>
  <Company>FNC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Admin_Sistema</cp:lastModifiedBy>
  <cp:lastPrinted>2011-03-28T19:23:01Z</cp:lastPrinted>
  <dcterms:created xsi:type="dcterms:W3CDTF">1998-07-31T14:15:34Z</dcterms:created>
  <dcterms:modified xsi:type="dcterms:W3CDTF">2011-03-28T20:00:58Z</dcterms:modified>
</cp:coreProperties>
</file>